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chartsheets/sheet5.xml" ContentType="application/vnd.openxmlformats-officedocument.spreadsheetml.chart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chartsheets/sheet6.xml" ContentType="application/vnd.openxmlformats-officedocument.spreadsheetml.chart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theme/themeOverride1.xml" ContentType="application/vnd.openxmlformats-officedocument.themeOverride+xml"/>
  <Override PartName="/xl/drawings/drawing2.xml" ContentType="application/vnd.openxmlformats-officedocument.drawingml.chartshapes+xml"/>
  <Override PartName="/xl/charts/chart2.xml" ContentType="application/vnd.openxmlformats-officedocument.drawingml.chart+xml"/>
  <Override PartName="/xl/theme/themeOverride2.xml" ContentType="application/vnd.openxmlformats-officedocument.themeOverride+xml"/>
  <Override PartName="/xl/drawings/drawing3.xml" ContentType="application/vnd.openxmlformats-officedocument.drawingml.chartshapes+xml"/>
  <Override PartName="/xl/charts/chart3.xml" ContentType="application/vnd.openxmlformats-officedocument.drawingml.chart+xml"/>
  <Override PartName="/xl/theme/themeOverride3.xml" ContentType="application/vnd.openxmlformats-officedocument.themeOverride+xml"/>
  <Override PartName="/xl/drawings/drawing4.xml" ContentType="application/vnd.openxmlformats-officedocument.drawingml.chartshapes+xml"/>
  <Override PartName="/xl/charts/chart4.xml" ContentType="application/vnd.openxmlformats-officedocument.drawingml.chart+xml"/>
  <Override PartName="/xl/theme/themeOverride4.xml" ContentType="application/vnd.openxmlformats-officedocument.themeOverride+xml"/>
  <Override PartName="/xl/drawings/drawing5.xml" ContentType="application/vnd.openxmlformats-officedocument.drawingml.chartshapes+xml"/>
  <Override PartName="/xl/charts/chart5.xml" ContentType="application/vnd.openxmlformats-officedocument.drawingml.chart+xml"/>
  <Override PartName="/xl/theme/themeOverride5.xml" ContentType="application/vnd.openxmlformats-officedocument.themeOverride+xml"/>
  <Override PartName="/xl/drawings/drawing6.xml" ContentType="application/vnd.openxmlformats-officedocument.drawingml.chartshapes+xml"/>
  <Override PartName="/xl/charts/chart6.xml" ContentType="application/vnd.openxmlformats-officedocument.drawingml.chart+xml"/>
  <Override PartName="/xl/theme/themeOverride6.xml" ContentType="application/vnd.openxmlformats-officedocument.themeOverride+xml"/>
  <Override PartName="/xl/drawings/drawing7.xml" ContentType="application/vnd.openxmlformats-officedocument.drawingml.chartshapes+xml"/>
  <Override PartName="/xl/charts/chart7.xml" ContentType="application/vnd.openxmlformats-officedocument.drawingml.chart+xml"/>
  <Override PartName="/xl/theme/themeOverride7.xml" ContentType="application/vnd.openxmlformats-officedocument.themeOverride+xml"/>
  <Override PartName="/xl/drawings/drawing8.xml" ContentType="application/vnd.openxmlformats-officedocument.drawingml.chartshapes+xml"/>
  <Override PartName="/xl/charts/chart8.xml" ContentType="application/vnd.openxmlformats-officedocument.drawingml.chart+xml"/>
  <Override PartName="/xl/theme/themeOverride8.xml" ContentType="application/vnd.openxmlformats-officedocument.themeOverride+xml"/>
  <Override PartName="/xl/drawings/drawing9.xml" ContentType="application/vnd.openxmlformats-officedocument.drawingml.chartshapes+xml"/>
  <Override PartName="/xl/charts/chart9.xml" ContentType="application/vnd.openxmlformats-officedocument.drawingml.chart+xml"/>
  <Override PartName="/xl/theme/themeOverride9.xml" ContentType="application/vnd.openxmlformats-officedocument.themeOverride+xml"/>
  <Override PartName="/xl/drawings/drawing10.xml" ContentType="application/vnd.openxmlformats-officedocument.drawingml.chartshapes+xml"/>
  <Override PartName="/xl/charts/chart10.xml" ContentType="application/vnd.openxmlformats-officedocument.drawingml.chart+xml"/>
  <Override PartName="/xl/theme/themeOverride10.xml" ContentType="application/vnd.openxmlformats-officedocument.themeOverride+xml"/>
  <Override PartName="/xl/drawings/drawing11.xml" ContentType="application/vnd.openxmlformats-officedocument.drawingml.chartshapes+xml"/>
  <Override PartName="/xl/charts/chart11.xml" ContentType="application/vnd.openxmlformats-officedocument.drawingml.chart+xml"/>
  <Override PartName="/xl/theme/themeOverride11.xml" ContentType="application/vnd.openxmlformats-officedocument.themeOverride+xml"/>
  <Override PartName="/xl/drawings/drawing12.xml" ContentType="application/vnd.openxmlformats-officedocument.drawingml.chartshapes+xml"/>
  <Override PartName="/xl/charts/chart12.xml" ContentType="application/vnd.openxmlformats-officedocument.drawingml.chart+xml"/>
  <Override PartName="/xl/theme/themeOverride12.xml" ContentType="application/vnd.openxmlformats-officedocument.themeOverride+xml"/>
  <Override PartName="/xl/drawings/drawing13.xml" ContentType="application/vnd.openxmlformats-officedocument.drawingml.chartshapes+xml"/>
  <Override PartName="/xl/charts/chart13.xml" ContentType="application/vnd.openxmlformats-officedocument.drawingml.chart+xml"/>
  <Override PartName="/xl/theme/themeOverride13.xml" ContentType="application/vnd.openxmlformats-officedocument.themeOverride+xml"/>
  <Override PartName="/xl/drawings/drawing14.xml" ContentType="application/vnd.openxmlformats-officedocument.drawingml.chartshapes+xml"/>
  <Override PartName="/xl/charts/chart14.xml" ContentType="application/vnd.openxmlformats-officedocument.drawingml.chart+xml"/>
  <Override PartName="/xl/theme/themeOverride14.xml" ContentType="application/vnd.openxmlformats-officedocument.themeOverride+xml"/>
  <Override PartName="/xl/drawings/drawing15.xml" ContentType="application/vnd.openxmlformats-officedocument.drawingml.chartshapes+xml"/>
  <Override PartName="/xl/charts/chart15.xml" ContentType="application/vnd.openxmlformats-officedocument.drawingml.chart+xml"/>
  <Override PartName="/xl/theme/themeOverride15.xml" ContentType="application/vnd.openxmlformats-officedocument.themeOverride+xml"/>
  <Override PartName="/xl/drawings/drawing16.xml" ContentType="application/vnd.openxmlformats-officedocument.drawingml.chartshapes+xml"/>
  <Override PartName="/xl/charts/chart16.xml" ContentType="application/vnd.openxmlformats-officedocument.drawingml.chart+xml"/>
  <Override PartName="/xl/theme/themeOverride16.xml" ContentType="application/vnd.openxmlformats-officedocument.themeOverride+xml"/>
  <Override PartName="/xl/drawings/drawing17.xml" ContentType="application/vnd.openxmlformats-officedocument.drawingml.chartshapes+xml"/>
  <Override PartName="/xl/charts/chart17.xml" ContentType="application/vnd.openxmlformats-officedocument.drawingml.chart+xml"/>
  <Override PartName="/xl/theme/themeOverride17.xml" ContentType="application/vnd.openxmlformats-officedocument.themeOverride+xml"/>
  <Override PartName="/xl/drawings/drawing18.xml" ContentType="application/vnd.openxmlformats-officedocument.drawingml.chartshapes+xml"/>
  <Override PartName="/xl/charts/chart18.xml" ContentType="application/vnd.openxmlformats-officedocument.drawingml.chart+xml"/>
  <Override PartName="/xl/theme/themeOverride18.xml" ContentType="application/vnd.openxmlformats-officedocument.themeOverride+xml"/>
  <Override PartName="/xl/drawings/drawing19.xml" ContentType="application/vnd.openxmlformats-officedocument.drawingml.chartshapes+xml"/>
  <Override PartName="/xl/charts/chart19.xml" ContentType="application/vnd.openxmlformats-officedocument.drawingml.chart+xml"/>
  <Override PartName="/xl/theme/themeOverride19.xml" ContentType="application/vnd.openxmlformats-officedocument.themeOverride+xml"/>
  <Override PartName="/xl/drawings/drawing20.xml" ContentType="application/vnd.openxmlformats-officedocument.drawingml.chartshapes+xml"/>
  <Override PartName="/xl/charts/chart20.xml" ContentType="application/vnd.openxmlformats-officedocument.drawingml.chart+xml"/>
  <Override PartName="/xl/theme/themeOverride20.xml" ContentType="application/vnd.openxmlformats-officedocument.themeOverride+xml"/>
  <Override PartName="/xl/drawings/drawing21.xml" ContentType="application/vnd.openxmlformats-officedocument.drawingml.chartshapes+xml"/>
  <Override PartName="/xl/charts/chart21.xml" ContentType="application/vnd.openxmlformats-officedocument.drawingml.chart+xml"/>
  <Override PartName="/xl/theme/themeOverride21.xml" ContentType="application/vnd.openxmlformats-officedocument.themeOverride+xml"/>
  <Override PartName="/xl/drawings/drawing22.xml" ContentType="application/vnd.openxmlformats-officedocument.drawingml.chartshapes+xml"/>
  <Override PartName="/xl/drawings/drawing23.xml" ContentType="application/vnd.openxmlformats-officedocument.drawing+xml"/>
  <Override PartName="/xl/charts/chart2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4.xml" ContentType="application/vnd.openxmlformats-officedocument.drawingml.chartshapes+xml"/>
  <Override PartName="/xl/drawings/drawing25.xml" ContentType="application/vnd.openxmlformats-officedocument.drawing+xml"/>
  <Override PartName="/xl/charts/chart2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6.xml" ContentType="application/vnd.openxmlformats-officedocument.drawingml.chartshapes+xml"/>
  <Override PartName="/xl/charts/chart24.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7.xml" ContentType="application/vnd.openxmlformats-officedocument.drawingml.chartshapes+xml"/>
  <Override PartName="/xl/drawings/drawing28.xml" ContentType="application/vnd.openxmlformats-officedocument.drawing+xml"/>
  <Override PartName="/xl/charts/chart25.xml" ContentType="application/vnd.openxmlformats-officedocument.drawingml.chart+xml"/>
  <Override PartName="/xl/theme/themeOverride22.xml" ContentType="application/vnd.openxmlformats-officedocument.themeOverride+xml"/>
  <Override PartName="/xl/drawings/drawing29.xml" ContentType="application/vnd.openxmlformats-officedocument.drawingml.chartshapes+xml"/>
  <Override PartName="/xl/charts/chart26.xml" ContentType="application/vnd.openxmlformats-officedocument.drawingml.chart+xml"/>
  <Override PartName="/xl/theme/themeOverride23.xml" ContentType="application/vnd.openxmlformats-officedocument.themeOverride+xml"/>
  <Override PartName="/xl/drawings/drawing30.xml" ContentType="application/vnd.openxmlformats-officedocument.drawingml.chartshapes+xml"/>
  <Override PartName="/xl/charts/chart27.xml" ContentType="application/vnd.openxmlformats-officedocument.drawingml.chart+xml"/>
  <Override PartName="/xl/theme/themeOverride24.xml" ContentType="application/vnd.openxmlformats-officedocument.themeOverride+xml"/>
  <Override PartName="/xl/drawings/drawing31.xml" ContentType="application/vnd.openxmlformats-officedocument.drawingml.chartshapes+xml"/>
  <Override PartName="/xl/charts/chart28.xml" ContentType="application/vnd.openxmlformats-officedocument.drawingml.chart+xml"/>
  <Override PartName="/xl/theme/themeOverride25.xml" ContentType="application/vnd.openxmlformats-officedocument.themeOverride+xml"/>
  <Override PartName="/xl/drawings/drawing32.xml" ContentType="application/vnd.openxmlformats-officedocument.drawingml.chartshapes+xml"/>
  <Override PartName="/xl/charts/chart29.xml" ContentType="application/vnd.openxmlformats-officedocument.drawingml.chart+xml"/>
  <Override PartName="/xl/theme/themeOverride26.xml" ContentType="application/vnd.openxmlformats-officedocument.themeOverride+xml"/>
  <Override PartName="/xl/drawings/drawing33.xml" ContentType="application/vnd.openxmlformats-officedocument.drawingml.chartshapes+xml"/>
  <Override PartName="/xl/charts/chart30.xml" ContentType="application/vnd.openxmlformats-officedocument.drawingml.chart+xml"/>
  <Override PartName="/xl/theme/themeOverride27.xml" ContentType="application/vnd.openxmlformats-officedocument.themeOverride+xml"/>
  <Override PartName="/xl/drawings/drawing34.xml" ContentType="application/vnd.openxmlformats-officedocument.drawingml.chartshapes+xml"/>
  <Override PartName="/xl/charts/chart31.xml" ContentType="application/vnd.openxmlformats-officedocument.drawingml.chart+xml"/>
  <Override PartName="/xl/theme/themeOverride28.xml" ContentType="application/vnd.openxmlformats-officedocument.themeOverride+xml"/>
  <Override PartName="/xl/drawings/drawing35.xml" ContentType="application/vnd.openxmlformats-officedocument.drawingml.chartshapes+xml"/>
  <Override PartName="/xl/charts/chart32.xml" ContentType="application/vnd.openxmlformats-officedocument.drawingml.chart+xml"/>
  <Override PartName="/xl/theme/themeOverride29.xml" ContentType="application/vnd.openxmlformats-officedocument.themeOverride+xml"/>
  <Override PartName="/xl/drawings/drawing36.xml" ContentType="application/vnd.openxmlformats-officedocument.drawingml.chartshapes+xml"/>
  <Override PartName="/xl/charts/chart33.xml" ContentType="application/vnd.openxmlformats-officedocument.drawingml.chart+xml"/>
  <Override PartName="/xl/theme/themeOverride30.xml" ContentType="application/vnd.openxmlformats-officedocument.themeOverride+xml"/>
  <Override PartName="/xl/drawings/drawing37.xml" ContentType="application/vnd.openxmlformats-officedocument.drawingml.chartshapes+xml"/>
  <Override PartName="/xl/charts/chart34.xml" ContentType="application/vnd.openxmlformats-officedocument.drawingml.chart+xml"/>
  <Override PartName="/xl/theme/themeOverride31.xml" ContentType="application/vnd.openxmlformats-officedocument.themeOverride+xml"/>
  <Override PartName="/xl/drawings/drawing38.xml" ContentType="application/vnd.openxmlformats-officedocument.drawingml.chartshapes+xml"/>
  <Override PartName="/xl/charts/chart35.xml" ContentType="application/vnd.openxmlformats-officedocument.drawingml.chart+xml"/>
  <Override PartName="/xl/theme/themeOverride32.xml" ContentType="application/vnd.openxmlformats-officedocument.themeOverride+xml"/>
  <Override PartName="/xl/drawings/drawing39.xml" ContentType="application/vnd.openxmlformats-officedocument.drawingml.chartshapes+xml"/>
  <Override PartName="/xl/charts/chart36.xml" ContentType="application/vnd.openxmlformats-officedocument.drawingml.chart+xml"/>
  <Override PartName="/xl/theme/themeOverride33.xml" ContentType="application/vnd.openxmlformats-officedocument.themeOverride+xml"/>
  <Override PartName="/xl/drawings/drawing40.xml" ContentType="application/vnd.openxmlformats-officedocument.drawingml.chartshapes+xml"/>
  <Override PartName="/xl/charts/chart37.xml" ContentType="application/vnd.openxmlformats-officedocument.drawingml.chart+xml"/>
  <Override PartName="/xl/theme/themeOverride34.xml" ContentType="application/vnd.openxmlformats-officedocument.themeOverride+xml"/>
  <Override PartName="/xl/drawings/drawing41.xml" ContentType="application/vnd.openxmlformats-officedocument.drawingml.chartshapes+xml"/>
  <Override PartName="/xl/charts/chart38.xml" ContentType="application/vnd.openxmlformats-officedocument.drawingml.chart+xml"/>
  <Override PartName="/xl/theme/themeOverride35.xml" ContentType="application/vnd.openxmlformats-officedocument.themeOverride+xml"/>
  <Override PartName="/xl/drawings/drawing42.xml" ContentType="application/vnd.openxmlformats-officedocument.drawingml.chartshapes+xml"/>
  <Override PartName="/xl/charts/chart39.xml" ContentType="application/vnd.openxmlformats-officedocument.drawingml.chart+xml"/>
  <Override PartName="/xl/theme/themeOverride36.xml" ContentType="application/vnd.openxmlformats-officedocument.themeOverride+xml"/>
  <Override PartName="/xl/drawings/drawing43.xml" ContentType="application/vnd.openxmlformats-officedocument.drawingml.chartshapes+xml"/>
  <Override PartName="/xl/charts/chart40.xml" ContentType="application/vnd.openxmlformats-officedocument.drawingml.chart+xml"/>
  <Override PartName="/xl/theme/themeOverride37.xml" ContentType="application/vnd.openxmlformats-officedocument.themeOverride+xml"/>
  <Override PartName="/xl/drawings/drawing44.xml" ContentType="application/vnd.openxmlformats-officedocument.drawingml.chartshapes+xml"/>
  <Override PartName="/xl/charts/chart41.xml" ContentType="application/vnd.openxmlformats-officedocument.drawingml.chart+xml"/>
  <Override PartName="/xl/theme/themeOverride38.xml" ContentType="application/vnd.openxmlformats-officedocument.themeOverride+xml"/>
  <Override PartName="/xl/drawings/drawing45.xml" ContentType="application/vnd.openxmlformats-officedocument.drawingml.chartshapes+xml"/>
  <Override PartName="/xl/charts/chart42.xml" ContentType="application/vnd.openxmlformats-officedocument.drawingml.chart+xml"/>
  <Override PartName="/xl/theme/themeOverride39.xml" ContentType="application/vnd.openxmlformats-officedocument.themeOverride+xml"/>
  <Override PartName="/xl/drawings/drawing46.xml" ContentType="application/vnd.openxmlformats-officedocument.drawingml.chartshapes+xml"/>
  <Override PartName="/xl/charts/chart43.xml" ContentType="application/vnd.openxmlformats-officedocument.drawingml.chart+xml"/>
  <Override PartName="/xl/theme/themeOverride40.xml" ContentType="application/vnd.openxmlformats-officedocument.themeOverride+xml"/>
  <Override PartName="/xl/drawings/drawing47.xml" ContentType="application/vnd.openxmlformats-officedocument.drawingml.chartshapes+xml"/>
  <Override PartName="/xl/charts/chart44.xml" ContentType="application/vnd.openxmlformats-officedocument.drawingml.chart+xml"/>
  <Override PartName="/xl/theme/themeOverride41.xml" ContentType="application/vnd.openxmlformats-officedocument.themeOverride+xml"/>
  <Override PartName="/xl/drawings/drawing48.xml" ContentType="application/vnd.openxmlformats-officedocument.drawingml.chartshapes+xml"/>
  <Override PartName="/xl/charts/chart45.xml" ContentType="application/vnd.openxmlformats-officedocument.drawingml.chart+xml"/>
  <Override PartName="/xl/theme/themeOverride42.xml" ContentType="application/vnd.openxmlformats-officedocument.themeOverride+xml"/>
  <Override PartName="/xl/drawings/drawing49.xml" ContentType="application/vnd.openxmlformats-officedocument.drawingml.chartshapes+xml"/>
  <Override PartName="/xl/drawings/drawing50.xml" ContentType="application/vnd.openxmlformats-officedocument.drawing+xml"/>
  <Override PartName="/xl/charts/chart46.xml" ContentType="application/vnd.openxmlformats-officedocument.drawingml.chart+xml"/>
  <Override PartName="/xl/theme/themeOverride43.xml" ContentType="application/vnd.openxmlformats-officedocument.themeOverride+xml"/>
  <Override PartName="/xl/drawings/drawing51.xml" ContentType="application/vnd.openxmlformats-officedocument.drawingml.chartshapes+xml"/>
  <Override PartName="/xl/charts/chart47.xml" ContentType="application/vnd.openxmlformats-officedocument.drawingml.chart+xml"/>
  <Override PartName="/xl/theme/themeOverride44.xml" ContentType="application/vnd.openxmlformats-officedocument.themeOverride+xml"/>
  <Override PartName="/xl/drawings/drawing52.xml" ContentType="application/vnd.openxmlformats-officedocument.drawingml.chartshapes+xml"/>
  <Override PartName="/xl/charts/chart48.xml" ContentType="application/vnd.openxmlformats-officedocument.drawingml.chart+xml"/>
  <Override PartName="/xl/theme/themeOverride45.xml" ContentType="application/vnd.openxmlformats-officedocument.themeOverride+xml"/>
  <Override PartName="/xl/drawings/drawing53.xml" ContentType="application/vnd.openxmlformats-officedocument.drawingml.chartshapes+xml"/>
  <Override PartName="/xl/charts/chart49.xml" ContentType="application/vnd.openxmlformats-officedocument.drawingml.chart+xml"/>
  <Override PartName="/xl/theme/themeOverride46.xml" ContentType="application/vnd.openxmlformats-officedocument.themeOverride+xml"/>
  <Override PartName="/xl/drawings/drawing54.xml" ContentType="application/vnd.openxmlformats-officedocument.drawingml.chartshapes+xml"/>
  <Override PartName="/xl/charts/chart50.xml" ContentType="application/vnd.openxmlformats-officedocument.drawingml.chart+xml"/>
  <Override PartName="/xl/theme/themeOverride47.xml" ContentType="application/vnd.openxmlformats-officedocument.themeOverride+xml"/>
  <Override PartName="/xl/drawings/drawing55.xml" ContentType="application/vnd.openxmlformats-officedocument.drawingml.chartshapes+xml"/>
  <Override PartName="/xl/charts/chart51.xml" ContentType="application/vnd.openxmlformats-officedocument.drawingml.chart+xml"/>
  <Override PartName="/xl/theme/themeOverride48.xml" ContentType="application/vnd.openxmlformats-officedocument.themeOverride+xml"/>
  <Override PartName="/xl/drawings/drawing56.xml" ContentType="application/vnd.openxmlformats-officedocument.drawingml.chartshapes+xml"/>
  <Override PartName="/xl/charts/chart52.xml" ContentType="application/vnd.openxmlformats-officedocument.drawingml.chart+xml"/>
  <Override PartName="/xl/theme/themeOverride49.xml" ContentType="application/vnd.openxmlformats-officedocument.themeOverride+xml"/>
  <Override PartName="/xl/drawings/drawing57.xml" ContentType="application/vnd.openxmlformats-officedocument.drawingml.chartshapes+xml"/>
  <Override PartName="/xl/charts/chart53.xml" ContentType="application/vnd.openxmlformats-officedocument.drawingml.chart+xml"/>
  <Override PartName="/xl/theme/themeOverride50.xml" ContentType="application/vnd.openxmlformats-officedocument.themeOverride+xml"/>
  <Override PartName="/xl/drawings/drawing58.xml" ContentType="application/vnd.openxmlformats-officedocument.drawingml.chartshapes+xml"/>
  <Override PartName="/xl/charts/chart54.xml" ContentType="application/vnd.openxmlformats-officedocument.drawingml.chart+xml"/>
  <Override PartName="/xl/theme/themeOverride51.xml" ContentType="application/vnd.openxmlformats-officedocument.themeOverride+xml"/>
  <Override PartName="/xl/drawings/drawing59.xml" ContentType="application/vnd.openxmlformats-officedocument.drawingml.chartshapes+xml"/>
  <Override PartName="/xl/charts/chart55.xml" ContentType="application/vnd.openxmlformats-officedocument.drawingml.chart+xml"/>
  <Override PartName="/xl/theme/themeOverride52.xml" ContentType="application/vnd.openxmlformats-officedocument.themeOverride+xml"/>
  <Override PartName="/xl/drawings/drawing60.xml" ContentType="application/vnd.openxmlformats-officedocument.drawingml.chartshapes+xml"/>
  <Override PartName="/xl/charts/chart56.xml" ContentType="application/vnd.openxmlformats-officedocument.drawingml.chart+xml"/>
  <Override PartName="/xl/theme/themeOverride53.xml" ContentType="application/vnd.openxmlformats-officedocument.themeOverride+xml"/>
  <Override PartName="/xl/drawings/drawing61.xml" ContentType="application/vnd.openxmlformats-officedocument.drawingml.chartshapes+xml"/>
  <Override PartName="/xl/charts/chart57.xml" ContentType="application/vnd.openxmlformats-officedocument.drawingml.chart+xml"/>
  <Override PartName="/xl/theme/themeOverride54.xml" ContentType="application/vnd.openxmlformats-officedocument.themeOverride+xml"/>
  <Override PartName="/xl/drawings/drawing62.xml" ContentType="application/vnd.openxmlformats-officedocument.drawingml.chartshapes+xml"/>
  <Override PartName="/xl/charts/chart58.xml" ContentType="application/vnd.openxmlformats-officedocument.drawingml.chart+xml"/>
  <Override PartName="/xl/theme/themeOverride55.xml" ContentType="application/vnd.openxmlformats-officedocument.themeOverride+xml"/>
  <Override PartName="/xl/drawings/drawing63.xml" ContentType="application/vnd.openxmlformats-officedocument.drawingml.chartshapes+xml"/>
  <Override PartName="/xl/charts/chart59.xml" ContentType="application/vnd.openxmlformats-officedocument.drawingml.chart+xml"/>
  <Override PartName="/xl/theme/themeOverride56.xml" ContentType="application/vnd.openxmlformats-officedocument.themeOverride+xml"/>
  <Override PartName="/xl/drawings/drawing64.xml" ContentType="application/vnd.openxmlformats-officedocument.drawingml.chartshapes+xml"/>
  <Override PartName="/xl/charts/chart60.xml" ContentType="application/vnd.openxmlformats-officedocument.drawingml.chart+xml"/>
  <Override PartName="/xl/theme/themeOverride57.xml" ContentType="application/vnd.openxmlformats-officedocument.themeOverride+xml"/>
  <Override PartName="/xl/drawings/drawing65.xml" ContentType="application/vnd.openxmlformats-officedocument.drawingml.chartshapes+xml"/>
  <Override PartName="/xl/charts/chart61.xml" ContentType="application/vnd.openxmlformats-officedocument.drawingml.chart+xml"/>
  <Override PartName="/xl/theme/themeOverride58.xml" ContentType="application/vnd.openxmlformats-officedocument.themeOverride+xml"/>
  <Override PartName="/xl/drawings/drawing66.xml" ContentType="application/vnd.openxmlformats-officedocument.drawingml.chartshapes+xml"/>
  <Override PartName="/xl/charts/chart62.xml" ContentType="application/vnd.openxmlformats-officedocument.drawingml.chart+xml"/>
  <Override PartName="/xl/theme/themeOverride59.xml" ContentType="application/vnd.openxmlformats-officedocument.themeOverride+xml"/>
  <Override PartName="/xl/drawings/drawing67.xml" ContentType="application/vnd.openxmlformats-officedocument.drawingml.chartshapes+xml"/>
  <Override PartName="/xl/charts/chart63.xml" ContentType="application/vnd.openxmlformats-officedocument.drawingml.chart+xml"/>
  <Override PartName="/xl/theme/themeOverride60.xml" ContentType="application/vnd.openxmlformats-officedocument.themeOverride+xml"/>
  <Override PartName="/xl/drawings/drawing68.xml" ContentType="application/vnd.openxmlformats-officedocument.drawingml.chartshapes+xml"/>
  <Override PartName="/xl/charts/chart64.xml" ContentType="application/vnd.openxmlformats-officedocument.drawingml.chart+xml"/>
  <Override PartName="/xl/theme/themeOverride61.xml" ContentType="application/vnd.openxmlformats-officedocument.themeOverride+xml"/>
  <Override PartName="/xl/drawings/drawing69.xml" ContentType="application/vnd.openxmlformats-officedocument.drawingml.chartshapes+xml"/>
  <Override PartName="/xl/charts/chart65.xml" ContentType="application/vnd.openxmlformats-officedocument.drawingml.chart+xml"/>
  <Override PartName="/xl/theme/themeOverride62.xml" ContentType="application/vnd.openxmlformats-officedocument.themeOverride+xml"/>
  <Override PartName="/xl/drawings/drawing70.xml" ContentType="application/vnd.openxmlformats-officedocument.drawingml.chartshapes+xml"/>
  <Override PartName="/xl/charts/chart66.xml" ContentType="application/vnd.openxmlformats-officedocument.drawingml.chart+xml"/>
  <Override PartName="/xl/theme/themeOverride63.xml" ContentType="application/vnd.openxmlformats-officedocument.themeOverride+xml"/>
  <Override PartName="/xl/drawings/drawing71.xml" ContentType="application/vnd.openxmlformats-officedocument.drawingml.chartshapes+xml"/>
  <Override PartName="/xl/charts/chart67.xml" ContentType="application/vnd.openxmlformats-officedocument.drawingml.chart+xml"/>
  <Override PartName="/xl/theme/themeOverride64.xml" ContentType="application/vnd.openxmlformats-officedocument.themeOverride+xml"/>
  <Override PartName="/xl/drawings/drawing72.xml" ContentType="application/vnd.openxmlformats-officedocument.drawingml.chartshapes+xml"/>
  <Override PartName="/xl/charts/chart68.xml" ContentType="application/vnd.openxmlformats-officedocument.drawingml.chart+xml"/>
  <Override PartName="/xl/theme/themeOverride65.xml" ContentType="application/vnd.openxmlformats-officedocument.themeOverride+xml"/>
  <Override PartName="/xl/drawings/drawing73.xml" ContentType="application/vnd.openxmlformats-officedocument.drawingml.chartshapes+xml"/>
  <Override PartName="/xl/charts/chart69.xml" ContentType="application/vnd.openxmlformats-officedocument.drawingml.chart+xml"/>
  <Override PartName="/xl/theme/themeOverride66.xml" ContentType="application/vnd.openxmlformats-officedocument.themeOverride+xml"/>
  <Override PartName="/xl/drawings/drawing74.xml" ContentType="application/vnd.openxmlformats-officedocument.drawingml.chartshapes+xml"/>
  <Override PartName="/xl/charts/chart70.xml" ContentType="application/vnd.openxmlformats-officedocument.drawingml.chart+xml"/>
  <Override PartName="/xl/theme/themeOverride67.xml" ContentType="application/vnd.openxmlformats-officedocument.themeOverride+xml"/>
  <Override PartName="/xl/drawings/drawing75.xml" ContentType="application/vnd.openxmlformats-officedocument.drawing+xml"/>
  <Override PartName="/xl/charts/chart71.xml" ContentType="application/vnd.openxmlformats-officedocument.drawingml.chart+xml"/>
  <Override PartName="/xl/drawings/drawing76.xml" ContentType="application/vnd.openxmlformats-officedocument.drawingml.chartshapes+xml"/>
  <Override PartName="/xl/charts/chart72.xml" ContentType="application/vnd.openxmlformats-officedocument.drawingml.chart+xml"/>
  <Override PartName="/xl/drawings/drawing77.xml" ContentType="application/vnd.openxmlformats-officedocument.drawingml.chartshapes+xml"/>
  <Override PartName="/xl/charts/chart73.xml" ContentType="application/vnd.openxmlformats-officedocument.drawingml.chart+xml"/>
  <Override PartName="/xl/drawings/drawing78.xml" ContentType="application/vnd.openxmlformats-officedocument.drawingml.chartshapes+xml"/>
  <Override PartName="/xl/charts/chart74.xml" ContentType="application/vnd.openxmlformats-officedocument.drawingml.chart+xml"/>
  <Override PartName="/xl/drawings/drawing79.xml" ContentType="application/vnd.openxmlformats-officedocument.drawingml.chartshapes+xml"/>
  <Override PartName="/xl/charts/chart75.xml" ContentType="application/vnd.openxmlformats-officedocument.drawingml.chart+xml"/>
  <Override PartName="/xl/drawings/drawing80.xml" ContentType="application/vnd.openxmlformats-officedocument.drawingml.chartshapes+xml"/>
  <Override PartName="/xl/charts/chart76.xml" ContentType="application/vnd.openxmlformats-officedocument.drawingml.chart+xml"/>
  <Override PartName="/xl/drawings/drawing81.xml" ContentType="application/vnd.openxmlformats-officedocument.drawingml.chartshapes+xml"/>
  <Override PartName="/xl/charts/chart77.xml" ContentType="application/vnd.openxmlformats-officedocument.drawingml.chart+xml"/>
  <Override PartName="/xl/drawings/drawing82.xml" ContentType="application/vnd.openxmlformats-officedocument.drawingml.chartshapes+xml"/>
  <Override PartName="/xl/charts/chart78.xml" ContentType="application/vnd.openxmlformats-officedocument.drawingml.chart+xml"/>
  <Override PartName="/xl/drawings/drawing83.xml" ContentType="application/vnd.openxmlformats-officedocument.drawingml.chartshapes+xml"/>
  <Override PartName="/xl/charts/chart79.xml" ContentType="application/vnd.openxmlformats-officedocument.drawingml.chart+xml"/>
  <Override PartName="/xl/drawings/drawing84.xml" ContentType="application/vnd.openxmlformats-officedocument.drawingml.chartshapes+xml"/>
  <Override PartName="/xl/charts/chart80.xml" ContentType="application/vnd.openxmlformats-officedocument.drawingml.chart+xml"/>
  <Override PartName="/xl/drawings/drawing85.xml" ContentType="application/vnd.openxmlformats-officedocument.drawingml.chartshapes+xml"/>
  <Override PartName="/xl/charts/chart81.xml" ContentType="application/vnd.openxmlformats-officedocument.drawingml.chart+xml"/>
  <Override PartName="/xl/drawings/drawing86.xml" ContentType="application/vnd.openxmlformats-officedocument.drawingml.chartshapes+xml"/>
  <Override PartName="/xl/charts/chart82.xml" ContentType="application/vnd.openxmlformats-officedocument.drawingml.chart+xml"/>
  <Override PartName="/xl/drawings/drawing87.xml" ContentType="application/vnd.openxmlformats-officedocument.drawingml.chartshapes+xml"/>
  <Override PartName="/xl/charts/chart83.xml" ContentType="application/vnd.openxmlformats-officedocument.drawingml.chart+xml"/>
  <Override PartName="/xl/drawings/drawing88.xml" ContentType="application/vnd.openxmlformats-officedocument.drawingml.chartshapes+xml"/>
  <Override PartName="/xl/charts/chart84.xml" ContentType="application/vnd.openxmlformats-officedocument.drawingml.chart+xml"/>
  <Override PartName="/xl/drawings/drawing89.xml" ContentType="application/vnd.openxmlformats-officedocument.drawingml.chartshapes+xml"/>
  <Override PartName="/xl/charts/chart85.xml" ContentType="application/vnd.openxmlformats-officedocument.drawingml.chart+xml"/>
  <Override PartName="/xl/drawings/drawing90.xml" ContentType="application/vnd.openxmlformats-officedocument.drawingml.chartshapes+xml"/>
  <Override PartName="/xl/charts/chart86.xml" ContentType="application/vnd.openxmlformats-officedocument.drawingml.chart+xml"/>
  <Override PartName="/xl/drawings/drawing91.xml" ContentType="application/vnd.openxmlformats-officedocument.drawingml.chartshapes+xml"/>
  <Override PartName="/xl/charts/chart87.xml" ContentType="application/vnd.openxmlformats-officedocument.drawingml.chart+xml"/>
  <Override PartName="/xl/drawings/drawing92.xml" ContentType="application/vnd.openxmlformats-officedocument.drawingml.chartshapes+xml"/>
  <Override PartName="/xl/charts/chart88.xml" ContentType="application/vnd.openxmlformats-officedocument.drawingml.chart+xml"/>
  <Override PartName="/xl/drawings/drawing93.xml" ContentType="application/vnd.openxmlformats-officedocument.drawingml.chartshapes+xml"/>
  <Override PartName="/xl/charts/chart89.xml" ContentType="application/vnd.openxmlformats-officedocument.drawingml.chart+xml"/>
  <Override PartName="/xl/drawings/drawing94.xml" ContentType="application/vnd.openxmlformats-officedocument.drawingml.chartshapes+xml"/>
  <Override PartName="/xl/charts/chart90.xml" ContentType="application/vnd.openxmlformats-officedocument.drawingml.chart+xml"/>
  <Override PartName="/xl/drawings/drawing95.xml" ContentType="application/vnd.openxmlformats-officedocument.drawingml.chartshapes+xml"/>
  <Override PartName="/xl/charts/chart91.xml" ContentType="application/vnd.openxmlformats-officedocument.drawingml.chart+xml"/>
  <Override PartName="/xl/drawings/drawing96.xml" ContentType="application/vnd.openxmlformats-officedocument.drawingml.chartshapes+xml"/>
  <Override PartName="/xl/charts/chart92.xml" ContentType="application/vnd.openxmlformats-officedocument.drawingml.chart+xml"/>
  <Override PartName="/xl/drawings/drawing97.xml" ContentType="application/vnd.openxmlformats-officedocument.drawingml.chartshapes+xml"/>
  <Override PartName="/xl/charts/chart93.xml" ContentType="application/vnd.openxmlformats-officedocument.drawingml.chart+xml"/>
  <Override PartName="/xl/drawings/drawing98.xml" ContentType="application/vnd.openxmlformats-officedocument.drawingml.chartshapes+xml"/>
  <Override PartName="/xl/charts/chart94.xml" ContentType="application/vnd.openxmlformats-officedocument.drawingml.chart+xml"/>
  <Override PartName="/xl/drawings/drawing99.xml" ContentType="application/vnd.openxmlformats-officedocument.drawingml.chartshapes+xml"/>
  <Override PartName="/xl/charts/chart95.xml" ContentType="application/vnd.openxmlformats-officedocument.drawingml.chart+xml"/>
  <Override PartName="/xl/drawings/drawing100.xml" ContentType="application/vnd.openxmlformats-officedocument.drawingml.chartshapes+xml"/>
  <Override PartName="/xl/charts/chart96.xml" ContentType="application/vnd.openxmlformats-officedocument.drawingml.chart+xml"/>
  <Override PartName="/xl/drawings/drawing101.xml" ContentType="application/vnd.openxmlformats-officedocument.drawingml.chartshapes+xml"/>
  <Override PartName="/xl/charts/chart97.xml" ContentType="application/vnd.openxmlformats-officedocument.drawingml.chart+xml"/>
  <Override PartName="/xl/drawings/drawing102.xml" ContentType="application/vnd.openxmlformats-officedocument.drawingml.chartshapes+xml"/>
  <Override PartName="/xl/charts/chart98.xml" ContentType="application/vnd.openxmlformats-officedocument.drawingml.chart+xml"/>
  <Override PartName="/xl/drawings/drawing103.xml" ContentType="application/vnd.openxmlformats-officedocument.drawingml.chartshapes+xml"/>
  <Override PartName="/xl/drawings/drawing104.xml" ContentType="application/vnd.openxmlformats-officedocument.drawing+xml"/>
  <Override PartName="/xl/charts/chart99.xml" ContentType="application/vnd.openxmlformats-officedocument.drawingml.chart+xml"/>
  <Override PartName="/xl/theme/themeOverride68.xml" ContentType="application/vnd.openxmlformats-officedocument.themeOverride+xml"/>
  <Override PartName="/xl/drawings/drawing105.xml" ContentType="application/vnd.openxmlformats-officedocument.drawingml.chartshapes+xml"/>
  <Override PartName="/xl/drawings/drawing106.xml" ContentType="application/vnd.openxmlformats-officedocument.drawing+xml"/>
  <Override PartName="/xl/charts/chart100.xml" ContentType="application/vnd.openxmlformats-officedocument.drawingml.chart+xml"/>
  <Override PartName="/xl/theme/themeOverride69.xml" ContentType="application/vnd.openxmlformats-officedocument.themeOverride+xml"/>
  <Override PartName="/xl/drawings/drawing107.xml" ContentType="application/vnd.openxmlformats-officedocument.drawingml.chartshapes+xml"/>
  <Override PartName="/xl/drawings/drawing108.xml" ContentType="application/vnd.openxmlformats-officedocument.drawing+xml"/>
  <Override PartName="/xl/charts/chartEx1.xml" ContentType="application/vnd.ms-office.chartex+xml"/>
  <Override PartName="/xl/charts/style4.xml" ContentType="application/vnd.ms-office.chartstyle+xml"/>
  <Override PartName="/xl/charts/colors4.xml" ContentType="application/vnd.ms-office.chartcolorstyle+xml"/>
  <Override PartName="/xl/charts/chart101.xml" ContentType="application/vnd.openxmlformats-officedocument.drawingml.chart+xml"/>
  <Override PartName="/xl/drawings/drawing109.xml" ContentType="application/vnd.openxmlformats-officedocument.drawingml.chartshapes+xml"/>
  <Override PartName="/xl/drawings/drawing110.xml" ContentType="application/vnd.openxmlformats-officedocument.drawing+xml"/>
  <Override PartName="/xl/charts/chart102.xml" ContentType="application/vnd.openxmlformats-officedocument.drawingml.chart+xml"/>
  <Override PartName="/xl/drawings/drawing111.xml" ContentType="application/vnd.openxmlformats-officedocument.drawingml.chartshapes+xml"/>
  <Override PartName="/xl/comments1.xml" ContentType="application/vnd.openxmlformats-officedocument.spreadsheetml.comments+xml"/>
  <Override PartName="/xl/drawings/drawing112.xml" ContentType="application/vnd.openxmlformats-officedocument.drawing+xml"/>
  <Override PartName="/xl/charts/chart103.xml" ContentType="application/vnd.openxmlformats-officedocument.drawingml.chart+xml"/>
  <Override PartName="/xl/drawings/drawing113.xml" ContentType="application/vnd.openxmlformats-officedocument.drawingml.chartshapes+xml"/>
  <Override PartName="/xl/comments2.xml" ContentType="application/vnd.openxmlformats-officedocument.spreadsheetml.comments+xml"/>
  <Override PartName="/xl/drawings/drawing114.xml" ContentType="application/vnd.openxmlformats-officedocument.drawing+xml"/>
  <Override PartName="/xl/charts/chart104.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5.xml" ContentType="application/vnd.openxmlformats-officedocument.drawingml.chartshapes+xml"/>
  <Override PartName="/xl/drawings/drawing116.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4"/>
  <workbookPr codeName="chartformat" defaultThemeVersion="166925"/>
  <mc:AlternateContent xmlns:mc="http://schemas.openxmlformats.org/markup-compatibility/2006">
    <mc:Choice Requires="x15">
      <x15ac:absPath xmlns:x15ac="http://schemas.microsoft.com/office/spreadsheetml/2010/11/ac" url="/Users/jonathankoomey/Dropbox/zachResearch (1)/WorldResourcesInstitute/DeepDecarbStudies/LATEST WORKBOOKS FOR FINAL ARTICLE/"/>
    </mc:Choice>
  </mc:AlternateContent>
  <xr:revisionPtr revIDLastSave="0" documentId="13_ncr:1_{C4961CEE-F0EE-574B-842D-B2C9F9AB30B6}" xr6:coauthVersionLast="47" xr6:coauthVersionMax="47" xr10:uidLastSave="{00000000-0000-0000-0000-000000000000}"/>
  <bookViews>
    <workbookView xWindow="17380" yWindow="1680" windowWidth="28800" windowHeight="16820" firstSheet="3" activeTab="4" xr2:uid="{2E921DD8-4EEA-AB4D-A484-4FC4137BB98F}"/>
  </bookViews>
  <sheets>
    <sheet name="Fig4ExpandKAYAratiosDEqEdit" sheetId="86" r:id="rId1"/>
    <sheet name="Readme" sheetId="37" r:id="rId2"/>
    <sheet name="Ref Data input" sheetId="2" r:id="rId3"/>
    <sheet name="Int Data input" sheetId="3" r:id="rId4"/>
    <sheet name="Ref Data" sheetId="4" r:id="rId5"/>
    <sheet name="Int Data" sheetId="5" r:id="rId6"/>
    <sheet name="Figure Primary E Ref" sheetId="89" r:id="rId7"/>
    <sheet name="Figure Primary E Int" sheetId="90" r:id="rId8"/>
    <sheet name="Fig3ExpandKAYAfactorsDEq" sheetId="30" r:id="rId9"/>
    <sheet name="Fig4ExpandKAYAratiosDEq" sheetId="31" r:id="rId10"/>
    <sheet name="Fig6AdditiveDashboard" sheetId="36" r:id="rId11"/>
    <sheet name="Chart7" sheetId="50" r:id="rId12"/>
    <sheet name="Chart8" sheetId="39" r:id="rId13"/>
    <sheet name="Chart9" sheetId="70" r:id="rId14"/>
    <sheet name="Chart10" sheetId="72" r:id="rId15"/>
    <sheet name="Savings" sheetId="74" r:id="rId16"/>
    <sheet name="Savings2050_2100" sheetId="88" r:id="rId17"/>
    <sheet name="WaterfallVertData" sheetId="71" r:id="rId18"/>
    <sheet name="Chart11" sheetId="76" r:id="rId19"/>
    <sheet name="Savings2050" sheetId="77" r:id="rId20"/>
    <sheet name="WaterfallVertData2050" sheetId="78" r:id="rId21"/>
    <sheet name="EmissionsReductionsTable" sheetId="73" r:id="rId22"/>
    <sheet name="Fig Ref drivers" sheetId="85" r:id="rId23"/>
    <sheet name="LMDItableRefAllSectors" sheetId="82" r:id="rId24"/>
    <sheet name="IndustryEmissionsAccountingRef" sheetId="7" r:id="rId25"/>
    <sheet name="IndustryEmissionsAccountingInt" sheetId="20" r:id="rId26"/>
    <sheet name="FossilEneEmissionsAccountingRef" sheetId="1" r:id="rId27"/>
    <sheet name="FossilEneEmissionsAccountingInt" sheetId="21" r:id="rId28"/>
    <sheet name="PEfossilRef" sheetId="10" r:id="rId29"/>
    <sheet name="PEfossilInt" sheetId="22" r:id="rId30"/>
    <sheet name="ExpKayaFactorsRef" sheetId="14" r:id="rId31"/>
    <sheet name="ExpKayaFactorsInt" sheetId="25" r:id="rId32"/>
    <sheet name="ExpKayaRatiosRef" sheetId="16" r:id="rId33"/>
    <sheet name="ExpKayaRatiosInt" sheetId="26" r:id="rId34"/>
    <sheet name="AvAnn%∆" sheetId="28" r:id="rId35"/>
    <sheet name="HistoricalGrowthRates" sheetId="15" r:id="rId36"/>
    <sheet name="AreasForDashboardsFactors" sheetId="54" r:id="rId37"/>
    <sheet name="AreasForDashboardsRatios" sheetId="55" r:id="rId38"/>
    <sheet name="WaterfallData" sheetId="64" r:id="rId39"/>
    <sheet name="WaterfallData2050" sheetId="75" r:id="rId40"/>
    <sheet name="WaterfallData2050_2100" sheetId="87" r:id="rId41"/>
    <sheet name="LMDI 1 MethodDEq" sheetId="18" r:id="rId42"/>
    <sheet name="MitTable(LMDI I)DEq" sheetId="19" r:id="rId43"/>
    <sheet name="LMDI 1 MethodRefCumulative" sheetId="81" r:id="rId44"/>
    <sheet name="OtherGases" sheetId="17" r:id="rId45"/>
    <sheet name="TotalEmissions" sheetId="27" r:id="rId46"/>
    <sheet name="AdditiveDashboardData" sheetId="35" r:id="rId47"/>
  </sheets>
  <externalReferences>
    <externalReference r:id="rId48"/>
    <externalReference r:id="rId49"/>
    <externalReference r:id="rId50"/>
    <externalReference r:id="rId51"/>
    <externalReference r:id="rId52"/>
    <externalReference r:id="rId53"/>
    <externalReference r:id="rId54"/>
    <externalReference r:id="rId55"/>
    <externalReference r:id="rId56"/>
  </externalReferences>
  <definedNames>
    <definedName name="_xlchart.v1.0" hidden="1">WaterfallData!$A$35:$A$48</definedName>
    <definedName name="_xlchart.v1.1" hidden="1">WaterfallData!$B$35:$B$48</definedName>
    <definedName name="addBioCCSENEarea" localSheetId="15">OFFSET([1]AdditiveDashboardData!$E$159, 0, 0, 1, COUNTA([1]AreasForDashboardsFactors!$1:$1)-3)</definedName>
    <definedName name="addBioCCSENEarea" localSheetId="19">OFFSET([1]AdditiveDashboardData!$E$159, 0, 0, 1, COUNTA([1]AreasForDashboardsFactors!$1:$1)-3)</definedName>
    <definedName name="addBioCCSENEarea" localSheetId="16">OFFSET([1]AdditiveDashboardData!$E$159, 0, 0, 1, COUNTA([1]AreasForDashboardsFactors!$1:$1)-3)</definedName>
    <definedName name="addBioCCSENEarea" localSheetId="39">OFFSET([2]AdditiveDashboardData!$E$159, 0, 0, 1, COUNTA([2]AreasForDashboardsFactors!$1:$1)-3)</definedName>
    <definedName name="addBioCCSENEarea" localSheetId="17">OFFSET([3]AdditiveDashboardData!$E$159, 0, 0, 1, COUNTA([3]AreasForDashboardsFactors!$1:$1)-3)</definedName>
    <definedName name="addBioCCSENEarea" localSheetId="20">OFFSET([3]AdditiveDashboardData!$E$159, 0, 0, 1, COUNTA([3]AreasForDashboardsFactors!$1:$1)-3)</definedName>
    <definedName name="addBioCCSENEarea">OFFSET(AdditiveDashboardData!$E$159, 0, 0, 1, COUNTA(AreasForDashboardsFactors!$1:$1)-3)</definedName>
    <definedName name="addBioCCSENEindexarea" localSheetId="15">OFFSET([1]AdditiveDashboardData!$E$162, 0, 0, 1, COUNTA([1]AreasForDashboardsFactors!$1:$1)-3)</definedName>
    <definedName name="addBioCCSENEindexarea" localSheetId="19">OFFSET([1]AdditiveDashboardData!$E$162, 0, 0, 1, COUNTA([1]AreasForDashboardsFactors!$1:$1)-3)</definedName>
    <definedName name="addBioCCSENEindexarea" localSheetId="16">OFFSET([1]AdditiveDashboardData!$E$162, 0, 0, 1, COUNTA([1]AreasForDashboardsFactors!$1:$1)-3)</definedName>
    <definedName name="addBioCCSENEindexarea" localSheetId="39">OFFSET([2]AdditiveDashboardData!$E$162, 0, 0, 1, COUNTA([2]AreasForDashboardsFactors!$1:$1)-3)</definedName>
    <definedName name="addBioCCSENEindexarea" localSheetId="17">OFFSET([3]AdditiveDashboardData!$E$162, 0, 0, 1, COUNTA([3]AreasForDashboardsFactors!$1:$1)-3)</definedName>
    <definedName name="addBioCCSENEindexarea" localSheetId="20">OFFSET([3]AdditiveDashboardData!$E$162, 0, 0, 1, COUNTA([3]AreasForDashboardsFactors!$1:$1)-3)</definedName>
    <definedName name="addBioCCSENEindexarea">OFFSET(AdditiveDashboardData!$E$162, 0, 0, 1, COUNTA(AreasForDashboardsFactors!$1:$1)-3)</definedName>
    <definedName name="addBioCCSENEindexNFCarea" localSheetId="15">OFFSET([1]AdditiveDashboardData!$E$165, 0, 0, 1, COUNTA([1]AreasForDashboardsFactors!$1:$1)-3)</definedName>
    <definedName name="addBioCCSENEindexNFCarea" localSheetId="19">OFFSET([1]AdditiveDashboardData!$E$165, 0, 0, 1, COUNTA([1]AreasForDashboardsFactors!$1:$1)-3)</definedName>
    <definedName name="addBioCCSENEindexNFCarea" localSheetId="16">OFFSET([1]AdditiveDashboardData!$E$165, 0, 0, 1, COUNTA([1]AreasForDashboardsFactors!$1:$1)-3)</definedName>
    <definedName name="addBioCCSENEindexNFCarea" localSheetId="39">OFFSET([2]AdditiveDashboardData!$E$165, 0, 0, 1, COUNTA([2]AreasForDashboardsFactors!$1:$1)-3)</definedName>
    <definedName name="addBioCCSENEindexNFCarea" localSheetId="17">OFFSET([3]AdditiveDashboardData!$E$165, 0, 0, 1, COUNTA([3]AreasForDashboardsFactors!$1:$1)-3)</definedName>
    <definedName name="addBioCCSENEindexNFCarea" localSheetId="20">OFFSET([3]AdditiveDashboardData!$E$165, 0, 0, 1, COUNTA([3]AreasForDashboardsFactors!$1:$1)-3)</definedName>
    <definedName name="addBioCCSENEindexNFCarea">OFFSET(AdditiveDashboardData!$E$165, 0, 0, 1, COUNTA(AreasForDashboardsFactors!$1:$1)-3)</definedName>
    <definedName name="addBioCCSENEint" localSheetId="15">OFFSET([1]AdditiveDashboardData!$E$88, 0, 0, 1, COUNTA([1]AreasForDashboardsFactors!$1:$1)-3)</definedName>
    <definedName name="addBioCCSENEint" localSheetId="19">OFFSET([1]AdditiveDashboardData!$E$88, 0, 0, 1, COUNTA([1]AreasForDashboardsFactors!$1:$1)-3)</definedName>
    <definedName name="addBioCCSENEint" localSheetId="16">OFFSET([1]AdditiveDashboardData!$E$88, 0, 0, 1, COUNTA([1]AreasForDashboardsFactors!$1:$1)-3)</definedName>
    <definedName name="addBioCCSENEint" localSheetId="39">OFFSET([2]AdditiveDashboardData!$E$88, 0, 0, 1, COUNTA([2]AreasForDashboardsFactors!$1:$1)-3)</definedName>
    <definedName name="addBioCCSENEint" localSheetId="17">OFFSET([3]AdditiveDashboardData!$E$88, 0, 0, 1, COUNTA([3]AreasForDashboardsFactors!$1:$1)-3)</definedName>
    <definedName name="addBioCCSENEint" localSheetId="20">OFFSET([3]AdditiveDashboardData!$E$88, 0, 0, 1, COUNTA([3]AreasForDashboardsFactors!$1:$1)-3)</definedName>
    <definedName name="addBioCCSENEint">OFFSET(AdditiveDashboardData!$E$88, 0, 0, 1, COUNTA(AreasForDashboardsFactors!$1:$1)-3)</definedName>
    <definedName name="addBioCCSENEintchng" localSheetId="15">OFFSET([1]AdditiveDashboardData!$E$95, 0, 0, 1, COUNTA([1]AreasForDashboardsFactors!$1:$1)-3)</definedName>
    <definedName name="addBioCCSENEintchng" localSheetId="19">OFFSET([1]AdditiveDashboardData!$E$95, 0, 0, 1, COUNTA([1]AreasForDashboardsFactors!$1:$1)-3)</definedName>
    <definedName name="addBioCCSENEintchng" localSheetId="16">OFFSET([1]AdditiveDashboardData!$E$95, 0, 0, 1, COUNTA([1]AreasForDashboardsFactors!$1:$1)-3)</definedName>
    <definedName name="addBioCCSENEintchng" localSheetId="39">OFFSET([2]AdditiveDashboardData!$E$95, 0, 0, 1, COUNTA([2]AreasForDashboardsFactors!$1:$1)-3)</definedName>
    <definedName name="addBioCCSENEintchng" localSheetId="17">OFFSET([3]AdditiveDashboardData!$E$95, 0, 0, 1, COUNTA([3]AreasForDashboardsFactors!$1:$1)-3)</definedName>
    <definedName name="addBioCCSENEintchng" localSheetId="20">OFFSET([3]AdditiveDashboardData!$E$95, 0, 0, 1, COUNTA([3]AreasForDashboardsFactors!$1:$1)-3)</definedName>
    <definedName name="addBioCCSENEintchng">OFFSET(AdditiveDashboardData!$E$95, 0, 0, 1, COUNTA(AreasForDashboardsFactors!$1:$1)-3)</definedName>
    <definedName name="addBioCCSENEintindex" localSheetId="15">OFFSET([1]AdditiveDashboardData!$E$90, 0, 0, 1, COUNTA([1]AreasForDashboardsFactors!$1:$1)-3)</definedName>
    <definedName name="addBioCCSENEintindex" localSheetId="19">OFFSET([1]AdditiveDashboardData!$E$90, 0, 0, 1, COUNTA([1]AreasForDashboardsFactors!$1:$1)-3)</definedName>
    <definedName name="addBioCCSENEintindex" localSheetId="16">OFFSET([1]AdditiveDashboardData!$E$90, 0, 0, 1, COUNTA([1]AreasForDashboardsFactors!$1:$1)-3)</definedName>
    <definedName name="addBioCCSENEintindex" localSheetId="39">OFFSET([2]AdditiveDashboardData!$E$90, 0, 0, 1, COUNTA([2]AreasForDashboardsFactors!$1:$1)-3)</definedName>
    <definedName name="addBioCCSENEintindex" localSheetId="17">OFFSET([3]AdditiveDashboardData!$E$90, 0, 0, 1, COUNTA([3]AreasForDashboardsFactors!$1:$1)-3)</definedName>
    <definedName name="addBioCCSENEintindex" localSheetId="20">OFFSET([3]AdditiveDashboardData!$E$90, 0, 0, 1, COUNTA([3]AreasForDashboardsFactors!$1:$1)-3)</definedName>
    <definedName name="addBioCCSENEintindex">OFFSET(AdditiveDashboardData!$E$90, 0, 0, 1, COUNTA(AreasForDashboardsFactors!$1:$1)-3)</definedName>
    <definedName name="addBioCCSENEintindexNFC" localSheetId="15">OFFSET([1]AdditiveDashboardData!$E$92, 0, 0, 1, COUNTA([1]AreasForDashboardsFactors!$1:$1)-3)</definedName>
    <definedName name="addBioCCSENEintindexNFC" localSheetId="19">OFFSET([1]AdditiveDashboardData!$E$92, 0, 0, 1, COUNTA([1]AreasForDashboardsFactors!$1:$1)-3)</definedName>
    <definedName name="addBioCCSENEintindexNFC" localSheetId="16">OFFSET([1]AdditiveDashboardData!$E$92, 0, 0, 1, COUNTA([1]AreasForDashboardsFactors!$1:$1)-3)</definedName>
    <definedName name="addBioCCSENEintindexNFC" localSheetId="39">OFFSET([2]AdditiveDashboardData!$E$92, 0, 0, 1, COUNTA([2]AreasForDashboardsFactors!$1:$1)-3)</definedName>
    <definedName name="addBioCCSENEintindexNFC" localSheetId="17">OFFSET([3]AdditiveDashboardData!$E$92, 0, 0, 1, COUNTA([3]AreasForDashboardsFactors!$1:$1)-3)</definedName>
    <definedName name="addBioCCSENEintindexNFC" localSheetId="20">OFFSET([3]AdditiveDashboardData!$E$92, 0, 0, 1, COUNTA([3]AreasForDashboardsFactors!$1:$1)-3)</definedName>
    <definedName name="addBioCCSENEintindexNFC">OFFSET(AdditiveDashboardData!$E$92, 0, 0, 1, COUNTA(AreasForDashboardsFactors!$1:$1)-3)</definedName>
    <definedName name="addBioCCSENEref" localSheetId="15">OFFSET([1]AdditiveDashboardData!$E$15, 0, 0, 1, COUNTA([1]AreasForDashboardsFactors!$1:$1)-3)</definedName>
    <definedName name="addBioCCSENEref" localSheetId="19">OFFSET([1]AdditiveDashboardData!$E$15, 0, 0, 1, COUNTA([1]AreasForDashboardsFactors!$1:$1)-3)</definedName>
    <definedName name="addBioCCSENEref" localSheetId="16">OFFSET([1]AdditiveDashboardData!$E$15, 0, 0, 1, COUNTA([1]AreasForDashboardsFactors!$1:$1)-3)</definedName>
    <definedName name="addBioCCSENEref" localSheetId="39">OFFSET([2]AdditiveDashboardData!$E$15, 0, 0, 1, COUNTA([2]AreasForDashboardsFactors!$1:$1)-3)</definedName>
    <definedName name="addBioCCSENEref" localSheetId="17">OFFSET([3]AdditiveDashboardData!$E$15, 0, 0, 1, COUNTA([3]AreasForDashboardsFactors!$1:$1)-3)</definedName>
    <definedName name="addBioCCSENEref" localSheetId="20">OFFSET([3]AdditiveDashboardData!$E$15, 0, 0, 1, COUNTA([3]AreasForDashboardsFactors!$1:$1)-3)</definedName>
    <definedName name="addBioCCSENEref">OFFSET(AdditiveDashboardData!$E$15, 0, 0, 1, COUNTA(AreasForDashboardsFactors!$1:$1)-3)</definedName>
    <definedName name="addBioCCSENErefchng" localSheetId="15">OFFSET([1]AdditiveDashboardData!$E$21, 0, 0, 1, COUNTA([1]AreasForDashboardsFactors!$1:$1)-3)</definedName>
    <definedName name="addBioCCSENErefchng" localSheetId="19">OFFSET([1]AdditiveDashboardData!$E$21, 0, 0, 1, COUNTA([1]AreasForDashboardsFactors!$1:$1)-3)</definedName>
    <definedName name="addBioCCSENErefchng" localSheetId="16">OFFSET([1]AdditiveDashboardData!$E$21, 0, 0, 1, COUNTA([1]AreasForDashboardsFactors!$1:$1)-3)</definedName>
    <definedName name="addBioCCSENErefchng" localSheetId="39">OFFSET([2]AdditiveDashboardData!$E$21, 0, 0, 1, COUNTA([2]AreasForDashboardsFactors!$1:$1)-3)</definedName>
    <definedName name="addBioCCSENErefchng" localSheetId="17">OFFSET([3]AdditiveDashboardData!$E$21, 0, 0, 1, COUNTA([3]AreasForDashboardsFactors!$1:$1)-3)</definedName>
    <definedName name="addBioCCSENErefchng" localSheetId="20">OFFSET([3]AdditiveDashboardData!$E$21, 0, 0, 1, COUNTA([3]AreasForDashboardsFactors!$1:$1)-3)</definedName>
    <definedName name="addBioCCSENErefchng">OFFSET(AdditiveDashboardData!$E$21, 0, 0, 1, COUNTA(AreasForDashboardsFactors!$1:$1)-3)</definedName>
    <definedName name="addBioCCSENErefindex" localSheetId="15">OFFSET([1]AdditiveDashboardData!$E$17, 0, 0, 1, COUNTA([1]AreasForDashboardsFactors!$1:$1)-3)</definedName>
    <definedName name="addBioCCSENErefindex" localSheetId="19">OFFSET([1]AdditiveDashboardData!$E$17, 0, 0, 1, COUNTA([1]AreasForDashboardsFactors!$1:$1)-3)</definedName>
    <definedName name="addBioCCSENErefindex" localSheetId="16">OFFSET([1]AdditiveDashboardData!$E$17, 0, 0, 1, COUNTA([1]AreasForDashboardsFactors!$1:$1)-3)</definedName>
    <definedName name="addBioCCSENErefindex" localSheetId="39">OFFSET([2]AdditiveDashboardData!$E$17, 0, 0, 1, COUNTA([2]AreasForDashboardsFactors!$1:$1)-3)</definedName>
    <definedName name="addBioCCSENErefindex" localSheetId="17">OFFSET([3]AdditiveDashboardData!$E$17, 0, 0, 1, COUNTA([3]AreasForDashboardsFactors!$1:$1)-3)</definedName>
    <definedName name="addBioCCSENErefindex" localSheetId="20">OFFSET([3]AdditiveDashboardData!$E$17, 0, 0, 1, COUNTA([3]AreasForDashboardsFactors!$1:$1)-3)</definedName>
    <definedName name="addBioCCSENErefindex">OFFSET(AdditiveDashboardData!$E$17, 0, 0, 1, COUNTA(AreasForDashboardsFactors!$1:$1)-3)</definedName>
    <definedName name="addBioCCSENErefindexNFC" localSheetId="15">OFFSET([1]AdditiveDashboardData!$E$19, 0, 0, 1, COUNTA([1]AreasForDashboardsFactors!$1:$1)-3)</definedName>
    <definedName name="addBioCCSENErefindexNFC" localSheetId="19">OFFSET([1]AdditiveDashboardData!$E$19, 0, 0, 1, COUNTA([1]AreasForDashboardsFactors!$1:$1)-3)</definedName>
    <definedName name="addBioCCSENErefindexNFC" localSheetId="16">OFFSET([1]AdditiveDashboardData!$E$19, 0, 0, 1, COUNTA([1]AreasForDashboardsFactors!$1:$1)-3)</definedName>
    <definedName name="addBioCCSENErefindexNFC" localSheetId="39">OFFSET([2]AdditiveDashboardData!$E$19, 0, 0, 1, COUNTA([2]AreasForDashboardsFactors!$1:$1)-3)</definedName>
    <definedName name="addBioCCSENErefindexNFC" localSheetId="17">OFFSET([3]AdditiveDashboardData!$E$19, 0, 0, 1, COUNTA([3]AreasForDashboardsFactors!$1:$1)-3)</definedName>
    <definedName name="addBioCCSENErefindexNFC" localSheetId="20">OFFSET([3]AdditiveDashboardData!$E$19, 0, 0, 1, COUNTA([3]AreasForDashboardsFactors!$1:$1)-3)</definedName>
    <definedName name="addBioCCSENErefindexNFC">OFFSET(AdditiveDashboardData!$E$19, 0, 0, 1, COUNTA(AreasForDashboardsFactors!$1:$1)-3)</definedName>
    <definedName name="addIndarea" localSheetId="15">OFFSET([1]AdditiveDashboardData!$E$169, 0, 0, 1, COUNTA([1]AreasForDashboardsFactors!$1:$1)-3)</definedName>
    <definedName name="addIndarea" localSheetId="19">OFFSET([1]AdditiveDashboardData!$E$169, 0, 0, 1, COUNTA([1]AreasForDashboardsFactors!$1:$1)-3)</definedName>
    <definedName name="addIndarea" localSheetId="16">OFFSET([1]AdditiveDashboardData!$E$169, 0, 0, 1, COUNTA([1]AreasForDashboardsFactors!$1:$1)-3)</definedName>
    <definedName name="addIndarea" localSheetId="39">OFFSET([2]AdditiveDashboardData!$E$169, 0, 0, 1, COUNTA([2]AreasForDashboardsFactors!$1:$1)-3)</definedName>
    <definedName name="addIndarea" localSheetId="17">OFFSET([3]AdditiveDashboardData!$E$169, 0, 0, 1, COUNTA([3]AreasForDashboardsFactors!$1:$1)-3)</definedName>
    <definedName name="addIndarea" localSheetId="20">OFFSET([3]AdditiveDashboardData!$E$169, 0, 0, 1, COUNTA([3]AreasForDashboardsFactors!$1:$1)-3)</definedName>
    <definedName name="addIndarea">OFFSET(AdditiveDashboardData!$E$169, 0, 0, 1, COUNTA(AreasForDashboardsFactors!$1:$1)-3)</definedName>
    <definedName name="addIndindexarea" localSheetId="15">OFFSET([1]AdditiveDashboardData!$E$172, 0, 0, 1, COUNTA([1]AreasForDashboardsFactors!$1:$1)-3)</definedName>
    <definedName name="addIndindexarea" localSheetId="19">OFFSET([1]AdditiveDashboardData!$E$172, 0, 0, 1, COUNTA([1]AreasForDashboardsFactors!$1:$1)-3)</definedName>
    <definedName name="addIndindexarea" localSheetId="16">OFFSET([1]AdditiveDashboardData!$E$172, 0, 0, 1, COUNTA([1]AreasForDashboardsFactors!$1:$1)-3)</definedName>
    <definedName name="addIndindexarea" localSheetId="39">OFFSET([2]AdditiveDashboardData!$E$172, 0, 0, 1, COUNTA([2]AreasForDashboardsFactors!$1:$1)-3)</definedName>
    <definedName name="addIndindexarea" localSheetId="17">OFFSET([3]AdditiveDashboardData!$E$172, 0, 0, 1, COUNTA([3]AreasForDashboardsFactors!$1:$1)-3)</definedName>
    <definedName name="addIndindexarea" localSheetId="20">OFFSET([3]AdditiveDashboardData!$E$172, 0, 0, 1, COUNTA([3]AreasForDashboardsFactors!$1:$1)-3)</definedName>
    <definedName name="addIndindexarea">OFFSET(AdditiveDashboardData!$E$172, 0, 0, 1, COUNTA(AreasForDashboardsFactors!$1:$1)-3)</definedName>
    <definedName name="addIndindexNFCarea" localSheetId="15">OFFSET([1]AdditiveDashboardData!$E$175, 0, 0, 1, COUNTA([1]AreasForDashboardsFactors!$1:$1)-3)</definedName>
    <definedName name="addIndindexNFCarea" localSheetId="19">OFFSET([1]AdditiveDashboardData!$E$175, 0, 0, 1, COUNTA([1]AreasForDashboardsFactors!$1:$1)-3)</definedName>
    <definedName name="addIndindexNFCarea" localSheetId="16">OFFSET([1]AdditiveDashboardData!$E$175, 0, 0, 1, COUNTA([1]AreasForDashboardsFactors!$1:$1)-3)</definedName>
    <definedName name="addIndindexNFCarea" localSheetId="39">OFFSET([2]AdditiveDashboardData!$E$175, 0, 0, 1, COUNTA([2]AreasForDashboardsFactors!$1:$1)-3)</definedName>
    <definedName name="addIndindexNFCarea" localSheetId="17">OFFSET([3]AdditiveDashboardData!$E$175, 0, 0, 1, COUNTA([3]AreasForDashboardsFactors!$1:$1)-3)</definedName>
    <definedName name="addIndindexNFCarea" localSheetId="20">OFFSET([3]AdditiveDashboardData!$E$175, 0, 0, 1, COUNTA([3]AreasForDashboardsFactors!$1:$1)-3)</definedName>
    <definedName name="addIndindexNFCarea">OFFSET(AdditiveDashboardData!$E$175, 0, 0, 1, COUNTA(AreasForDashboardsFactors!$1:$1)-3)</definedName>
    <definedName name="addIndint" localSheetId="15">OFFSET([1]AdditiveDashboardData!$E$99, 0, 0, 1, COUNTA([1]AreasForDashboardsFactors!$1:$1)-3)</definedName>
    <definedName name="addIndint" localSheetId="19">OFFSET([1]AdditiveDashboardData!$E$99, 0, 0, 1, COUNTA([1]AreasForDashboardsFactors!$1:$1)-3)</definedName>
    <definedName name="addIndint" localSheetId="16">OFFSET([1]AdditiveDashboardData!$E$99, 0, 0, 1, COUNTA([1]AreasForDashboardsFactors!$1:$1)-3)</definedName>
    <definedName name="addIndint" localSheetId="39">OFFSET([2]AdditiveDashboardData!$E$99, 0, 0, 1, COUNTA([2]AreasForDashboardsFactors!$1:$1)-3)</definedName>
    <definedName name="addIndint" localSheetId="17">OFFSET([3]AdditiveDashboardData!$E$99, 0, 0, 1, COUNTA([3]AreasForDashboardsFactors!$1:$1)-3)</definedName>
    <definedName name="addIndint" localSheetId="20">OFFSET([3]AdditiveDashboardData!$E$99, 0, 0, 1, COUNTA([3]AreasForDashboardsFactors!$1:$1)-3)</definedName>
    <definedName name="addIndint">OFFSET(AdditiveDashboardData!$E$99, 0, 0, 1, COUNTA(AreasForDashboardsFactors!$1:$1)-3)</definedName>
    <definedName name="addIndintchng" localSheetId="15">OFFSET([1]AdditiveDashboardData!$E$105, 0, 0, 1, COUNTA([1]AreasForDashboardsFactors!$1:$1)-3)</definedName>
    <definedName name="addIndintchng" localSheetId="19">OFFSET([1]AdditiveDashboardData!$E$105, 0, 0, 1, COUNTA([1]AreasForDashboardsFactors!$1:$1)-3)</definedName>
    <definedName name="addIndintchng" localSheetId="16">OFFSET([1]AdditiveDashboardData!$E$105, 0, 0, 1, COUNTA([1]AreasForDashboardsFactors!$1:$1)-3)</definedName>
    <definedName name="addIndintchng" localSheetId="39">OFFSET([2]AdditiveDashboardData!$E$105, 0, 0, 1, COUNTA([2]AreasForDashboardsFactors!$1:$1)-3)</definedName>
    <definedName name="addIndintchng" localSheetId="17">OFFSET([3]AdditiveDashboardData!$E$105, 0, 0, 1, COUNTA([3]AreasForDashboardsFactors!$1:$1)-3)</definedName>
    <definedName name="addIndintchng" localSheetId="20">OFFSET([3]AdditiveDashboardData!$E$105, 0, 0, 1, COUNTA([3]AreasForDashboardsFactors!$1:$1)-3)</definedName>
    <definedName name="addIndintchng">OFFSET(AdditiveDashboardData!$E$105, 0, 0, 1, COUNTA(AreasForDashboardsFactors!$1:$1)-3)</definedName>
    <definedName name="addIndintindex" localSheetId="15">OFFSET([1]AdditiveDashboardData!$E$101, 0, 0, 1, COUNTA([1]AreasForDashboardsFactors!$1:$1)-3)</definedName>
    <definedName name="addIndintindex" localSheetId="19">OFFSET([1]AdditiveDashboardData!$E$101, 0, 0, 1, COUNTA([1]AreasForDashboardsFactors!$1:$1)-3)</definedName>
    <definedName name="addIndintindex" localSheetId="16">OFFSET([1]AdditiveDashboardData!$E$101, 0, 0, 1, COUNTA([1]AreasForDashboardsFactors!$1:$1)-3)</definedName>
    <definedName name="addIndintindex" localSheetId="39">OFFSET([2]AdditiveDashboardData!$E$101, 0, 0, 1, COUNTA([2]AreasForDashboardsFactors!$1:$1)-3)</definedName>
    <definedName name="addIndintindex" localSheetId="17">OFFSET([3]AdditiveDashboardData!$E$101, 0, 0, 1, COUNTA([3]AreasForDashboardsFactors!$1:$1)-3)</definedName>
    <definedName name="addIndintindex" localSheetId="20">OFFSET([3]AdditiveDashboardData!$E$101, 0, 0, 1, COUNTA([3]AreasForDashboardsFactors!$1:$1)-3)</definedName>
    <definedName name="addIndintindex">OFFSET(AdditiveDashboardData!$E$101, 0, 0, 1, COUNTA(AreasForDashboardsFactors!$1:$1)-3)</definedName>
    <definedName name="addIndintindexNFC" localSheetId="15">OFFSET([1]AdditiveDashboardData!$E$103, 0, 0, 1, COUNTA([1]AreasForDashboardsFactors!$1:$1)-3)</definedName>
    <definedName name="addIndintindexNFC" localSheetId="19">OFFSET([1]AdditiveDashboardData!$E$103, 0, 0, 1, COUNTA([1]AreasForDashboardsFactors!$1:$1)-3)</definedName>
    <definedName name="addIndintindexNFC" localSheetId="16">OFFSET([1]AdditiveDashboardData!$E$103, 0, 0, 1, COUNTA([1]AreasForDashboardsFactors!$1:$1)-3)</definedName>
    <definedName name="addIndintindexNFC" localSheetId="39">OFFSET([2]AdditiveDashboardData!$E$103, 0, 0, 1, COUNTA([2]AreasForDashboardsFactors!$1:$1)-3)</definedName>
    <definedName name="addIndintindexNFC" localSheetId="17">OFFSET([3]AdditiveDashboardData!$E$103, 0, 0, 1, COUNTA([3]AreasForDashboardsFactors!$1:$1)-3)</definedName>
    <definedName name="addIndintindexNFC" localSheetId="20">OFFSET([3]AdditiveDashboardData!$E$103, 0, 0, 1, COUNTA([3]AreasForDashboardsFactors!$1:$1)-3)</definedName>
    <definedName name="addIndintindexNFC">OFFSET(AdditiveDashboardData!$E$103, 0, 0, 1, COUNTA(AreasForDashboardsFactors!$1:$1)-3)</definedName>
    <definedName name="addIndref" localSheetId="15">OFFSET([1]AdditiveDashboardData!$E$26, 0, 0, 1, COUNTA([1]AreasForDashboardsFactors!$1:$1)-3)</definedName>
    <definedName name="addIndref" localSheetId="19">OFFSET([1]AdditiveDashboardData!$E$26, 0, 0, 1, COUNTA([1]AreasForDashboardsFactors!$1:$1)-3)</definedName>
    <definedName name="addIndref" localSheetId="16">OFFSET([1]AdditiveDashboardData!$E$26, 0, 0, 1, COUNTA([1]AreasForDashboardsFactors!$1:$1)-3)</definedName>
    <definedName name="addIndref" localSheetId="39">OFFSET([2]AdditiveDashboardData!$E$26, 0, 0, 1, COUNTA([2]AreasForDashboardsFactors!$1:$1)-3)</definedName>
    <definedName name="addIndref" localSheetId="17">OFFSET([3]AdditiveDashboardData!$E$26, 0, 0, 1, COUNTA([3]AreasForDashboardsFactors!$1:$1)-3)</definedName>
    <definedName name="addIndref" localSheetId="20">OFFSET([3]AdditiveDashboardData!$E$26, 0, 0, 1, COUNTA([3]AreasForDashboardsFactors!$1:$1)-3)</definedName>
    <definedName name="addIndref">OFFSET(AdditiveDashboardData!$E$26, 0, 0, 1, COUNTA(AreasForDashboardsFactors!$1:$1)-3)</definedName>
    <definedName name="addIndrefchng" localSheetId="15">OFFSET([1]AdditiveDashboardData!$E$32, 0, 0, 1, COUNTA([1]AreasForDashboardsFactors!$1:$1)-3)</definedName>
    <definedName name="addIndrefchng" localSheetId="19">OFFSET([1]AdditiveDashboardData!$E$32, 0, 0, 1, COUNTA([1]AreasForDashboardsFactors!$1:$1)-3)</definedName>
    <definedName name="addIndrefchng" localSheetId="16">OFFSET([1]AdditiveDashboardData!$E$32, 0, 0, 1, COUNTA([1]AreasForDashboardsFactors!$1:$1)-3)</definedName>
    <definedName name="addIndrefchng" localSheetId="39">OFFSET([2]AdditiveDashboardData!$E$32, 0, 0, 1, COUNTA([2]AreasForDashboardsFactors!$1:$1)-3)</definedName>
    <definedName name="addIndrefchng" localSheetId="17">OFFSET([3]AdditiveDashboardData!$E$32, 0, 0, 1, COUNTA([3]AreasForDashboardsFactors!$1:$1)-3)</definedName>
    <definedName name="addIndrefchng" localSheetId="20">OFFSET([3]AdditiveDashboardData!$E$32, 0, 0, 1, COUNTA([3]AreasForDashboardsFactors!$1:$1)-3)</definedName>
    <definedName name="addIndrefchng">OFFSET(AdditiveDashboardData!$E$32, 0, 0, 1, COUNTA(AreasForDashboardsFactors!$1:$1)-3)</definedName>
    <definedName name="addIndrefindex" localSheetId="15">OFFSET([1]AdditiveDashboardData!$E$28, 0, 0, 1, COUNTA([1]AreasForDashboardsFactors!$1:$1)-3)</definedName>
    <definedName name="addIndrefindex" localSheetId="19">OFFSET([1]AdditiveDashboardData!$E$28, 0, 0, 1, COUNTA([1]AreasForDashboardsFactors!$1:$1)-3)</definedName>
    <definedName name="addIndrefindex" localSheetId="16">OFFSET([1]AdditiveDashboardData!$E$28, 0, 0, 1, COUNTA([1]AreasForDashboardsFactors!$1:$1)-3)</definedName>
    <definedName name="addIndrefindex" localSheetId="39">OFFSET([2]AdditiveDashboardData!$E$28, 0, 0, 1, COUNTA([2]AreasForDashboardsFactors!$1:$1)-3)</definedName>
    <definedName name="addIndrefindex" localSheetId="17">OFFSET([3]AdditiveDashboardData!$E$28, 0, 0, 1, COUNTA([3]AreasForDashboardsFactors!$1:$1)-3)</definedName>
    <definedName name="addIndrefindex" localSheetId="20">OFFSET([3]AdditiveDashboardData!$E$28, 0, 0, 1, COUNTA([3]AreasForDashboardsFactors!$1:$1)-3)</definedName>
    <definedName name="addIndrefindex">OFFSET(AdditiveDashboardData!$E$28, 0, 0, 1, COUNTA(AreasForDashboardsFactors!$1:$1)-3)</definedName>
    <definedName name="addIndrefindexNFC" localSheetId="15">OFFSET([1]AdditiveDashboardData!$E$30, 0, 0, 1, COUNTA([1]AreasForDashboardsFactors!$1:$1)-3)</definedName>
    <definedName name="addIndrefindexNFC" localSheetId="19">OFFSET([1]AdditiveDashboardData!$E$30, 0, 0, 1, COUNTA([1]AreasForDashboardsFactors!$1:$1)-3)</definedName>
    <definedName name="addIndrefindexNFC" localSheetId="16">OFFSET([1]AdditiveDashboardData!$E$30, 0, 0, 1, COUNTA([1]AreasForDashboardsFactors!$1:$1)-3)</definedName>
    <definedName name="addIndrefindexNFC" localSheetId="39">OFFSET([2]AdditiveDashboardData!$E$30, 0, 0, 1, COUNTA([2]AreasForDashboardsFactors!$1:$1)-3)</definedName>
    <definedName name="addIndrefindexNFC" localSheetId="17">OFFSET([3]AdditiveDashboardData!$E$30, 0, 0, 1, COUNTA([3]AreasForDashboardsFactors!$1:$1)-3)</definedName>
    <definedName name="addIndrefindexNFC" localSheetId="20">OFFSET([3]AdditiveDashboardData!$E$30, 0, 0, 1, COUNTA([3]AreasForDashboardsFactors!$1:$1)-3)</definedName>
    <definedName name="addIndrefindexNFC">OFFSET(AdditiveDashboardData!$E$30, 0, 0, 1, COUNTA(AreasForDashboardsFactors!$1:$1)-3)</definedName>
    <definedName name="addlandusearea" localSheetId="15">OFFSET([1]AdditiveDashboardData!$E$178, 0, 0, 1, COUNTA([1]AreasForDashboardsFactors!$1:$1)-3)</definedName>
    <definedName name="addlandusearea" localSheetId="19">OFFSET([1]AdditiveDashboardData!$E$178, 0, 0, 1, COUNTA([1]AreasForDashboardsFactors!$1:$1)-3)</definedName>
    <definedName name="addlandusearea" localSheetId="16">OFFSET([1]AdditiveDashboardData!$E$178, 0, 0, 1, COUNTA([1]AreasForDashboardsFactors!$1:$1)-3)</definedName>
    <definedName name="addlandusearea" localSheetId="39">OFFSET([2]AdditiveDashboardData!$E$178, 0, 0, 1, COUNTA([2]AreasForDashboardsFactors!$1:$1)-3)</definedName>
    <definedName name="addlandusearea" localSheetId="17">OFFSET([3]AdditiveDashboardData!$E$178, 0, 0, 1, COUNTA([3]AreasForDashboardsFactors!$1:$1)-3)</definedName>
    <definedName name="addlandusearea" localSheetId="20">OFFSET([3]AdditiveDashboardData!$E$178, 0, 0, 1, COUNTA([3]AreasForDashboardsFactors!$1:$1)-3)</definedName>
    <definedName name="addlandusearea">OFFSET(AdditiveDashboardData!$E$178, 0, 0, 1, COUNTA(AreasForDashboardsFactors!$1:$1)-3)</definedName>
    <definedName name="addlanduseindexarea" localSheetId="15">OFFSET([1]AdditiveDashboardData!$E$181, 0, 0, 1, COUNTA([1]AreasForDashboardsFactors!$1:$1)-3)</definedName>
    <definedName name="addlanduseindexarea" localSheetId="19">OFFSET([1]AdditiveDashboardData!$E$181, 0, 0, 1, COUNTA([1]AreasForDashboardsFactors!$1:$1)-3)</definedName>
    <definedName name="addlanduseindexarea" localSheetId="16">OFFSET([1]AdditiveDashboardData!$E$181, 0, 0, 1, COUNTA([1]AreasForDashboardsFactors!$1:$1)-3)</definedName>
    <definedName name="addlanduseindexarea" localSheetId="39">OFFSET([2]AdditiveDashboardData!$E$181, 0, 0, 1, COUNTA([2]AreasForDashboardsFactors!$1:$1)-3)</definedName>
    <definedName name="addlanduseindexarea" localSheetId="17">OFFSET([3]AdditiveDashboardData!$E$181, 0, 0, 1, COUNTA([3]AreasForDashboardsFactors!$1:$1)-3)</definedName>
    <definedName name="addlanduseindexarea" localSheetId="20">OFFSET([3]AdditiveDashboardData!$E$181, 0, 0, 1, COUNTA([3]AreasForDashboardsFactors!$1:$1)-3)</definedName>
    <definedName name="addlanduseindexarea">OFFSET(AdditiveDashboardData!$E$181, 0, 0, 1, COUNTA(AreasForDashboardsFactors!$1:$1)-3)</definedName>
    <definedName name="addlanduseindexNFCarea" localSheetId="15">OFFSET([1]AdditiveDashboardData!$E$184, 0, 0, 1, COUNTA([1]AreasForDashboardsFactors!$1:$1)-3)</definedName>
    <definedName name="addlanduseindexNFCarea" localSheetId="19">OFFSET([1]AdditiveDashboardData!$E$184, 0, 0, 1, COUNTA([1]AreasForDashboardsFactors!$1:$1)-3)</definedName>
    <definedName name="addlanduseindexNFCarea" localSheetId="16">OFFSET([1]AdditiveDashboardData!$E$184, 0, 0, 1, COUNTA([1]AreasForDashboardsFactors!$1:$1)-3)</definedName>
    <definedName name="addlanduseindexNFCarea" localSheetId="39">OFFSET([2]AdditiveDashboardData!$E$184, 0, 0, 1, COUNTA([2]AreasForDashboardsFactors!$1:$1)-3)</definedName>
    <definedName name="addlanduseindexNFCarea" localSheetId="17">OFFSET([3]AdditiveDashboardData!$E$184, 0, 0, 1, COUNTA([3]AreasForDashboardsFactors!$1:$1)-3)</definedName>
    <definedName name="addlanduseindexNFCarea" localSheetId="20">OFFSET([3]AdditiveDashboardData!$E$184, 0, 0, 1, COUNTA([3]AreasForDashboardsFactors!$1:$1)-3)</definedName>
    <definedName name="addlanduseindexNFCarea">OFFSET(AdditiveDashboardData!$E$184, 0, 0, 1, COUNTA(AreasForDashboardsFactors!$1:$1)-3)</definedName>
    <definedName name="addlanduseint" localSheetId="15">OFFSET([1]AdditiveDashboardData!$E$110, 0, 0, 1, COUNTA([1]AreasForDashboardsFactors!$1:$1)-3)</definedName>
    <definedName name="addlanduseint" localSheetId="19">OFFSET([1]AdditiveDashboardData!$E$110, 0, 0, 1, COUNTA([1]AreasForDashboardsFactors!$1:$1)-3)</definedName>
    <definedName name="addlanduseint" localSheetId="16">OFFSET([1]AdditiveDashboardData!$E$110, 0, 0, 1, COUNTA([1]AreasForDashboardsFactors!$1:$1)-3)</definedName>
    <definedName name="addlanduseint" localSheetId="39">OFFSET([2]AdditiveDashboardData!$E$110, 0, 0, 1, COUNTA([2]AreasForDashboardsFactors!$1:$1)-3)</definedName>
    <definedName name="addlanduseint" localSheetId="17">OFFSET([3]AdditiveDashboardData!$E$110, 0, 0, 1, COUNTA([3]AreasForDashboardsFactors!$1:$1)-3)</definedName>
    <definedName name="addlanduseint" localSheetId="20">OFFSET([3]AdditiveDashboardData!$E$110, 0, 0, 1, COUNTA([3]AreasForDashboardsFactors!$1:$1)-3)</definedName>
    <definedName name="addlanduseint">OFFSET(AdditiveDashboardData!$E$110, 0, 0, 1, COUNTA(AreasForDashboardsFactors!$1:$1)-3)</definedName>
    <definedName name="addlanduseintchng" localSheetId="15">OFFSET([1]AdditiveDashboardData!$E$125, 0, 0, 1, COUNTA([1]AreasForDashboardsFactors!$1:$1)-3)</definedName>
    <definedName name="addlanduseintchng" localSheetId="19">OFFSET([1]AdditiveDashboardData!$E$125, 0, 0, 1, COUNTA([1]AreasForDashboardsFactors!$1:$1)-3)</definedName>
    <definedName name="addlanduseintchng" localSheetId="16">OFFSET([1]AdditiveDashboardData!$E$125, 0, 0, 1, COUNTA([1]AreasForDashboardsFactors!$1:$1)-3)</definedName>
    <definedName name="addlanduseintchng" localSheetId="39">OFFSET([2]AdditiveDashboardData!$E$125, 0, 0, 1, COUNTA([2]AreasForDashboardsFactors!$1:$1)-3)</definedName>
    <definedName name="addlanduseintchng" localSheetId="17">OFFSET([3]AdditiveDashboardData!$E$125, 0, 0, 1, COUNTA([3]AreasForDashboardsFactors!$1:$1)-3)</definedName>
    <definedName name="addlanduseintchng" localSheetId="20">OFFSET([3]AdditiveDashboardData!$E$125, 0, 0, 1, COUNTA([3]AreasForDashboardsFactors!$1:$1)-3)</definedName>
    <definedName name="addlanduseintchng">OFFSET(AdditiveDashboardData!$E$125, 0, 0, 1, COUNTA(AreasForDashboardsFactors!$1:$1)-3)</definedName>
    <definedName name="addlanduseintindex" localSheetId="15">OFFSET([1]AdditiveDashboardData!$E$118, 0, 0, 1, COUNTA([1]AreasForDashboardsFactors!$1:$1)-3)</definedName>
    <definedName name="addlanduseintindex" localSheetId="19">OFFSET([1]AdditiveDashboardData!$E$118, 0, 0, 1, COUNTA([1]AreasForDashboardsFactors!$1:$1)-3)</definedName>
    <definedName name="addlanduseintindex" localSheetId="16">OFFSET([1]AdditiveDashboardData!$E$118, 0, 0, 1, COUNTA([1]AreasForDashboardsFactors!$1:$1)-3)</definedName>
    <definedName name="addlanduseintindex" localSheetId="39">OFFSET([2]AdditiveDashboardData!$E$118, 0, 0, 1, COUNTA([2]AreasForDashboardsFactors!$1:$1)-3)</definedName>
    <definedName name="addlanduseintindex" localSheetId="17">OFFSET([3]AdditiveDashboardData!$E$118, 0, 0, 1, COUNTA([3]AreasForDashboardsFactors!$1:$1)-3)</definedName>
    <definedName name="addlanduseintindex" localSheetId="20">OFFSET([3]AdditiveDashboardData!$E$118, 0, 0, 1, COUNTA([3]AreasForDashboardsFactors!$1:$1)-3)</definedName>
    <definedName name="addlanduseintindex">OFFSET(AdditiveDashboardData!$E$118, 0, 0, 1, COUNTA(AreasForDashboardsFactors!$1:$1)-3)</definedName>
    <definedName name="addlanduseintindexNFC" localSheetId="15">OFFSET([1]AdditiveDashboardData!$E$121, 0, 0, 1, COUNTA([1]AreasForDashboardsFactors!$1:$1)-3)</definedName>
    <definedName name="addlanduseintindexNFC" localSheetId="19">OFFSET([1]AdditiveDashboardData!$E$121, 0, 0, 1, COUNTA([1]AreasForDashboardsFactors!$1:$1)-3)</definedName>
    <definedName name="addlanduseintindexNFC" localSheetId="16">OFFSET([1]AdditiveDashboardData!$E$121, 0, 0, 1, COUNTA([1]AreasForDashboardsFactors!$1:$1)-3)</definedName>
    <definedName name="addlanduseintindexNFC" localSheetId="39">OFFSET([2]AdditiveDashboardData!$E$121, 0, 0, 1, COUNTA([2]AreasForDashboardsFactors!$1:$1)-3)</definedName>
    <definedName name="addlanduseintindexNFC" localSheetId="17">OFFSET([3]AdditiveDashboardData!$E$121, 0, 0, 1, COUNTA([3]AreasForDashboardsFactors!$1:$1)-3)</definedName>
    <definedName name="addlanduseintindexNFC" localSheetId="20">OFFSET([3]AdditiveDashboardData!$E$121, 0, 0, 1, COUNTA([3]AreasForDashboardsFactors!$1:$1)-3)</definedName>
    <definedName name="addlanduseintindexNFC">OFFSET(AdditiveDashboardData!$E$121, 0, 0, 1, COUNTA(AreasForDashboardsFactors!$1:$1)-3)</definedName>
    <definedName name="addlanduseref" localSheetId="15">OFFSET([1]AdditiveDashboardData!$E$37, 0, 0, 1, COUNTA([1]AreasForDashboardsFactors!$1:$1)-3)</definedName>
    <definedName name="addlanduseref" localSheetId="19">OFFSET([1]AdditiveDashboardData!$E$37, 0, 0, 1, COUNTA([1]AreasForDashboardsFactors!$1:$1)-3)</definedName>
    <definedName name="addlanduseref" localSheetId="16">OFFSET([1]AdditiveDashboardData!$E$37, 0, 0, 1, COUNTA([1]AreasForDashboardsFactors!$1:$1)-3)</definedName>
    <definedName name="addlanduseref" localSheetId="39">OFFSET([2]AdditiveDashboardData!$E$37, 0, 0, 1, COUNTA([2]AreasForDashboardsFactors!$1:$1)-3)</definedName>
    <definedName name="addlanduseref" localSheetId="17">OFFSET([3]AdditiveDashboardData!$E$37, 0, 0, 1, COUNTA([3]AreasForDashboardsFactors!$1:$1)-3)</definedName>
    <definedName name="addlanduseref" localSheetId="20">OFFSET([3]AdditiveDashboardData!$E$37, 0, 0, 1, COUNTA([3]AreasForDashboardsFactors!$1:$1)-3)</definedName>
    <definedName name="addlanduseref">OFFSET(AdditiveDashboardData!$E$37, 0, 0, 1, COUNTA(AreasForDashboardsFactors!$1:$1)-3)</definedName>
    <definedName name="addlanduserefchng" localSheetId="15">OFFSET([1]AdditiveDashboardData!$E$48, 0, 0, 1, COUNTA([1]AreasForDashboardsFactors!$1:$1)-3)</definedName>
    <definedName name="addlanduserefchng" localSheetId="19">OFFSET([1]AdditiveDashboardData!$E$48, 0, 0, 1, COUNTA([1]AreasForDashboardsFactors!$1:$1)-3)</definedName>
    <definedName name="addlanduserefchng" localSheetId="16">OFFSET([1]AdditiveDashboardData!$E$48, 0, 0, 1, COUNTA([1]AreasForDashboardsFactors!$1:$1)-3)</definedName>
    <definedName name="addlanduserefchng" localSheetId="39">OFFSET([2]AdditiveDashboardData!$E$48, 0, 0, 1, COUNTA([2]AreasForDashboardsFactors!$1:$1)-3)</definedName>
    <definedName name="addlanduserefchng" localSheetId="17">OFFSET([3]AdditiveDashboardData!$E$48, 0, 0, 1, COUNTA([3]AreasForDashboardsFactors!$1:$1)-3)</definedName>
    <definedName name="addlanduserefchng" localSheetId="20">OFFSET([3]AdditiveDashboardData!$E$48, 0, 0, 1, COUNTA([3]AreasForDashboardsFactors!$1:$1)-3)</definedName>
    <definedName name="addlanduserefchng">OFFSET(AdditiveDashboardData!$E$48, 0, 0, 1, COUNTA(AreasForDashboardsFactors!$1:$1)-3)</definedName>
    <definedName name="addlanduserefindex" localSheetId="15">OFFSET([1]AdditiveDashboardData!$E$42, 0, 0, 1, COUNTA([1]AreasForDashboardsFactors!$1:$1)-3)</definedName>
    <definedName name="addlanduserefindex" localSheetId="19">OFFSET([1]AdditiveDashboardData!$E$42, 0, 0, 1, COUNTA([1]AreasForDashboardsFactors!$1:$1)-3)</definedName>
    <definedName name="addlanduserefindex" localSheetId="16">OFFSET([1]AdditiveDashboardData!$E$42, 0, 0, 1, COUNTA([1]AreasForDashboardsFactors!$1:$1)-3)</definedName>
    <definedName name="addlanduserefindex" localSheetId="39">OFFSET([2]AdditiveDashboardData!$E$42, 0, 0, 1, COUNTA([2]AreasForDashboardsFactors!$1:$1)-3)</definedName>
    <definedName name="addlanduserefindex" localSheetId="17">OFFSET([3]AdditiveDashboardData!$E$42, 0, 0, 1, COUNTA([3]AreasForDashboardsFactors!$1:$1)-3)</definedName>
    <definedName name="addlanduserefindex" localSheetId="20">OFFSET([3]AdditiveDashboardData!$E$42, 0, 0, 1, COUNTA([3]AreasForDashboardsFactors!$1:$1)-3)</definedName>
    <definedName name="addlanduserefindex">OFFSET(AdditiveDashboardData!$E$42, 0, 0, 1, COUNTA(AreasForDashboardsFactors!$1:$1)-3)</definedName>
    <definedName name="addlanduserefindexNFC" localSheetId="15">OFFSET([1]AdditiveDashboardData!$E$45, 0, 0, 1, COUNTA([1]AreasForDashboardsFactors!$1:$1)-3)</definedName>
    <definedName name="addlanduserefindexNFC" localSheetId="19">OFFSET([1]AdditiveDashboardData!$E$45, 0, 0, 1, COUNTA([1]AreasForDashboardsFactors!$1:$1)-3)</definedName>
    <definedName name="addlanduserefindexNFC" localSheetId="16">OFFSET([1]AdditiveDashboardData!$E$45, 0, 0, 1, COUNTA([1]AreasForDashboardsFactors!$1:$1)-3)</definedName>
    <definedName name="addlanduserefindexNFC" localSheetId="39">OFFSET([2]AdditiveDashboardData!$E$45, 0, 0, 1, COUNTA([2]AreasForDashboardsFactors!$1:$1)-3)</definedName>
    <definedName name="addlanduserefindexNFC" localSheetId="17">OFFSET([3]AdditiveDashboardData!$E$45, 0, 0, 1, COUNTA([3]AreasForDashboardsFactors!$1:$1)-3)</definedName>
    <definedName name="addlanduserefindexNFC" localSheetId="20">OFFSET([3]AdditiveDashboardData!$E$45, 0, 0, 1, COUNTA([3]AreasForDashboardsFactors!$1:$1)-3)</definedName>
    <definedName name="addlanduserefindexNFC">OFFSET(AdditiveDashboardData!$E$45, 0, 0, 1, COUNTA(AreasForDashboardsFactors!$1:$1)-3)</definedName>
    <definedName name="addNFCarea" localSheetId="15">OFFSET([1]AdditiveDashboardData!$E$153, 0, 0, 1, COUNTA([1]AreasForDashboardsFactors!$1:$1)-3)</definedName>
    <definedName name="addNFCarea" localSheetId="19">OFFSET([1]AdditiveDashboardData!$E$153, 0, 0, 1, COUNTA([1]AreasForDashboardsFactors!$1:$1)-3)</definedName>
    <definedName name="addNFCarea" localSheetId="16">OFFSET([1]AdditiveDashboardData!$E$153, 0, 0, 1, COUNTA([1]AreasForDashboardsFactors!$1:$1)-3)</definedName>
    <definedName name="addNFCarea" localSheetId="39">OFFSET([2]AdditiveDashboardData!$E$153, 0, 0, 1, COUNTA([2]AreasForDashboardsFactors!$1:$1)-3)</definedName>
    <definedName name="addNFCarea" localSheetId="17">OFFSET([3]AdditiveDashboardData!$E$153, 0, 0, 1, COUNTA([3]AreasForDashboardsFactors!$1:$1)-3)</definedName>
    <definedName name="addNFCarea" localSheetId="20">OFFSET([3]AdditiveDashboardData!$E$153, 0, 0, 1, COUNTA([3]AreasForDashboardsFactors!$1:$1)-3)</definedName>
    <definedName name="addNFCarea">OFFSET(AdditiveDashboardData!$E$153, 0, 0, 1, COUNTA(AreasForDashboardsFactors!$1:$1)-3)</definedName>
    <definedName name="addNFCindexarea" localSheetId="15">OFFSET([1]AdditiveDashboardData!$E$156, 0, 0, 1, COUNTA([1]AreasForDashboardsFactors!$1:$1)-3)</definedName>
    <definedName name="addNFCindexarea" localSheetId="19">OFFSET([1]AdditiveDashboardData!$E$156, 0, 0, 1, COUNTA([1]AreasForDashboardsFactors!$1:$1)-3)</definedName>
    <definedName name="addNFCindexarea" localSheetId="16">OFFSET([1]AdditiveDashboardData!$E$156, 0, 0, 1, COUNTA([1]AreasForDashboardsFactors!$1:$1)-3)</definedName>
    <definedName name="addNFCindexarea" localSheetId="39">OFFSET([2]AdditiveDashboardData!$E$156, 0, 0, 1, COUNTA([2]AreasForDashboardsFactors!$1:$1)-3)</definedName>
    <definedName name="addNFCindexarea" localSheetId="17">OFFSET([3]AdditiveDashboardData!$E$156, 0, 0, 1, COUNTA([3]AreasForDashboardsFactors!$1:$1)-3)</definedName>
    <definedName name="addNFCindexarea" localSheetId="20">OFFSET([3]AdditiveDashboardData!$E$156, 0, 0, 1, COUNTA([3]AreasForDashboardsFactors!$1:$1)-3)</definedName>
    <definedName name="addNFCindexarea">OFFSET(AdditiveDashboardData!$E$156, 0, 0, 1, COUNTA(AreasForDashboardsFactors!$1:$1)-3)</definedName>
    <definedName name="addNFCint" localSheetId="15">OFFSET([1]AdditiveDashboardData!$E$78, 0, 0, 1, COUNTA([1]AreasForDashboardsFactors!$1:$1)-3)</definedName>
    <definedName name="addNFCint" localSheetId="19">OFFSET([1]AdditiveDashboardData!$E$78, 0, 0, 1, COUNTA([1]AreasForDashboardsFactors!$1:$1)-3)</definedName>
    <definedName name="addNFCint" localSheetId="16">OFFSET([1]AdditiveDashboardData!$E$78, 0, 0, 1, COUNTA([1]AreasForDashboardsFactors!$1:$1)-3)</definedName>
    <definedName name="addNFCint" localSheetId="39">OFFSET([2]AdditiveDashboardData!$E$78, 0, 0, 1, COUNTA([2]AreasForDashboardsFactors!$1:$1)-3)</definedName>
    <definedName name="addNFCint" localSheetId="17">OFFSET([3]AdditiveDashboardData!$E$78, 0, 0, 1, COUNTA([3]AreasForDashboardsFactors!$1:$1)-3)</definedName>
    <definedName name="addNFCint" localSheetId="20">OFFSET([3]AdditiveDashboardData!$E$78, 0, 0, 1, COUNTA([3]AreasForDashboardsFactors!$1:$1)-3)</definedName>
    <definedName name="addNFCint">OFFSET(AdditiveDashboardData!$E$78, 0, 0, 1, COUNTA(AreasForDashboardsFactors!$1:$1)-3)</definedName>
    <definedName name="addNFCintchng" localSheetId="15">OFFSET([1]AdditiveDashboardData!$E$82, 0, 0, 1, COUNTA([1]AreasForDashboardsFactors!$1:$1)-3)</definedName>
    <definedName name="addNFCintchng" localSheetId="19">OFFSET([1]AdditiveDashboardData!$E$82, 0, 0, 1, COUNTA([1]AreasForDashboardsFactors!$1:$1)-3)</definedName>
    <definedName name="addNFCintchng" localSheetId="16">OFFSET([1]AdditiveDashboardData!$E$82, 0, 0, 1, COUNTA([1]AreasForDashboardsFactors!$1:$1)-3)</definedName>
    <definedName name="addNFCintchng" localSheetId="39">OFFSET([2]AdditiveDashboardData!$E$82, 0, 0, 1, COUNTA([2]AreasForDashboardsFactors!$1:$1)-3)</definedName>
    <definedName name="addNFCintchng" localSheetId="17">OFFSET([3]AdditiveDashboardData!$E$82, 0, 0, 1, COUNTA([3]AreasForDashboardsFactors!$1:$1)-3)</definedName>
    <definedName name="addNFCintchng" localSheetId="20">OFFSET([3]AdditiveDashboardData!$E$82, 0, 0, 1, COUNTA([3]AreasForDashboardsFactors!$1:$1)-3)</definedName>
    <definedName name="addNFCintchng">OFFSET(AdditiveDashboardData!$E$82, 0, 0, 1, COUNTA(AreasForDashboardsFactors!$1:$1)-3)</definedName>
    <definedName name="addNFCintindex" localSheetId="15">OFFSET([1]AdditiveDashboardData!$E$80, 0, 0, 1, COUNTA([1]AreasForDashboardsFactors!$1:$1)-3)</definedName>
    <definedName name="addNFCintindex" localSheetId="19">OFFSET([1]AdditiveDashboardData!$E$80, 0, 0, 1, COUNTA([1]AreasForDashboardsFactors!$1:$1)-3)</definedName>
    <definedName name="addNFCintindex" localSheetId="16">OFFSET([1]AdditiveDashboardData!$E$80, 0, 0, 1, COUNTA([1]AreasForDashboardsFactors!$1:$1)-3)</definedName>
    <definedName name="addNFCintindex" localSheetId="39">OFFSET([2]AdditiveDashboardData!$E$80, 0, 0, 1, COUNTA([2]AreasForDashboardsFactors!$1:$1)-3)</definedName>
    <definedName name="addNFCintindex" localSheetId="17">OFFSET([3]AdditiveDashboardData!$E$80, 0, 0, 1, COUNTA([3]AreasForDashboardsFactors!$1:$1)-3)</definedName>
    <definedName name="addNFCintindex" localSheetId="20">OFFSET([3]AdditiveDashboardData!$E$80, 0, 0, 1, COUNTA([3]AreasForDashboardsFactors!$1:$1)-3)</definedName>
    <definedName name="addNFCintindex">OFFSET(AdditiveDashboardData!$E$80, 0, 0, 1, COUNTA(AreasForDashboardsFactors!$1:$1)-3)</definedName>
    <definedName name="addNFCref" localSheetId="15">OFFSET([1]AdditiveDashboardData!$E$5, 0, 0, 1, COUNTA([1]AreasForDashboardsFactors!$1:$1)-3)</definedName>
    <definedName name="addNFCref" localSheetId="19">OFFSET([1]AdditiveDashboardData!$E$5, 0, 0, 1, COUNTA([1]AreasForDashboardsFactors!$1:$1)-3)</definedName>
    <definedName name="addNFCref" localSheetId="16">OFFSET([1]AdditiveDashboardData!$E$5, 0, 0, 1, COUNTA([1]AreasForDashboardsFactors!$1:$1)-3)</definedName>
    <definedName name="addNFCref" localSheetId="39">OFFSET([2]AdditiveDashboardData!$E$5, 0, 0, 1, COUNTA([2]AreasForDashboardsFactors!$1:$1)-3)</definedName>
    <definedName name="addNFCref" localSheetId="17">OFFSET([3]AdditiveDashboardData!$E$5, 0, 0, 1, COUNTA([3]AreasForDashboardsFactors!$1:$1)-3)</definedName>
    <definedName name="addNFCref" localSheetId="20">OFFSET([3]AdditiveDashboardData!$E$5, 0, 0, 1, COUNTA([3]AreasForDashboardsFactors!$1:$1)-3)</definedName>
    <definedName name="addNFCref">OFFSET(AdditiveDashboardData!$E$5, 0, 0, 1, COUNTA(AreasForDashboardsFactors!$1:$1)-3)</definedName>
    <definedName name="addNFCrefchng" localSheetId="15">OFFSET([1]AdditiveDashboardData!$E$9, 0, 0, 1, COUNTA([1]AreasForDashboardsFactors!$1:$1)-3)</definedName>
    <definedName name="addNFCrefchng" localSheetId="19">OFFSET([1]AdditiveDashboardData!$E$9, 0, 0, 1, COUNTA([1]AreasForDashboardsFactors!$1:$1)-3)</definedName>
    <definedName name="addNFCrefchng" localSheetId="16">OFFSET([1]AdditiveDashboardData!$E$9, 0, 0, 1, COUNTA([1]AreasForDashboardsFactors!$1:$1)-3)</definedName>
    <definedName name="addNFCrefchng" localSheetId="39">OFFSET([2]AdditiveDashboardData!$E$9, 0, 0, 1, COUNTA([2]AreasForDashboardsFactors!$1:$1)-3)</definedName>
    <definedName name="addNFCrefchng" localSheetId="17">OFFSET([3]AdditiveDashboardData!$E$9, 0, 0, 1, COUNTA([3]AreasForDashboardsFactors!$1:$1)-3)</definedName>
    <definedName name="addNFCrefchng" localSheetId="20">OFFSET([3]AdditiveDashboardData!$E$9, 0, 0, 1, COUNTA([3]AreasForDashboardsFactors!$1:$1)-3)</definedName>
    <definedName name="addNFCrefchng">OFFSET(AdditiveDashboardData!$E$9, 0, 0, 1, COUNTA(AreasForDashboardsFactors!$1:$1)-3)</definedName>
    <definedName name="addNFCrefindex" localSheetId="15">OFFSET([1]AdditiveDashboardData!$E$7, 0, 0, 1, COUNTA([1]AreasForDashboardsFactors!$1:$1)-3)</definedName>
    <definedName name="addNFCrefindex" localSheetId="19">OFFSET([1]AdditiveDashboardData!$E$7, 0, 0, 1, COUNTA([1]AreasForDashboardsFactors!$1:$1)-3)</definedName>
    <definedName name="addNFCrefindex" localSheetId="16">OFFSET([1]AdditiveDashboardData!$E$7, 0, 0, 1, COUNTA([1]AreasForDashboardsFactors!$1:$1)-3)</definedName>
    <definedName name="addNFCrefindex" localSheetId="39">OFFSET([2]AdditiveDashboardData!$E$7, 0, 0, 1, COUNTA([2]AreasForDashboardsFactors!$1:$1)-3)</definedName>
    <definedName name="addNFCrefindex" localSheetId="17">OFFSET([3]AdditiveDashboardData!$E$7, 0, 0, 1, COUNTA([3]AreasForDashboardsFactors!$1:$1)-3)</definedName>
    <definedName name="addNFCrefindex" localSheetId="20">OFFSET([3]AdditiveDashboardData!$E$7, 0, 0, 1, COUNTA([3]AreasForDashboardsFactors!$1:$1)-3)</definedName>
    <definedName name="addNFCrefindex">OFFSET(AdditiveDashboardData!$E$7, 0, 0, 1, COUNTA(AreasForDashboardsFactors!$1:$1)-3)</definedName>
    <definedName name="addotherarea" localSheetId="15">OFFSET([1]AdditiveDashboardData!$E$187, 0, 0, 1, COUNTA([1]AreasForDashboardsFactors!$1:$1)-3)</definedName>
    <definedName name="addotherarea" localSheetId="19">OFFSET([1]AdditiveDashboardData!$E$187, 0, 0, 1, COUNTA([1]AreasForDashboardsFactors!$1:$1)-3)</definedName>
    <definedName name="addotherarea" localSheetId="16">OFFSET([1]AdditiveDashboardData!$E$187, 0, 0, 1, COUNTA([1]AreasForDashboardsFactors!$1:$1)-3)</definedName>
    <definedName name="addotherarea" localSheetId="39">OFFSET([2]AdditiveDashboardData!$E$187, 0, 0, 1, COUNTA([2]AreasForDashboardsFactors!$1:$1)-3)</definedName>
    <definedName name="addotherarea" localSheetId="17">OFFSET([3]AdditiveDashboardData!$E$187, 0, 0, 1, COUNTA([3]AreasForDashboardsFactors!$1:$1)-3)</definedName>
    <definedName name="addotherarea" localSheetId="20">OFFSET([3]AdditiveDashboardData!$E$187, 0, 0, 1, COUNTA([3]AreasForDashboardsFactors!$1:$1)-3)</definedName>
    <definedName name="addotherarea">OFFSET(AdditiveDashboardData!$E$187, 0, 0, 1, COUNTA(AreasForDashboardsFactors!$1:$1)-3)</definedName>
    <definedName name="addotherindexarea" localSheetId="15">OFFSET([1]AdditiveDashboardData!$E$190, 0, 0, 1, COUNTA([1]AreasForDashboardsFactors!$1:$1)-3)</definedName>
    <definedName name="addotherindexarea" localSheetId="19">OFFSET([1]AdditiveDashboardData!$E$190, 0, 0, 1, COUNTA([1]AreasForDashboardsFactors!$1:$1)-3)</definedName>
    <definedName name="addotherindexarea" localSheetId="16">OFFSET([1]AdditiveDashboardData!$E$190, 0, 0, 1, COUNTA([1]AreasForDashboardsFactors!$1:$1)-3)</definedName>
    <definedName name="addotherindexarea" localSheetId="39">OFFSET([2]AdditiveDashboardData!$E$190, 0, 0, 1, COUNTA([2]AreasForDashboardsFactors!$1:$1)-3)</definedName>
    <definedName name="addotherindexarea" localSheetId="17">OFFSET([3]AdditiveDashboardData!$E$190, 0, 0, 1, COUNTA([3]AreasForDashboardsFactors!$1:$1)-3)</definedName>
    <definedName name="addotherindexarea" localSheetId="20">OFFSET([3]AdditiveDashboardData!$E$190, 0, 0, 1, COUNTA([3]AreasForDashboardsFactors!$1:$1)-3)</definedName>
    <definedName name="addotherindexarea">OFFSET(AdditiveDashboardData!$E$190, 0, 0, 1, COUNTA(AreasForDashboardsFactors!$1:$1)-3)</definedName>
    <definedName name="addotherindexNFCarea" localSheetId="15">OFFSET([1]AdditiveDashboardData!$E$193, 0, 0, 1, COUNTA([1]AreasForDashboardsFactors!$1:$1)-3)</definedName>
    <definedName name="addotherindexNFCarea" localSheetId="19">OFFSET([1]AdditiveDashboardData!$E$193, 0, 0, 1, COUNTA([1]AreasForDashboardsFactors!$1:$1)-3)</definedName>
    <definedName name="addotherindexNFCarea" localSheetId="16">OFFSET([1]AdditiveDashboardData!$E$193, 0, 0, 1, COUNTA([1]AreasForDashboardsFactors!$1:$1)-3)</definedName>
    <definedName name="addotherindexNFCarea" localSheetId="39">OFFSET([2]AdditiveDashboardData!$E$193, 0, 0, 1, COUNTA([2]AreasForDashboardsFactors!$1:$1)-3)</definedName>
    <definedName name="addotherindexNFCarea" localSheetId="17">OFFSET([3]AdditiveDashboardData!$E$193, 0, 0, 1, COUNTA([3]AreasForDashboardsFactors!$1:$1)-3)</definedName>
    <definedName name="addotherindexNFCarea" localSheetId="20">OFFSET([3]AdditiveDashboardData!$E$193, 0, 0, 1, COUNTA([3]AreasForDashboardsFactors!$1:$1)-3)</definedName>
    <definedName name="addotherindexNFCarea">OFFSET(AdditiveDashboardData!$E$193, 0, 0, 1, COUNTA(AreasForDashboardsFactors!$1:$1)-3)</definedName>
    <definedName name="addotherint" localSheetId="15">OFFSET([1]AdditiveDashboardData!$E$130, 0, 0, 1, COUNTA([1]AreasForDashboardsFactors!$1:$1)-3)</definedName>
    <definedName name="addotherint" localSheetId="19">OFFSET([1]AdditiveDashboardData!$E$130, 0, 0, 1, COUNTA([1]AreasForDashboardsFactors!$1:$1)-3)</definedName>
    <definedName name="addotherint" localSheetId="16">OFFSET([1]AdditiveDashboardData!$E$130, 0, 0, 1, COUNTA([1]AreasForDashboardsFactors!$1:$1)-3)</definedName>
    <definedName name="addotherint" localSheetId="39">OFFSET([2]AdditiveDashboardData!$E$130, 0, 0, 1, COUNTA([2]AreasForDashboardsFactors!$1:$1)-3)</definedName>
    <definedName name="addotherint" localSheetId="17">OFFSET([3]AdditiveDashboardData!$E$130, 0, 0, 1, COUNTA([3]AreasForDashboardsFactors!$1:$1)-3)</definedName>
    <definedName name="addotherint" localSheetId="20">OFFSET([3]AdditiveDashboardData!$E$130, 0, 0, 1, COUNTA([3]AreasForDashboardsFactors!$1:$1)-3)</definedName>
    <definedName name="addotherint">OFFSET(AdditiveDashboardData!$E$130, 0, 0, 1, COUNTA(AreasForDashboardsFactors!$1:$1)-3)</definedName>
    <definedName name="addotherintchng" localSheetId="15">OFFSET([1]AdditiveDashboardData!$E$136, 0, 0, 1, COUNTA([1]AreasForDashboardsFactors!$1:$1)-3)</definedName>
    <definedName name="addotherintchng" localSheetId="19">OFFSET([1]AdditiveDashboardData!$E$136, 0, 0, 1, COUNTA([1]AreasForDashboardsFactors!$1:$1)-3)</definedName>
    <definedName name="addotherintchng" localSheetId="16">OFFSET([1]AdditiveDashboardData!$E$136, 0, 0, 1, COUNTA([1]AreasForDashboardsFactors!$1:$1)-3)</definedName>
    <definedName name="addotherintchng" localSheetId="39">OFFSET([2]AdditiveDashboardData!$E$136, 0, 0, 1, COUNTA([2]AreasForDashboardsFactors!$1:$1)-3)</definedName>
    <definedName name="addotherintchng" localSheetId="17">OFFSET([3]AdditiveDashboardData!$E$136, 0, 0, 1, COUNTA([3]AreasForDashboardsFactors!$1:$1)-3)</definedName>
    <definedName name="addotherintchng" localSheetId="20">OFFSET([3]AdditiveDashboardData!$E$136, 0, 0, 1, COUNTA([3]AreasForDashboardsFactors!$1:$1)-3)</definedName>
    <definedName name="addotherintchng">OFFSET(AdditiveDashboardData!$E$136, 0, 0, 1, COUNTA(AreasForDashboardsFactors!$1:$1)-3)</definedName>
    <definedName name="addotherintindex" localSheetId="15">OFFSET([1]AdditiveDashboardData!$E$132, 0, 0, 1, COUNTA([1]AreasForDashboardsFactors!$1:$1)-3)</definedName>
    <definedName name="addotherintindex" localSheetId="19">OFFSET([1]AdditiveDashboardData!$E$132, 0, 0, 1, COUNTA([1]AreasForDashboardsFactors!$1:$1)-3)</definedName>
    <definedName name="addotherintindex" localSheetId="16">OFFSET([1]AdditiveDashboardData!$E$132, 0, 0, 1, COUNTA([1]AreasForDashboardsFactors!$1:$1)-3)</definedName>
    <definedName name="addotherintindex" localSheetId="39">OFFSET([2]AdditiveDashboardData!$E$132, 0, 0, 1, COUNTA([2]AreasForDashboardsFactors!$1:$1)-3)</definedName>
    <definedName name="addotherintindex" localSheetId="17">OFFSET([3]AdditiveDashboardData!$E$132, 0, 0, 1, COUNTA([3]AreasForDashboardsFactors!$1:$1)-3)</definedName>
    <definedName name="addotherintindex" localSheetId="20">OFFSET([3]AdditiveDashboardData!$E$132, 0, 0, 1, COUNTA([3]AreasForDashboardsFactors!$1:$1)-3)</definedName>
    <definedName name="addotherintindex">OFFSET(AdditiveDashboardData!$E$132, 0, 0, 1, COUNTA(AreasForDashboardsFactors!$1:$1)-3)</definedName>
    <definedName name="addotherintindexNFC" localSheetId="15">OFFSET([1]AdditiveDashboardData!$E$134, 0, 0, 1, COUNTA([1]AreasForDashboardsFactors!$1:$1)-3)</definedName>
    <definedName name="addotherintindexNFC" localSheetId="19">OFFSET([1]AdditiveDashboardData!$E$134, 0, 0, 1, COUNTA([1]AreasForDashboardsFactors!$1:$1)-3)</definedName>
    <definedName name="addotherintindexNFC" localSheetId="16">OFFSET([1]AdditiveDashboardData!$E$134, 0, 0, 1, COUNTA([1]AreasForDashboardsFactors!$1:$1)-3)</definedName>
    <definedName name="addotherintindexNFC" localSheetId="39">OFFSET([2]AdditiveDashboardData!$E$134, 0, 0, 1, COUNTA([2]AreasForDashboardsFactors!$1:$1)-3)</definedName>
    <definedName name="addotherintindexNFC" localSheetId="17">OFFSET([3]AdditiveDashboardData!$E$134, 0, 0, 1, COUNTA([3]AreasForDashboardsFactors!$1:$1)-3)</definedName>
    <definedName name="addotherintindexNFC" localSheetId="20">OFFSET([3]AdditiveDashboardData!$E$134, 0, 0, 1, COUNTA([3]AreasForDashboardsFactors!$1:$1)-3)</definedName>
    <definedName name="addotherintindexNFC">OFFSET(AdditiveDashboardData!$E$134, 0, 0, 1, COUNTA(AreasForDashboardsFactors!$1:$1)-3)</definedName>
    <definedName name="addotherref" localSheetId="15">OFFSET([1]AdditiveDashboardData!$E$53, 0, 0, 1, COUNTA([1]AreasForDashboardsFactors!$1:$1)-3)</definedName>
    <definedName name="addotherref" localSheetId="19">OFFSET([1]AdditiveDashboardData!$E$53, 0, 0, 1, COUNTA([1]AreasForDashboardsFactors!$1:$1)-3)</definedName>
    <definedName name="addotherref" localSheetId="16">OFFSET([1]AdditiveDashboardData!$E$53, 0, 0, 1, COUNTA([1]AreasForDashboardsFactors!$1:$1)-3)</definedName>
    <definedName name="addotherref" localSheetId="39">OFFSET([2]AdditiveDashboardData!$E$53, 0, 0, 1, COUNTA([2]AreasForDashboardsFactors!$1:$1)-3)</definedName>
    <definedName name="addotherref" localSheetId="17">OFFSET([3]AdditiveDashboardData!$E$53, 0, 0, 1, COUNTA([3]AreasForDashboardsFactors!$1:$1)-3)</definedName>
    <definedName name="addotherref" localSheetId="20">OFFSET([3]AdditiveDashboardData!$E$53, 0, 0, 1, COUNTA([3]AreasForDashboardsFactors!$1:$1)-3)</definedName>
    <definedName name="addotherref">OFFSET(AdditiveDashboardData!$E$53, 0, 0, 1, COUNTA(AreasForDashboardsFactors!$1:$1)-3)</definedName>
    <definedName name="addotherrefchng" localSheetId="15">OFFSET([1]AdditiveDashboardData!$E$59, 0, 0, 1, COUNTA([1]AreasForDashboardsFactors!$1:$1)-3)</definedName>
    <definedName name="addotherrefchng" localSheetId="19">OFFSET([1]AdditiveDashboardData!$E$59, 0, 0, 1, COUNTA([1]AreasForDashboardsFactors!$1:$1)-3)</definedName>
    <definedName name="addotherrefchng" localSheetId="16">OFFSET([1]AdditiveDashboardData!$E$59, 0, 0, 1, COUNTA([1]AreasForDashboardsFactors!$1:$1)-3)</definedName>
    <definedName name="addotherrefchng" localSheetId="39">OFFSET([2]AdditiveDashboardData!$E$59, 0, 0, 1, COUNTA([2]AreasForDashboardsFactors!$1:$1)-3)</definedName>
    <definedName name="addotherrefchng" localSheetId="17">OFFSET([3]AdditiveDashboardData!$E$59, 0, 0, 1, COUNTA([3]AreasForDashboardsFactors!$1:$1)-3)</definedName>
    <definedName name="addotherrefchng" localSheetId="20">OFFSET([3]AdditiveDashboardData!$E$59, 0, 0, 1, COUNTA([3]AreasForDashboardsFactors!$1:$1)-3)</definedName>
    <definedName name="addotherrefchng">OFFSET(AdditiveDashboardData!$E$59, 0, 0, 1, COUNTA(AreasForDashboardsFactors!$1:$1)-3)</definedName>
    <definedName name="addotherrefindex" localSheetId="15">OFFSET([1]AdditiveDashboardData!$E$55, 0, 0, 1, COUNTA([1]AreasForDashboardsFactors!$1:$1)-3)</definedName>
    <definedName name="addotherrefindex" localSheetId="19">OFFSET([1]AdditiveDashboardData!$E$55, 0, 0, 1, COUNTA([1]AreasForDashboardsFactors!$1:$1)-3)</definedName>
    <definedName name="addotherrefindex" localSheetId="16">OFFSET([1]AdditiveDashboardData!$E$55, 0, 0, 1, COUNTA([1]AreasForDashboardsFactors!$1:$1)-3)</definedName>
    <definedName name="addotherrefindex" localSheetId="39">OFFSET([2]AdditiveDashboardData!$E$55, 0, 0, 1, COUNTA([2]AreasForDashboardsFactors!$1:$1)-3)</definedName>
    <definedName name="addotherrefindex" localSheetId="17">OFFSET([3]AdditiveDashboardData!$E$55, 0, 0, 1, COUNTA([3]AreasForDashboardsFactors!$1:$1)-3)</definedName>
    <definedName name="addotherrefindex" localSheetId="20">OFFSET([3]AdditiveDashboardData!$E$55, 0, 0, 1, COUNTA([3]AreasForDashboardsFactors!$1:$1)-3)</definedName>
    <definedName name="addotherrefindex">OFFSET(AdditiveDashboardData!$E$55, 0, 0, 1, COUNTA(AreasForDashboardsFactors!$1:$1)-3)</definedName>
    <definedName name="addotherrefindexNFC" localSheetId="15">OFFSET([1]AdditiveDashboardData!$E$57, 0, 0, 1, COUNTA([1]AreasForDashboardsFactors!$1:$1)-3)</definedName>
    <definedName name="addotherrefindexNFC" localSheetId="19">OFFSET([1]AdditiveDashboardData!$E$57, 0, 0, 1, COUNTA([1]AreasForDashboardsFactors!$1:$1)-3)</definedName>
    <definedName name="addotherrefindexNFC" localSheetId="16">OFFSET([1]AdditiveDashboardData!$E$57, 0, 0, 1, COUNTA([1]AreasForDashboardsFactors!$1:$1)-3)</definedName>
    <definedName name="addotherrefindexNFC" localSheetId="39">OFFSET([2]AdditiveDashboardData!$E$57, 0, 0, 1, COUNTA([2]AreasForDashboardsFactors!$1:$1)-3)</definedName>
    <definedName name="addotherrefindexNFC" localSheetId="17">OFFSET([3]AdditiveDashboardData!$E$57, 0, 0, 1, COUNTA([3]AreasForDashboardsFactors!$1:$1)-3)</definedName>
    <definedName name="addotherrefindexNFC" localSheetId="20">OFFSET([3]AdditiveDashboardData!$E$57, 0, 0, 1, COUNTA([3]AreasForDashboardsFactors!$1:$1)-3)</definedName>
    <definedName name="addotherrefindexNFC">OFFSET(AdditiveDashboardData!$E$57, 0, 0, 1, COUNTA(AreasForDashboardsFactors!$1:$1)-3)</definedName>
    <definedName name="addtotalGHGarea" localSheetId="15">OFFSET([1]AdditiveDashboardData!$E$196, 0, 0, 1, COUNTA([1]AreasForDashboardsFactors!$1:$1)-3)</definedName>
    <definedName name="addtotalGHGarea" localSheetId="19">OFFSET([1]AdditiveDashboardData!$E$196, 0, 0, 1, COUNTA([1]AreasForDashboardsFactors!$1:$1)-3)</definedName>
    <definedName name="addtotalGHGarea" localSheetId="16">OFFSET([1]AdditiveDashboardData!$E$196, 0, 0, 1, COUNTA([1]AreasForDashboardsFactors!$1:$1)-3)</definedName>
    <definedName name="addtotalGHGarea" localSheetId="39">OFFSET([2]AdditiveDashboardData!$E$196, 0, 0, 1, COUNTA([2]AreasForDashboardsFactors!$1:$1)-3)</definedName>
    <definedName name="addtotalGHGarea" localSheetId="17">OFFSET([3]AdditiveDashboardData!$E$196, 0, 0, 1, COUNTA([3]AreasForDashboardsFactors!$1:$1)-3)</definedName>
    <definedName name="addtotalGHGarea" localSheetId="20">OFFSET([3]AdditiveDashboardData!$E$196, 0, 0, 1, COUNTA([3]AreasForDashboardsFactors!$1:$1)-3)</definedName>
    <definedName name="addtotalGHGarea">OFFSET(AdditiveDashboardData!$E$196, 0, 0, 1, COUNTA(AreasForDashboardsFactors!$1:$1)-3)</definedName>
    <definedName name="addtotalGHGindexarea" localSheetId="15">OFFSET([1]AdditiveDashboardData!$E$199, 0, 0, 1, COUNTA([1]AreasForDashboardsFactors!$1:$1)-3)</definedName>
    <definedName name="addtotalGHGindexarea" localSheetId="19">OFFSET([1]AdditiveDashboardData!$E$199, 0, 0, 1, COUNTA([1]AreasForDashboardsFactors!$1:$1)-3)</definedName>
    <definedName name="addtotalGHGindexarea" localSheetId="16">OFFSET([1]AdditiveDashboardData!$E$199, 0, 0, 1, COUNTA([1]AreasForDashboardsFactors!$1:$1)-3)</definedName>
    <definedName name="addtotalGHGindexarea" localSheetId="39">OFFSET([2]AdditiveDashboardData!$E$199, 0, 0, 1, COUNTA([2]AreasForDashboardsFactors!$1:$1)-3)</definedName>
    <definedName name="addtotalGHGindexarea" localSheetId="17">OFFSET([3]AdditiveDashboardData!$E$199, 0, 0, 1, COUNTA([3]AreasForDashboardsFactors!$1:$1)-3)</definedName>
    <definedName name="addtotalGHGindexarea" localSheetId="20">OFFSET([3]AdditiveDashboardData!$E$199, 0, 0, 1, COUNTA([3]AreasForDashboardsFactors!$1:$1)-3)</definedName>
    <definedName name="addtotalGHGindexarea">OFFSET(AdditiveDashboardData!$E$199, 0, 0, 1, COUNTA(AreasForDashboardsFactors!$1:$1)-3)</definedName>
    <definedName name="addtotalGHGindexNFCarea" localSheetId="15">OFFSET([1]AdditiveDashboardData!$E$202, 0, 0, 1, COUNTA([1]AreasForDashboardsFactors!$1:$1)-3)</definedName>
    <definedName name="addtotalGHGindexNFCarea" localSheetId="19">OFFSET([1]AdditiveDashboardData!$E$202, 0, 0, 1, COUNTA([1]AreasForDashboardsFactors!$1:$1)-3)</definedName>
    <definedName name="addtotalGHGindexNFCarea" localSheetId="16">OFFSET([1]AdditiveDashboardData!$E$202, 0, 0, 1, COUNTA([1]AreasForDashboardsFactors!$1:$1)-3)</definedName>
    <definedName name="addtotalGHGindexNFCarea" localSheetId="39">OFFSET([2]AdditiveDashboardData!$E$202, 0, 0, 1, COUNTA([2]AreasForDashboardsFactors!$1:$1)-3)</definedName>
    <definedName name="addtotalGHGindexNFCarea" localSheetId="17">OFFSET([3]AdditiveDashboardData!$E$202, 0, 0, 1, COUNTA([3]AreasForDashboardsFactors!$1:$1)-3)</definedName>
    <definedName name="addtotalGHGindexNFCarea" localSheetId="20">OFFSET([3]AdditiveDashboardData!$E$202, 0, 0, 1, COUNTA([3]AreasForDashboardsFactors!$1:$1)-3)</definedName>
    <definedName name="addtotalGHGindexNFCarea">OFFSET(AdditiveDashboardData!$E$202, 0, 0, 1, COUNTA(AreasForDashboardsFactors!$1:$1)-3)</definedName>
    <definedName name="addtotalGHGint" localSheetId="15">OFFSET([1]AdditiveDashboardData!$E$141, 0, 0, 1, COUNTA([1]AreasForDashboardsFactors!$1:$1)-3)</definedName>
    <definedName name="addtotalGHGint" localSheetId="19">OFFSET([1]AdditiveDashboardData!$E$141, 0, 0, 1, COUNTA([1]AreasForDashboardsFactors!$1:$1)-3)</definedName>
    <definedName name="addtotalGHGint" localSheetId="16">OFFSET([1]AdditiveDashboardData!$E$141, 0, 0, 1, COUNTA([1]AreasForDashboardsFactors!$1:$1)-3)</definedName>
    <definedName name="addtotalGHGint" localSheetId="39">OFFSET([2]AdditiveDashboardData!$E$141, 0, 0, 1, COUNTA([2]AreasForDashboardsFactors!$1:$1)-3)</definedName>
    <definedName name="addtotalGHGint" localSheetId="17">OFFSET([3]AdditiveDashboardData!$E$141, 0, 0, 1, COUNTA([3]AreasForDashboardsFactors!$1:$1)-3)</definedName>
    <definedName name="addtotalGHGint" localSheetId="20">OFFSET([3]AdditiveDashboardData!$E$141, 0, 0, 1, COUNTA([3]AreasForDashboardsFactors!$1:$1)-3)</definedName>
    <definedName name="addtotalGHGint">OFFSET(AdditiveDashboardData!$E$141, 0, 0, 1, COUNTA(AreasForDashboardsFactors!$1:$1)-3)</definedName>
    <definedName name="addtotalGHGintchng" localSheetId="15">OFFSET([1]AdditiveDashboardData!$E$147, 0, 0, 1, COUNTA([1]AreasForDashboardsFactors!$1:$1)-3)</definedName>
    <definedName name="addtotalGHGintchng" localSheetId="19">OFFSET([1]AdditiveDashboardData!$E$147, 0, 0, 1, COUNTA([1]AreasForDashboardsFactors!$1:$1)-3)</definedName>
    <definedName name="addtotalGHGintchng" localSheetId="16">OFFSET([1]AdditiveDashboardData!$E$147, 0, 0, 1, COUNTA([1]AreasForDashboardsFactors!$1:$1)-3)</definedName>
    <definedName name="addtotalGHGintchng" localSheetId="39">OFFSET([2]AdditiveDashboardData!$E$147, 0, 0, 1, COUNTA([2]AreasForDashboardsFactors!$1:$1)-3)</definedName>
    <definedName name="addtotalGHGintchng" localSheetId="17">OFFSET([3]AdditiveDashboardData!$E$147, 0, 0, 1, COUNTA([3]AreasForDashboardsFactors!$1:$1)-3)</definedName>
    <definedName name="addtotalGHGintchng" localSheetId="20">OFFSET([3]AdditiveDashboardData!$E$147, 0, 0, 1, COUNTA([3]AreasForDashboardsFactors!$1:$1)-3)</definedName>
    <definedName name="addtotalGHGintchng">OFFSET(AdditiveDashboardData!$E$147, 0, 0, 1, COUNTA(AreasForDashboardsFactors!$1:$1)-3)</definedName>
    <definedName name="addtotalGHGintindex" localSheetId="15">OFFSET([1]AdditiveDashboardData!$E$143, 0, 0, 1, COUNTA([1]AreasForDashboardsFactors!$1:$1)-3)</definedName>
    <definedName name="addtotalGHGintindex" localSheetId="19">OFFSET([1]AdditiveDashboardData!$E$143, 0, 0, 1, COUNTA([1]AreasForDashboardsFactors!$1:$1)-3)</definedName>
    <definedName name="addtotalGHGintindex" localSheetId="16">OFFSET([1]AdditiveDashboardData!$E$143, 0, 0, 1, COUNTA([1]AreasForDashboardsFactors!$1:$1)-3)</definedName>
    <definedName name="addtotalGHGintindex" localSheetId="39">OFFSET([2]AdditiveDashboardData!$E$143, 0, 0, 1, COUNTA([2]AreasForDashboardsFactors!$1:$1)-3)</definedName>
    <definedName name="addtotalGHGintindex" localSheetId="17">OFFSET([3]AdditiveDashboardData!$E$143, 0, 0, 1, COUNTA([3]AreasForDashboardsFactors!$1:$1)-3)</definedName>
    <definedName name="addtotalGHGintindex" localSheetId="20">OFFSET([3]AdditiveDashboardData!$E$143, 0, 0, 1, COUNTA([3]AreasForDashboardsFactors!$1:$1)-3)</definedName>
    <definedName name="addtotalGHGintindex">OFFSET(AdditiveDashboardData!$E$143, 0, 0, 1, COUNTA(AreasForDashboardsFactors!$1:$1)-3)</definedName>
    <definedName name="addtotalGHGintindexNFC" localSheetId="15">OFFSET([1]AdditiveDashboardData!$E$145, 0, 0, 1, COUNTA([1]AreasForDashboardsFactors!$1:$1)-3)</definedName>
    <definedName name="addtotalGHGintindexNFC" localSheetId="19">OFFSET([1]AdditiveDashboardData!$E$145, 0, 0, 1, COUNTA([1]AreasForDashboardsFactors!$1:$1)-3)</definedName>
    <definedName name="addtotalGHGintindexNFC" localSheetId="16">OFFSET([1]AdditiveDashboardData!$E$145, 0, 0, 1, COUNTA([1]AreasForDashboardsFactors!$1:$1)-3)</definedName>
    <definedName name="addtotalGHGintindexNFC" localSheetId="39">OFFSET([2]AdditiveDashboardData!$E$145, 0, 0, 1, COUNTA([2]AreasForDashboardsFactors!$1:$1)-3)</definedName>
    <definedName name="addtotalGHGintindexNFC" localSheetId="17">OFFSET([3]AdditiveDashboardData!$E$145, 0, 0, 1, COUNTA([3]AreasForDashboardsFactors!$1:$1)-3)</definedName>
    <definedName name="addtotalGHGintindexNFC" localSheetId="20">OFFSET([3]AdditiveDashboardData!$E$145, 0, 0, 1, COUNTA([3]AreasForDashboardsFactors!$1:$1)-3)</definedName>
    <definedName name="addtotalGHGintindexNFC">OFFSET(AdditiveDashboardData!$E$145, 0, 0, 1, COUNTA(AreasForDashboardsFactors!$1:$1)-3)</definedName>
    <definedName name="addtotalGHGref" localSheetId="15">OFFSET([1]AdditiveDashboardData!$E$64, 0, 0, 1, COUNTA([1]AreasForDashboardsFactors!$1:$1)-3)</definedName>
    <definedName name="addtotalGHGref" localSheetId="19">OFFSET([1]AdditiveDashboardData!$E$64, 0, 0, 1, COUNTA([1]AreasForDashboardsFactors!$1:$1)-3)</definedName>
    <definedName name="addtotalGHGref" localSheetId="16">OFFSET([1]AdditiveDashboardData!$E$64, 0, 0, 1, COUNTA([1]AreasForDashboardsFactors!$1:$1)-3)</definedName>
    <definedName name="addtotalGHGref" localSheetId="39">OFFSET([2]AdditiveDashboardData!$E$64, 0, 0, 1, COUNTA([2]AreasForDashboardsFactors!$1:$1)-3)</definedName>
    <definedName name="addtotalGHGref" localSheetId="17">OFFSET([3]AdditiveDashboardData!$E$64, 0, 0, 1, COUNTA([3]AreasForDashboardsFactors!$1:$1)-3)</definedName>
    <definedName name="addtotalGHGref" localSheetId="20">OFFSET([3]AdditiveDashboardData!$E$64, 0, 0, 1, COUNTA([3]AreasForDashboardsFactors!$1:$1)-3)</definedName>
    <definedName name="addtotalGHGref">OFFSET(AdditiveDashboardData!$E$64, 0, 0, 1, COUNTA(AreasForDashboardsFactors!$1:$1)-3)</definedName>
    <definedName name="addtotalGHGrefchng" localSheetId="15">OFFSET([1]AdditiveDashboardData!$E$70, 0, 0, 1, COUNTA([1]AreasForDashboardsFactors!$1:$1)-3)</definedName>
    <definedName name="addtotalGHGrefchng" localSheetId="19">OFFSET([1]AdditiveDashboardData!$E$70, 0, 0, 1, COUNTA([1]AreasForDashboardsFactors!$1:$1)-3)</definedName>
    <definedName name="addtotalGHGrefchng" localSheetId="16">OFFSET([1]AdditiveDashboardData!$E$70, 0, 0, 1, COUNTA([1]AreasForDashboardsFactors!$1:$1)-3)</definedName>
    <definedName name="addtotalGHGrefchng" localSheetId="39">OFFSET([2]AdditiveDashboardData!$E$70, 0, 0, 1, COUNTA([2]AreasForDashboardsFactors!$1:$1)-3)</definedName>
    <definedName name="addtotalGHGrefchng" localSheetId="17">OFFSET([3]AdditiveDashboardData!$E$70, 0, 0, 1, COUNTA([3]AreasForDashboardsFactors!$1:$1)-3)</definedName>
    <definedName name="addtotalGHGrefchng" localSheetId="20">OFFSET([3]AdditiveDashboardData!$E$70, 0, 0, 1, COUNTA([3]AreasForDashboardsFactors!$1:$1)-3)</definedName>
    <definedName name="addtotalGHGrefchng">OFFSET(AdditiveDashboardData!$E$70, 0, 0, 1, COUNTA(AreasForDashboardsFactors!$1:$1)-3)</definedName>
    <definedName name="addtotalGHGrefindex" localSheetId="15">OFFSET([1]AdditiveDashboardData!$E$66, 0, 0, 1, COUNTA([1]AreasForDashboardsFactors!$1:$1)-3)</definedName>
    <definedName name="addtotalGHGrefindex" localSheetId="19">OFFSET([1]AdditiveDashboardData!$E$66, 0, 0, 1, COUNTA([1]AreasForDashboardsFactors!$1:$1)-3)</definedName>
    <definedName name="addtotalGHGrefindex" localSheetId="16">OFFSET([1]AdditiveDashboardData!$E$66, 0, 0, 1, COUNTA([1]AreasForDashboardsFactors!$1:$1)-3)</definedName>
    <definedName name="addtotalGHGrefindex" localSheetId="39">OFFSET([2]AdditiveDashboardData!$E$66, 0, 0, 1, COUNTA([2]AreasForDashboardsFactors!$1:$1)-3)</definedName>
    <definedName name="addtotalGHGrefindex" localSheetId="17">OFFSET([3]AdditiveDashboardData!$E$66, 0, 0, 1, COUNTA([3]AreasForDashboardsFactors!$1:$1)-3)</definedName>
    <definedName name="addtotalGHGrefindex" localSheetId="20">OFFSET([3]AdditiveDashboardData!$E$66, 0, 0, 1, COUNTA([3]AreasForDashboardsFactors!$1:$1)-3)</definedName>
    <definedName name="addtotalGHGrefindex">OFFSET(AdditiveDashboardData!$E$66, 0, 0, 1, COUNTA(AreasForDashboardsFactors!$1:$1)-3)</definedName>
    <definedName name="addtotalGHGrefindexNFC" localSheetId="15">OFFSET([1]AdditiveDashboardData!$E$68, 0, 0, 1, COUNTA([1]AreasForDashboardsFactors!$1:$1)-3)</definedName>
    <definedName name="addtotalGHGrefindexNFC" localSheetId="19">OFFSET([1]AdditiveDashboardData!$E$68, 0, 0, 1, COUNTA([1]AreasForDashboardsFactors!$1:$1)-3)</definedName>
    <definedName name="addtotalGHGrefindexNFC" localSheetId="16">OFFSET([1]AdditiveDashboardData!$E$68, 0, 0, 1, COUNTA([1]AreasForDashboardsFactors!$1:$1)-3)</definedName>
    <definedName name="addtotalGHGrefindexNFC" localSheetId="39">OFFSET([2]AdditiveDashboardData!$E$68, 0, 0, 1, COUNTA([2]AreasForDashboardsFactors!$1:$1)-3)</definedName>
    <definedName name="addtotalGHGrefindexNFC" localSheetId="17">OFFSET([3]AdditiveDashboardData!$E$68, 0, 0, 1, COUNTA([3]AreasForDashboardsFactors!$1:$1)-3)</definedName>
    <definedName name="addtotalGHGrefindexNFC" localSheetId="20">OFFSET([3]AdditiveDashboardData!$E$68, 0, 0, 1, COUNTA([3]AreasForDashboardsFactors!$1:$1)-3)</definedName>
    <definedName name="addtotalGHGrefindexNFC">OFFSET(AdditiveDashboardData!$E$68, 0, 0, 1, COUNTA(AreasForDashboardsFactors!$1:$1)-3)</definedName>
    <definedName name="AreaFE" localSheetId="15">OFFSET([1]AreasForDashboardsFactors!$E$4, 0, 0, 1, COUNTA([1]AreasForDashboardsFactors!$1:$1)-3)</definedName>
    <definedName name="AreaFE" localSheetId="19">OFFSET([1]AreasForDashboardsFactors!$E$4, 0, 0, 1, COUNTA([1]AreasForDashboardsFactors!$1:$1)-3)</definedName>
    <definedName name="AreaFE" localSheetId="16">OFFSET([1]AreasForDashboardsFactors!$E$4, 0, 0, 1, COUNTA([1]AreasForDashboardsFactors!$1:$1)-3)</definedName>
    <definedName name="AreaFE" localSheetId="39">OFFSET([2]AreasForDashboardsFactors!$E$4, 0, 0, 1, COUNTA([2]AreasForDashboardsFactors!$1:$1)-3)</definedName>
    <definedName name="AreaFE" localSheetId="17">OFFSET([3]AreasForDashboardsFactors!$E$4, 0, 0, 1, COUNTA([3]AreasForDashboardsFactors!$1:$1)-3)</definedName>
    <definedName name="AreaFE" localSheetId="20">OFFSET([3]AreasForDashboardsFactors!$E$4, 0, 0, 1, COUNTA([3]AreasForDashboardsFactors!$1:$1)-3)</definedName>
    <definedName name="AreaFE">OFFSET(AreasForDashboardsFactors!$E$4, 0, 0, 1, COUNTA(AreasForDashboardsFactors!$1:$1)-3)</definedName>
    <definedName name="AreaFE_GWP" localSheetId="15">OFFSET([1]AreasForDashboardsRatios!$E$4, 0, 0, 1, COUNTA([1]AreasForDashboardsRatios!$1:$1)-3)</definedName>
    <definedName name="AreaFE_GWP" localSheetId="19">OFFSET([1]AreasForDashboardsRatios!$E$4, 0, 0, 1, COUNTA([1]AreasForDashboardsRatios!$1:$1)-3)</definedName>
    <definedName name="AreaFE_GWP" localSheetId="16">OFFSET([1]AreasForDashboardsRatios!$E$4, 0, 0, 1, COUNTA([1]AreasForDashboardsRatios!$1:$1)-3)</definedName>
    <definedName name="AreaFE_GWP" localSheetId="39">OFFSET([2]AreasForDashboardsRatios!$E$4, 0, 0, 1, COUNTA([2]AreasForDashboardsRatios!$1:$1)-3)</definedName>
    <definedName name="AreaFE_GWP" localSheetId="17">OFFSET([3]AreasForDashboardsRatios!$E$4, 0, 0, 1, COUNTA([3]AreasForDashboardsRatios!$1:$1)-3)</definedName>
    <definedName name="AreaFE_GWP" localSheetId="20">OFFSET([3]AreasForDashboardsRatios!$E$4, 0, 0, 1, COUNTA([3]AreasForDashboardsRatios!$1:$1)-3)</definedName>
    <definedName name="AreaFE_GWP">OFFSET(AreasForDashboardsRatios!$E$4, 0, 0, 1, COUNTA(AreasForDashboardsRatios!$1:$1)-3)</definedName>
    <definedName name="AreaFEIndex" localSheetId="15">OFFSET([1]AreasForDashboardsFactors!$E$13, 0, 0, 1, COUNTA([1]AreasForDashboardsFactors!$1:$1)-3)</definedName>
    <definedName name="AreaFEIndex" localSheetId="19">OFFSET([1]AreasForDashboardsFactors!$E$13, 0, 0, 1, COUNTA([1]AreasForDashboardsFactors!$1:$1)-3)</definedName>
    <definedName name="AreaFEIndex" localSheetId="16">OFFSET([1]AreasForDashboardsFactors!$E$13, 0, 0, 1, COUNTA([1]AreasForDashboardsFactors!$1:$1)-3)</definedName>
    <definedName name="AreaFEIndex" localSheetId="39">OFFSET([2]AreasForDashboardsFactors!$E$13, 0, 0, 1, COUNTA([2]AreasForDashboardsFactors!$1:$1)-3)</definedName>
    <definedName name="AreaFEIndex" localSheetId="17">OFFSET([3]AreasForDashboardsFactors!$E$13, 0, 0, 1, COUNTA([3]AreasForDashboardsFactors!$1:$1)-3)</definedName>
    <definedName name="AreaFEIndex" localSheetId="20">OFFSET([3]AreasForDashboardsFactors!$E$13, 0, 0, 1, COUNTA([3]AreasForDashboardsFactors!$1:$1)-3)</definedName>
    <definedName name="AreaFEIndex">OFFSET(AreasForDashboardsFactors!$E$13, 0, 0, 1, COUNTA(AreasForDashboardsFactors!$1:$1)-3)</definedName>
    <definedName name="AreaGWP" localSheetId="15">OFFSET([1]AreasForDashboardsFactors!$E$3, 0, 0, 1, COUNTA([1]AreasForDashboardsFactors!$1:$1)-3)</definedName>
    <definedName name="AreaGWP" localSheetId="19">OFFSET([1]AreasForDashboardsFactors!$E$3, 0, 0, 1, COUNTA([1]AreasForDashboardsFactors!$1:$1)-3)</definedName>
    <definedName name="AreaGWP" localSheetId="16">OFFSET([1]AreasForDashboardsFactors!$E$3, 0, 0, 1, COUNTA([1]AreasForDashboardsFactors!$1:$1)-3)</definedName>
    <definedName name="AreaGWP" localSheetId="39">OFFSET([2]AreasForDashboardsFactors!$E$3, 0, 0, 1, COUNTA([2]AreasForDashboardsFactors!$1:$1)-3)</definedName>
    <definedName name="AreaGWP" localSheetId="17">OFFSET([3]AreasForDashboardsFactors!$E$3, 0, 0, 1, COUNTA([3]AreasForDashboardsFactors!$1:$1)-3)</definedName>
    <definedName name="AreaGWP" localSheetId="20">OFFSET([3]AreasForDashboardsFactors!$E$3, 0, 0, 1, COUNTA([3]AreasForDashboardsFactors!$1:$1)-3)</definedName>
    <definedName name="AreaGWP">OFFSET(AreasForDashboardsFactors!$E$3, 0, 0, 1, COUNTA(AreasForDashboardsFactors!$1:$1)-3)</definedName>
    <definedName name="AreaGWP_P" localSheetId="15">OFFSET([1]AreasForDashboardsRatios!$E$3, 0, 0, 1, COUNTA([1]AreasForDashboardsRatios!$1:$1)-3)</definedName>
    <definedName name="AreaGWP_P" localSheetId="19">OFFSET([1]AreasForDashboardsRatios!$E$3, 0, 0, 1, COUNTA([1]AreasForDashboardsRatios!$1:$1)-3)</definedName>
    <definedName name="AreaGWP_P" localSheetId="16">OFFSET([1]AreasForDashboardsRatios!$E$3, 0, 0, 1, COUNTA([1]AreasForDashboardsRatios!$1:$1)-3)</definedName>
    <definedName name="AreaGWP_P" localSheetId="39">OFFSET([2]AreasForDashboardsRatios!$E$3, 0, 0, 1, COUNTA([2]AreasForDashboardsRatios!$1:$1)-3)</definedName>
    <definedName name="AreaGWP_P" localSheetId="17">OFFSET([3]AreasForDashboardsRatios!$E$3, 0, 0, 1, COUNTA([3]AreasForDashboardsRatios!$1:$1)-3)</definedName>
    <definedName name="AreaGWP_P" localSheetId="20">OFFSET([3]AreasForDashboardsRatios!$E$3, 0, 0, 1, COUNTA([3]AreasForDashboardsRatios!$1:$1)-3)</definedName>
    <definedName name="AreaGWP_P">OFFSET(AreasForDashboardsRatios!$E$3, 0, 0, 1, COUNTA(AreasForDashboardsRatios!$1:$1)-3)</definedName>
    <definedName name="AreaGWPIndex" localSheetId="15">OFFSET([1]AreasForDashboardsFactors!$E$12, 0, 0, 1, COUNTA([1]AreasForDashboardsFactors!$1:$1)-3)</definedName>
    <definedName name="AreaGWPIndex" localSheetId="19">OFFSET([1]AreasForDashboardsFactors!$E$12, 0, 0, 1, COUNTA([1]AreasForDashboardsFactors!$1:$1)-3)</definedName>
    <definedName name="AreaGWPIndex" localSheetId="16">OFFSET([1]AreasForDashboardsFactors!$E$12, 0, 0, 1, COUNTA([1]AreasForDashboardsFactors!$1:$1)-3)</definedName>
    <definedName name="AreaGWPIndex" localSheetId="39">OFFSET([2]AreasForDashboardsFactors!$E$12, 0, 0, 1, COUNTA([2]AreasForDashboardsFactors!$1:$1)-3)</definedName>
    <definedName name="AreaGWPIndex" localSheetId="17">OFFSET([3]AreasForDashboardsFactors!$E$12, 0, 0, 1, COUNTA([3]AreasForDashboardsFactors!$1:$1)-3)</definedName>
    <definedName name="AreaGWPIndex" localSheetId="20">OFFSET([3]AreasForDashboardsFactors!$E$12, 0, 0, 1, COUNTA([3]AreasForDashboardsFactors!$1:$1)-3)</definedName>
    <definedName name="AreaGWPIndex">OFFSET(AreasForDashboardsFactors!$E$12, 0, 0, 1, COUNTA(AreasForDashboardsFactors!$1:$1)-3)</definedName>
    <definedName name="AreaIndexFE_GWP" localSheetId="15">OFFSET([1]AreasForDashboardsRatios!$E$17, 0, 0, 1, COUNTA([1]AreasForDashboardsRatios!$1:$1)-3)</definedName>
    <definedName name="AreaIndexFE_GWP" localSheetId="19">OFFSET([1]AreasForDashboardsRatios!$E$17, 0, 0, 1, COUNTA([1]AreasForDashboardsRatios!$1:$1)-3)</definedName>
    <definedName name="AreaIndexFE_GWP" localSheetId="16">OFFSET([1]AreasForDashboardsRatios!$E$17, 0, 0, 1, COUNTA([1]AreasForDashboardsRatios!$1:$1)-3)</definedName>
    <definedName name="AreaIndexFE_GWP" localSheetId="39">OFFSET([2]AreasForDashboardsRatios!$E$17, 0, 0, 1, COUNTA([2]AreasForDashboardsRatios!$1:$1)-3)</definedName>
    <definedName name="AreaIndexFE_GWP" localSheetId="17">OFFSET([3]AreasForDashboardsRatios!$E$17, 0, 0, 1, COUNTA([3]AreasForDashboardsRatios!$1:$1)-3)</definedName>
    <definedName name="AreaIndexFE_GWP" localSheetId="20">OFFSET([3]AreasForDashboardsRatios!$E$17, 0, 0, 1, COUNTA([3]AreasForDashboardsRatios!$1:$1)-3)</definedName>
    <definedName name="AreaIndexFE_GWP">OFFSET(AreasForDashboardsRatios!$E$17, 0, 0, 1, COUNTA(AreasForDashboardsRatios!$1:$1)-3)</definedName>
    <definedName name="AreaIndexGWP_P" localSheetId="15">OFFSET([1]AreasForDashboardsRatios!$E$16, 0, 0, 1, COUNTA([1]AreasForDashboardsRatios!$1:$1)-3)</definedName>
    <definedName name="AreaIndexGWP_P" localSheetId="19">OFFSET([1]AreasForDashboardsRatios!$E$16, 0, 0, 1, COUNTA([1]AreasForDashboardsRatios!$1:$1)-3)</definedName>
    <definedName name="AreaIndexGWP_P" localSheetId="16">OFFSET([1]AreasForDashboardsRatios!$E$16, 0, 0, 1, COUNTA([1]AreasForDashboardsRatios!$1:$1)-3)</definedName>
    <definedName name="AreaIndexGWP_P" localSheetId="39">OFFSET([2]AreasForDashboardsRatios!$E$16, 0, 0, 1, COUNTA([2]AreasForDashboardsRatios!$1:$1)-3)</definedName>
    <definedName name="AreaIndexGWP_P" localSheetId="17">OFFSET([3]AreasForDashboardsRatios!$E$16, 0, 0, 1, COUNTA([3]AreasForDashboardsRatios!$1:$1)-3)</definedName>
    <definedName name="AreaIndexGWP_P" localSheetId="20">OFFSET([3]AreasForDashboardsRatios!$E$16, 0, 0, 1, COUNTA([3]AreasForDashboardsRatios!$1:$1)-3)</definedName>
    <definedName name="AreaIndexGWP_P">OFFSET(AreasForDashboardsRatios!$E$16, 0, 0, 1, COUNTA(AreasForDashboardsRatios!$1:$1)-3)</definedName>
    <definedName name="AreaIndexNFC" localSheetId="15">OFFSET([1]AreasForDashboardsFactors!$E$17, 0, 0, 1, COUNTA([1]AreasForDashboardsFactors!$1:$1)-3)</definedName>
    <definedName name="AreaIndexNFC" localSheetId="19">OFFSET([1]AreasForDashboardsFactors!$E$17, 0, 0, 1, COUNTA([1]AreasForDashboardsFactors!$1:$1)-3)</definedName>
    <definedName name="AreaIndexNFC" localSheetId="16">OFFSET([1]AreasForDashboardsFactors!$E$17, 0, 0, 1, COUNTA([1]AreasForDashboardsFactors!$1:$1)-3)</definedName>
    <definedName name="AreaIndexNFC" localSheetId="39">OFFSET([2]AreasForDashboardsFactors!$E$17, 0, 0, 1, COUNTA([2]AreasForDashboardsFactors!$1:$1)-3)</definedName>
    <definedName name="AreaIndexNFC" localSheetId="17">OFFSET([3]AreasForDashboardsFactors!$E$17, 0, 0, 1, COUNTA([3]AreasForDashboardsFactors!$1:$1)-3)</definedName>
    <definedName name="AreaIndexNFC" localSheetId="20">OFFSET([3]AreasForDashboardsFactors!$E$17, 0, 0, 1, COUNTA([3]AreasForDashboardsFactors!$1:$1)-3)</definedName>
    <definedName name="AreaIndexNFC">OFFSET(AreasForDashboardsFactors!$E$17, 0, 0, 1, COUNTA(AreasForDashboardsFactors!$1:$1)-3)</definedName>
    <definedName name="AreaIndexNFC_TFC" localSheetId="15">OFFSET([1]AreasForDashboardsRatios!$E$21, 0, 0, 1, COUNTA([1]AreasForDashboardsRatios!$1:$1)-3)</definedName>
    <definedName name="AreaIndexNFC_TFC" localSheetId="19">OFFSET([1]AreasForDashboardsRatios!$E$21, 0, 0, 1, COUNTA([1]AreasForDashboardsRatios!$1:$1)-3)</definedName>
    <definedName name="AreaIndexNFC_TFC" localSheetId="16">OFFSET([1]AreasForDashboardsRatios!$E$21, 0, 0, 1, COUNTA([1]AreasForDashboardsRatios!$1:$1)-3)</definedName>
    <definedName name="AreaIndexNFC_TFC" localSheetId="39">OFFSET([2]AreasForDashboardsRatios!$E$21, 0, 0, 1, COUNTA([2]AreasForDashboardsRatios!$1:$1)-3)</definedName>
    <definedName name="AreaIndexNFC_TFC" localSheetId="17">OFFSET([3]AreasForDashboardsRatios!$E$21, 0, 0, 1, COUNTA([3]AreasForDashboardsRatios!$1:$1)-3)</definedName>
    <definedName name="AreaIndexNFC_TFC" localSheetId="20">OFFSET([3]AreasForDashboardsRatios!$E$21, 0, 0, 1, COUNTA([3]AreasForDashboardsRatios!$1:$1)-3)</definedName>
    <definedName name="AreaIndexNFC_TFC">OFFSET(AreasForDashboardsRatios!$E$21, 0, 0, 1, COUNTA(AreasForDashboardsRatios!$1:$1)-3)</definedName>
    <definedName name="AreaIndexPEdeq" localSheetId="15">OFFSET([1]AreasForDashboardsFactors!$E$14, 0, 0, 1, COUNTA([1]AreasForDashboardsFactors!$1:$1)-3)</definedName>
    <definedName name="AreaIndexPEdeq" localSheetId="19">OFFSET([1]AreasForDashboardsFactors!$E$14, 0, 0, 1, COUNTA([1]AreasForDashboardsFactors!$1:$1)-3)</definedName>
    <definedName name="AreaIndexPEdeq" localSheetId="16">OFFSET([1]AreasForDashboardsFactors!$E$14, 0, 0, 1, COUNTA([1]AreasForDashboardsFactors!$1:$1)-3)</definedName>
    <definedName name="AreaIndexPEdeq" localSheetId="39">OFFSET([2]AreasForDashboardsFactors!$E$14, 0, 0, 1, COUNTA([2]AreasForDashboardsFactors!$1:$1)-3)</definedName>
    <definedName name="AreaIndexPEdeq" localSheetId="17">OFFSET([3]AreasForDashboardsFactors!$E$14, 0, 0, 1, COUNTA([3]AreasForDashboardsFactors!$1:$1)-3)</definedName>
    <definedName name="AreaIndexPEdeq" localSheetId="20">OFFSET([3]AreasForDashboardsFactors!$E$14, 0, 0, 1, COUNTA([3]AreasForDashboardsFactors!$1:$1)-3)</definedName>
    <definedName name="AreaIndexPEdeq">OFFSET(AreasForDashboardsFactors!$E$14, 0, 0, 1, COUNTA(AreasForDashboardsFactors!$1:$1)-3)</definedName>
    <definedName name="AreaIndexPEdeq_FE" localSheetId="15">OFFSET([1]AreasForDashboardsRatios!$E$18, 0, 0, 1, COUNTA([1]AreasForDashboardsRatios!$1:$1)-3)</definedName>
    <definedName name="AreaIndexPEdeq_FE" localSheetId="19">OFFSET([1]AreasForDashboardsRatios!$E$18, 0, 0, 1, COUNTA([1]AreasForDashboardsRatios!$1:$1)-3)</definedName>
    <definedName name="AreaIndexPEdeq_FE" localSheetId="16">OFFSET([1]AreasForDashboardsRatios!$E$18, 0, 0, 1, COUNTA([1]AreasForDashboardsRatios!$1:$1)-3)</definedName>
    <definedName name="AreaIndexPEdeq_FE" localSheetId="39">OFFSET([2]AreasForDashboardsRatios!$E$18, 0, 0, 1, COUNTA([2]AreasForDashboardsRatios!$1:$1)-3)</definedName>
    <definedName name="AreaIndexPEdeq_FE" localSheetId="17">OFFSET([3]AreasForDashboardsRatios!$E$18, 0, 0, 1, COUNTA([3]AreasForDashboardsRatios!$1:$1)-3)</definedName>
    <definedName name="AreaIndexPEdeq_FE" localSheetId="20">OFFSET([3]AreasForDashboardsRatios!$E$18, 0, 0, 1, COUNTA([3]AreasForDashboardsRatios!$1:$1)-3)</definedName>
    <definedName name="AreaIndexPEdeq_FE">OFFSET(AreasForDashboardsRatios!$E$18, 0, 0, 1, COUNTA(AreasForDashboardsRatios!$1:$1)-3)</definedName>
    <definedName name="AreaIndexPEdeq_GWP" localSheetId="15">OFFSET([1]AreasForDashboardsRatios!$E$24, 0, 0, 1, COUNTA([1]AreasForDashboardsRatios!$1:$1)-3)</definedName>
    <definedName name="AreaIndexPEdeq_GWP" localSheetId="19">OFFSET([1]AreasForDashboardsRatios!$E$24, 0, 0, 1, COUNTA([1]AreasForDashboardsRatios!$1:$1)-3)</definedName>
    <definedName name="AreaIndexPEdeq_GWP" localSheetId="16">OFFSET([1]AreasForDashboardsRatios!$E$24, 0, 0, 1, COUNTA([1]AreasForDashboardsRatios!$1:$1)-3)</definedName>
    <definedName name="AreaIndexPEdeq_GWP" localSheetId="39">OFFSET([2]AreasForDashboardsRatios!$E$24, 0, 0, 1, COUNTA([2]AreasForDashboardsRatios!$1:$1)-3)</definedName>
    <definedName name="AreaIndexPEdeq_GWP" localSheetId="17">OFFSET([3]AreasForDashboardsRatios!$E$24, 0, 0, 1, COUNTA([3]AreasForDashboardsRatios!$1:$1)-3)</definedName>
    <definedName name="AreaIndexPEdeq_GWP" localSheetId="20">OFFSET([3]AreasForDashboardsRatios!$E$24, 0, 0, 1, COUNTA([3]AreasForDashboardsRatios!$1:$1)-3)</definedName>
    <definedName name="AreaIndexPEdeq_GWP">OFFSET(AreasForDashboardsRatios!$E$24, 0, 0, 1, COUNTA(AreasForDashboardsRatios!$1:$1)-3)</definedName>
    <definedName name="AreaIndexPEff" localSheetId="15">OFFSET([1]AreasForDashboardsFactors!$E$15, 0, 0, 1, COUNTA([1]AreasForDashboardsFactors!$1:$1)-3)</definedName>
    <definedName name="AreaIndexPEff" localSheetId="19">OFFSET([1]AreasForDashboardsFactors!$E$15, 0, 0, 1, COUNTA([1]AreasForDashboardsFactors!$1:$1)-3)</definedName>
    <definedName name="AreaIndexPEff" localSheetId="16">OFFSET([1]AreasForDashboardsFactors!$E$15, 0, 0, 1, COUNTA([1]AreasForDashboardsFactors!$1:$1)-3)</definedName>
    <definedName name="AreaIndexPEff" localSheetId="39">OFFSET([2]AreasForDashboardsFactors!$E$15, 0, 0, 1, COUNTA([2]AreasForDashboardsFactors!$1:$1)-3)</definedName>
    <definedName name="AreaIndexPEff" localSheetId="17">OFFSET([3]AreasForDashboardsFactors!$E$15, 0, 0, 1, COUNTA([3]AreasForDashboardsFactors!$1:$1)-3)</definedName>
    <definedName name="AreaIndexPEff" localSheetId="20">OFFSET([3]AreasForDashboardsFactors!$E$15, 0, 0, 1, COUNTA([3]AreasForDashboardsFactors!$1:$1)-3)</definedName>
    <definedName name="AreaIndexPEff">OFFSET(AreasForDashboardsFactors!$E$15, 0, 0, 1, COUNTA(AreasForDashboardsFactors!$1:$1)-3)</definedName>
    <definedName name="AreaIndexPEff_PEdeq" localSheetId="15">OFFSET([1]AreasForDashboardsRatios!$E$19, 0, 0, 1, COUNTA([1]AreasForDashboardsRatios!$1:$1)-3)</definedName>
    <definedName name="AreaIndexPEff_PEdeq" localSheetId="19">OFFSET([1]AreasForDashboardsRatios!$E$19, 0, 0, 1, COUNTA([1]AreasForDashboardsRatios!$1:$1)-3)</definedName>
    <definedName name="AreaIndexPEff_PEdeq" localSheetId="16">OFFSET([1]AreasForDashboardsRatios!$E$19, 0, 0, 1, COUNTA([1]AreasForDashboardsRatios!$1:$1)-3)</definedName>
    <definedName name="AreaIndexPEff_PEdeq" localSheetId="39">OFFSET([2]AreasForDashboardsRatios!$E$19, 0, 0, 1, COUNTA([2]AreasForDashboardsRatios!$1:$1)-3)</definedName>
    <definedName name="AreaIndexPEff_PEdeq" localSheetId="17">OFFSET([3]AreasForDashboardsRatios!$E$19, 0, 0, 1, COUNTA([3]AreasForDashboardsRatios!$1:$1)-3)</definedName>
    <definedName name="AreaIndexPEff_PEdeq" localSheetId="20">OFFSET([3]AreasForDashboardsRatios!$E$19, 0, 0, 1, COUNTA([3]AreasForDashboardsRatios!$1:$1)-3)</definedName>
    <definedName name="AreaIndexPEff_PEdeq">OFFSET(AreasForDashboardsRatios!$E$19, 0, 0, 1, COUNTA(AreasForDashboardsRatios!$1:$1)-3)</definedName>
    <definedName name="AreaIndexTFC" localSheetId="15">OFFSET([1]AreasForDashboardsFactors!$E$16, 0, 0, 1, COUNTA([1]AreasForDashboardsFactors!$1:$1)-3)</definedName>
    <definedName name="AreaIndexTFC" localSheetId="19">OFFSET([1]AreasForDashboardsFactors!$E$16, 0, 0, 1, COUNTA([1]AreasForDashboardsFactors!$1:$1)-3)</definedName>
    <definedName name="AreaIndexTFC" localSheetId="16">OFFSET([1]AreasForDashboardsFactors!$E$16, 0, 0, 1, COUNTA([1]AreasForDashboardsFactors!$1:$1)-3)</definedName>
    <definedName name="AreaIndexTFC" localSheetId="39">OFFSET([2]AreasForDashboardsFactors!$E$16, 0, 0, 1, COUNTA([2]AreasForDashboardsFactors!$1:$1)-3)</definedName>
    <definedName name="AreaIndexTFC" localSheetId="17">OFFSET([3]AreasForDashboardsFactors!$E$16, 0, 0, 1, COUNTA([3]AreasForDashboardsFactors!$1:$1)-3)</definedName>
    <definedName name="AreaIndexTFC" localSheetId="20">OFFSET([3]AreasForDashboardsFactors!$E$16, 0, 0, 1, COUNTA([3]AreasForDashboardsFactors!$1:$1)-3)</definedName>
    <definedName name="AreaIndexTFC">OFFSET(AreasForDashboardsFactors!$E$16, 0, 0, 1, COUNTA(AreasForDashboardsFactors!$1:$1)-3)</definedName>
    <definedName name="AreaIndexTFC_PEff" localSheetId="15">OFFSET([1]AreasForDashboardsRatios!$E$20, 0, 0, 1, COUNTA([1]AreasForDashboardsRatios!$1:$1)-3)</definedName>
    <definedName name="AreaIndexTFC_PEff" localSheetId="19">OFFSET([1]AreasForDashboardsRatios!$E$20, 0, 0, 1, COUNTA([1]AreasForDashboardsRatios!$1:$1)-3)</definedName>
    <definedName name="AreaIndexTFC_PEff" localSheetId="16">OFFSET([1]AreasForDashboardsRatios!$E$20, 0, 0, 1, COUNTA([1]AreasForDashboardsRatios!$1:$1)-3)</definedName>
    <definedName name="AreaIndexTFC_PEff" localSheetId="39">OFFSET([2]AreasForDashboardsRatios!$E$20, 0, 0, 1, COUNTA([2]AreasForDashboardsRatios!$1:$1)-3)</definedName>
    <definedName name="AreaIndexTFC_PEff" localSheetId="17">OFFSET([3]AreasForDashboardsRatios!$E$20, 0, 0, 1, COUNTA([3]AreasForDashboardsRatios!$1:$1)-3)</definedName>
    <definedName name="AreaIndexTFC_PEff" localSheetId="20">OFFSET([3]AreasForDashboardsRatios!$E$20, 0, 0, 1, COUNTA([3]AreasForDashboardsRatios!$1:$1)-3)</definedName>
    <definedName name="AreaIndexTFC_PEff">OFFSET(AreasForDashboardsRatios!$E$20, 0, 0, 1, COUNTA(AreasForDashboardsRatios!$1:$1)-3)</definedName>
    <definedName name="AreaNFC" localSheetId="15">OFFSET([1]AreasForDashboardsFactors!$E$8, 0, 0, 1, COUNTA([1]AreasForDashboardsFactors!$1:$1)-3)</definedName>
    <definedName name="AreaNFC" localSheetId="19">OFFSET([1]AreasForDashboardsFactors!$E$8, 0, 0, 1, COUNTA([1]AreasForDashboardsFactors!$1:$1)-3)</definedName>
    <definedName name="AreaNFC" localSheetId="16">OFFSET([1]AreasForDashboardsFactors!$E$8, 0, 0, 1, COUNTA([1]AreasForDashboardsFactors!$1:$1)-3)</definedName>
    <definedName name="AreaNFC" localSheetId="39">OFFSET([2]AreasForDashboardsFactors!$E$8, 0, 0, 1, COUNTA([2]AreasForDashboardsFactors!$1:$1)-3)</definedName>
    <definedName name="AreaNFC" localSheetId="17">OFFSET([3]AreasForDashboardsFactors!$E$8, 0, 0, 1, COUNTA([3]AreasForDashboardsFactors!$1:$1)-3)</definedName>
    <definedName name="AreaNFC" localSheetId="20">OFFSET([3]AreasForDashboardsFactors!$E$8, 0, 0, 1, COUNTA([3]AreasForDashboardsFactors!$1:$1)-3)</definedName>
    <definedName name="AreaNFC">OFFSET(AreasForDashboardsFactors!$E$8, 0, 0, 1, COUNTA(AreasForDashboardsFactors!$1:$1)-3)</definedName>
    <definedName name="AreaNFC_TFC" localSheetId="15">OFFSET([1]AreasForDashboardsRatios!$E$8, 0, 0, 1, COUNTA([1]AreasForDashboardsRatios!$1:$1)-3)</definedName>
    <definedName name="AreaNFC_TFC" localSheetId="19">OFFSET([1]AreasForDashboardsRatios!$E$8, 0, 0, 1, COUNTA([1]AreasForDashboardsRatios!$1:$1)-3)</definedName>
    <definedName name="AreaNFC_TFC" localSheetId="16">OFFSET([1]AreasForDashboardsRatios!$E$8, 0, 0, 1, COUNTA([1]AreasForDashboardsRatios!$1:$1)-3)</definedName>
    <definedName name="AreaNFC_TFC" localSheetId="39">OFFSET([2]AreasForDashboardsRatios!$E$8, 0, 0, 1, COUNTA([2]AreasForDashboardsRatios!$1:$1)-3)</definedName>
    <definedName name="AreaNFC_TFC" localSheetId="17">OFFSET([3]AreasForDashboardsRatios!$E$8, 0, 0, 1, COUNTA([3]AreasForDashboardsRatios!$1:$1)-3)</definedName>
    <definedName name="AreaNFC_TFC" localSheetId="20">OFFSET([3]AreasForDashboardsRatios!$E$8, 0, 0, 1, COUNTA([3]AreasForDashboardsRatios!$1:$1)-3)</definedName>
    <definedName name="AreaNFC_TFC">OFFSET(AreasForDashboardsRatios!$E$8, 0, 0, 1, COUNTA(AreasForDashboardsRatios!$1:$1)-3)</definedName>
    <definedName name="AreaPEdeq" localSheetId="15">OFFSET([1]AreasForDashboardsFactors!$E$5, 0, 0, 1, COUNTA([1]AreasForDashboardsFactors!$1:$1)-3)</definedName>
    <definedName name="AreaPEdeq" localSheetId="19">OFFSET([1]AreasForDashboardsFactors!$E$5, 0, 0, 1, COUNTA([1]AreasForDashboardsFactors!$1:$1)-3)</definedName>
    <definedName name="AreaPEdeq" localSheetId="16">OFFSET([1]AreasForDashboardsFactors!$E$5, 0, 0, 1, COUNTA([1]AreasForDashboardsFactors!$1:$1)-3)</definedName>
    <definedName name="AreaPEdeq" localSheetId="39">OFFSET([2]AreasForDashboardsFactors!$E$5, 0, 0, 1, COUNTA([2]AreasForDashboardsFactors!$1:$1)-3)</definedName>
    <definedName name="AreaPEdeq" localSheetId="17">OFFSET([3]AreasForDashboardsFactors!$E$5, 0, 0, 1, COUNTA([3]AreasForDashboardsFactors!$1:$1)-3)</definedName>
    <definedName name="AreaPEdeq" localSheetId="20">OFFSET([3]AreasForDashboardsFactors!$E$5, 0, 0, 1, COUNTA([3]AreasForDashboardsFactors!$1:$1)-3)</definedName>
    <definedName name="AreaPEdeq">OFFSET(AreasForDashboardsFactors!$E$5, 0, 0, 1, COUNTA(AreasForDashboardsFactors!$1:$1)-3)</definedName>
    <definedName name="AreaPEdeq_FE" localSheetId="15">OFFSET([1]AreasForDashboardsRatios!$E$5, 0, 0, 1, COUNTA([1]AreasForDashboardsRatios!$1:$1)-3)</definedName>
    <definedName name="AreaPEdeq_FE" localSheetId="19">OFFSET([1]AreasForDashboardsRatios!$E$5, 0, 0, 1, COUNTA([1]AreasForDashboardsRatios!$1:$1)-3)</definedName>
    <definedName name="AreaPEdeq_FE" localSheetId="16">OFFSET([1]AreasForDashboardsRatios!$E$5, 0, 0, 1, COUNTA([1]AreasForDashboardsRatios!$1:$1)-3)</definedName>
    <definedName name="AreaPEdeq_FE" localSheetId="39">OFFSET([2]AreasForDashboardsRatios!$E$5, 0, 0, 1, COUNTA([2]AreasForDashboardsRatios!$1:$1)-3)</definedName>
    <definedName name="AreaPEdeq_FE" localSheetId="17">OFFSET([3]AreasForDashboardsRatios!$E$5, 0, 0, 1, COUNTA([3]AreasForDashboardsRatios!$1:$1)-3)</definedName>
    <definedName name="AreaPEdeq_FE" localSheetId="20">OFFSET([3]AreasForDashboardsRatios!$E$5, 0, 0, 1, COUNTA([3]AreasForDashboardsRatios!$1:$1)-3)</definedName>
    <definedName name="AreaPEdeq_FE">OFFSET(AreasForDashboardsRatios!$E$5, 0, 0, 1, COUNTA(AreasForDashboardsRatios!$1:$1)-3)</definedName>
    <definedName name="AreaPEdeq_GWP" localSheetId="15">OFFSET([1]AreasForDashboardsRatios!$E$11, 0, 0, 1, COUNTA([1]AreasForDashboardsRatios!$1:$1)-3)</definedName>
    <definedName name="AreaPEdeq_GWP" localSheetId="19">OFFSET([1]AreasForDashboardsRatios!$E$11, 0, 0, 1, COUNTA([1]AreasForDashboardsRatios!$1:$1)-3)</definedName>
    <definedName name="AreaPEdeq_GWP" localSheetId="16">OFFSET([1]AreasForDashboardsRatios!$E$11, 0, 0, 1, COUNTA([1]AreasForDashboardsRatios!$1:$1)-3)</definedName>
    <definedName name="AreaPEdeq_GWP" localSheetId="39">OFFSET([2]AreasForDashboardsRatios!$E$11, 0, 0, 1, COUNTA([2]AreasForDashboardsRatios!$1:$1)-3)</definedName>
    <definedName name="AreaPEdeq_GWP" localSheetId="17">OFFSET([3]AreasForDashboardsRatios!$E$11, 0, 0, 1, COUNTA([3]AreasForDashboardsRatios!$1:$1)-3)</definedName>
    <definedName name="AreaPEdeq_GWP" localSheetId="20">OFFSET([3]AreasForDashboardsRatios!$E$11, 0, 0, 1, COUNTA([3]AreasForDashboardsRatios!$1:$1)-3)</definedName>
    <definedName name="AreaPEdeq_GWP">OFFSET(AreasForDashboardsRatios!$E$11, 0, 0, 1, COUNTA(AreasForDashboardsRatios!$1:$1)-3)</definedName>
    <definedName name="AreaPEff" localSheetId="15">OFFSET([1]AreasForDashboardsFactors!$E$6, 0, 0, 1, COUNTA([1]AreasForDashboardsFactors!$1:$1)-3)</definedName>
    <definedName name="AreaPEff" localSheetId="19">OFFSET([1]AreasForDashboardsFactors!$E$6, 0, 0, 1, COUNTA([1]AreasForDashboardsFactors!$1:$1)-3)</definedName>
    <definedName name="AreaPEff" localSheetId="16">OFFSET([1]AreasForDashboardsFactors!$E$6, 0, 0, 1, COUNTA([1]AreasForDashboardsFactors!$1:$1)-3)</definedName>
    <definedName name="AreaPEff" localSheetId="39">OFFSET([2]AreasForDashboardsFactors!$E$6, 0, 0, 1, COUNTA([2]AreasForDashboardsFactors!$1:$1)-3)</definedName>
    <definedName name="AreaPEff" localSheetId="17">OFFSET([3]AreasForDashboardsFactors!$E$6, 0, 0, 1, COUNTA([3]AreasForDashboardsFactors!$1:$1)-3)</definedName>
    <definedName name="AreaPEff" localSheetId="20">OFFSET([3]AreasForDashboardsFactors!$E$6, 0, 0, 1, COUNTA([3]AreasForDashboardsFactors!$1:$1)-3)</definedName>
    <definedName name="AreaPEff">OFFSET(AreasForDashboardsFactors!$E$6, 0, 0, 1, COUNTA(AreasForDashboardsFactors!$1:$1)-3)</definedName>
    <definedName name="AreaPEff_PEdeq" localSheetId="15">OFFSET([1]AreasForDashboardsRatios!$E$6, 0, 0, 1, COUNTA([1]AreasForDashboardsRatios!$1:$1)-3)</definedName>
    <definedName name="AreaPEff_PEdeq" localSheetId="19">OFFSET([1]AreasForDashboardsRatios!$E$6, 0, 0, 1, COUNTA([1]AreasForDashboardsRatios!$1:$1)-3)</definedName>
    <definedName name="AreaPEff_PEdeq" localSheetId="16">OFFSET([1]AreasForDashboardsRatios!$E$6, 0, 0, 1, COUNTA([1]AreasForDashboardsRatios!$1:$1)-3)</definedName>
    <definedName name="AreaPEff_PEdeq" localSheetId="39">OFFSET([2]AreasForDashboardsRatios!$E$6, 0, 0, 1, COUNTA([2]AreasForDashboardsRatios!$1:$1)-3)</definedName>
    <definedName name="AreaPEff_PEdeq" localSheetId="17">OFFSET([3]AreasForDashboardsRatios!$E$6, 0, 0, 1, COUNTA([3]AreasForDashboardsRatios!$1:$1)-3)</definedName>
    <definedName name="AreaPEff_PEdeq" localSheetId="20">OFFSET([3]AreasForDashboardsRatios!$E$6, 0, 0, 1, COUNTA([3]AreasForDashboardsRatios!$1:$1)-3)</definedName>
    <definedName name="AreaPEff_PEdeq">OFFSET(AreasForDashboardsRatios!$E$6, 0, 0, 1, COUNTA(AreasForDashboardsRatios!$1:$1)-3)</definedName>
    <definedName name="AreaPop" localSheetId="15">OFFSET([1]AreasForDashboardsFactors!$E$2, 0, 0, 1, COUNTA([1]AreasForDashboardsFactors!$1:$1)-3)</definedName>
    <definedName name="AreaPop" localSheetId="19">OFFSET([1]AreasForDashboardsFactors!$E$2, 0, 0, 1, COUNTA([1]AreasForDashboardsFactors!$1:$1)-3)</definedName>
    <definedName name="AreaPop" localSheetId="16">OFFSET([1]AreasForDashboardsFactors!$E$2, 0, 0, 1, COUNTA([1]AreasForDashboardsFactors!$1:$1)-3)</definedName>
    <definedName name="AreaPop" localSheetId="39">OFFSET([2]AreasForDashboardsFactors!$E$2, 0, 0, 1, COUNTA([2]AreasForDashboardsFactors!$1:$1)-3)</definedName>
    <definedName name="AreaPop" localSheetId="17">OFFSET([3]AreasForDashboardsFactors!$E$2, 0, 0, 1, COUNTA([3]AreasForDashboardsFactors!$1:$1)-3)</definedName>
    <definedName name="AreaPop" localSheetId="20">OFFSET([3]AreasForDashboardsFactors!$E$2, 0, 0, 1, COUNTA([3]AreasForDashboardsFactors!$1:$1)-3)</definedName>
    <definedName name="AreaPop">OFFSET(AreasForDashboardsFactors!$E$2, 0, 0, 1, COUNTA(AreasForDashboardsFactors!$1:$1)-3)</definedName>
    <definedName name="AreaPopIndex" localSheetId="15">OFFSET([1]AreasForDashboardsFactors!$E$11, 0, 0, 1, COUNTA([1]AreasForDashboardsFactors!$1:$1)-3)</definedName>
    <definedName name="AreaPopIndex" localSheetId="19">OFFSET([1]AreasForDashboardsFactors!$E$11, 0, 0, 1, COUNTA([1]AreasForDashboardsFactors!$1:$1)-3)</definedName>
    <definedName name="AreaPopIndex" localSheetId="16">OFFSET([1]AreasForDashboardsFactors!$E$11, 0, 0, 1, COUNTA([1]AreasForDashboardsFactors!$1:$1)-3)</definedName>
    <definedName name="AreaPopIndex" localSheetId="39">OFFSET([2]AreasForDashboardsFactors!$E$11, 0, 0, 1, COUNTA([2]AreasForDashboardsFactors!$1:$1)-3)</definedName>
    <definedName name="AreaPopIndex" localSheetId="17">OFFSET([3]AreasForDashboardsFactors!$E$11, 0, 0, 1, COUNTA([3]AreasForDashboardsFactors!$1:$1)-3)</definedName>
    <definedName name="AreaPopIndex" localSheetId="20">OFFSET([3]AreasForDashboardsFactors!$E$11, 0, 0, 1, COUNTA([3]AreasForDashboardsFactors!$1:$1)-3)</definedName>
    <definedName name="AreaPopIndex">OFFSET(AreasForDashboardsFactors!$E$11, 0, 0, 1, COUNTA(AreasForDashboardsFactors!$1:$1)-3)</definedName>
    <definedName name="AreaTFC" localSheetId="15">OFFSET([1]AreasForDashboardsFactors!$E$7, 0, 0, 1, COUNTA([1]AreasForDashboardsFactors!$1:$1)-3)</definedName>
    <definedName name="AreaTFC" localSheetId="19">OFFSET([1]AreasForDashboardsFactors!$E$7, 0, 0, 1, COUNTA([1]AreasForDashboardsFactors!$1:$1)-3)</definedName>
    <definedName name="AreaTFC" localSheetId="16">OFFSET([1]AreasForDashboardsFactors!$E$7, 0, 0, 1, COUNTA([1]AreasForDashboardsFactors!$1:$1)-3)</definedName>
    <definedName name="AreaTFC" localSheetId="39">OFFSET([2]AreasForDashboardsFactors!$E$7, 0, 0, 1, COUNTA([2]AreasForDashboardsFactors!$1:$1)-3)</definedName>
    <definedName name="AreaTFC" localSheetId="17">OFFSET([3]AreasForDashboardsFactors!$E$7, 0, 0, 1, COUNTA([3]AreasForDashboardsFactors!$1:$1)-3)</definedName>
    <definedName name="AreaTFC" localSheetId="20">OFFSET([3]AreasForDashboardsFactors!$E$7, 0, 0, 1, COUNTA([3]AreasForDashboardsFactors!$1:$1)-3)</definedName>
    <definedName name="AreaTFC">OFFSET(AreasForDashboardsFactors!$E$7, 0, 0, 1, COUNTA(AreasForDashboardsFactors!$1:$1)-3)</definedName>
    <definedName name="AreaTFC_PEdeq" localSheetId="15">OFFSET([1]AreasForDashboardsRatios!$E$12, 0, 0, 1, COUNTA([1]AreasForDashboardsRatios!$1:$1)-3)</definedName>
    <definedName name="AreaTFC_PEdeq" localSheetId="19">OFFSET([1]AreasForDashboardsRatios!$E$12, 0, 0, 1, COUNTA([1]AreasForDashboardsRatios!$1:$1)-3)</definedName>
    <definedName name="AreaTFC_PEdeq" localSheetId="16">OFFSET([1]AreasForDashboardsRatios!$E$12, 0, 0, 1, COUNTA([1]AreasForDashboardsRatios!$1:$1)-3)</definedName>
    <definedName name="AreaTFC_PEdeq" localSheetId="39">OFFSET([2]AreasForDashboardsRatios!$E$12, 0, 0, 1, COUNTA([2]AreasForDashboardsRatios!$1:$1)-3)</definedName>
    <definedName name="AreaTFC_PEdeq" localSheetId="17">OFFSET([3]AreasForDashboardsRatios!$E$12, 0, 0, 1, COUNTA([3]AreasForDashboardsRatios!$1:$1)-3)</definedName>
    <definedName name="AreaTFC_PEdeq" localSheetId="20">OFFSET([3]AreasForDashboardsRatios!$E$12, 0, 0, 1, COUNTA([3]AreasForDashboardsRatios!$1:$1)-3)</definedName>
    <definedName name="AreaTFC_PEdeq">OFFSET(AreasForDashboardsRatios!$E$12, 0, 0, 1, COUNTA(AreasForDashboardsRatios!$1:$1)-3)</definedName>
    <definedName name="AreaTFC_PEff" localSheetId="15">OFFSET([1]AreasForDashboardsRatios!$E$7, 0, 0, 1, COUNTA([1]AreasForDashboardsRatios!$1:$1)-3)</definedName>
    <definedName name="AreaTFC_PEff" localSheetId="19">OFFSET([1]AreasForDashboardsRatios!$E$7, 0, 0, 1, COUNTA([1]AreasForDashboardsRatios!$1:$1)-3)</definedName>
    <definedName name="AreaTFC_PEff" localSheetId="16">OFFSET([1]AreasForDashboardsRatios!$E$7, 0, 0, 1, COUNTA([1]AreasForDashboardsRatios!$1:$1)-3)</definedName>
    <definedName name="AreaTFC_PEff" localSheetId="39">OFFSET([2]AreasForDashboardsRatios!$E$7, 0, 0, 1, COUNTA([2]AreasForDashboardsRatios!$1:$1)-3)</definedName>
    <definedName name="AreaTFC_PEff" localSheetId="17">OFFSET([3]AreasForDashboardsRatios!$E$7, 0, 0, 1, COUNTA([3]AreasForDashboardsRatios!$1:$1)-3)</definedName>
    <definedName name="AreaTFC_PEff" localSheetId="20">OFFSET([3]AreasForDashboardsRatios!$E$7, 0, 0, 1, COUNTA([3]AreasForDashboardsRatios!$1:$1)-3)</definedName>
    <definedName name="AreaTFC_PEff">OFFSET(AreasForDashboardsRatios!$E$7, 0, 0, 1, COUNTA(AreasForDashboardsRatios!$1:$1)-3)</definedName>
    <definedName name="attBioCCS" localSheetId="15">OFFSET([1]TotalEmissions!$B$80, 0, 0, 1, COUNTA([1]TotalEmissions!$2:$2)-1)</definedName>
    <definedName name="attBioCCS" localSheetId="19">OFFSET([1]TotalEmissions!$B$80, 0, 0, 1, COUNTA([1]TotalEmissions!$2:$2)-1)</definedName>
    <definedName name="attBioCCS" localSheetId="16">OFFSET([1]TotalEmissions!$B$80, 0, 0, 1, COUNTA([1]TotalEmissions!$2:$2)-1)</definedName>
    <definedName name="attBioCCS" localSheetId="39">OFFSET([2]TotalEmissions!$B$80, 0, 0, 1, COUNTA([2]TotalEmissions!$2:$2)-1)</definedName>
    <definedName name="attBioCCS" localSheetId="17">OFFSET([3]TotalEmissions!$B$80, 0, 0, 1, COUNTA([3]TotalEmissions!$2:$2)-1)</definedName>
    <definedName name="attBioCCS" localSheetId="20">OFFSET([3]TotalEmissions!$B$80, 0, 0, 1, COUNTA([3]TotalEmissions!$2:$2)-1)</definedName>
    <definedName name="attBioCCS">OFFSET(TotalEmissions!$B$80, 0, 0, 1, COUNTA(TotalEmissions!$2:$2)-1)</definedName>
    <definedName name="attdummy" localSheetId="15">OFFSET([1]TotalEmissions!$B$90, 0, 0, 1, COUNTA([1]TotalEmissions!$31:$31)-1)</definedName>
    <definedName name="attdummy" localSheetId="19">OFFSET([1]TotalEmissions!$B$90, 0, 0, 1, COUNTA([1]TotalEmissions!$31:$31)-1)</definedName>
    <definedName name="attdummy" localSheetId="16">OFFSET([1]TotalEmissions!$B$90, 0, 0, 1, COUNTA([1]TotalEmissions!$31:$31)-1)</definedName>
    <definedName name="attdummy" localSheetId="39">OFFSET([2]TotalEmissions!$B$90, 0, 0, 1, COUNTA([2]TotalEmissions!$31:$31)-1)</definedName>
    <definedName name="attdummy" localSheetId="17">OFFSET([3]TotalEmissions!$B$90, 0, 0, 1, COUNTA([3]TotalEmissions!$31:$31)-1)</definedName>
    <definedName name="attdummy" localSheetId="20">OFFSET([3]TotalEmissions!$B$90, 0, 0, 1, COUNTA([3]TotalEmissions!$31:$31)-1)</definedName>
    <definedName name="attdummy">OFFSET(TotalEmissions!$B$90, 0, 0, 1, COUNTA(TotalEmissions!$31:$31)-1)</definedName>
    <definedName name="attEmissionsRemaining" localSheetId="15">OFFSET([1]TotalEmissions!$B$28, 0, 0, 1, COUNTA([1]TotalEmissions!$2:$2)-1)</definedName>
    <definedName name="attEmissionsRemaining" localSheetId="19">OFFSET([1]TotalEmissions!$B$28, 0, 0, 1, COUNTA([1]TotalEmissions!$2:$2)-1)</definedName>
    <definedName name="attEmissionsRemaining" localSheetId="16">OFFSET([1]TotalEmissions!$B$28, 0, 0, 1, COUNTA([1]TotalEmissions!$2:$2)-1)</definedName>
    <definedName name="attEmissionsRemaining" localSheetId="39">OFFSET([2]TotalEmissions!$B$28, 0, 0, 1, COUNTA([2]TotalEmissions!$2:$2)-1)</definedName>
    <definedName name="attEmissionsRemaining" localSheetId="17">OFFSET([3]TotalEmissions!$B$28, 0, 0, 1, COUNTA([3]TotalEmissions!$2:$2)-1)</definedName>
    <definedName name="attEmissionsRemaining" localSheetId="20">OFFSET([3]TotalEmissions!$B$28, 0, 0, 1, COUNTA([3]TotalEmissions!$2:$2)-1)</definedName>
    <definedName name="attEmissionsRemaining">OFFSET(TotalEmissions!$B$28, 0, 0, 1, COUNTA(TotalEmissions!$2:$2)-1)</definedName>
    <definedName name="attFEperGWP" localSheetId="43">OFFSET('LMDI 1 MethodRefCumulative'!#REF!, 0, 0, 1, COUNTA(TotalEmissions!$2:$2)-1)</definedName>
    <definedName name="attFEperGWP" localSheetId="15">OFFSET('[1]LMDI 1 MethodDEq'!$C$32, 0, 0, 1, COUNTA([1]TotalEmissions!$2:$2)-1)</definedName>
    <definedName name="attFEperGWP" localSheetId="19">OFFSET('[1]LMDI 1 MethodDEq'!$C$32, 0, 0, 1, COUNTA([1]TotalEmissions!$2:$2)-1)</definedName>
    <definedName name="attFEperGWP" localSheetId="16">OFFSET('[1]LMDI 1 MethodDEq'!$C$32, 0, 0, 1, COUNTA([1]TotalEmissions!$2:$2)-1)</definedName>
    <definedName name="attFEperGWP" localSheetId="39">OFFSET('[2]LMDI 1 MethodDEq'!$C$32, 0, 0, 1, COUNTA([2]TotalEmissions!$2:$2)-1)</definedName>
    <definedName name="attFEperGWP" localSheetId="17">OFFSET('[3]LMDI 1 MethodDEq'!$C$32, 0, 0, 1, COUNTA([3]TotalEmissions!$2:$2)-1)</definedName>
    <definedName name="attFEperGWP" localSheetId="20">OFFSET('[3]LMDI 1 MethodDEq'!$C$32, 0, 0, 1, COUNTA([3]TotalEmissions!$2:$2)-1)</definedName>
    <definedName name="attFEperGWP">OFFSET('LMDI 1 MethodDEq'!$C$32, 0, 0, 1, COUNTA(TotalEmissions!$2:$2)-1)</definedName>
    <definedName name="attFosCCS" localSheetId="15">OFFSET([1]TotalEmissions!$B$77, 0, 0, 1, COUNTA([1]TotalEmissions!$2:$2)-1)</definedName>
    <definedName name="attFosCCS" localSheetId="19">OFFSET([1]TotalEmissions!$B$77, 0, 0, 1, COUNTA([1]TotalEmissions!$2:$2)-1)</definedName>
    <definedName name="attFosCCS" localSheetId="16">OFFSET([1]TotalEmissions!$B$77, 0, 0, 1, COUNTA([1]TotalEmissions!$2:$2)-1)</definedName>
    <definedName name="attFosCCS" localSheetId="39">OFFSET([2]TotalEmissions!$B$77, 0, 0, 1, COUNTA([2]TotalEmissions!$2:$2)-1)</definedName>
    <definedName name="attFosCCS" localSheetId="17">OFFSET([3]TotalEmissions!$B$77, 0, 0, 1, COUNTA([3]TotalEmissions!$2:$2)-1)</definedName>
    <definedName name="attFosCCS" localSheetId="20">OFFSET([3]TotalEmissions!$B$77, 0, 0, 1, COUNTA([3]TotalEmissions!$2:$2)-1)</definedName>
    <definedName name="attFosCCS">OFFSET(TotalEmissions!$B$77, 0, 0, 1, COUNTA(TotalEmissions!$2:$2)-1)</definedName>
    <definedName name="attGWPperP" localSheetId="43">OFFSET('LMDI 1 MethodRefCumulative'!#REF!, 0, 0, 1, COUNTA(TotalEmissions!$2:$2)-1)</definedName>
    <definedName name="attGWPperP" localSheetId="15">OFFSET('[1]LMDI 1 MethodDEq'!$C$22, 0, 0, 1, COUNTA([1]TotalEmissions!$2:$2)-1)</definedName>
    <definedName name="attGWPperP" localSheetId="19">OFFSET('[1]LMDI 1 MethodDEq'!$C$22, 0, 0, 1, COUNTA([1]TotalEmissions!$2:$2)-1)</definedName>
    <definedName name="attGWPperP" localSheetId="16">OFFSET('[1]LMDI 1 MethodDEq'!$C$22, 0, 0, 1, COUNTA([1]TotalEmissions!$2:$2)-1)</definedName>
    <definedName name="attGWPperP" localSheetId="39">OFFSET('[2]LMDI 1 MethodDEq'!$C$22, 0, 0, 1, COUNTA([2]TotalEmissions!$2:$2)-1)</definedName>
    <definedName name="attGWPperP" localSheetId="17">OFFSET('[3]LMDI 1 MethodDEq'!$C$22, 0, 0, 1, COUNTA([3]TotalEmissions!$2:$2)-1)</definedName>
    <definedName name="attGWPperP" localSheetId="20">OFFSET('[3]LMDI 1 MethodDEq'!$C$22, 0, 0, 1, COUNTA([3]TotalEmissions!$2:$2)-1)</definedName>
    <definedName name="attGWPperP">OFFSET('LMDI 1 MethodDEq'!$C$22, 0, 0, 1, COUNTA(TotalEmissions!$2:$2)-1)</definedName>
    <definedName name="attIndustry" localSheetId="15">OFFSET([1]TotalEmissions!$B$68, 0, 0, 1, COUNTA([1]TotalEmissions!$2:$2)-1)</definedName>
    <definedName name="attIndustry" localSheetId="19">OFFSET([1]TotalEmissions!$B$68, 0, 0, 1, COUNTA([1]TotalEmissions!$2:$2)-1)</definedName>
    <definedName name="attIndustry" localSheetId="16">OFFSET([1]TotalEmissions!$B$68, 0, 0, 1, COUNTA([1]TotalEmissions!$2:$2)-1)</definedName>
    <definedName name="attIndustry" localSheetId="39">OFFSET([2]TotalEmissions!$B$68, 0, 0, 1, COUNTA([2]TotalEmissions!$2:$2)-1)</definedName>
    <definedName name="attIndustry" localSheetId="17">OFFSET([3]TotalEmissions!$B$68, 0, 0, 1, COUNTA([3]TotalEmissions!$2:$2)-1)</definedName>
    <definedName name="attIndustry" localSheetId="20">OFFSET([3]TotalEmissions!$B$68, 0, 0, 1, COUNTA([3]TotalEmissions!$2:$2)-1)</definedName>
    <definedName name="attIndustry">OFFSET(TotalEmissions!$B$68, 0, 0, 1, COUNTA(TotalEmissions!$2:$2)-1)</definedName>
    <definedName name="attLandUse" localSheetId="15">OFFSET([1]TotalEmissions!$B$74, 0, 0, 1, COUNTA([1]TotalEmissions!$2:$2)-1)</definedName>
    <definedName name="attLandUse" localSheetId="19">OFFSET([1]TotalEmissions!$B$74, 0, 0, 1, COUNTA([1]TotalEmissions!$2:$2)-1)</definedName>
    <definedName name="attLandUse" localSheetId="16">OFFSET([1]TotalEmissions!$B$74, 0, 0, 1, COUNTA([1]TotalEmissions!$2:$2)-1)</definedName>
    <definedName name="attLandUse" localSheetId="39">OFFSET([2]TotalEmissions!$B$74, 0, 0, 1, COUNTA([2]TotalEmissions!$2:$2)-1)</definedName>
    <definedName name="attLandUse" localSheetId="17">OFFSET([3]TotalEmissions!$B$74, 0, 0, 1, COUNTA([3]TotalEmissions!$2:$2)-1)</definedName>
    <definedName name="attLandUse" localSheetId="20">OFFSET([3]TotalEmissions!$B$74, 0, 0, 1, COUNTA([3]TotalEmissions!$2:$2)-1)</definedName>
    <definedName name="attLandUse">OFFSET(TotalEmissions!$B$74, 0, 0, 1, COUNTA(TotalEmissions!$2:$2)-1)</definedName>
    <definedName name="attOtherGasses" localSheetId="15">OFFSET([1]TotalEmissions!$B$71, 0, 0, 1, COUNTA([1]TotalEmissions!$2:$2)-1)</definedName>
    <definedName name="attOtherGasses" localSheetId="19">OFFSET([1]TotalEmissions!$B$71, 0, 0, 1, COUNTA([1]TotalEmissions!$2:$2)-1)</definedName>
    <definedName name="attOtherGasses" localSheetId="16">OFFSET([1]TotalEmissions!$B$71, 0, 0, 1, COUNTA([1]TotalEmissions!$2:$2)-1)</definedName>
    <definedName name="attOtherGasses" localSheetId="39">OFFSET([2]TotalEmissions!$B$71, 0, 0, 1, COUNTA([2]TotalEmissions!$2:$2)-1)</definedName>
    <definedName name="attOtherGasses" localSheetId="17">OFFSET([3]TotalEmissions!$B$71, 0, 0, 1, COUNTA([3]TotalEmissions!$2:$2)-1)</definedName>
    <definedName name="attOtherGasses" localSheetId="20">OFFSET([3]TotalEmissions!$B$71, 0, 0, 1, COUNTA([3]TotalEmissions!$2:$2)-1)</definedName>
    <definedName name="attOtherGasses">OFFSET(TotalEmissions!$B$71, 0, 0, 1, COUNTA(TotalEmissions!$2:$2)-1)</definedName>
    <definedName name="attP" localSheetId="43">OFFSET('LMDI 1 MethodRefCumulative'!#REF!, 0, 0, 1, COUNTA(TotalEmissions!$2:$2)-1)</definedName>
    <definedName name="attP" localSheetId="15">OFFSET('[1]LMDI 1 MethodDEq'!$C$12, 0, 0, 1, COUNTA([1]TotalEmissions!$2:$2)-1)</definedName>
    <definedName name="attP" localSheetId="19">OFFSET('[1]LMDI 1 MethodDEq'!$C$12, 0, 0, 1, COUNTA([1]TotalEmissions!$2:$2)-1)</definedName>
    <definedName name="attP" localSheetId="16">OFFSET('[1]LMDI 1 MethodDEq'!$C$12, 0, 0, 1, COUNTA([1]TotalEmissions!$2:$2)-1)</definedName>
    <definedName name="attP" localSheetId="39">OFFSET('[2]LMDI 1 MethodDEq'!$C$12, 0, 0, 1, COUNTA([2]TotalEmissions!$2:$2)-1)</definedName>
    <definedName name="attP" localSheetId="17">OFFSET('[3]LMDI 1 MethodDEq'!$C$12, 0, 0, 1, COUNTA([3]TotalEmissions!$2:$2)-1)</definedName>
    <definedName name="attP" localSheetId="20">OFFSET('[3]LMDI 1 MethodDEq'!$C$12, 0, 0, 1, COUNTA([3]TotalEmissions!$2:$2)-1)</definedName>
    <definedName name="attP">OFFSET('LMDI 1 MethodDEq'!$C$12, 0, 0, 1, COUNTA(TotalEmissions!$2:$2)-1)</definedName>
    <definedName name="attPEdeqperFE" localSheetId="43">OFFSET('LMDI 1 MethodRefCumulative'!#REF!, 0, 0, 1, COUNTA(TotalEmissions!$2:$2)-1)</definedName>
    <definedName name="attPEdeqperFE" localSheetId="15">OFFSET('[1]LMDI 1 MethodDEq'!$C$42, 0, 0, 1, COUNTA([1]TotalEmissions!$2:$2)-1)</definedName>
    <definedName name="attPEdeqperFE" localSheetId="19">OFFSET('[1]LMDI 1 MethodDEq'!$C$42, 0, 0, 1, COUNTA([1]TotalEmissions!$2:$2)-1)</definedName>
    <definedName name="attPEdeqperFE" localSheetId="16">OFFSET('[1]LMDI 1 MethodDEq'!$C$42, 0, 0, 1, COUNTA([1]TotalEmissions!$2:$2)-1)</definedName>
    <definedName name="attPEdeqperFE" localSheetId="39">OFFSET('[2]LMDI 1 MethodDEq'!$C$42, 0, 0, 1, COUNTA([2]TotalEmissions!$2:$2)-1)</definedName>
    <definedName name="attPEdeqperFE" localSheetId="17">OFFSET('[3]LMDI 1 MethodDEq'!$C$42, 0, 0, 1, COUNTA([3]TotalEmissions!$2:$2)-1)</definedName>
    <definedName name="attPEdeqperFE" localSheetId="20">OFFSET('[3]LMDI 1 MethodDEq'!$C$42, 0, 0, 1, COUNTA([3]TotalEmissions!$2:$2)-1)</definedName>
    <definedName name="attPEdeqperFE">OFFSET('LMDI 1 MethodDEq'!$C$42, 0, 0, 1, COUNTA(TotalEmissions!$2:$2)-1)</definedName>
    <definedName name="attPEffperPEdeq" localSheetId="43">OFFSET('LMDI 1 MethodRefCumulative'!#REF!, 0, 0, 1, COUNTA(TotalEmissions!$2:$2)-1)</definedName>
    <definedName name="attPEffperPEdeq" localSheetId="15">OFFSET('[1]LMDI 1 MethodDEq'!$C$62, 0, 0, 1, COUNTA([1]TotalEmissions!$2:$2)-1)</definedName>
    <definedName name="attPEffperPEdeq" localSheetId="19">OFFSET('[1]LMDI 1 MethodDEq'!$C$62, 0, 0, 1, COUNTA([1]TotalEmissions!$2:$2)-1)</definedName>
    <definedName name="attPEffperPEdeq" localSheetId="16">OFFSET('[1]LMDI 1 MethodDEq'!$C$62, 0, 0, 1, COUNTA([1]TotalEmissions!$2:$2)-1)</definedName>
    <definedName name="attPEffperPEdeq" localSheetId="39">OFFSET('[2]LMDI 1 MethodDEq'!$C$62, 0, 0, 1, COUNTA([2]TotalEmissions!$2:$2)-1)</definedName>
    <definedName name="attPEffperPEdeq" localSheetId="17">OFFSET('[3]LMDI 1 MethodDEq'!$C$62, 0, 0, 1, COUNTA([3]TotalEmissions!$2:$2)-1)</definedName>
    <definedName name="attPEffperPEdeq" localSheetId="20">OFFSET('[3]LMDI 1 MethodDEq'!$C$62, 0, 0, 1, COUNTA([3]TotalEmissions!$2:$2)-1)</definedName>
    <definedName name="attPEffperPEdeq">OFFSET('LMDI 1 MethodDEq'!$C$62, 0, 0, 1, COUNTA(TotalEmissions!$2:$2)-1)</definedName>
    <definedName name="attTFCperPEff" localSheetId="43">OFFSET('LMDI 1 MethodRefCumulative'!#REF!, 0, 0, 1, COUNTA(TotalEmissions!$2:$2)-1)</definedName>
    <definedName name="attTFCperPEff" localSheetId="15">OFFSET('[1]LMDI 1 MethodDEq'!$C$52, 0, 0, 1, COUNTA([1]TotalEmissions!$2:$2)-1)</definedName>
    <definedName name="attTFCperPEff" localSheetId="19">OFFSET('[1]LMDI 1 MethodDEq'!$C$52, 0, 0, 1, COUNTA([1]TotalEmissions!$2:$2)-1)</definedName>
    <definedName name="attTFCperPEff" localSheetId="16">OFFSET('[1]LMDI 1 MethodDEq'!$C$52, 0, 0, 1, COUNTA([1]TotalEmissions!$2:$2)-1)</definedName>
    <definedName name="attTFCperPEff" localSheetId="39">OFFSET('[2]LMDI 1 MethodDEq'!$C$52, 0, 0, 1, COUNTA([2]TotalEmissions!$2:$2)-1)</definedName>
    <definedName name="attTFCperPEff" localSheetId="17">OFFSET('[3]LMDI 1 MethodDEq'!$C$52, 0, 0, 1, COUNTA([3]TotalEmissions!$2:$2)-1)</definedName>
    <definedName name="attTFCperPEff" localSheetId="20">OFFSET('[3]LMDI 1 MethodDEq'!$C$52, 0, 0, 1, COUNTA([3]TotalEmissions!$2:$2)-1)</definedName>
    <definedName name="attTFCperPEff">OFFSET('LMDI 1 MethodDEq'!$C$52, 0, 0, 1, COUNTA(TotalEmissions!$2:$2)-1)</definedName>
    <definedName name="biomassCCSint" localSheetId="15">OFFSET([1]FossilEneEmissionsAccountingInt!$E$12, 0, 0, 1, COUNTA([1]ExpKayaRatiosInt!$1:$1)-3)</definedName>
    <definedName name="biomassCCSint" localSheetId="19">OFFSET([1]FossilEneEmissionsAccountingInt!$E$12, 0, 0, 1, COUNTA([1]ExpKayaRatiosInt!$1:$1)-3)</definedName>
    <definedName name="biomassCCSint" localSheetId="16">OFFSET([1]FossilEneEmissionsAccountingInt!$E$12, 0, 0, 1, COUNTA([1]ExpKayaRatiosInt!$1:$1)-3)</definedName>
    <definedName name="biomassCCSint" localSheetId="39">OFFSET([2]FossilEneEmissionsAccountingInt!$E$12, 0, 0, 1, COUNTA([2]ExpKayaRatiosInt!$1:$1)-3)</definedName>
    <definedName name="biomassCCSint" localSheetId="17">OFFSET([3]FossilEneEmissionsAccountingInt!$E$12, 0, 0, 1, COUNTA([3]ExpKayaRatiosInt!$1:$1)-3)</definedName>
    <definedName name="biomassCCSint" localSheetId="20">OFFSET([3]FossilEneEmissionsAccountingInt!$E$12, 0, 0, 1, COUNTA([3]ExpKayaRatiosInt!$1:$1)-3)</definedName>
    <definedName name="biomassCCSint">OFFSET(FossilEneEmissionsAccountingInt!$E$12, 0, 0, 1, COUNTA(ExpKayaRatiosInt!$1:$1)-3)</definedName>
    <definedName name="biomassCCSIntindex" localSheetId="15">OFFSET([1]FossilEneEmissionsAccountingInt!$E$13, 0, 0, 1, COUNTA([1]ExpKayaRatiosInt!$1:$1)-3)</definedName>
    <definedName name="biomassCCSIntindex" localSheetId="19">OFFSET([1]FossilEneEmissionsAccountingInt!$E$13, 0, 0, 1, COUNTA([1]ExpKayaRatiosInt!$1:$1)-3)</definedName>
    <definedName name="biomassCCSIntindex" localSheetId="16">OFFSET([1]FossilEneEmissionsAccountingInt!$E$13, 0, 0, 1, COUNTA([1]ExpKayaRatiosInt!$1:$1)-3)</definedName>
    <definedName name="biomassCCSIntindex" localSheetId="39">OFFSET([2]FossilEneEmissionsAccountingInt!$E$13, 0, 0, 1, COUNTA([2]ExpKayaRatiosInt!$1:$1)-3)</definedName>
    <definedName name="biomassCCSIntindex" localSheetId="17">OFFSET([3]FossilEneEmissionsAccountingInt!$E$13, 0, 0, 1, COUNTA([3]ExpKayaRatiosInt!$1:$1)-3)</definedName>
    <definedName name="biomassCCSIntindex" localSheetId="20">OFFSET([3]FossilEneEmissionsAccountingInt!$E$13, 0, 0, 1, COUNTA([3]ExpKayaRatiosInt!$1:$1)-3)</definedName>
    <definedName name="biomassCCSIntindex">OFFSET(FossilEneEmissionsAccountingInt!$E$13, 0, 0, 1, COUNTA(ExpKayaRatiosInt!$1:$1)-3)</definedName>
    <definedName name="biomassCCSNFCInt" localSheetId="15">OFFSET([1]FossilEneEmissionsAccountingInt!$E$14, 0, 0, 1, COUNTA([1]ExpKayaRatiosInt!$1:$1)-3)</definedName>
    <definedName name="biomassCCSNFCInt" localSheetId="19">OFFSET([1]FossilEneEmissionsAccountingInt!$E$14, 0, 0, 1, COUNTA([1]ExpKayaRatiosInt!$1:$1)-3)</definedName>
    <definedName name="biomassCCSNFCInt" localSheetId="16">OFFSET([1]FossilEneEmissionsAccountingInt!$E$14, 0, 0, 1, COUNTA([1]ExpKayaRatiosInt!$1:$1)-3)</definedName>
    <definedName name="biomassCCSNFCInt" localSheetId="39">OFFSET([2]FossilEneEmissionsAccountingInt!$E$14, 0, 0, 1, COUNTA([2]ExpKayaRatiosInt!$1:$1)-3)</definedName>
    <definedName name="biomassCCSNFCInt" localSheetId="17">OFFSET([3]FossilEneEmissionsAccountingInt!$E$14, 0, 0, 1, COUNTA([3]ExpKayaRatiosInt!$1:$1)-3)</definedName>
    <definedName name="biomassCCSNFCInt" localSheetId="20">OFFSET([3]FossilEneEmissionsAccountingInt!$E$14, 0, 0, 1, COUNTA([3]ExpKayaRatiosInt!$1:$1)-3)</definedName>
    <definedName name="biomassCCSNFCInt">OFFSET(FossilEneEmissionsAccountingInt!$E$14, 0, 0, 1, COUNTA(ExpKayaRatiosInt!$1:$1)-3)</definedName>
    <definedName name="biomassCCSNFCIntindex" localSheetId="15">OFFSET([1]FossilEneEmissionsAccountingInt!$E$15, 0, 0, 1, COUNTA([1]ExpKayaRatiosInt!$1:$1)-3)</definedName>
    <definedName name="biomassCCSNFCIntindex" localSheetId="19">OFFSET([1]FossilEneEmissionsAccountingInt!$E$15, 0, 0, 1, COUNTA([1]ExpKayaRatiosInt!$1:$1)-3)</definedName>
    <definedName name="biomassCCSNFCIntindex" localSheetId="16">OFFSET([1]FossilEneEmissionsAccountingInt!$E$15, 0, 0, 1, COUNTA([1]ExpKayaRatiosInt!$1:$1)-3)</definedName>
    <definedName name="biomassCCSNFCIntindex" localSheetId="39">OFFSET([2]FossilEneEmissionsAccountingInt!$E$15, 0, 0, 1, COUNTA([2]ExpKayaRatiosInt!$1:$1)-3)</definedName>
    <definedName name="biomassCCSNFCIntindex" localSheetId="17">OFFSET([3]FossilEneEmissionsAccountingInt!$E$15, 0, 0, 1, COUNTA([3]ExpKayaRatiosInt!$1:$1)-3)</definedName>
    <definedName name="biomassCCSNFCIntindex" localSheetId="20">OFFSET([3]FossilEneEmissionsAccountingInt!$E$15, 0, 0, 1, COUNTA([3]ExpKayaRatiosInt!$1:$1)-3)</definedName>
    <definedName name="biomassCCSNFCIntindex">OFFSET(FossilEneEmissionsAccountingInt!$E$15, 0, 0, 1, COUNTA(ExpKayaRatiosInt!$1:$1)-3)</definedName>
    <definedName name="CAAGR_tolerance">200</definedName>
    <definedName name="Data">Readme!$A$27</definedName>
    <definedName name="FactorDataInt" localSheetId="15">OFFSET([1]ExpKayaFactorsInt!$E$2, 0, 0, 36, COUNTA([1]ExpKayaRatiosInt!$1:$1)-3)</definedName>
    <definedName name="FactorDataInt" localSheetId="19">OFFSET([1]ExpKayaFactorsInt!$E$2, 0, 0, 36, COUNTA([1]ExpKayaRatiosInt!$1:$1)-3)</definedName>
    <definedName name="FactorDataInt" localSheetId="16">OFFSET([1]ExpKayaFactorsInt!$E$2, 0, 0, 36, COUNTA([1]ExpKayaRatiosInt!$1:$1)-3)</definedName>
    <definedName name="FactorDataInt" localSheetId="39">OFFSET([2]ExpKayaFactorsInt!$E$2, 0, 0, 36, COUNTA([2]ExpKayaRatiosInt!$1:$1)-3)</definedName>
    <definedName name="FactorDataInt" localSheetId="17">OFFSET([3]ExpKayaFactorsInt!$E$2, 0, 0, 36, COUNTA([3]ExpKayaRatiosInt!$1:$1)-3)</definedName>
    <definedName name="FactorDataInt" localSheetId="20">OFFSET([3]ExpKayaFactorsInt!$E$2, 0, 0, 36, COUNTA([3]ExpKayaRatiosInt!$1:$1)-3)</definedName>
    <definedName name="FactorDataInt">OFFSET(ExpKayaFactorsInt!$E$2, 0, 0, 36, COUNTA(ExpKayaRatiosInt!$1:$1)-3)</definedName>
    <definedName name="FactorDataRef" localSheetId="15">OFFSET([1]ExpKayaFactorsRef!$E$2, 0, 0, 36, COUNTA([1]ExpKayaRatiosInt!$1:$1)-3)</definedName>
    <definedName name="FactorDataRef" localSheetId="19">OFFSET([1]ExpKayaFactorsRef!$E$2, 0, 0, 36, COUNTA([1]ExpKayaRatiosInt!$1:$1)-3)</definedName>
    <definedName name="FactorDataRef" localSheetId="16">OFFSET([1]ExpKayaFactorsRef!$E$2, 0, 0, 36, COUNTA([1]ExpKayaRatiosInt!$1:$1)-3)</definedName>
    <definedName name="FactorDataRef" localSheetId="39">OFFSET([2]ExpKayaFactorsRef!$E$2, 0, 0, 36, COUNTA([2]ExpKayaRatiosInt!$1:$1)-3)</definedName>
    <definedName name="FactorDataRef" localSheetId="17">OFFSET([3]ExpKayaFactorsRef!$E$2, 0, 0, 36, COUNTA([3]ExpKayaRatiosInt!$1:$1)-3)</definedName>
    <definedName name="FactorDataRef" localSheetId="20">OFFSET([3]ExpKayaFactorsRef!$E$2, 0, 0, 36, COUNTA([3]ExpKayaRatiosInt!$1:$1)-3)</definedName>
    <definedName name="FactorDataRef">OFFSET(ExpKayaFactorsRef!$E$2, 0, 0, 36, COUNTA(ExpKayaRatiosInt!$1:$1)-3)</definedName>
    <definedName name="FEchngInt" localSheetId="15">OFFSET([1]ExpKayaFactorsInt!$E$30, 0, 0, 1, COUNTA([1]ExpKayaFactorsInt!$2:$2)-3)</definedName>
    <definedName name="FEchngInt" localSheetId="19">OFFSET([1]ExpKayaFactorsInt!$E$30, 0, 0, 1, COUNTA([1]ExpKayaFactorsInt!$2:$2)-3)</definedName>
    <definedName name="FEchngInt" localSheetId="16">OFFSET([1]ExpKayaFactorsInt!$E$30, 0, 0, 1, COUNTA([1]ExpKayaFactorsInt!$2:$2)-3)</definedName>
    <definedName name="FEchngInt" localSheetId="39">OFFSET([2]ExpKayaFactorsInt!$E$30, 0, 0, 1, COUNTA([2]ExpKayaFactorsInt!$2:$2)-3)</definedName>
    <definedName name="FEchngInt" localSheetId="17">OFFSET([3]ExpKayaFactorsInt!$E$30, 0, 0, 1, COUNTA([3]ExpKayaFactorsInt!$2:$2)-3)</definedName>
    <definedName name="FEchngInt" localSheetId="20">OFFSET([3]ExpKayaFactorsInt!$E$30, 0, 0, 1, COUNTA([3]ExpKayaFactorsInt!$2:$2)-3)</definedName>
    <definedName name="FEchngInt">OFFSET(ExpKayaFactorsInt!$E$30, 0, 0, 1, COUNTA(ExpKayaFactorsInt!$2:$2)-3)</definedName>
    <definedName name="FEchngRef" localSheetId="15">OFFSET([1]ExpKayaFactorsRef!$E$30, 0, 0, 1, COUNTA([1]ExpKayaFactorsRef!$2:$2)-3)</definedName>
    <definedName name="FEchngRef" localSheetId="19">OFFSET([1]ExpKayaFactorsRef!$E$30, 0, 0, 1, COUNTA([1]ExpKayaFactorsRef!$2:$2)-3)</definedName>
    <definedName name="FEchngRef" localSheetId="16">OFFSET([1]ExpKayaFactorsRef!$E$30, 0, 0, 1, COUNTA([1]ExpKayaFactorsRef!$2:$2)-3)</definedName>
    <definedName name="FEchngRef" localSheetId="39">OFFSET([2]ExpKayaFactorsRef!$E$30, 0, 0, 1, COUNTA([2]ExpKayaFactorsRef!$2:$2)-3)</definedName>
    <definedName name="FEchngRef" localSheetId="17">OFFSET([3]ExpKayaFactorsRef!$E$30, 0, 0, 1, COUNTA([3]ExpKayaFactorsRef!$2:$2)-3)</definedName>
    <definedName name="FEchngRef" localSheetId="20">OFFSET([3]ExpKayaFactorsRef!$E$30, 0, 0, 1, COUNTA([3]ExpKayaFactorsRef!$2:$2)-3)</definedName>
    <definedName name="FEchngRef">OFFSET(ExpKayaFactorsRef!$E$30, 0, 0, 1, COUNTA(ExpKayaFactorsRef!$2:$2)-3)</definedName>
    <definedName name="FEindexInt" localSheetId="15">OFFSET([1]ExpKayaFactorsInt!$E$17, 0, 0, 1, COUNTA([1]ExpKayaFactorsInt!$2:$2)-3)</definedName>
    <definedName name="FEindexInt" localSheetId="19">OFFSET([1]ExpKayaFactorsInt!$E$17, 0, 0, 1, COUNTA([1]ExpKayaFactorsInt!$2:$2)-3)</definedName>
    <definedName name="FEindexInt" localSheetId="16">OFFSET([1]ExpKayaFactorsInt!$E$17, 0, 0, 1, COUNTA([1]ExpKayaFactorsInt!$2:$2)-3)</definedName>
    <definedName name="FEindexInt" localSheetId="39">OFFSET([2]ExpKayaFactorsInt!$E$17, 0, 0, 1, COUNTA([2]ExpKayaFactorsInt!$2:$2)-3)</definedName>
    <definedName name="FEindexInt" localSheetId="17">OFFSET([3]ExpKayaFactorsInt!$E$17, 0, 0, 1, COUNTA([3]ExpKayaFactorsInt!$2:$2)-3)</definedName>
    <definedName name="FEindexInt" localSheetId="20">OFFSET([3]ExpKayaFactorsInt!$E$17, 0, 0, 1, COUNTA([3]ExpKayaFactorsInt!$2:$2)-3)</definedName>
    <definedName name="FEindexInt">OFFSET(ExpKayaFactorsInt!$E$17, 0, 0, 1, COUNTA(ExpKayaFactorsInt!$2:$2)-3)</definedName>
    <definedName name="FEindexRef" localSheetId="15">OFFSET([1]ExpKayaFactorsRef!$E$17, 0, 0, 1, COUNTA([1]ExpKayaFactorsRef!$2:$2)-3)</definedName>
    <definedName name="FEindexRef" localSheetId="19">OFFSET([1]ExpKayaFactorsRef!$E$17, 0, 0, 1, COUNTA([1]ExpKayaFactorsRef!$2:$2)-3)</definedName>
    <definedName name="FEindexRef" localSheetId="16">OFFSET([1]ExpKayaFactorsRef!$E$17, 0, 0, 1, COUNTA([1]ExpKayaFactorsRef!$2:$2)-3)</definedName>
    <definedName name="FEindexRef" localSheetId="39">OFFSET([2]ExpKayaFactorsRef!$E$17, 0, 0, 1, COUNTA([2]ExpKayaFactorsRef!$2:$2)-3)</definedName>
    <definedName name="FEindexRef" localSheetId="17">OFFSET([3]ExpKayaFactorsRef!$E$17, 0, 0, 1, COUNTA([3]ExpKayaFactorsRef!$2:$2)-3)</definedName>
    <definedName name="FEindexRef" localSheetId="20">OFFSET([3]ExpKayaFactorsRef!$E$17, 0, 0, 1, COUNTA([3]ExpKayaFactorsRef!$2:$2)-3)</definedName>
    <definedName name="FEindexRef">OFFSET(ExpKayaFactorsRef!$E$17, 0, 0, 1, COUNTA(ExpKayaFactorsRef!$2:$2)-3)</definedName>
    <definedName name="FEInt" localSheetId="15">OFFSET([1]ExpKayaFactorsInt!$E$4, 0, 0, 1, COUNTA([1]ExpKayaFactorsInt!$2:$2)-3)</definedName>
    <definedName name="FEInt" localSheetId="19">OFFSET([1]ExpKayaFactorsInt!$E$4, 0, 0, 1, COUNTA([1]ExpKayaFactorsInt!$2:$2)-3)</definedName>
    <definedName name="FEInt" localSheetId="16">OFFSET([1]ExpKayaFactorsInt!$E$4, 0, 0, 1, COUNTA([1]ExpKayaFactorsInt!$2:$2)-3)</definedName>
    <definedName name="FEInt" localSheetId="39">OFFSET([2]ExpKayaFactorsInt!$E$4, 0, 0, 1, COUNTA([2]ExpKayaFactorsInt!$2:$2)-3)</definedName>
    <definedName name="FEInt" localSheetId="17">OFFSET([3]ExpKayaFactorsInt!$E$4, 0, 0, 1, COUNTA([3]ExpKayaFactorsInt!$2:$2)-3)</definedName>
    <definedName name="FEInt" localSheetId="20">OFFSET([3]ExpKayaFactorsInt!$E$4, 0, 0, 1, COUNTA([3]ExpKayaFactorsInt!$2:$2)-3)</definedName>
    <definedName name="FEInt">OFFSET(ExpKayaFactorsInt!$E$4, 0, 0, 1, COUNTA(ExpKayaFactorsInt!$2:$2)-3)</definedName>
    <definedName name="FEperGWPchngInt" localSheetId="15">OFFSET([1]ExpKayaRatiosInt!$E$30, 0, 0, 1, COUNTA([1]ExpKayaRatiosInt!$2:$2)-3)</definedName>
    <definedName name="FEperGWPchngInt" localSheetId="19">OFFSET([1]ExpKayaRatiosInt!$E$30, 0, 0, 1, COUNTA([1]ExpKayaRatiosInt!$2:$2)-3)</definedName>
    <definedName name="FEperGWPchngInt" localSheetId="16">OFFSET([1]ExpKayaRatiosInt!$E$30, 0, 0, 1, COUNTA([1]ExpKayaRatiosInt!$2:$2)-3)</definedName>
    <definedName name="FEperGWPchngInt" localSheetId="39">OFFSET([2]ExpKayaRatiosInt!$E$30, 0, 0, 1, COUNTA([2]ExpKayaRatiosInt!$2:$2)-3)</definedName>
    <definedName name="FEperGWPchngInt" localSheetId="17">OFFSET([3]ExpKayaRatiosInt!$E$30, 0, 0, 1, COUNTA([3]ExpKayaRatiosInt!$2:$2)-3)</definedName>
    <definedName name="FEperGWPchngInt" localSheetId="20">OFFSET([3]ExpKayaRatiosInt!$E$30, 0, 0, 1, COUNTA([3]ExpKayaRatiosInt!$2:$2)-3)</definedName>
    <definedName name="FEperGWPchngInt">OFFSET(ExpKayaRatiosInt!$E$30, 0, 0, 1, COUNTA(ExpKayaRatiosInt!$2:$2)-3)</definedName>
    <definedName name="FEperGWPchngRef" localSheetId="15">OFFSET([1]ExpKayaRatiosRef!$E$30, 0, 0, 1, COUNTA([1]ExpKayaRatiosRef!$2:$2)-3)</definedName>
    <definedName name="FEperGWPchngRef" localSheetId="19">OFFSET([1]ExpKayaRatiosRef!$E$30, 0, 0, 1, COUNTA([1]ExpKayaRatiosRef!$2:$2)-3)</definedName>
    <definedName name="FEperGWPchngRef" localSheetId="16">OFFSET([1]ExpKayaRatiosRef!$E$30, 0, 0, 1, COUNTA([1]ExpKayaRatiosRef!$2:$2)-3)</definedName>
    <definedName name="FEperGWPchngRef" localSheetId="39">OFFSET([2]ExpKayaRatiosRef!$E$30, 0, 0, 1, COUNTA([2]ExpKayaRatiosRef!$2:$2)-3)</definedName>
    <definedName name="FEperGWPchngRef" localSheetId="17">OFFSET([3]ExpKayaRatiosRef!$E$30, 0, 0, 1, COUNTA([3]ExpKayaRatiosRef!$2:$2)-3)</definedName>
    <definedName name="FEperGWPchngRef" localSheetId="20">OFFSET([3]ExpKayaRatiosRef!$E$30, 0, 0, 1, COUNTA([3]ExpKayaRatiosRef!$2:$2)-3)</definedName>
    <definedName name="FEperGWPchngRef">OFFSET(ExpKayaRatiosRef!$E$30, 0, 0, 1, COUNTA(ExpKayaRatiosRef!$2:$2)-3)</definedName>
    <definedName name="FEperGWPindexInt" localSheetId="15">OFFSET([1]ExpKayaRatiosInt!$E$17, 0, 0, 1, COUNTA([1]ExpKayaRatiosInt!$2:$2)-3)</definedName>
    <definedName name="FEperGWPindexInt" localSheetId="19">OFFSET([1]ExpKayaRatiosInt!$E$17, 0, 0, 1, COUNTA([1]ExpKayaRatiosInt!$2:$2)-3)</definedName>
    <definedName name="FEperGWPindexInt" localSheetId="16">OFFSET([1]ExpKayaRatiosInt!$E$17, 0, 0, 1, COUNTA([1]ExpKayaRatiosInt!$2:$2)-3)</definedName>
    <definedName name="FEperGWPindexInt" localSheetId="39">OFFSET([2]ExpKayaRatiosInt!$E$17, 0, 0, 1, COUNTA([2]ExpKayaRatiosInt!$2:$2)-3)</definedName>
    <definedName name="FEperGWPindexInt" localSheetId="17">OFFSET([3]ExpKayaRatiosInt!$E$17, 0, 0, 1, COUNTA([3]ExpKayaRatiosInt!$2:$2)-3)</definedName>
    <definedName name="FEperGWPindexInt" localSheetId="20">OFFSET([3]ExpKayaRatiosInt!$E$17, 0, 0, 1, COUNTA([3]ExpKayaRatiosInt!$2:$2)-3)</definedName>
    <definedName name="FEperGWPindexInt">OFFSET(ExpKayaRatiosInt!$E$17, 0, 0, 1, COUNTA(ExpKayaRatiosInt!$2:$2)-3)</definedName>
    <definedName name="FEperGWPindexRef" localSheetId="15">OFFSET([1]ExpKayaRatiosRef!$E$17, 0, 0, 1, COUNTA([1]ExpKayaRatiosRef!$2:$2)-3)</definedName>
    <definedName name="FEperGWPindexRef" localSheetId="19">OFFSET([1]ExpKayaRatiosRef!$E$17, 0, 0, 1, COUNTA([1]ExpKayaRatiosRef!$2:$2)-3)</definedName>
    <definedName name="FEperGWPindexRef" localSheetId="16">OFFSET([1]ExpKayaRatiosRef!$E$17, 0, 0, 1, COUNTA([1]ExpKayaRatiosRef!$2:$2)-3)</definedName>
    <definedName name="FEperGWPindexRef" localSheetId="39">OFFSET([2]ExpKayaRatiosRef!$E$17, 0, 0, 1, COUNTA([2]ExpKayaRatiosRef!$2:$2)-3)</definedName>
    <definedName name="FEperGWPindexRef" localSheetId="17">OFFSET([3]ExpKayaRatiosRef!$E$17, 0, 0, 1, COUNTA([3]ExpKayaRatiosRef!$2:$2)-3)</definedName>
    <definedName name="FEperGWPindexRef" localSheetId="20">OFFSET([3]ExpKayaRatiosRef!$E$17, 0, 0, 1, COUNTA([3]ExpKayaRatiosRef!$2:$2)-3)</definedName>
    <definedName name="FEperGWPindexRef">OFFSET(ExpKayaRatiosRef!$E$17, 0, 0, 1, COUNTA(ExpKayaRatiosRef!$2:$2)-3)</definedName>
    <definedName name="FEperGWPInt" localSheetId="15">OFFSET([1]ExpKayaRatiosInt!$E$4, 0, 0, 1, COUNTA([1]ExpKayaRatiosInt!$2:$2)-3)</definedName>
    <definedName name="FEperGWPInt" localSheetId="19">OFFSET([1]ExpKayaRatiosInt!$E$4, 0, 0, 1, COUNTA([1]ExpKayaRatiosInt!$2:$2)-3)</definedName>
    <definedName name="FEperGWPInt" localSheetId="16">OFFSET([1]ExpKayaRatiosInt!$E$4, 0, 0, 1, COUNTA([1]ExpKayaRatiosInt!$2:$2)-3)</definedName>
    <definedName name="FEperGWPInt" localSheetId="39">OFFSET([2]ExpKayaRatiosInt!$E$4, 0, 0, 1, COUNTA([2]ExpKayaRatiosInt!$2:$2)-3)</definedName>
    <definedName name="FEperGWPInt" localSheetId="17">OFFSET([3]ExpKayaRatiosInt!$E$4, 0, 0, 1, COUNTA([3]ExpKayaRatiosInt!$2:$2)-3)</definedName>
    <definedName name="FEperGWPInt" localSheetId="20">OFFSET([3]ExpKayaRatiosInt!$E$4, 0, 0, 1, COUNTA([3]ExpKayaRatiosInt!$2:$2)-3)</definedName>
    <definedName name="FEperGWPInt">OFFSET(ExpKayaRatiosInt!$E$4, 0, 0, 1, COUNTA(ExpKayaRatiosInt!$2:$2)-3)</definedName>
    <definedName name="FEperGWPproj1" localSheetId="15">OFFSET([1]HistoricalGrowthRates!$E$52, 0, 0, 1, COUNTA([1]HistoricalGrowthRates!$2:$2)-2)</definedName>
    <definedName name="FEperGWPproj1" localSheetId="19">OFFSET([1]HistoricalGrowthRates!$E$52, 0, 0, 1, COUNTA([1]HistoricalGrowthRates!$2:$2)-2)</definedName>
    <definedName name="FEperGWPproj1" localSheetId="16">OFFSET([1]HistoricalGrowthRates!$E$52, 0, 0, 1, COUNTA([1]HistoricalGrowthRates!$2:$2)-2)</definedName>
    <definedName name="FEperGWPproj1" localSheetId="39">OFFSET([2]HistoricalGrowthRates!$E$52, 0, 0, 1, COUNTA([2]HistoricalGrowthRates!$2:$2)-2)</definedName>
    <definedName name="FEperGWPproj1" localSheetId="17">OFFSET([3]HistoricalGrowthRates!$E$52, 0, 0, 1, COUNTA([3]HistoricalGrowthRates!$2:$2)-2)</definedName>
    <definedName name="FEperGWPproj1" localSheetId="20">OFFSET([3]HistoricalGrowthRates!$E$52, 0, 0, 1, COUNTA([3]HistoricalGrowthRates!$2:$2)-2)</definedName>
    <definedName name="FEperGWPproj1">OFFSET(HistoricalGrowthRates!$E$52, 0, 0, 1, COUNTA(HistoricalGrowthRates!$2:$2)-2)</definedName>
    <definedName name="FEperGWPproj2" localSheetId="15">OFFSET([1]HistoricalGrowthRates!$E$53, 0, 0, 1, COUNTA([1]HistoricalGrowthRates!$2:$2)-2)</definedName>
    <definedName name="FEperGWPproj2" localSheetId="19">OFFSET([1]HistoricalGrowthRates!$E$53, 0, 0, 1, COUNTA([1]HistoricalGrowthRates!$2:$2)-2)</definedName>
    <definedName name="FEperGWPproj2" localSheetId="16">OFFSET([1]HistoricalGrowthRates!$E$53, 0, 0, 1, COUNTA([1]HistoricalGrowthRates!$2:$2)-2)</definedName>
    <definedName name="FEperGWPproj2" localSheetId="39">OFFSET([2]HistoricalGrowthRates!$E$53, 0, 0, 1, COUNTA([2]HistoricalGrowthRates!$2:$2)-2)</definedName>
    <definedName name="FEperGWPproj2" localSheetId="17">OFFSET([3]HistoricalGrowthRates!$E$53, 0, 0, 1, COUNTA([3]HistoricalGrowthRates!$2:$2)-2)</definedName>
    <definedName name="FEperGWPproj2" localSheetId="20">OFFSET([3]HistoricalGrowthRates!$E$53, 0, 0, 1, COUNTA([3]HistoricalGrowthRates!$2:$2)-2)</definedName>
    <definedName name="FEperGWPproj2">OFFSET(HistoricalGrowthRates!$E$53, 0, 0, 1, COUNTA(HistoricalGrowthRates!$2:$2)-2)</definedName>
    <definedName name="FEperGWPprojindex1" localSheetId="15">OFFSET([1]HistoricalGrowthRates!$E$83, 0, 0, 1, COUNTA([1]HistoricalGrowthRates!$2:$2)-2)</definedName>
    <definedName name="FEperGWPprojindex1" localSheetId="19">OFFSET([1]HistoricalGrowthRates!$E$83, 0, 0, 1, COUNTA([1]HistoricalGrowthRates!$2:$2)-2)</definedName>
    <definedName name="FEperGWPprojindex1" localSheetId="16">OFFSET([1]HistoricalGrowthRates!$E$83, 0, 0, 1, COUNTA([1]HistoricalGrowthRates!$2:$2)-2)</definedName>
    <definedName name="FEperGWPprojindex1" localSheetId="39">OFFSET([2]HistoricalGrowthRates!$E$83, 0, 0, 1, COUNTA([2]HistoricalGrowthRates!$2:$2)-2)</definedName>
    <definedName name="FEperGWPprojindex1" localSheetId="17">OFFSET([3]HistoricalGrowthRates!$E$83, 0, 0, 1, COUNTA([3]HistoricalGrowthRates!$2:$2)-2)</definedName>
    <definedName name="FEperGWPprojindex1" localSheetId="20">OFFSET([3]HistoricalGrowthRates!$E$83, 0, 0, 1, COUNTA([3]HistoricalGrowthRates!$2:$2)-2)</definedName>
    <definedName name="FEperGWPprojindex1">OFFSET(HistoricalGrowthRates!$E$83, 0, 0, 1, COUNTA(HistoricalGrowthRates!$2:$2)-2)</definedName>
    <definedName name="FEperGWPprojindex2" localSheetId="15">OFFSET([1]HistoricalGrowthRates!$E$84, 0, 0, 1, COUNTA([1]HistoricalGrowthRates!$2:$2)-2)</definedName>
    <definedName name="FEperGWPprojindex2" localSheetId="19">OFFSET([1]HistoricalGrowthRates!$E$84, 0, 0, 1, COUNTA([1]HistoricalGrowthRates!$2:$2)-2)</definedName>
    <definedName name="FEperGWPprojindex2" localSheetId="16">OFFSET([1]HistoricalGrowthRates!$E$84, 0, 0, 1, COUNTA([1]HistoricalGrowthRates!$2:$2)-2)</definedName>
    <definedName name="FEperGWPprojindex2" localSheetId="39">OFFSET([2]HistoricalGrowthRates!$E$84, 0, 0, 1, COUNTA([2]HistoricalGrowthRates!$2:$2)-2)</definedName>
    <definedName name="FEperGWPprojindex2" localSheetId="17">OFFSET([3]HistoricalGrowthRates!$E$84, 0, 0, 1, COUNTA([3]HistoricalGrowthRates!$2:$2)-2)</definedName>
    <definedName name="FEperGWPprojindex2" localSheetId="20">OFFSET([3]HistoricalGrowthRates!$E$84, 0, 0, 1, COUNTA([3]HistoricalGrowthRates!$2:$2)-2)</definedName>
    <definedName name="FEperGWPprojindex2">OFFSET(HistoricalGrowthRates!$E$84, 0, 0, 1, COUNTA(HistoricalGrowthRates!$2:$2)-2)</definedName>
    <definedName name="FEperGWPrate1" localSheetId="15">OFFSET([1]HistoricalGrowthRates!$E$20, 0, 0, 1, COUNTA([1]HistoricalGrowthRates!$2:$2)-2)</definedName>
    <definedName name="FEperGWPrate1" localSheetId="19">OFFSET([1]HistoricalGrowthRates!$E$20, 0, 0, 1, COUNTA([1]HistoricalGrowthRates!$2:$2)-2)</definedName>
    <definedName name="FEperGWPrate1" localSheetId="16">OFFSET([1]HistoricalGrowthRates!$E$20, 0, 0, 1, COUNTA([1]HistoricalGrowthRates!$2:$2)-2)</definedName>
    <definedName name="FEperGWPrate1" localSheetId="39">OFFSET([2]HistoricalGrowthRates!$E$20, 0, 0, 1, COUNTA([2]HistoricalGrowthRates!$2:$2)-2)</definedName>
    <definedName name="FEperGWPrate1" localSheetId="17">OFFSET([3]HistoricalGrowthRates!$E$20, 0, 0, 1, COUNTA([3]HistoricalGrowthRates!$2:$2)-2)</definedName>
    <definedName name="FEperGWPrate1" localSheetId="20">OFFSET([3]HistoricalGrowthRates!$E$20, 0, 0, 1, COUNTA([3]HistoricalGrowthRates!$2:$2)-2)</definedName>
    <definedName name="FEperGWPrate1">OFFSET(HistoricalGrowthRates!$E$20, 0, 0, 1, COUNTA(HistoricalGrowthRates!$2:$2)-2)</definedName>
    <definedName name="FEperGWPrate2" localSheetId="15">OFFSET([1]HistoricalGrowthRates!$E$21, 0, 0, 1, COUNTA([1]HistoricalGrowthRates!$2:$2)-2)</definedName>
    <definedName name="FEperGWPrate2" localSheetId="19">OFFSET([1]HistoricalGrowthRates!$E$21, 0, 0, 1, COUNTA([1]HistoricalGrowthRates!$2:$2)-2)</definedName>
    <definedName name="FEperGWPrate2" localSheetId="16">OFFSET([1]HistoricalGrowthRates!$E$21, 0, 0, 1, COUNTA([1]HistoricalGrowthRates!$2:$2)-2)</definedName>
    <definedName name="FEperGWPrate2" localSheetId="39">OFFSET([2]HistoricalGrowthRates!$E$21, 0, 0, 1, COUNTA([2]HistoricalGrowthRates!$2:$2)-2)</definedName>
    <definedName name="FEperGWPrate2" localSheetId="17">OFFSET([3]HistoricalGrowthRates!$E$21, 0, 0, 1, COUNTA([3]HistoricalGrowthRates!$2:$2)-2)</definedName>
    <definedName name="FEperGWPrate2" localSheetId="20">OFFSET([3]HistoricalGrowthRates!$E$21, 0, 0, 1, COUNTA([3]HistoricalGrowthRates!$2:$2)-2)</definedName>
    <definedName name="FEperGWPrate2">OFFSET(HistoricalGrowthRates!$E$21, 0, 0, 1, COUNTA(HistoricalGrowthRates!$2:$2)-2)</definedName>
    <definedName name="FEperGWPRef" localSheetId="15">OFFSET([1]ExpKayaRatiosRef!$E$4, 0, 0, 1, COUNTA([1]ExpKayaRatiosRef!$2:$2)-3)</definedName>
    <definedName name="FEperGWPRef" localSheetId="19">OFFSET([1]ExpKayaRatiosRef!$E$4, 0, 0, 1, COUNTA([1]ExpKayaRatiosRef!$2:$2)-3)</definedName>
    <definedName name="FEperGWPRef" localSheetId="16">OFFSET([1]ExpKayaRatiosRef!$E$4, 0, 0, 1, COUNTA([1]ExpKayaRatiosRef!$2:$2)-3)</definedName>
    <definedName name="FEperGWPRef" localSheetId="39">OFFSET([2]ExpKayaRatiosRef!$E$4, 0, 0, 1, COUNTA([2]ExpKayaRatiosRef!$2:$2)-3)</definedName>
    <definedName name="FEperGWPRef" localSheetId="17">OFFSET([3]ExpKayaRatiosRef!$E$4, 0, 0, 1, COUNTA([3]ExpKayaRatiosRef!$2:$2)-3)</definedName>
    <definedName name="FEperGWPRef" localSheetId="20">OFFSET([3]ExpKayaRatiosRef!$E$4, 0, 0, 1, COUNTA([3]ExpKayaRatiosRef!$2:$2)-3)</definedName>
    <definedName name="FEperGWPRef">OFFSET(ExpKayaRatiosRef!$E$4, 0, 0, 1, COUNTA(ExpKayaRatiosRef!$2:$2)-3)</definedName>
    <definedName name="FEproj1" localSheetId="15">OFFSET([1]HistoricalGrowthRates!$E$39, 0, 0, 1, COUNTA([1]HistoricalGrowthRates!$2:$2)-2)</definedName>
    <definedName name="FEproj1" localSheetId="19">OFFSET([1]HistoricalGrowthRates!$E$39, 0, 0, 1, COUNTA([1]HistoricalGrowthRates!$2:$2)-2)</definedName>
    <definedName name="FEproj1" localSheetId="16">OFFSET([1]HistoricalGrowthRates!$E$39, 0, 0, 1, COUNTA([1]HistoricalGrowthRates!$2:$2)-2)</definedName>
    <definedName name="FEproj1" localSheetId="39">OFFSET([2]HistoricalGrowthRates!$E$39, 0, 0, 1, COUNTA([2]HistoricalGrowthRates!$2:$2)-2)</definedName>
    <definedName name="FEproj1" localSheetId="17">OFFSET([3]HistoricalGrowthRates!$E$39, 0, 0, 1, COUNTA([3]HistoricalGrowthRates!$2:$2)-2)</definedName>
    <definedName name="FEproj1" localSheetId="20">OFFSET([3]HistoricalGrowthRates!$E$39, 0, 0, 1, COUNTA([3]HistoricalGrowthRates!$2:$2)-2)</definedName>
    <definedName name="FEproj1">OFFSET(HistoricalGrowthRates!$E$39, 0, 0, 1, COUNTA(HistoricalGrowthRates!$2:$2)-2)</definedName>
    <definedName name="FEproj2" localSheetId="15">OFFSET([1]HistoricalGrowthRates!$E$40, 0, 0, 1, COUNTA([1]HistoricalGrowthRates!$2:$2)-2)</definedName>
    <definedName name="FEproj2" localSheetId="19">OFFSET([1]HistoricalGrowthRates!$E$40, 0, 0, 1, COUNTA([1]HistoricalGrowthRates!$2:$2)-2)</definedName>
    <definedName name="FEproj2" localSheetId="16">OFFSET([1]HistoricalGrowthRates!$E$40, 0, 0, 1, COUNTA([1]HistoricalGrowthRates!$2:$2)-2)</definedName>
    <definedName name="FEproj2" localSheetId="39">OFFSET([2]HistoricalGrowthRates!$E$40, 0, 0, 1, COUNTA([2]HistoricalGrowthRates!$2:$2)-2)</definedName>
    <definedName name="FEproj2" localSheetId="17">OFFSET([3]HistoricalGrowthRates!$E$40, 0, 0, 1, COUNTA([3]HistoricalGrowthRates!$2:$2)-2)</definedName>
    <definedName name="FEproj2" localSheetId="20">OFFSET([3]HistoricalGrowthRates!$E$40, 0, 0, 1, COUNTA([3]HistoricalGrowthRates!$2:$2)-2)</definedName>
    <definedName name="FEproj2">OFFSET(HistoricalGrowthRates!$E$40, 0, 0, 1, COUNTA(HistoricalGrowthRates!$2:$2)-2)</definedName>
    <definedName name="FEprojindex1" localSheetId="15">OFFSET([1]HistoricalGrowthRates!$E$70, 0, 0, 1, COUNTA([1]HistoricalGrowthRates!$2:$2)-2)</definedName>
    <definedName name="FEprojindex1" localSheetId="19">OFFSET([1]HistoricalGrowthRates!$E$70, 0, 0, 1, COUNTA([1]HistoricalGrowthRates!$2:$2)-2)</definedName>
    <definedName name="FEprojindex1" localSheetId="16">OFFSET([1]HistoricalGrowthRates!$E$70, 0, 0, 1, COUNTA([1]HistoricalGrowthRates!$2:$2)-2)</definedName>
    <definedName name="FEprojindex1" localSheetId="39">OFFSET([2]HistoricalGrowthRates!$E$70, 0, 0, 1, COUNTA([2]HistoricalGrowthRates!$2:$2)-2)</definedName>
    <definedName name="FEprojindex1" localSheetId="17">OFFSET([3]HistoricalGrowthRates!$E$70, 0, 0, 1, COUNTA([3]HistoricalGrowthRates!$2:$2)-2)</definedName>
    <definedName name="FEprojindex1" localSheetId="20">OFFSET([3]HistoricalGrowthRates!$E$70, 0, 0, 1, COUNTA([3]HistoricalGrowthRates!$2:$2)-2)</definedName>
    <definedName name="FEprojindex1">OFFSET(HistoricalGrowthRates!$E$70, 0, 0, 1, COUNTA(HistoricalGrowthRates!$2:$2)-2)</definedName>
    <definedName name="FEprojindex2" localSheetId="15">OFFSET([1]HistoricalGrowthRates!$E$71, 0, 0, 1, COUNTA([1]HistoricalGrowthRates!$2:$2)-2)</definedName>
    <definedName name="FEprojindex2" localSheetId="19">OFFSET([1]HistoricalGrowthRates!$E$71, 0, 0, 1, COUNTA([1]HistoricalGrowthRates!$2:$2)-2)</definedName>
    <definedName name="FEprojindex2" localSheetId="16">OFFSET([1]HistoricalGrowthRates!$E$71, 0, 0, 1, COUNTA([1]HistoricalGrowthRates!$2:$2)-2)</definedName>
    <definedName name="FEprojindex2" localSheetId="39">OFFSET([2]HistoricalGrowthRates!$E$71, 0, 0, 1, COUNTA([2]HistoricalGrowthRates!$2:$2)-2)</definedName>
    <definedName name="FEprojindex2" localSheetId="17">OFFSET([3]HistoricalGrowthRates!$E$71, 0, 0, 1, COUNTA([3]HistoricalGrowthRates!$2:$2)-2)</definedName>
    <definedName name="FEprojindex2" localSheetId="20">OFFSET([3]HistoricalGrowthRates!$E$71, 0, 0, 1, COUNTA([3]HistoricalGrowthRates!$2:$2)-2)</definedName>
    <definedName name="FEprojindex2">OFFSET(HistoricalGrowthRates!$E$71, 0, 0, 1, COUNTA(HistoricalGrowthRates!$2:$2)-2)</definedName>
    <definedName name="FErate1" localSheetId="15">OFFSET([1]HistoricalGrowthRates!$E$7, 0, 0, 1, COUNTA([1]HistoricalGrowthRates!$2:$2)-2)</definedName>
    <definedName name="FErate1" localSheetId="19">OFFSET([1]HistoricalGrowthRates!$E$7, 0, 0, 1, COUNTA([1]HistoricalGrowthRates!$2:$2)-2)</definedName>
    <definedName name="FErate1" localSheetId="16">OFFSET([1]HistoricalGrowthRates!$E$7, 0, 0, 1, COUNTA([1]HistoricalGrowthRates!$2:$2)-2)</definedName>
    <definedName name="FErate1" localSheetId="39">OFFSET([2]HistoricalGrowthRates!$E$7, 0, 0, 1, COUNTA([2]HistoricalGrowthRates!$2:$2)-2)</definedName>
    <definedName name="FErate1" localSheetId="17">OFFSET([3]HistoricalGrowthRates!$E$7, 0, 0, 1, COUNTA([3]HistoricalGrowthRates!$2:$2)-2)</definedName>
    <definedName name="FErate1" localSheetId="20">OFFSET([3]HistoricalGrowthRates!$E$7, 0, 0, 1, COUNTA([3]HistoricalGrowthRates!$2:$2)-2)</definedName>
    <definedName name="FErate1">OFFSET(HistoricalGrowthRates!$E$7, 0, 0, 1, COUNTA(HistoricalGrowthRates!$2:$2)-2)</definedName>
    <definedName name="FErate2" localSheetId="15">OFFSET([1]HistoricalGrowthRates!$E$8, 0, 0, 1, COUNTA([1]HistoricalGrowthRates!$2:$2)-2)</definedName>
    <definedName name="FErate2" localSheetId="19">OFFSET([1]HistoricalGrowthRates!$E$8, 0, 0, 1, COUNTA([1]HistoricalGrowthRates!$2:$2)-2)</definedName>
    <definedName name="FErate2" localSheetId="16">OFFSET([1]HistoricalGrowthRates!$E$8, 0, 0, 1, COUNTA([1]HistoricalGrowthRates!$2:$2)-2)</definedName>
    <definedName name="FErate2" localSheetId="39">OFFSET([2]HistoricalGrowthRates!$E$8, 0, 0, 1, COUNTA([2]HistoricalGrowthRates!$2:$2)-2)</definedName>
    <definedName name="FErate2" localSheetId="17">OFFSET([3]HistoricalGrowthRates!$E$8, 0, 0, 1, COUNTA([3]HistoricalGrowthRates!$2:$2)-2)</definedName>
    <definedName name="FErate2" localSheetId="20">OFFSET([3]HistoricalGrowthRates!$E$8, 0, 0, 1, COUNTA([3]HistoricalGrowthRates!$2:$2)-2)</definedName>
    <definedName name="FErate2">OFFSET(HistoricalGrowthRates!$E$8, 0, 0, 1, COUNTA(HistoricalGrowthRates!$2:$2)-2)</definedName>
    <definedName name="FERef" localSheetId="15">OFFSET([1]ExpKayaFactorsRef!$E$4, 0, 0, 1, COUNTA([1]ExpKayaFactorsRef!$2:$2)-3)</definedName>
    <definedName name="FERef" localSheetId="19">OFFSET([1]ExpKayaFactorsRef!$E$4, 0, 0, 1, COUNTA([1]ExpKayaFactorsRef!$2:$2)-3)</definedName>
    <definedName name="FERef" localSheetId="16">OFFSET([1]ExpKayaFactorsRef!$E$4, 0, 0, 1, COUNTA([1]ExpKayaFactorsRef!$2:$2)-3)</definedName>
    <definedName name="FERef" localSheetId="39">OFFSET([2]ExpKayaFactorsRef!$E$4, 0, 0, 1, COUNTA([2]ExpKayaFactorsRef!$2:$2)-3)</definedName>
    <definedName name="FERef" localSheetId="17">OFFSET([3]ExpKayaFactorsRef!$E$4, 0, 0, 1, COUNTA([3]ExpKayaFactorsRef!$2:$2)-3)</definedName>
    <definedName name="FERef" localSheetId="20">OFFSET([3]ExpKayaFactorsRef!$E$4, 0, 0, 1, COUNTA([3]ExpKayaFactorsRef!$2:$2)-3)</definedName>
    <definedName name="FERef">OFFSET(ExpKayaFactorsRef!$E$4, 0, 0, 1, COUNTA(ExpKayaFactorsRef!$2:$2)-3)</definedName>
    <definedName name="fossilCCSInt" localSheetId="15">OFFSET([1]FossilEneEmissionsAccountingInt!$E$8, 0, 0, 1, COUNTA([1]FossilEneEmissionsAccountingInt!$11:$11)-3)</definedName>
    <definedName name="fossilCCSInt" localSheetId="19">OFFSET([1]FossilEneEmissionsAccountingInt!$E$8, 0, 0, 1, COUNTA([1]FossilEneEmissionsAccountingInt!$11:$11)-3)</definedName>
    <definedName name="fossilCCSInt" localSheetId="16">OFFSET([1]FossilEneEmissionsAccountingInt!$E$8, 0, 0, 1, COUNTA([1]FossilEneEmissionsAccountingInt!$11:$11)-3)</definedName>
    <definedName name="fossilCCSInt" localSheetId="39">OFFSET([2]FossilEneEmissionsAccountingInt!$E$8, 0, 0, 1, COUNTA([2]FossilEneEmissionsAccountingInt!$11:$11)-3)</definedName>
    <definedName name="fossilCCSInt" localSheetId="17">OFFSET([3]FossilEneEmissionsAccountingInt!$E$8, 0, 0, 1, COUNTA([3]FossilEneEmissionsAccountingInt!$11:$11)-3)</definedName>
    <definedName name="fossilCCSInt" localSheetId="20">OFFSET([3]FossilEneEmissionsAccountingInt!$E$8, 0, 0, 1, COUNTA([3]FossilEneEmissionsAccountingInt!$11:$11)-3)</definedName>
    <definedName name="fossilCCSInt">OFFSET(FossilEneEmissionsAccountingInt!$E$8, 0, 0, 1, COUNTA(FossilEneEmissionsAccountingInt!$11:$11)-3)</definedName>
    <definedName name="GWPchngInt" localSheetId="15">OFFSET([1]ExpKayaFactorsInt!$E$29, 0, 0, 1, COUNTA([1]ExpKayaFactorsInt!$2:$2)-3)</definedName>
    <definedName name="GWPchngInt" localSheetId="19">OFFSET([1]ExpKayaFactorsInt!$E$29, 0, 0, 1, COUNTA([1]ExpKayaFactorsInt!$2:$2)-3)</definedName>
    <definedName name="GWPchngInt" localSheetId="16">OFFSET([1]ExpKayaFactorsInt!$E$29, 0, 0, 1, COUNTA([1]ExpKayaFactorsInt!$2:$2)-3)</definedName>
    <definedName name="GWPchngInt" localSheetId="39">OFFSET([2]ExpKayaFactorsInt!$E$29, 0, 0, 1, COUNTA([2]ExpKayaFactorsInt!$2:$2)-3)</definedName>
    <definedName name="GWPchngInt" localSheetId="17">OFFSET([3]ExpKayaFactorsInt!$E$29, 0, 0, 1, COUNTA([3]ExpKayaFactorsInt!$2:$2)-3)</definedName>
    <definedName name="GWPchngInt" localSheetId="20">OFFSET([3]ExpKayaFactorsInt!$E$29, 0, 0, 1, COUNTA([3]ExpKayaFactorsInt!$2:$2)-3)</definedName>
    <definedName name="GWPchngInt">OFFSET(ExpKayaFactorsInt!$E$29, 0, 0, 1, COUNTA(ExpKayaFactorsInt!$2:$2)-3)</definedName>
    <definedName name="GWPchngRef" localSheetId="15">OFFSET([1]ExpKayaFactorsRef!$E$29, 0, 0, 1, COUNTA([1]ExpKayaFactorsRef!$2:$2)-3)</definedName>
    <definedName name="GWPchngRef" localSheetId="19">OFFSET([1]ExpKayaFactorsRef!$E$29, 0, 0, 1, COUNTA([1]ExpKayaFactorsRef!$2:$2)-3)</definedName>
    <definedName name="GWPchngRef" localSheetId="16">OFFSET([1]ExpKayaFactorsRef!$E$29, 0, 0, 1, COUNTA([1]ExpKayaFactorsRef!$2:$2)-3)</definedName>
    <definedName name="GWPchngRef" localSheetId="39">OFFSET([2]ExpKayaFactorsRef!$E$29, 0, 0, 1, COUNTA([2]ExpKayaFactorsRef!$2:$2)-3)</definedName>
    <definedName name="GWPchngRef" localSheetId="17">OFFSET([3]ExpKayaFactorsRef!$E$29, 0, 0, 1, COUNTA([3]ExpKayaFactorsRef!$2:$2)-3)</definedName>
    <definedName name="GWPchngRef" localSheetId="20">OFFSET([3]ExpKayaFactorsRef!$E$29, 0, 0, 1, COUNTA([3]ExpKayaFactorsRef!$2:$2)-3)</definedName>
    <definedName name="GWPchngRef">OFFSET(ExpKayaFactorsRef!$E$29, 0, 0, 1, COUNTA(ExpKayaFactorsRef!$2:$2)-3)</definedName>
    <definedName name="GWPindexInt" localSheetId="15">OFFSET([1]ExpKayaFactorsInt!$E$16, 0, 0, 1, COUNTA([1]ExpKayaFactorsInt!$2:$2)-3)</definedName>
    <definedName name="GWPindexInt" localSheetId="19">OFFSET([1]ExpKayaFactorsInt!$E$16, 0, 0, 1, COUNTA([1]ExpKayaFactorsInt!$2:$2)-3)</definedName>
    <definedName name="GWPindexInt" localSheetId="16">OFFSET([1]ExpKayaFactorsInt!$E$16, 0, 0, 1, COUNTA([1]ExpKayaFactorsInt!$2:$2)-3)</definedName>
    <definedName name="GWPindexInt" localSheetId="39">OFFSET([2]ExpKayaFactorsInt!$E$16, 0, 0, 1, COUNTA([2]ExpKayaFactorsInt!$2:$2)-3)</definedName>
    <definedName name="GWPindexInt" localSheetId="17">OFFSET([3]ExpKayaFactorsInt!$E$16, 0, 0, 1, COUNTA([3]ExpKayaFactorsInt!$2:$2)-3)</definedName>
    <definedName name="GWPindexInt" localSheetId="20">OFFSET([3]ExpKayaFactorsInt!$E$16, 0, 0, 1, COUNTA([3]ExpKayaFactorsInt!$2:$2)-3)</definedName>
    <definedName name="GWPindexInt">OFFSET(ExpKayaFactorsInt!$E$16, 0, 0, 1, COUNTA(ExpKayaFactorsInt!$2:$2)-3)</definedName>
    <definedName name="GWPindexRef" localSheetId="15">OFFSET([1]ExpKayaFactorsRef!$E$16, 0, 0, 1, COUNTA([1]ExpKayaFactorsRef!$2:$2)-3)</definedName>
    <definedName name="GWPindexRef" localSheetId="19">OFFSET([1]ExpKayaFactorsRef!$E$16, 0, 0, 1, COUNTA([1]ExpKayaFactorsRef!$2:$2)-3)</definedName>
    <definedName name="GWPindexRef" localSheetId="16">OFFSET([1]ExpKayaFactorsRef!$E$16, 0, 0, 1, COUNTA([1]ExpKayaFactorsRef!$2:$2)-3)</definedName>
    <definedName name="GWPindexRef" localSheetId="39">OFFSET([2]ExpKayaFactorsRef!$E$16, 0, 0, 1, COUNTA([2]ExpKayaFactorsRef!$2:$2)-3)</definedName>
    <definedName name="GWPindexRef" localSheetId="17">OFFSET([3]ExpKayaFactorsRef!$E$16, 0, 0, 1, COUNTA([3]ExpKayaFactorsRef!$2:$2)-3)</definedName>
    <definedName name="GWPindexRef" localSheetId="20">OFFSET([3]ExpKayaFactorsRef!$E$16, 0, 0, 1, COUNTA([3]ExpKayaFactorsRef!$2:$2)-3)</definedName>
    <definedName name="GWPindexRef">OFFSET(ExpKayaFactorsRef!$E$16, 0, 0, 1, COUNTA(ExpKayaFactorsRef!$2:$2)-3)</definedName>
    <definedName name="GWPInt" localSheetId="15">OFFSET([1]ExpKayaFactorsInt!$E$3, 0, 0, 1, COUNTA([1]ExpKayaFactorsInt!$2:$2)-3)</definedName>
    <definedName name="GWPInt" localSheetId="19">OFFSET([1]ExpKayaFactorsInt!$E$3, 0, 0, 1, COUNTA([1]ExpKayaFactorsInt!$2:$2)-3)</definedName>
    <definedName name="GWPInt" localSheetId="16">OFFSET([1]ExpKayaFactorsInt!$E$3, 0, 0, 1, COUNTA([1]ExpKayaFactorsInt!$2:$2)-3)</definedName>
    <definedName name="GWPInt" localSheetId="39">OFFSET([2]ExpKayaFactorsInt!$E$3, 0, 0, 1, COUNTA([2]ExpKayaFactorsInt!$2:$2)-3)</definedName>
    <definedName name="GWPInt" localSheetId="17">OFFSET([3]ExpKayaFactorsInt!$E$3, 0, 0, 1, COUNTA([3]ExpKayaFactorsInt!$2:$2)-3)</definedName>
    <definedName name="GWPInt" localSheetId="20">OFFSET([3]ExpKayaFactorsInt!$E$3, 0, 0, 1, COUNTA([3]ExpKayaFactorsInt!$2:$2)-3)</definedName>
    <definedName name="GWPInt">OFFSET(ExpKayaFactorsInt!$E$3, 0, 0, 1, COUNTA(ExpKayaFactorsInt!$2:$2)-3)</definedName>
    <definedName name="GWPperPchngInt" localSheetId="15">OFFSET([1]ExpKayaRatiosInt!$E$29, 0, 0, 1, COUNTA([1]ExpKayaRatiosInt!$2:$2)-3)</definedName>
    <definedName name="GWPperPchngInt" localSheetId="19">OFFSET([1]ExpKayaRatiosInt!$E$29, 0, 0, 1, COUNTA([1]ExpKayaRatiosInt!$2:$2)-3)</definedName>
    <definedName name="GWPperPchngInt" localSheetId="16">OFFSET([1]ExpKayaRatiosInt!$E$29, 0, 0, 1, COUNTA([1]ExpKayaRatiosInt!$2:$2)-3)</definedName>
    <definedName name="GWPperPchngInt" localSheetId="39">OFFSET([2]ExpKayaRatiosInt!$E$29, 0, 0, 1, COUNTA([2]ExpKayaRatiosInt!$2:$2)-3)</definedName>
    <definedName name="GWPperPchngInt" localSheetId="17">OFFSET([3]ExpKayaRatiosInt!$E$29, 0, 0, 1, COUNTA([3]ExpKayaRatiosInt!$2:$2)-3)</definedName>
    <definedName name="GWPperPchngInt" localSheetId="20">OFFSET([3]ExpKayaRatiosInt!$E$29, 0, 0, 1, COUNTA([3]ExpKayaRatiosInt!$2:$2)-3)</definedName>
    <definedName name="GWPperPchngInt">OFFSET(ExpKayaRatiosInt!$E$29, 0, 0, 1, COUNTA(ExpKayaRatiosInt!$2:$2)-3)</definedName>
    <definedName name="GWPperPchngRef" localSheetId="15">OFFSET([1]ExpKayaRatiosRef!$E$29, 0, 0, 1, COUNTA([1]ExpKayaRatiosRef!$2:$2)-3)</definedName>
    <definedName name="GWPperPchngRef" localSheetId="19">OFFSET([1]ExpKayaRatiosRef!$E$29, 0, 0, 1, COUNTA([1]ExpKayaRatiosRef!$2:$2)-3)</definedName>
    <definedName name="GWPperPchngRef" localSheetId="16">OFFSET([1]ExpKayaRatiosRef!$E$29, 0, 0, 1, COUNTA([1]ExpKayaRatiosRef!$2:$2)-3)</definedName>
    <definedName name="GWPperPchngRef" localSheetId="39">OFFSET([2]ExpKayaRatiosRef!$E$29, 0, 0, 1, COUNTA([2]ExpKayaRatiosRef!$2:$2)-3)</definedName>
    <definedName name="GWPperPchngRef" localSheetId="17">OFFSET([3]ExpKayaRatiosRef!$E$29, 0, 0, 1, COUNTA([3]ExpKayaRatiosRef!$2:$2)-3)</definedName>
    <definedName name="GWPperPchngRef" localSheetId="20">OFFSET([3]ExpKayaRatiosRef!$E$29, 0, 0, 1, COUNTA([3]ExpKayaRatiosRef!$2:$2)-3)</definedName>
    <definedName name="GWPperPchngRef">OFFSET(ExpKayaRatiosRef!$E$29, 0, 0, 1, COUNTA(ExpKayaRatiosRef!$2:$2)-3)</definedName>
    <definedName name="GWPperPindexInt" localSheetId="15">OFFSET([1]ExpKayaRatiosInt!$E$16, 0, 0, 1, COUNTA([1]ExpKayaRatiosInt!$2:$2)-3)</definedName>
    <definedName name="GWPperPindexInt" localSheetId="19">OFFSET([1]ExpKayaRatiosInt!$E$16, 0, 0, 1, COUNTA([1]ExpKayaRatiosInt!$2:$2)-3)</definedName>
    <definedName name="GWPperPindexInt" localSheetId="16">OFFSET([1]ExpKayaRatiosInt!$E$16, 0, 0, 1, COUNTA([1]ExpKayaRatiosInt!$2:$2)-3)</definedName>
    <definedName name="GWPperPindexInt" localSheetId="39">OFFSET([2]ExpKayaRatiosInt!$E$16, 0, 0, 1, COUNTA([2]ExpKayaRatiosInt!$2:$2)-3)</definedName>
    <definedName name="GWPperPindexInt" localSheetId="17">OFFSET([3]ExpKayaRatiosInt!$E$16, 0, 0, 1, COUNTA([3]ExpKayaRatiosInt!$2:$2)-3)</definedName>
    <definedName name="GWPperPindexInt" localSheetId="20">OFFSET([3]ExpKayaRatiosInt!$E$16, 0, 0, 1, COUNTA([3]ExpKayaRatiosInt!$2:$2)-3)</definedName>
    <definedName name="GWPperPindexInt">OFFSET(ExpKayaRatiosInt!$E$16, 0, 0, 1, COUNTA(ExpKayaRatiosInt!$2:$2)-3)</definedName>
    <definedName name="GWPperPindexRef" localSheetId="15">OFFSET([1]ExpKayaRatiosRef!$E$16, 0, 0, 1, COUNTA([1]ExpKayaRatiosRef!$2:$2)-3)</definedName>
    <definedName name="GWPperPindexRef" localSheetId="19">OFFSET([1]ExpKayaRatiosRef!$E$16, 0, 0, 1, COUNTA([1]ExpKayaRatiosRef!$2:$2)-3)</definedName>
    <definedName name="GWPperPindexRef" localSheetId="16">OFFSET([1]ExpKayaRatiosRef!$E$16, 0, 0, 1, COUNTA([1]ExpKayaRatiosRef!$2:$2)-3)</definedName>
    <definedName name="GWPperPindexRef" localSheetId="39">OFFSET([2]ExpKayaRatiosRef!$E$16, 0, 0, 1, COUNTA([2]ExpKayaRatiosRef!$2:$2)-3)</definedName>
    <definedName name="GWPperPindexRef" localSheetId="17">OFFSET([3]ExpKayaRatiosRef!$E$16, 0, 0, 1, COUNTA([3]ExpKayaRatiosRef!$2:$2)-3)</definedName>
    <definedName name="GWPperPindexRef" localSheetId="20">OFFSET([3]ExpKayaRatiosRef!$E$16, 0, 0, 1, COUNTA([3]ExpKayaRatiosRef!$2:$2)-3)</definedName>
    <definedName name="GWPperPindexRef">OFFSET(ExpKayaRatiosRef!$E$16, 0, 0, 1, COUNTA(ExpKayaRatiosRef!$2:$2)-3)</definedName>
    <definedName name="GWPperPInt" localSheetId="15">OFFSET([1]ExpKayaRatiosInt!$E$3, 0, 0, 1, COUNTA([1]ExpKayaRatiosInt!$2:$2)-3)</definedName>
    <definedName name="GWPperPInt" localSheetId="19">OFFSET([1]ExpKayaRatiosInt!$E$3, 0, 0, 1, COUNTA([1]ExpKayaRatiosInt!$2:$2)-3)</definedName>
    <definedName name="GWPperPInt" localSheetId="16">OFFSET([1]ExpKayaRatiosInt!$E$3, 0, 0, 1, COUNTA([1]ExpKayaRatiosInt!$2:$2)-3)</definedName>
    <definedName name="GWPperPInt" localSheetId="39">OFFSET([2]ExpKayaRatiosInt!$E$3, 0, 0, 1, COUNTA([2]ExpKayaRatiosInt!$2:$2)-3)</definedName>
    <definedName name="GWPperPInt" localSheetId="17">OFFSET([3]ExpKayaRatiosInt!$E$3, 0, 0, 1, COUNTA([3]ExpKayaRatiosInt!$2:$2)-3)</definedName>
    <definedName name="GWPperPInt" localSheetId="20">OFFSET([3]ExpKayaRatiosInt!$E$3, 0, 0, 1, COUNTA([3]ExpKayaRatiosInt!$2:$2)-3)</definedName>
    <definedName name="GWPperPInt">OFFSET(ExpKayaRatiosInt!$E$3, 0, 0, 1, COUNTA(ExpKayaRatiosInt!$2:$2)-3)</definedName>
    <definedName name="GWPperPproj1" localSheetId="15">OFFSET([1]HistoricalGrowthRates!$E$50, 0, 0, 1, COUNTA([1]HistoricalGrowthRates!$2:$2)-2)</definedName>
    <definedName name="GWPperPproj1" localSheetId="19">OFFSET([1]HistoricalGrowthRates!$E$50, 0, 0, 1, COUNTA([1]HistoricalGrowthRates!$2:$2)-2)</definedName>
    <definedName name="GWPperPproj1" localSheetId="16">OFFSET([1]HistoricalGrowthRates!$E$50, 0, 0, 1, COUNTA([1]HistoricalGrowthRates!$2:$2)-2)</definedName>
    <definedName name="GWPperPproj1" localSheetId="39">OFFSET([2]HistoricalGrowthRates!$E$50, 0, 0, 1, COUNTA([2]HistoricalGrowthRates!$2:$2)-2)</definedName>
    <definedName name="GWPperPproj1" localSheetId="17">OFFSET([3]HistoricalGrowthRates!$E$50, 0, 0, 1, COUNTA([3]HistoricalGrowthRates!$2:$2)-2)</definedName>
    <definedName name="GWPperPproj1" localSheetId="20">OFFSET([3]HistoricalGrowthRates!$E$50, 0, 0, 1, COUNTA([3]HistoricalGrowthRates!$2:$2)-2)</definedName>
    <definedName name="GWPperPproj1">OFFSET(HistoricalGrowthRates!$E$50, 0, 0, 1, COUNTA(HistoricalGrowthRates!$2:$2)-2)</definedName>
    <definedName name="GWPperPproj2" localSheetId="15">OFFSET([1]HistoricalGrowthRates!$E$51, 0, 0, 1, COUNTA([1]HistoricalGrowthRates!$2:$2)-2)</definedName>
    <definedName name="GWPperPproj2" localSheetId="19">OFFSET([1]HistoricalGrowthRates!$E$51, 0, 0, 1, COUNTA([1]HistoricalGrowthRates!$2:$2)-2)</definedName>
    <definedName name="GWPperPproj2" localSheetId="16">OFFSET([1]HistoricalGrowthRates!$E$51, 0, 0, 1, COUNTA([1]HistoricalGrowthRates!$2:$2)-2)</definedName>
    <definedName name="GWPperPproj2" localSheetId="39">OFFSET([2]HistoricalGrowthRates!$E$51, 0, 0, 1, COUNTA([2]HistoricalGrowthRates!$2:$2)-2)</definedName>
    <definedName name="GWPperPproj2" localSheetId="17">OFFSET([3]HistoricalGrowthRates!$E$51, 0, 0, 1, COUNTA([3]HistoricalGrowthRates!$2:$2)-2)</definedName>
    <definedName name="GWPperPproj2" localSheetId="20">OFFSET([3]HistoricalGrowthRates!$E$51, 0, 0, 1, COUNTA([3]HistoricalGrowthRates!$2:$2)-2)</definedName>
    <definedName name="GWPperPproj2">OFFSET(HistoricalGrowthRates!$E$51, 0, 0, 1, COUNTA(HistoricalGrowthRates!$2:$2)-2)</definedName>
    <definedName name="GWPperPprojindex1" localSheetId="15">OFFSET([1]HistoricalGrowthRates!$E$81, 0, 0, 1, COUNTA([1]HistoricalGrowthRates!$2:$2)-2)</definedName>
    <definedName name="GWPperPprojindex1" localSheetId="19">OFFSET([1]HistoricalGrowthRates!$E$81, 0, 0, 1, COUNTA([1]HistoricalGrowthRates!$2:$2)-2)</definedName>
    <definedName name="GWPperPprojindex1" localSheetId="16">OFFSET([1]HistoricalGrowthRates!$E$81, 0, 0, 1, COUNTA([1]HistoricalGrowthRates!$2:$2)-2)</definedName>
    <definedName name="GWPperPprojindex1" localSheetId="39">OFFSET([2]HistoricalGrowthRates!$E$81, 0, 0, 1, COUNTA([2]HistoricalGrowthRates!$2:$2)-2)</definedName>
    <definedName name="GWPperPprojindex1" localSheetId="17">OFFSET([3]HistoricalGrowthRates!$E$81, 0, 0, 1, COUNTA([3]HistoricalGrowthRates!$2:$2)-2)</definedName>
    <definedName name="GWPperPprojindex1" localSheetId="20">OFFSET([3]HistoricalGrowthRates!$E$81, 0, 0, 1, COUNTA([3]HistoricalGrowthRates!$2:$2)-2)</definedName>
    <definedName name="GWPperPprojindex1">OFFSET(HistoricalGrowthRates!$E$81, 0, 0, 1, COUNTA(HistoricalGrowthRates!$2:$2)-2)</definedName>
    <definedName name="GWPperPprojindex2" localSheetId="15">OFFSET([1]HistoricalGrowthRates!$E$82, 0, 0, 1, COUNTA([1]HistoricalGrowthRates!$2:$2)-2)</definedName>
    <definedName name="GWPperPprojindex2" localSheetId="19">OFFSET([1]HistoricalGrowthRates!$E$82, 0, 0, 1, COUNTA([1]HistoricalGrowthRates!$2:$2)-2)</definedName>
    <definedName name="GWPperPprojindex2" localSheetId="16">OFFSET([1]HistoricalGrowthRates!$E$82, 0, 0, 1, COUNTA([1]HistoricalGrowthRates!$2:$2)-2)</definedName>
    <definedName name="GWPperPprojindex2" localSheetId="39">OFFSET([2]HistoricalGrowthRates!$E$82, 0, 0, 1, COUNTA([2]HistoricalGrowthRates!$2:$2)-2)</definedName>
    <definedName name="GWPperPprojindex2" localSheetId="17">OFFSET([3]HistoricalGrowthRates!$E$82, 0, 0, 1, COUNTA([3]HistoricalGrowthRates!$2:$2)-2)</definedName>
    <definedName name="GWPperPprojindex2" localSheetId="20">OFFSET([3]HistoricalGrowthRates!$E$82, 0, 0, 1, COUNTA([3]HistoricalGrowthRates!$2:$2)-2)</definedName>
    <definedName name="GWPperPprojindex2">OFFSET(HistoricalGrowthRates!$E$82, 0, 0, 1, COUNTA(HistoricalGrowthRates!$2:$2)-2)</definedName>
    <definedName name="GWPperPrate1" localSheetId="15">OFFSET([1]HistoricalGrowthRates!$E$18, 0, 0, 1, COUNTA([1]HistoricalGrowthRates!$2:$2)-2)</definedName>
    <definedName name="GWPperPrate1" localSheetId="19">OFFSET([1]HistoricalGrowthRates!$E$18, 0, 0, 1, COUNTA([1]HistoricalGrowthRates!$2:$2)-2)</definedName>
    <definedName name="GWPperPrate1" localSheetId="16">OFFSET([1]HistoricalGrowthRates!$E$18, 0, 0, 1, COUNTA([1]HistoricalGrowthRates!$2:$2)-2)</definedName>
    <definedName name="GWPperPrate1" localSheetId="39">OFFSET([2]HistoricalGrowthRates!$E$18, 0, 0, 1, COUNTA([2]HistoricalGrowthRates!$2:$2)-2)</definedName>
    <definedName name="GWPperPrate1" localSheetId="17">OFFSET([3]HistoricalGrowthRates!$E$18, 0, 0, 1, COUNTA([3]HistoricalGrowthRates!$2:$2)-2)</definedName>
    <definedName name="GWPperPrate1" localSheetId="20">OFFSET([3]HistoricalGrowthRates!$E$18, 0, 0, 1, COUNTA([3]HistoricalGrowthRates!$2:$2)-2)</definedName>
    <definedName name="GWPperPrate1">OFFSET(HistoricalGrowthRates!$E$18, 0, 0, 1, COUNTA(HistoricalGrowthRates!$2:$2)-2)</definedName>
    <definedName name="GWPperPrate2" localSheetId="15">OFFSET([1]HistoricalGrowthRates!$E$19, 0, 0, 1, COUNTA([1]HistoricalGrowthRates!$2:$2)-2)</definedName>
    <definedName name="GWPperPrate2" localSheetId="19">OFFSET([1]HistoricalGrowthRates!$E$19, 0, 0, 1, COUNTA([1]HistoricalGrowthRates!$2:$2)-2)</definedName>
    <definedName name="GWPperPrate2" localSheetId="16">OFFSET([1]HistoricalGrowthRates!$E$19, 0, 0, 1, COUNTA([1]HistoricalGrowthRates!$2:$2)-2)</definedName>
    <definedName name="GWPperPrate2" localSheetId="39">OFFSET([2]HistoricalGrowthRates!$E$19, 0, 0, 1, COUNTA([2]HistoricalGrowthRates!$2:$2)-2)</definedName>
    <definedName name="GWPperPrate2" localSheetId="17">OFFSET([3]HistoricalGrowthRates!$E$19, 0, 0, 1, COUNTA([3]HistoricalGrowthRates!$2:$2)-2)</definedName>
    <definedName name="GWPperPrate2" localSheetId="20">OFFSET([3]HistoricalGrowthRates!$E$19, 0, 0, 1, COUNTA([3]HistoricalGrowthRates!$2:$2)-2)</definedName>
    <definedName name="GWPperPrate2">OFFSET(HistoricalGrowthRates!$E$19, 0, 0, 1, COUNTA(HistoricalGrowthRates!$2:$2)-2)</definedName>
    <definedName name="GWPperPRef" localSheetId="15">OFFSET([1]ExpKayaRatiosRef!$E$3, 0, 0, 1, COUNTA([1]ExpKayaRatiosRef!$2:$2)-3)</definedName>
    <definedName name="GWPperPRef" localSheetId="19">OFFSET([1]ExpKayaRatiosRef!$E$3, 0, 0, 1, COUNTA([1]ExpKayaRatiosRef!$2:$2)-3)</definedName>
    <definedName name="GWPperPRef" localSheetId="16">OFFSET([1]ExpKayaRatiosRef!$E$3, 0, 0, 1, COUNTA([1]ExpKayaRatiosRef!$2:$2)-3)</definedName>
    <definedName name="GWPperPRef" localSheetId="39">OFFSET([2]ExpKayaRatiosRef!$E$3, 0, 0, 1, COUNTA([2]ExpKayaRatiosRef!$2:$2)-3)</definedName>
    <definedName name="GWPperPRef" localSheetId="17">OFFSET([3]ExpKayaRatiosRef!$E$3, 0, 0, 1, COUNTA([3]ExpKayaRatiosRef!$2:$2)-3)</definedName>
    <definedName name="GWPperPRef" localSheetId="20">OFFSET([3]ExpKayaRatiosRef!$E$3, 0, 0, 1, COUNTA([3]ExpKayaRatiosRef!$2:$2)-3)</definedName>
    <definedName name="GWPperPRef">OFFSET(ExpKayaRatiosRef!$E$3, 0, 0, 1, COUNTA(ExpKayaRatiosRef!$2:$2)-3)</definedName>
    <definedName name="GWPproj1" localSheetId="15">OFFSET([1]HistoricalGrowthRates!$E$37, 0, 0, 1, COUNTA([1]HistoricalGrowthRates!$2:$2)-2)</definedName>
    <definedName name="GWPproj1" localSheetId="19">OFFSET([1]HistoricalGrowthRates!$E$37, 0, 0, 1, COUNTA([1]HistoricalGrowthRates!$2:$2)-2)</definedName>
    <definedName name="GWPproj1" localSheetId="16">OFFSET([1]HistoricalGrowthRates!$E$37, 0, 0, 1, COUNTA([1]HistoricalGrowthRates!$2:$2)-2)</definedName>
    <definedName name="GWPproj1" localSheetId="39">OFFSET([2]HistoricalGrowthRates!$E$37, 0, 0, 1, COUNTA([2]HistoricalGrowthRates!$2:$2)-2)</definedName>
    <definedName name="GWPproj1" localSheetId="17">OFFSET([3]HistoricalGrowthRates!$E$37, 0, 0, 1, COUNTA([3]HistoricalGrowthRates!$2:$2)-2)</definedName>
    <definedName name="GWPproj1" localSheetId="20">OFFSET([3]HistoricalGrowthRates!$E$37, 0, 0, 1, COUNTA([3]HistoricalGrowthRates!$2:$2)-2)</definedName>
    <definedName name="GWPproj1">OFFSET(HistoricalGrowthRates!$E$37, 0, 0, 1, COUNTA(HistoricalGrowthRates!$2:$2)-2)</definedName>
    <definedName name="GWPproj2" localSheetId="15">OFFSET([1]HistoricalGrowthRates!$E$38, 0, 0, 1, COUNTA([1]HistoricalGrowthRates!$2:$2)-2)</definedName>
    <definedName name="GWPproj2" localSheetId="19">OFFSET([1]HistoricalGrowthRates!$E$38, 0, 0, 1, COUNTA([1]HistoricalGrowthRates!$2:$2)-2)</definedName>
    <definedName name="GWPproj2" localSheetId="16">OFFSET([1]HistoricalGrowthRates!$E$38, 0, 0, 1, COUNTA([1]HistoricalGrowthRates!$2:$2)-2)</definedName>
    <definedName name="GWPproj2" localSheetId="39">OFFSET([2]HistoricalGrowthRates!$E$38, 0, 0, 1, COUNTA([2]HistoricalGrowthRates!$2:$2)-2)</definedName>
    <definedName name="GWPproj2" localSheetId="17">OFFSET([3]HistoricalGrowthRates!$E$38, 0, 0, 1, COUNTA([3]HistoricalGrowthRates!$2:$2)-2)</definedName>
    <definedName name="GWPproj2" localSheetId="20">OFFSET([3]HistoricalGrowthRates!$E$38, 0, 0, 1, COUNTA([3]HistoricalGrowthRates!$2:$2)-2)</definedName>
    <definedName name="GWPproj2">OFFSET(HistoricalGrowthRates!$E$38, 0, 0, 1, COUNTA(HistoricalGrowthRates!$2:$2)-2)</definedName>
    <definedName name="GWPprojindex1" localSheetId="15">OFFSET([1]HistoricalGrowthRates!$E$68, 0, 0, 1, COUNTA([1]HistoricalGrowthRates!$2:$2)-2)</definedName>
    <definedName name="GWPprojindex1" localSheetId="19">OFFSET([1]HistoricalGrowthRates!$E$68, 0, 0, 1, COUNTA([1]HistoricalGrowthRates!$2:$2)-2)</definedName>
    <definedName name="GWPprojindex1" localSheetId="16">OFFSET([1]HistoricalGrowthRates!$E$68, 0, 0, 1, COUNTA([1]HistoricalGrowthRates!$2:$2)-2)</definedName>
    <definedName name="GWPprojindex1" localSheetId="39">OFFSET([2]HistoricalGrowthRates!$E$68, 0, 0, 1, COUNTA([2]HistoricalGrowthRates!$2:$2)-2)</definedName>
    <definedName name="GWPprojindex1" localSheetId="17">OFFSET([3]HistoricalGrowthRates!$E$68, 0, 0, 1, COUNTA([3]HistoricalGrowthRates!$2:$2)-2)</definedName>
    <definedName name="GWPprojindex1" localSheetId="20">OFFSET([3]HistoricalGrowthRates!$E$68, 0, 0, 1, COUNTA([3]HistoricalGrowthRates!$2:$2)-2)</definedName>
    <definedName name="GWPprojindex1">OFFSET(HistoricalGrowthRates!$E$68, 0, 0, 1, COUNTA(HistoricalGrowthRates!$2:$2)-2)</definedName>
    <definedName name="GWPprojindex2" localSheetId="15">OFFSET([1]HistoricalGrowthRates!$E$69, 0, 0, 1, COUNTA([1]HistoricalGrowthRates!$2:$2)-2)</definedName>
    <definedName name="GWPprojindex2" localSheetId="19">OFFSET([1]HistoricalGrowthRates!$E$69, 0, 0, 1, COUNTA([1]HistoricalGrowthRates!$2:$2)-2)</definedName>
    <definedName name="GWPprojindex2" localSheetId="16">OFFSET([1]HistoricalGrowthRates!$E$69, 0, 0, 1, COUNTA([1]HistoricalGrowthRates!$2:$2)-2)</definedName>
    <definedName name="GWPprojindex2" localSheetId="39">OFFSET([2]HistoricalGrowthRates!$E$69, 0, 0, 1, COUNTA([2]HistoricalGrowthRates!$2:$2)-2)</definedName>
    <definedName name="GWPprojindex2" localSheetId="17">OFFSET([3]HistoricalGrowthRates!$E$69, 0, 0, 1, COUNTA([3]HistoricalGrowthRates!$2:$2)-2)</definedName>
    <definedName name="GWPprojindex2" localSheetId="20">OFFSET([3]HistoricalGrowthRates!$E$69, 0, 0, 1, COUNTA([3]HistoricalGrowthRates!$2:$2)-2)</definedName>
    <definedName name="GWPprojindex2">OFFSET(HistoricalGrowthRates!$E$69, 0, 0, 1, COUNTA(HistoricalGrowthRates!$2:$2)-2)</definedName>
    <definedName name="GWPrate1" localSheetId="15">OFFSET([1]HistoricalGrowthRates!$E$5, 0, 0, 1, COUNTA([1]HistoricalGrowthRates!$2:$2)-2)</definedName>
    <definedName name="GWPrate1" localSheetId="19">OFFSET([1]HistoricalGrowthRates!$E$5, 0, 0, 1, COUNTA([1]HistoricalGrowthRates!$2:$2)-2)</definedName>
    <definedName name="GWPrate1" localSheetId="16">OFFSET([1]HistoricalGrowthRates!$E$5, 0, 0, 1, COUNTA([1]HistoricalGrowthRates!$2:$2)-2)</definedName>
    <definedName name="GWPrate1" localSheetId="39">OFFSET([2]HistoricalGrowthRates!$E$5, 0, 0, 1, COUNTA([2]HistoricalGrowthRates!$2:$2)-2)</definedName>
    <definedName name="GWPrate1" localSheetId="17">OFFSET([3]HistoricalGrowthRates!$E$5, 0, 0, 1, COUNTA([3]HistoricalGrowthRates!$2:$2)-2)</definedName>
    <definedName name="GWPrate1" localSheetId="20">OFFSET([3]HistoricalGrowthRates!$E$5, 0, 0, 1, COUNTA([3]HistoricalGrowthRates!$2:$2)-2)</definedName>
    <definedName name="GWPrate1">OFFSET(HistoricalGrowthRates!$E$5, 0, 0, 1, COUNTA(HistoricalGrowthRates!$2:$2)-2)</definedName>
    <definedName name="GWPrate2" localSheetId="15">OFFSET([1]HistoricalGrowthRates!$E$6, 0, 0, 1, COUNTA([1]HistoricalGrowthRates!$2:$2)-2)</definedName>
    <definedName name="GWPrate2" localSheetId="19">OFFSET([1]HistoricalGrowthRates!$E$6, 0, 0, 1, COUNTA([1]HistoricalGrowthRates!$2:$2)-2)</definedName>
    <definedName name="GWPrate2" localSheetId="16">OFFSET([1]HistoricalGrowthRates!$E$6, 0, 0, 1, COUNTA([1]HistoricalGrowthRates!$2:$2)-2)</definedName>
    <definedName name="GWPrate2" localSheetId="39">OFFSET([2]HistoricalGrowthRates!$E$6, 0, 0, 1, COUNTA([2]HistoricalGrowthRates!$2:$2)-2)</definedName>
    <definedName name="GWPrate2" localSheetId="17">OFFSET([3]HistoricalGrowthRates!$E$6, 0, 0, 1, COUNTA([3]HistoricalGrowthRates!$2:$2)-2)</definedName>
    <definedName name="GWPrate2" localSheetId="20">OFFSET([3]HistoricalGrowthRates!$E$6, 0, 0, 1, COUNTA([3]HistoricalGrowthRates!$2:$2)-2)</definedName>
    <definedName name="GWPrate2">OFFSET(HistoricalGrowthRates!$E$6, 0, 0, 1, COUNTA(HistoricalGrowthRates!$2:$2)-2)</definedName>
    <definedName name="GWPRef" localSheetId="15">OFFSET([1]ExpKayaFactorsRef!$E$3, 0, 0, 1, COUNTA([1]ExpKayaFactorsRef!$2:$2)-3)</definedName>
    <definedName name="GWPRef" localSheetId="19">OFFSET([1]ExpKayaFactorsRef!$E$3, 0, 0, 1, COUNTA([1]ExpKayaFactorsRef!$2:$2)-3)</definedName>
    <definedName name="GWPRef" localSheetId="16">OFFSET([1]ExpKayaFactorsRef!$E$3, 0, 0, 1, COUNTA([1]ExpKayaFactorsRef!$2:$2)-3)</definedName>
    <definedName name="GWPRef" localSheetId="39">OFFSET([2]ExpKayaFactorsRef!$E$3, 0, 0, 1, COUNTA([2]ExpKayaFactorsRef!$2:$2)-3)</definedName>
    <definedName name="GWPRef" localSheetId="17">OFFSET([3]ExpKayaFactorsRef!$E$3, 0, 0, 1, COUNTA([3]ExpKayaFactorsRef!$2:$2)-3)</definedName>
    <definedName name="GWPRef" localSheetId="20">OFFSET([3]ExpKayaFactorsRef!$E$3, 0, 0, 1, COUNTA([3]ExpKayaFactorsRef!$2:$2)-3)</definedName>
    <definedName name="GWPRef">OFFSET(ExpKayaFactorsRef!$E$3, 0, 0, 1, COUNTA(ExpKayaFactorsRef!$2:$2)-3)</definedName>
    <definedName name="intInput" localSheetId="15">'[1]Int Data input'!$D:$DB</definedName>
    <definedName name="intInput" localSheetId="19">'[1]Int Data input'!$D:$DB</definedName>
    <definedName name="intInput" localSheetId="16">'[1]Int Data input'!$D:$DB</definedName>
    <definedName name="intInput" localSheetId="39">'[2]Int Data input'!$D:$DB</definedName>
    <definedName name="intInput" localSheetId="17">'[3]Int Data input'!$D:$DB</definedName>
    <definedName name="intInput" localSheetId="20">'[3]Int Data input'!$D:$DB</definedName>
    <definedName name="intInput">'Int Data input'!$D:$DB</definedName>
    <definedName name="IntLine" localSheetId="15">OFFSET([1]TotalEmissions!$B$28, 0, 0, 1, COUNTA([1]TotalEmissions!$2:$2)-1)</definedName>
    <definedName name="IntLine" localSheetId="19">OFFSET([1]TotalEmissions!$B$28, 0, 0, 1, COUNTA([1]TotalEmissions!$2:$2)-1)</definedName>
    <definedName name="IntLine" localSheetId="16">OFFSET([1]TotalEmissions!$B$28, 0, 0, 1, COUNTA([1]TotalEmissions!$2:$2)-1)</definedName>
    <definedName name="IntLine" localSheetId="39">OFFSET([2]TotalEmissions!$B$28, 0, 0, 1, COUNTA([2]TotalEmissions!$2:$2)-1)</definedName>
    <definedName name="IntLine" localSheetId="17">OFFSET([3]TotalEmissions!$B$28, 0, 0, 1, COUNTA([3]TotalEmissions!$2:$2)-1)</definedName>
    <definedName name="IntLine" localSheetId="20">OFFSET([3]TotalEmissions!$B$28, 0, 0, 1, COUNTA([3]TotalEmissions!$2:$2)-1)</definedName>
    <definedName name="IntLine">OFFSET(TotalEmissions!$B$28, 0, 0, 1, COUNTA(TotalEmissions!$2:$2)-1)</definedName>
    <definedName name="mitInput" localSheetId="36">'[4]Int Data input'!$D:$DC</definedName>
    <definedName name="mitInput" localSheetId="37">'[4]Int Data input'!$D:$DC</definedName>
    <definedName name="mitInput" localSheetId="31">'Int Data input'!#REF!</definedName>
    <definedName name="mitInput" localSheetId="33">'Int Data input'!#REF!</definedName>
    <definedName name="mitInput" localSheetId="27">'Int Data input'!#REF!</definedName>
    <definedName name="mitInput" localSheetId="25">'Int Data input'!#REF!</definedName>
    <definedName name="mitInput" localSheetId="41">'[5]Mit Data input'!$D:$Z</definedName>
    <definedName name="mitInput" localSheetId="43">'[5]Mit Data input'!$D:$Z</definedName>
    <definedName name="mitInput" localSheetId="23">'[5]Mit Data input'!$D:$Z</definedName>
    <definedName name="mitInput" localSheetId="42">'[5]Mit Data input'!$D:$Z</definedName>
    <definedName name="mitInput" localSheetId="29">'Int Data input'!#REF!</definedName>
    <definedName name="mitInput" localSheetId="45">'[5]Mit Data input'!$D:$Z</definedName>
    <definedName name="mitInputyear" localSheetId="31">'Int Data input'!#REF!</definedName>
    <definedName name="mitInputyear" localSheetId="33">'Int Data input'!#REF!</definedName>
    <definedName name="mitInputyear" localSheetId="27">'Int Data input'!#REF!</definedName>
    <definedName name="mitInputyear" localSheetId="25">'Int Data input'!#REF!</definedName>
    <definedName name="mitInputyear" localSheetId="29">'Int Data input'!#REF!</definedName>
    <definedName name="myCurrentRegion" localSheetId="36">#REF!</definedName>
    <definedName name="myCurrentRegion" localSheetId="37">#REF!</definedName>
    <definedName name="myCurrentRegion" localSheetId="31">#REF!</definedName>
    <definedName name="myCurrentRegion" localSheetId="33">#REF!</definedName>
    <definedName name="myCurrentRegion" localSheetId="27">#REF!</definedName>
    <definedName name="myCurrentRegion" localSheetId="25">#REF!</definedName>
    <definedName name="myCurrentRegion" localSheetId="5">#REF!</definedName>
    <definedName name="myCurrentRegion" localSheetId="29">#REF!</definedName>
    <definedName name="myCurrentRegion" localSheetId="4">#REF!</definedName>
    <definedName name="myCurrentRegionSource" localSheetId="36">#REF!</definedName>
    <definedName name="myCurrentRegionSource" localSheetId="37">#REF!</definedName>
    <definedName name="myCurrentRegionSource" localSheetId="31">#REF!</definedName>
    <definedName name="myCurrentRegionSource" localSheetId="33">#REF!</definedName>
    <definedName name="myCurrentRegionSource" localSheetId="27">#REF!</definedName>
    <definedName name="myCurrentRegionSource" localSheetId="25">#REF!</definedName>
    <definedName name="myCurrentRegionSource" localSheetId="5">#REF!</definedName>
    <definedName name="myCurrentRegionSource" localSheetId="29">#REF!</definedName>
    <definedName name="myCurrentRegionSource" localSheetId="4">#REF!</definedName>
    <definedName name="NFCchngInt" localSheetId="15">OFFSET([1]ExpKayaFactorsInt!$E$34, 0, 0, 1, COUNTA([1]ExpKayaFactorsInt!$2:$2)-3)</definedName>
    <definedName name="NFCchngInt" localSheetId="19">OFFSET([1]ExpKayaFactorsInt!$E$34, 0, 0, 1, COUNTA([1]ExpKayaFactorsInt!$2:$2)-3)</definedName>
    <definedName name="NFCchngInt" localSheetId="16">OFFSET([1]ExpKayaFactorsInt!$E$34, 0, 0, 1, COUNTA([1]ExpKayaFactorsInt!$2:$2)-3)</definedName>
    <definedName name="NFCchngInt" localSheetId="39">OFFSET([2]ExpKayaFactorsInt!$E$34, 0, 0, 1, COUNTA([2]ExpKayaFactorsInt!$2:$2)-3)</definedName>
    <definedName name="NFCchngInt" localSheetId="17">OFFSET([3]ExpKayaFactorsInt!$E$34, 0, 0, 1, COUNTA([3]ExpKayaFactorsInt!$2:$2)-3)</definedName>
    <definedName name="NFCchngInt" localSheetId="20">OFFSET([3]ExpKayaFactorsInt!$E$34, 0, 0, 1, COUNTA([3]ExpKayaFactorsInt!$2:$2)-3)</definedName>
    <definedName name="NFCchngInt">OFFSET(ExpKayaFactorsInt!$E$34, 0, 0, 1, COUNTA(ExpKayaFactorsInt!$2:$2)-3)</definedName>
    <definedName name="NFCchngRef" localSheetId="15">OFFSET([1]ExpKayaFactorsRef!$E$34, 0, 0, 1, COUNTA([1]ExpKayaFactorsRef!$2:$2)-3)</definedName>
    <definedName name="NFCchngRef" localSheetId="19">OFFSET([1]ExpKayaFactorsRef!$E$34, 0, 0, 1, COUNTA([1]ExpKayaFactorsRef!$2:$2)-3)</definedName>
    <definedName name="NFCchngRef" localSheetId="16">OFFSET([1]ExpKayaFactorsRef!$E$34, 0, 0, 1, COUNTA([1]ExpKayaFactorsRef!$2:$2)-3)</definedName>
    <definedName name="NFCchngRef" localSheetId="39">OFFSET([2]ExpKayaFactorsRef!$E$34, 0, 0, 1, COUNTA([2]ExpKayaFactorsRef!$2:$2)-3)</definedName>
    <definedName name="NFCchngRef" localSheetId="17">OFFSET([3]ExpKayaFactorsRef!$E$34, 0, 0, 1, COUNTA([3]ExpKayaFactorsRef!$2:$2)-3)</definedName>
    <definedName name="NFCchngRef" localSheetId="20">OFFSET([3]ExpKayaFactorsRef!$E$34, 0, 0, 1, COUNTA([3]ExpKayaFactorsRef!$2:$2)-3)</definedName>
    <definedName name="NFCchngRef">OFFSET(ExpKayaFactorsRef!$E$34, 0, 0, 1, COUNTA(ExpKayaFactorsRef!$2:$2)-3)</definedName>
    <definedName name="NFCindexInt" localSheetId="15">OFFSET([1]ExpKayaFactorsInt!$E$21, 0, 0, 1, COUNTA([1]ExpKayaFactorsInt!$2:$2)-3)</definedName>
    <definedName name="NFCindexInt" localSheetId="19">OFFSET([1]ExpKayaFactorsInt!$E$21, 0, 0, 1, COUNTA([1]ExpKayaFactorsInt!$2:$2)-3)</definedName>
    <definedName name="NFCindexInt" localSheetId="16">OFFSET([1]ExpKayaFactorsInt!$E$21, 0, 0, 1, COUNTA([1]ExpKayaFactorsInt!$2:$2)-3)</definedName>
    <definedName name="NFCindexInt" localSheetId="39">OFFSET([2]ExpKayaFactorsInt!$E$21, 0, 0, 1, COUNTA([2]ExpKayaFactorsInt!$2:$2)-3)</definedName>
    <definedName name="NFCindexInt" localSheetId="17">OFFSET([3]ExpKayaFactorsInt!$E$21, 0, 0, 1, COUNTA([3]ExpKayaFactorsInt!$2:$2)-3)</definedName>
    <definedName name="NFCindexInt" localSheetId="20">OFFSET([3]ExpKayaFactorsInt!$E$21, 0, 0, 1, COUNTA([3]ExpKayaFactorsInt!$2:$2)-3)</definedName>
    <definedName name="NFCindexInt">OFFSET(ExpKayaFactorsInt!$E$21, 0, 0, 1, COUNTA(ExpKayaFactorsInt!$2:$2)-3)</definedName>
    <definedName name="NFCindexRef" localSheetId="15">OFFSET([1]ExpKayaFactorsRef!$E$21, 0, 0, 1, COUNTA([1]ExpKayaFactorsRef!$2:$2)-3)</definedName>
    <definedName name="NFCindexRef" localSheetId="19">OFFSET([1]ExpKayaFactorsRef!$E$21, 0, 0, 1, COUNTA([1]ExpKayaFactorsRef!$2:$2)-3)</definedName>
    <definedName name="NFCindexRef" localSheetId="16">OFFSET([1]ExpKayaFactorsRef!$E$21, 0, 0, 1, COUNTA([1]ExpKayaFactorsRef!$2:$2)-3)</definedName>
    <definedName name="NFCindexRef" localSheetId="39">OFFSET([2]ExpKayaFactorsRef!$E$21, 0, 0, 1, COUNTA([2]ExpKayaFactorsRef!$2:$2)-3)</definedName>
    <definedName name="NFCindexRef" localSheetId="17">OFFSET([3]ExpKayaFactorsRef!$E$21, 0, 0, 1, COUNTA([3]ExpKayaFactorsRef!$2:$2)-3)</definedName>
    <definedName name="NFCindexRef" localSheetId="20">OFFSET([3]ExpKayaFactorsRef!$E$21, 0, 0, 1, COUNTA([3]ExpKayaFactorsRef!$2:$2)-3)</definedName>
    <definedName name="NFCindexRef">OFFSET(ExpKayaFactorsRef!$E$21, 0, 0, 1, COUNTA(ExpKayaFactorsRef!$2:$2)-3)</definedName>
    <definedName name="NFCInt" localSheetId="15">OFFSET([1]ExpKayaFactorsInt!$E$8, 0, 0, 1, COUNTA([1]ExpKayaFactorsInt!$2:$2)-3)</definedName>
    <definedName name="NFCInt" localSheetId="19">OFFSET([1]ExpKayaFactorsInt!$E$8, 0, 0, 1, COUNTA([1]ExpKayaFactorsInt!$2:$2)-3)</definedName>
    <definedName name="NFCInt" localSheetId="16">OFFSET([1]ExpKayaFactorsInt!$E$8, 0, 0, 1, COUNTA([1]ExpKayaFactorsInt!$2:$2)-3)</definedName>
    <definedName name="NFCInt" localSheetId="39">OFFSET([2]ExpKayaFactorsInt!$E$8, 0, 0, 1, COUNTA([2]ExpKayaFactorsInt!$2:$2)-3)</definedName>
    <definedName name="NFCInt" localSheetId="17">OFFSET([3]ExpKayaFactorsInt!$E$8, 0, 0, 1, COUNTA([3]ExpKayaFactorsInt!$2:$2)-3)</definedName>
    <definedName name="NFCInt" localSheetId="20">OFFSET([3]ExpKayaFactorsInt!$E$8, 0, 0, 1, COUNTA([3]ExpKayaFactorsInt!$2:$2)-3)</definedName>
    <definedName name="NFCInt">OFFSET(ExpKayaFactorsInt!$E$8, 0, 0, 1, COUNTA(ExpKayaFactorsInt!$2:$2)-3)</definedName>
    <definedName name="NFClessbiomass" localSheetId="15">OFFSET([1]FossilEneEmissionsAccountingInt!$E$23, 0, 0, 1, COUNTA([1]FossilEneEmissionsAccountingInt!$1:$1)-3)</definedName>
    <definedName name="NFClessbiomass" localSheetId="19">OFFSET([1]FossilEneEmissionsAccountingInt!$E$23, 0, 0, 1, COUNTA([1]FossilEneEmissionsAccountingInt!$1:$1)-3)</definedName>
    <definedName name="NFClessbiomass" localSheetId="16">OFFSET([1]FossilEneEmissionsAccountingInt!$E$23, 0, 0, 1, COUNTA([1]FossilEneEmissionsAccountingInt!$1:$1)-3)</definedName>
    <definedName name="NFClessbiomass" localSheetId="39">OFFSET([2]FossilEneEmissionsAccountingInt!$E$23, 0, 0, 1, COUNTA([2]FossilEneEmissionsAccountingInt!$1:$1)-3)</definedName>
    <definedName name="NFClessbiomass" localSheetId="17">OFFSET([3]FossilEneEmissionsAccountingInt!$E$23, 0, 0, 1, COUNTA([3]FossilEneEmissionsAccountingInt!$1:$1)-3)</definedName>
    <definedName name="NFClessbiomass" localSheetId="20">OFFSET([3]FossilEneEmissionsAccountingInt!$E$23, 0, 0, 1, COUNTA([3]FossilEneEmissionsAccountingInt!$1:$1)-3)</definedName>
    <definedName name="NFClessbiomass">OFFSET(FossilEneEmissionsAccountingInt!$E$23, 0, 0, 1, COUNTA(FossilEneEmissionsAccountingInt!$1:$1)-3)</definedName>
    <definedName name="NFCperTFCchngInt" localSheetId="15">OFFSET([1]ExpKayaRatiosInt!$E$34, 0, 0, 1, COUNTA([1]ExpKayaRatiosInt!$2:$2)-3)</definedName>
    <definedName name="NFCperTFCchngInt" localSheetId="19">OFFSET([1]ExpKayaRatiosInt!$E$34, 0, 0, 1, COUNTA([1]ExpKayaRatiosInt!$2:$2)-3)</definedName>
    <definedName name="NFCperTFCchngInt" localSheetId="16">OFFSET([1]ExpKayaRatiosInt!$E$34, 0, 0, 1, COUNTA([1]ExpKayaRatiosInt!$2:$2)-3)</definedName>
    <definedName name="NFCperTFCchngInt" localSheetId="39">OFFSET([2]ExpKayaRatiosInt!$E$34, 0, 0, 1, COUNTA([2]ExpKayaRatiosInt!$2:$2)-3)</definedName>
    <definedName name="NFCperTFCchngInt" localSheetId="17">OFFSET([3]ExpKayaRatiosInt!$E$34, 0, 0, 1, COUNTA([3]ExpKayaRatiosInt!$2:$2)-3)</definedName>
    <definedName name="NFCperTFCchngInt" localSheetId="20">OFFSET([3]ExpKayaRatiosInt!$E$34, 0, 0, 1, COUNTA([3]ExpKayaRatiosInt!$2:$2)-3)</definedName>
    <definedName name="NFCperTFCchngInt">OFFSET(ExpKayaRatiosInt!$E$34, 0, 0, 1, COUNTA(ExpKayaRatiosInt!$2:$2)-3)</definedName>
    <definedName name="NFCperTFCchngRef" localSheetId="15">OFFSET([1]ExpKayaRatiosRef!$E$34, 0, 0, 1, COUNTA([1]ExpKayaRatiosRef!$2:$2)-3)</definedName>
    <definedName name="NFCperTFCchngRef" localSheetId="19">OFFSET([1]ExpKayaRatiosRef!$E$34, 0, 0, 1, COUNTA([1]ExpKayaRatiosRef!$2:$2)-3)</definedName>
    <definedName name="NFCperTFCchngRef" localSheetId="16">OFFSET([1]ExpKayaRatiosRef!$E$34, 0, 0, 1, COUNTA([1]ExpKayaRatiosRef!$2:$2)-3)</definedName>
    <definedName name="NFCperTFCchngRef" localSheetId="39">OFFSET([2]ExpKayaRatiosRef!$E$34, 0, 0, 1, COUNTA([2]ExpKayaRatiosRef!$2:$2)-3)</definedName>
    <definedName name="NFCperTFCchngRef" localSheetId="17">OFFSET([3]ExpKayaRatiosRef!$E$34, 0, 0, 1, COUNTA([3]ExpKayaRatiosRef!$2:$2)-3)</definedName>
    <definedName name="NFCperTFCchngRef" localSheetId="20">OFFSET([3]ExpKayaRatiosRef!$E$34, 0, 0, 1, COUNTA([3]ExpKayaRatiosRef!$2:$2)-3)</definedName>
    <definedName name="NFCperTFCchngRef">OFFSET(ExpKayaRatiosRef!$E$34, 0, 0, 1, COUNTA(ExpKayaRatiosRef!$2:$2)-3)</definedName>
    <definedName name="NFCperTFCindexInt" localSheetId="15">OFFSET([1]ExpKayaRatiosInt!$E$21, 0, 0, 1, COUNTA([1]ExpKayaRatiosInt!$2:$2)-3)</definedName>
    <definedName name="NFCperTFCindexInt" localSheetId="19">OFFSET([1]ExpKayaRatiosInt!$E$21, 0, 0, 1, COUNTA([1]ExpKayaRatiosInt!$2:$2)-3)</definedName>
    <definedName name="NFCperTFCindexInt" localSheetId="16">OFFSET([1]ExpKayaRatiosInt!$E$21, 0, 0, 1, COUNTA([1]ExpKayaRatiosInt!$2:$2)-3)</definedName>
    <definedName name="NFCperTFCindexInt" localSheetId="39">OFFSET([2]ExpKayaRatiosInt!$E$21, 0, 0, 1, COUNTA([2]ExpKayaRatiosInt!$2:$2)-3)</definedName>
    <definedName name="NFCperTFCindexInt" localSheetId="17">OFFSET([3]ExpKayaRatiosInt!$E$21, 0, 0, 1, COUNTA([3]ExpKayaRatiosInt!$2:$2)-3)</definedName>
    <definedName name="NFCperTFCindexInt" localSheetId="20">OFFSET([3]ExpKayaRatiosInt!$E$21, 0, 0, 1, COUNTA([3]ExpKayaRatiosInt!$2:$2)-3)</definedName>
    <definedName name="NFCperTFCindexInt">OFFSET(ExpKayaRatiosInt!$E$21, 0, 0, 1, COUNTA(ExpKayaRatiosInt!$2:$2)-3)</definedName>
    <definedName name="NFCperTFCindexRef" localSheetId="15">OFFSET([1]ExpKayaRatiosRef!$E$21, 0, 0, 1, COUNTA([1]ExpKayaRatiosRef!$2:$2)-3)</definedName>
    <definedName name="NFCperTFCindexRef" localSheetId="19">OFFSET([1]ExpKayaRatiosRef!$E$21, 0, 0, 1, COUNTA([1]ExpKayaRatiosRef!$2:$2)-3)</definedName>
    <definedName name="NFCperTFCindexRef" localSheetId="16">OFFSET([1]ExpKayaRatiosRef!$E$21, 0, 0, 1, COUNTA([1]ExpKayaRatiosRef!$2:$2)-3)</definedName>
    <definedName name="NFCperTFCindexRef" localSheetId="39">OFFSET([2]ExpKayaRatiosRef!$E$21, 0, 0, 1, COUNTA([2]ExpKayaRatiosRef!$2:$2)-3)</definedName>
    <definedName name="NFCperTFCindexRef" localSheetId="17">OFFSET([3]ExpKayaRatiosRef!$E$21, 0, 0, 1, COUNTA([3]ExpKayaRatiosRef!$2:$2)-3)</definedName>
    <definedName name="NFCperTFCindexRef" localSheetId="20">OFFSET([3]ExpKayaRatiosRef!$E$21, 0, 0, 1, COUNTA([3]ExpKayaRatiosRef!$2:$2)-3)</definedName>
    <definedName name="NFCperTFCindexRef">OFFSET(ExpKayaRatiosRef!$E$21, 0, 0, 1, COUNTA(ExpKayaRatiosRef!$2:$2)-3)</definedName>
    <definedName name="NFCperTFCInt" localSheetId="15">OFFSET([1]ExpKayaRatiosInt!$E$8, 0, 0, 1, COUNTA([1]ExpKayaRatiosInt!$2:$2)-3)</definedName>
    <definedName name="NFCperTFCInt" localSheetId="19">OFFSET([1]ExpKayaRatiosInt!$E$8, 0, 0, 1, COUNTA([1]ExpKayaRatiosInt!$2:$2)-3)</definedName>
    <definedName name="NFCperTFCInt" localSheetId="16">OFFSET([1]ExpKayaRatiosInt!$E$8, 0, 0, 1, COUNTA([1]ExpKayaRatiosInt!$2:$2)-3)</definedName>
    <definedName name="NFCperTFCInt" localSheetId="39">OFFSET([2]ExpKayaRatiosInt!$E$8, 0, 0, 1, COUNTA([2]ExpKayaRatiosInt!$2:$2)-3)</definedName>
    <definedName name="NFCperTFCInt" localSheetId="17">OFFSET([3]ExpKayaRatiosInt!$E$8, 0, 0, 1, COUNTA([3]ExpKayaRatiosInt!$2:$2)-3)</definedName>
    <definedName name="NFCperTFCInt" localSheetId="20">OFFSET([3]ExpKayaRatiosInt!$E$8, 0, 0, 1, COUNTA([3]ExpKayaRatiosInt!$2:$2)-3)</definedName>
    <definedName name="NFCperTFCInt">OFFSET(ExpKayaRatiosInt!$E$8, 0, 0, 1, COUNTA(ExpKayaRatiosInt!$2:$2)-3)</definedName>
    <definedName name="NFCperTFCRef" localSheetId="15">OFFSET([1]ExpKayaRatiosRef!$E$8, 0, 0, 1, COUNTA([1]ExpKayaRatiosRef!$2:$2)-3)</definedName>
    <definedName name="NFCperTFCRef" localSheetId="19">OFFSET([1]ExpKayaRatiosRef!$E$8, 0, 0, 1, COUNTA([1]ExpKayaRatiosRef!$2:$2)-3)</definedName>
    <definedName name="NFCperTFCRef" localSheetId="16">OFFSET([1]ExpKayaRatiosRef!$E$8, 0, 0, 1, COUNTA([1]ExpKayaRatiosRef!$2:$2)-3)</definedName>
    <definedName name="NFCperTFCRef" localSheetId="39">OFFSET([2]ExpKayaRatiosRef!$E$8, 0, 0, 1, COUNTA([2]ExpKayaRatiosRef!$2:$2)-3)</definedName>
    <definedName name="NFCperTFCRef" localSheetId="17">OFFSET([3]ExpKayaRatiosRef!$E$8, 0, 0, 1, COUNTA([3]ExpKayaRatiosRef!$2:$2)-3)</definedName>
    <definedName name="NFCperTFCRef" localSheetId="20">OFFSET([3]ExpKayaRatiosRef!$E$8, 0, 0, 1, COUNTA([3]ExpKayaRatiosRef!$2:$2)-3)</definedName>
    <definedName name="NFCperTFCRef">OFFSET(ExpKayaRatiosRef!$E$8, 0, 0, 1, COUNTA(ExpKayaRatiosRef!$2:$2)-3)</definedName>
    <definedName name="NFCRef" localSheetId="15">OFFSET([1]ExpKayaFactorsRef!$E$8, 0, 0, 1, COUNTA([1]ExpKayaFactorsRef!$2:$2)-3)</definedName>
    <definedName name="NFCRef" localSheetId="19">OFFSET([1]ExpKayaFactorsRef!$E$8, 0, 0, 1, COUNTA([1]ExpKayaFactorsRef!$2:$2)-3)</definedName>
    <definedName name="NFCRef" localSheetId="16">OFFSET([1]ExpKayaFactorsRef!$E$8, 0, 0, 1, COUNTA([1]ExpKayaFactorsRef!$2:$2)-3)</definedName>
    <definedName name="NFCRef" localSheetId="39">OFFSET([2]ExpKayaFactorsRef!$E$8, 0, 0, 1, COUNTA([2]ExpKayaFactorsRef!$2:$2)-3)</definedName>
    <definedName name="NFCRef" localSheetId="17">OFFSET([3]ExpKayaFactorsRef!$E$8, 0, 0, 1, COUNTA([3]ExpKayaFactorsRef!$2:$2)-3)</definedName>
    <definedName name="NFCRef" localSheetId="20">OFFSET([3]ExpKayaFactorsRef!$E$8, 0, 0, 1, COUNTA([3]ExpKayaFactorsRef!$2:$2)-3)</definedName>
    <definedName name="NFCRef">OFFSET(ExpKayaFactorsRef!$E$8, 0, 0, 1, COUNTA(ExpKayaFactorsRef!$2:$2)-3)</definedName>
    <definedName name="Patt" localSheetId="37">OFFSET('LMDI 1 MethodDEq'!$C$12, 0, 0, 1, COUNTA(Non-[6]energyEmissions!$2:$2)-3)</definedName>
    <definedName name="Patt" localSheetId="0">OFFSET('LMDI 1 MethodDEq'!$C$12, 0, 0, 1, COUNTA(Non-[6]energyEmissions!$2:$2)-3)</definedName>
    <definedName name="Patt" localSheetId="7">OFFSET('[7]LMDI 1 MethodDEq'!$C$12, 0, 0, 1, COUNTA(Non-[6]energyEmissions!$2:$2)-3)</definedName>
    <definedName name="Patt" localSheetId="43">OFFSET('LMDI 1 MethodRefCumulative'!#REF!, 0, 0, 1, COUNTA(Non-[6]energyEmissions!$2:$2)-3)</definedName>
    <definedName name="Patt" localSheetId="23">OFFSET('LMDI 1 MethodDEq'!$C$12, 0, 0, 1, COUNTA(Non-[6]energyEmissions!$2:$2)-3)</definedName>
    <definedName name="Patt" localSheetId="15">OFFSET('[1]LMDI 1 MethodDEq'!$C$12, 0, 0, 1, COUNTA(Non-[6]energyEmissions!$2:$2)-3)</definedName>
    <definedName name="Patt" localSheetId="19">OFFSET('[1]LMDI 1 MethodDEq'!$C$12, 0, 0, 1, COUNTA(Non-[6]energyEmissions!$2:$2)-3)</definedName>
    <definedName name="Patt" localSheetId="16">OFFSET('[1]LMDI 1 MethodDEq'!$C$12, 0, 0, 1, COUNTA(Non-[6]energyEmissions!$2:$2)-3)</definedName>
    <definedName name="Patt" localSheetId="39">OFFSET('[2]LMDI 1 MethodDEq'!$C$12, 0, 0, 1, COUNTA(Non-[6]energyEmissions!$2:$2)-3)</definedName>
    <definedName name="Patt" localSheetId="40">OFFSET('LMDI 1 MethodDEq'!$C$12, 0, 0, 1, COUNTA(Non-[6]energyEmissions!$2:$2)-3)</definedName>
    <definedName name="Patt" localSheetId="17">OFFSET('[3]LMDI 1 MethodDEq'!$C$12, 0, 0, 1, COUNTA(Non-[6]energyEmissions!$2:$2)-3)</definedName>
    <definedName name="Patt" localSheetId="20">OFFSET('[3]LMDI 1 MethodDEq'!$C$12, 0, 0, 1, COUNTA(Non-[6]energyEmissions!$2:$2)-3)</definedName>
    <definedName name="Patt">OFFSET('LMDI 1 MethodDEq'!$C$12, 0, 0, 1, COUNTA(Non-[6]energyEmissions!$2:$2)-3)</definedName>
    <definedName name="PEdeqchngInt" localSheetId="15">OFFSET([1]ExpKayaFactorsInt!$E$31, 0, 0, 1, COUNTA([1]ExpKayaFactorsInt!$2:$2)-3)</definedName>
    <definedName name="PEdeqchngInt" localSheetId="19">OFFSET([1]ExpKayaFactorsInt!$E$31, 0, 0, 1, COUNTA([1]ExpKayaFactorsInt!$2:$2)-3)</definedName>
    <definedName name="PEdeqchngInt" localSheetId="16">OFFSET([1]ExpKayaFactorsInt!$E$31, 0, 0, 1, COUNTA([1]ExpKayaFactorsInt!$2:$2)-3)</definedName>
    <definedName name="PEdeqchngInt" localSheetId="39">OFFSET([2]ExpKayaFactorsInt!$E$31, 0, 0, 1, COUNTA([2]ExpKayaFactorsInt!$2:$2)-3)</definedName>
    <definedName name="PEdeqchngInt" localSheetId="17">OFFSET([3]ExpKayaFactorsInt!$E$31, 0, 0, 1, COUNTA([3]ExpKayaFactorsInt!$2:$2)-3)</definedName>
    <definedName name="PEdeqchngInt" localSheetId="20">OFFSET([3]ExpKayaFactorsInt!$E$31, 0, 0, 1, COUNTA([3]ExpKayaFactorsInt!$2:$2)-3)</definedName>
    <definedName name="PEdeqchngInt">OFFSET(ExpKayaFactorsInt!$E$31, 0, 0, 1, COUNTA(ExpKayaFactorsInt!$2:$2)-3)</definedName>
    <definedName name="PEdeqchngRef" localSheetId="15">OFFSET([1]ExpKayaFactorsRef!$E$31, 0, 0, 1, COUNTA([1]ExpKayaFactorsRef!$2:$2)-3)</definedName>
    <definedName name="PEdeqchngRef" localSheetId="19">OFFSET([1]ExpKayaFactorsRef!$E$31, 0, 0, 1, COUNTA([1]ExpKayaFactorsRef!$2:$2)-3)</definedName>
    <definedName name="PEdeqchngRef" localSheetId="16">OFFSET([1]ExpKayaFactorsRef!$E$31, 0, 0, 1, COUNTA([1]ExpKayaFactorsRef!$2:$2)-3)</definedName>
    <definedName name="PEdeqchngRef" localSheetId="39">OFFSET([2]ExpKayaFactorsRef!$E$31, 0, 0, 1, COUNTA([2]ExpKayaFactorsRef!$2:$2)-3)</definedName>
    <definedName name="PEdeqchngRef" localSheetId="17">OFFSET([3]ExpKayaFactorsRef!$E$31, 0, 0, 1, COUNTA([3]ExpKayaFactorsRef!$2:$2)-3)</definedName>
    <definedName name="PEdeqchngRef" localSheetId="20">OFFSET([3]ExpKayaFactorsRef!$E$31, 0, 0, 1, COUNTA([3]ExpKayaFactorsRef!$2:$2)-3)</definedName>
    <definedName name="PEdeqchngRef">OFFSET(ExpKayaFactorsRef!$E$31, 0, 0, 1, COUNTA(ExpKayaFactorsRef!$2:$2)-3)</definedName>
    <definedName name="PEdeqindexInt" localSheetId="15">OFFSET([1]ExpKayaFactorsInt!$E$18, 0, 0, 1, COUNTA([1]ExpKayaFactorsInt!$2:$2)-3)</definedName>
    <definedName name="PEdeqindexInt" localSheetId="19">OFFSET([1]ExpKayaFactorsInt!$E$18, 0, 0, 1, COUNTA([1]ExpKayaFactorsInt!$2:$2)-3)</definedName>
    <definedName name="PEdeqindexInt" localSheetId="16">OFFSET([1]ExpKayaFactorsInt!$E$18, 0, 0, 1, COUNTA([1]ExpKayaFactorsInt!$2:$2)-3)</definedName>
    <definedName name="PEdeqindexInt" localSheetId="39">OFFSET([2]ExpKayaFactorsInt!$E$18, 0, 0, 1, COUNTA([2]ExpKayaFactorsInt!$2:$2)-3)</definedName>
    <definedName name="PEdeqindexInt" localSheetId="17">OFFSET([3]ExpKayaFactorsInt!$E$18, 0, 0, 1, COUNTA([3]ExpKayaFactorsInt!$2:$2)-3)</definedName>
    <definedName name="PEdeqindexInt" localSheetId="20">OFFSET([3]ExpKayaFactorsInt!$E$18, 0, 0, 1, COUNTA([3]ExpKayaFactorsInt!$2:$2)-3)</definedName>
    <definedName name="PEdeqindexInt">OFFSET(ExpKayaFactorsInt!$E$18, 0, 0, 1, COUNTA(ExpKayaFactorsInt!$2:$2)-3)</definedName>
    <definedName name="PEdeqindexRef" localSheetId="15">OFFSET([1]ExpKayaFactorsRef!$E$18, 0, 0, 1, COUNTA([1]ExpKayaFactorsRef!$2:$2)-3)</definedName>
    <definedName name="PEdeqindexRef" localSheetId="19">OFFSET([1]ExpKayaFactorsRef!$E$18, 0, 0, 1, COUNTA([1]ExpKayaFactorsRef!$2:$2)-3)</definedName>
    <definedName name="PEdeqindexRef" localSheetId="16">OFFSET([1]ExpKayaFactorsRef!$E$18, 0, 0, 1, COUNTA([1]ExpKayaFactorsRef!$2:$2)-3)</definedName>
    <definedName name="PEdeqindexRef" localSheetId="39">OFFSET([2]ExpKayaFactorsRef!$E$18, 0, 0, 1, COUNTA([2]ExpKayaFactorsRef!$2:$2)-3)</definedName>
    <definedName name="PEdeqindexRef" localSheetId="17">OFFSET([3]ExpKayaFactorsRef!$E$18, 0, 0, 1, COUNTA([3]ExpKayaFactorsRef!$2:$2)-3)</definedName>
    <definedName name="PEdeqindexRef" localSheetId="20">OFFSET([3]ExpKayaFactorsRef!$E$18, 0, 0, 1, COUNTA([3]ExpKayaFactorsRef!$2:$2)-3)</definedName>
    <definedName name="PEdeqindexRef">OFFSET(ExpKayaFactorsRef!$E$18, 0, 0, 1, COUNTA(ExpKayaFactorsRef!$2:$2)-3)</definedName>
    <definedName name="PEdeqInt" localSheetId="15">OFFSET([1]ExpKayaFactorsInt!$E$5, 0, 0, 1, COUNTA([1]ExpKayaFactorsInt!$2:$2)-3)</definedName>
    <definedName name="PEdeqInt" localSheetId="19">OFFSET([1]ExpKayaFactorsInt!$E$5, 0, 0, 1, COUNTA([1]ExpKayaFactorsInt!$2:$2)-3)</definedName>
    <definedName name="PEdeqInt" localSheetId="16">OFFSET([1]ExpKayaFactorsInt!$E$5, 0, 0, 1, COUNTA([1]ExpKayaFactorsInt!$2:$2)-3)</definedName>
    <definedName name="PEdeqInt" localSheetId="39">OFFSET([2]ExpKayaFactorsInt!$E$5, 0, 0, 1, COUNTA([2]ExpKayaFactorsInt!$2:$2)-3)</definedName>
    <definedName name="PEdeqInt" localSheetId="17">OFFSET([3]ExpKayaFactorsInt!$E$5, 0, 0, 1, COUNTA([3]ExpKayaFactorsInt!$2:$2)-3)</definedName>
    <definedName name="PEdeqInt" localSheetId="20">OFFSET([3]ExpKayaFactorsInt!$E$5, 0, 0, 1, COUNTA([3]ExpKayaFactorsInt!$2:$2)-3)</definedName>
    <definedName name="PEdeqInt">OFFSET(ExpKayaFactorsInt!$E$5, 0, 0, 1, COUNTA(ExpKayaFactorsInt!$2:$2)-3)</definedName>
    <definedName name="PEdeqperFEchngInt" localSheetId="15">OFFSET([1]ExpKayaRatiosInt!$E$31, 0, 0, 1, COUNTA([1]ExpKayaRatiosInt!$2:$2)-3)</definedName>
    <definedName name="PEdeqperFEchngInt" localSheetId="19">OFFSET([1]ExpKayaRatiosInt!$E$31, 0, 0, 1, COUNTA([1]ExpKayaRatiosInt!$2:$2)-3)</definedName>
    <definedName name="PEdeqperFEchngInt" localSheetId="16">OFFSET([1]ExpKayaRatiosInt!$E$31, 0, 0, 1, COUNTA([1]ExpKayaRatiosInt!$2:$2)-3)</definedName>
    <definedName name="PEdeqperFEchngInt" localSheetId="39">OFFSET([2]ExpKayaRatiosInt!$E$31, 0, 0, 1, COUNTA([2]ExpKayaRatiosInt!$2:$2)-3)</definedName>
    <definedName name="PEdeqperFEchngInt" localSheetId="17">OFFSET([3]ExpKayaRatiosInt!$E$31, 0, 0, 1, COUNTA([3]ExpKayaRatiosInt!$2:$2)-3)</definedName>
    <definedName name="PEdeqperFEchngInt" localSheetId="20">OFFSET([3]ExpKayaRatiosInt!$E$31, 0, 0, 1, COUNTA([3]ExpKayaRatiosInt!$2:$2)-3)</definedName>
    <definedName name="PEdeqperFEchngInt">OFFSET(ExpKayaRatiosInt!$E$31, 0, 0, 1, COUNTA(ExpKayaRatiosInt!$2:$2)-3)</definedName>
    <definedName name="PEdeqperFEchngRef" localSheetId="15">OFFSET([1]ExpKayaRatiosRef!$E$31, 0, 0, 1, COUNTA([1]ExpKayaRatiosRef!$2:$2)-3)</definedName>
    <definedName name="PEdeqperFEchngRef" localSheetId="19">OFFSET([1]ExpKayaRatiosRef!$E$31, 0, 0, 1, COUNTA([1]ExpKayaRatiosRef!$2:$2)-3)</definedName>
    <definedName name="PEdeqperFEchngRef" localSheetId="16">OFFSET([1]ExpKayaRatiosRef!$E$31, 0, 0, 1, COUNTA([1]ExpKayaRatiosRef!$2:$2)-3)</definedName>
    <definedName name="PEdeqperFEchngRef" localSheetId="39">OFFSET([2]ExpKayaRatiosRef!$E$31, 0, 0, 1, COUNTA([2]ExpKayaRatiosRef!$2:$2)-3)</definedName>
    <definedName name="PEdeqperFEchngRef" localSheetId="17">OFFSET([3]ExpKayaRatiosRef!$E$31, 0, 0, 1, COUNTA([3]ExpKayaRatiosRef!$2:$2)-3)</definedName>
    <definedName name="PEdeqperFEchngRef" localSheetId="20">OFFSET([3]ExpKayaRatiosRef!$E$31, 0, 0, 1, COUNTA([3]ExpKayaRatiosRef!$2:$2)-3)</definedName>
    <definedName name="PEdeqperFEchngRef">OFFSET(ExpKayaRatiosRef!$E$31, 0, 0, 1, COUNTA(ExpKayaRatiosRef!$2:$2)-3)</definedName>
    <definedName name="PEdeqperFEindexInt" localSheetId="15">OFFSET([1]ExpKayaRatiosInt!$E$18, 0, 0, 1, COUNTA([1]ExpKayaRatiosInt!$2:$2)-3)</definedName>
    <definedName name="PEdeqperFEindexInt" localSheetId="19">OFFSET([1]ExpKayaRatiosInt!$E$18, 0, 0, 1, COUNTA([1]ExpKayaRatiosInt!$2:$2)-3)</definedName>
    <definedName name="PEdeqperFEindexInt" localSheetId="16">OFFSET([1]ExpKayaRatiosInt!$E$18, 0, 0, 1, COUNTA([1]ExpKayaRatiosInt!$2:$2)-3)</definedName>
    <definedName name="PEdeqperFEindexInt" localSheetId="39">OFFSET([2]ExpKayaRatiosInt!$E$18, 0, 0, 1, COUNTA([2]ExpKayaRatiosInt!$2:$2)-3)</definedName>
    <definedName name="PEdeqperFEindexInt" localSheetId="17">OFFSET([3]ExpKayaRatiosInt!$E$18, 0, 0, 1, COUNTA([3]ExpKayaRatiosInt!$2:$2)-3)</definedName>
    <definedName name="PEdeqperFEindexInt" localSheetId="20">OFFSET([3]ExpKayaRatiosInt!$E$18, 0, 0, 1, COUNTA([3]ExpKayaRatiosInt!$2:$2)-3)</definedName>
    <definedName name="PEdeqperFEindexInt">OFFSET(ExpKayaRatiosInt!$E$18, 0, 0, 1, COUNTA(ExpKayaRatiosInt!$2:$2)-3)</definedName>
    <definedName name="PEdeqperFEindexRef" localSheetId="15">OFFSET([1]ExpKayaRatiosRef!$E$18, 0, 0, 1, COUNTA([1]ExpKayaRatiosRef!$2:$2)-3)</definedName>
    <definedName name="PEdeqperFEindexRef" localSheetId="19">OFFSET([1]ExpKayaRatiosRef!$E$18, 0, 0, 1, COUNTA([1]ExpKayaRatiosRef!$2:$2)-3)</definedName>
    <definedName name="PEdeqperFEindexRef" localSheetId="16">OFFSET([1]ExpKayaRatiosRef!$E$18, 0, 0, 1, COUNTA([1]ExpKayaRatiosRef!$2:$2)-3)</definedName>
    <definedName name="PEdeqperFEindexRef" localSheetId="39">OFFSET([2]ExpKayaRatiosRef!$E$18, 0, 0, 1, COUNTA([2]ExpKayaRatiosRef!$2:$2)-3)</definedName>
    <definedName name="PEdeqperFEindexRef" localSheetId="17">OFFSET([3]ExpKayaRatiosRef!$E$18, 0, 0, 1, COUNTA([3]ExpKayaRatiosRef!$2:$2)-3)</definedName>
    <definedName name="PEdeqperFEindexRef" localSheetId="20">OFFSET([3]ExpKayaRatiosRef!$E$18, 0, 0, 1, COUNTA([3]ExpKayaRatiosRef!$2:$2)-3)</definedName>
    <definedName name="PEdeqperFEindexRef">OFFSET(ExpKayaRatiosRef!$E$18, 0, 0, 1, COUNTA(ExpKayaRatiosRef!$2:$2)-3)</definedName>
    <definedName name="PEdeqperFEInt" localSheetId="15">OFFSET([1]ExpKayaRatiosInt!$E$5, 0, 0, 1, COUNTA([1]ExpKayaRatiosInt!$2:$2)-3)</definedName>
    <definedName name="PEdeqperFEInt" localSheetId="19">OFFSET([1]ExpKayaRatiosInt!$E$5, 0, 0, 1, COUNTA([1]ExpKayaRatiosInt!$2:$2)-3)</definedName>
    <definedName name="PEdeqperFEInt" localSheetId="16">OFFSET([1]ExpKayaRatiosInt!$E$5, 0, 0, 1, COUNTA([1]ExpKayaRatiosInt!$2:$2)-3)</definedName>
    <definedName name="PEdeqperFEInt" localSheetId="39">OFFSET([2]ExpKayaRatiosInt!$E$5, 0, 0, 1, COUNTA([2]ExpKayaRatiosInt!$2:$2)-3)</definedName>
    <definedName name="PEdeqperFEInt" localSheetId="17">OFFSET([3]ExpKayaRatiosInt!$E$5, 0, 0, 1, COUNTA([3]ExpKayaRatiosInt!$2:$2)-3)</definedName>
    <definedName name="PEdeqperFEInt" localSheetId="20">OFFSET([3]ExpKayaRatiosInt!$E$5, 0, 0, 1, COUNTA([3]ExpKayaRatiosInt!$2:$2)-3)</definedName>
    <definedName name="PEdeqperFEInt">OFFSET(ExpKayaRatiosInt!$E$5, 0, 0, 1, COUNTA(ExpKayaRatiosInt!$2:$2)-3)</definedName>
    <definedName name="PEdeqperFEproj1" localSheetId="15">OFFSET([1]HistoricalGrowthRates!$E$54, 0, 0, 1, COUNTA([1]HistoricalGrowthRates!$2:$2)-2)</definedName>
    <definedName name="PEdeqperFEproj1" localSheetId="19">OFFSET([1]HistoricalGrowthRates!$E$54, 0, 0, 1, COUNTA([1]HistoricalGrowthRates!$2:$2)-2)</definedName>
    <definedName name="PEdeqperFEproj1" localSheetId="16">OFFSET([1]HistoricalGrowthRates!$E$54, 0, 0, 1, COUNTA([1]HistoricalGrowthRates!$2:$2)-2)</definedName>
    <definedName name="PEdeqperFEproj1" localSheetId="39">OFFSET([2]HistoricalGrowthRates!$E$54, 0, 0, 1, COUNTA([2]HistoricalGrowthRates!$2:$2)-2)</definedName>
    <definedName name="PEdeqperFEproj1" localSheetId="17">OFFSET([3]HistoricalGrowthRates!$E$54, 0, 0, 1, COUNTA([3]HistoricalGrowthRates!$2:$2)-2)</definedName>
    <definedName name="PEdeqperFEproj1" localSheetId="20">OFFSET([3]HistoricalGrowthRates!$E$54, 0, 0, 1, COUNTA([3]HistoricalGrowthRates!$2:$2)-2)</definedName>
    <definedName name="PEdeqperFEproj1">OFFSET(HistoricalGrowthRates!$E$54, 0, 0, 1, COUNTA(HistoricalGrowthRates!$2:$2)-2)</definedName>
    <definedName name="PEdeqperFEproj2" localSheetId="15">OFFSET([1]HistoricalGrowthRates!$E$55, 0, 0, 1, COUNTA([1]HistoricalGrowthRates!$2:$2)-2)</definedName>
    <definedName name="PEdeqperFEproj2" localSheetId="19">OFFSET([1]HistoricalGrowthRates!$E$55, 0, 0, 1, COUNTA([1]HistoricalGrowthRates!$2:$2)-2)</definedName>
    <definedName name="PEdeqperFEproj2" localSheetId="16">OFFSET([1]HistoricalGrowthRates!$E$55, 0, 0, 1, COUNTA([1]HistoricalGrowthRates!$2:$2)-2)</definedName>
    <definedName name="PEdeqperFEproj2" localSheetId="39">OFFSET([2]HistoricalGrowthRates!$E$55, 0, 0, 1, COUNTA([2]HistoricalGrowthRates!$2:$2)-2)</definedName>
    <definedName name="PEdeqperFEproj2" localSheetId="17">OFFSET([3]HistoricalGrowthRates!$E$55, 0, 0, 1, COUNTA([3]HistoricalGrowthRates!$2:$2)-2)</definedName>
    <definedName name="PEdeqperFEproj2" localSheetId="20">OFFSET([3]HistoricalGrowthRates!$E$55, 0, 0, 1, COUNTA([3]HistoricalGrowthRates!$2:$2)-2)</definedName>
    <definedName name="PEdeqperFEproj2">OFFSET(HistoricalGrowthRates!$E$55, 0, 0, 1, COUNTA(HistoricalGrowthRates!$2:$2)-2)</definedName>
    <definedName name="PEdeqperFEprojindex1" localSheetId="15">OFFSET([1]HistoricalGrowthRates!$E$85, 0, 0, 1, COUNTA([1]HistoricalGrowthRates!$2:$2)-2)</definedName>
    <definedName name="PEdeqperFEprojindex1" localSheetId="19">OFFSET([1]HistoricalGrowthRates!$E$85, 0, 0, 1, COUNTA([1]HistoricalGrowthRates!$2:$2)-2)</definedName>
    <definedName name="PEdeqperFEprojindex1" localSheetId="16">OFFSET([1]HistoricalGrowthRates!$E$85, 0, 0, 1, COUNTA([1]HistoricalGrowthRates!$2:$2)-2)</definedName>
    <definedName name="PEdeqperFEprojindex1" localSheetId="39">OFFSET([2]HistoricalGrowthRates!$E$85, 0, 0, 1, COUNTA([2]HistoricalGrowthRates!$2:$2)-2)</definedName>
    <definedName name="PEdeqperFEprojindex1" localSheetId="17">OFFSET([3]HistoricalGrowthRates!$E$85, 0, 0, 1, COUNTA([3]HistoricalGrowthRates!$2:$2)-2)</definedName>
    <definedName name="PEdeqperFEprojindex1" localSheetId="20">OFFSET([3]HistoricalGrowthRates!$E$85, 0, 0, 1, COUNTA([3]HistoricalGrowthRates!$2:$2)-2)</definedName>
    <definedName name="PEdeqperFEprojindex1">OFFSET(HistoricalGrowthRates!$E$85, 0, 0, 1, COUNTA(HistoricalGrowthRates!$2:$2)-2)</definedName>
    <definedName name="PEdeqperFEprojindex2" localSheetId="15">OFFSET([1]HistoricalGrowthRates!$E$86, 0, 0, 1, COUNTA([1]HistoricalGrowthRates!$2:$2)-2)</definedName>
    <definedName name="PEdeqperFEprojindex2" localSheetId="19">OFFSET([1]HistoricalGrowthRates!$E$86, 0, 0, 1, COUNTA([1]HistoricalGrowthRates!$2:$2)-2)</definedName>
    <definedName name="PEdeqperFEprojindex2" localSheetId="16">OFFSET([1]HistoricalGrowthRates!$E$86, 0, 0, 1, COUNTA([1]HistoricalGrowthRates!$2:$2)-2)</definedName>
    <definedName name="PEdeqperFEprojindex2" localSheetId="39">OFFSET([2]HistoricalGrowthRates!$E$86, 0, 0, 1, COUNTA([2]HistoricalGrowthRates!$2:$2)-2)</definedName>
    <definedName name="PEdeqperFEprojindex2" localSheetId="17">OFFSET([3]HistoricalGrowthRates!$E$86, 0, 0, 1, COUNTA([3]HistoricalGrowthRates!$2:$2)-2)</definedName>
    <definedName name="PEdeqperFEprojindex2" localSheetId="20">OFFSET([3]HistoricalGrowthRates!$E$86, 0, 0, 1, COUNTA([3]HistoricalGrowthRates!$2:$2)-2)</definedName>
    <definedName name="PEdeqperFEprojindex2">OFFSET(HistoricalGrowthRates!$E$86, 0, 0, 1, COUNTA(HistoricalGrowthRates!$2:$2)-2)</definedName>
    <definedName name="PEdeqperFErate1" localSheetId="15">OFFSET([1]HistoricalGrowthRates!$E$22, 0, 0, 1, COUNTA([1]HistoricalGrowthRates!$2:$2)-2)</definedName>
    <definedName name="PEdeqperFErate1" localSheetId="19">OFFSET([1]HistoricalGrowthRates!$E$22, 0, 0, 1, COUNTA([1]HistoricalGrowthRates!$2:$2)-2)</definedName>
    <definedName name="PEdeqperFErate1" localSheetId="16">OFFSET([1]HistoricalGrowthRates!$E$22, 0, 0, 1, COUNTA([1]HistoricalGrowthRates!$2:$2)-2)</definedName>
    <definedName name="PEdeqperFErate1" localSheetId="39">OFFSET([2]HistoricalGrowthRates!$E$22, 0, 0, 1, COUNTA([2]HistoricalGrowthRates!$2:$2)-2)</definedName>
    <definedName name="PEdeqperFErate1" localSheetId="17">OFFSET([3]HistoricalGrowthRates!$E$22, 0, 0, 1, COUNTA([3]HistoricalGrowthRates!$2:$2)-2)</definedName>
    <definedName name="PEdeqperFErate1" localSheetId="20">OFFSET([3]HistoricalGrowthRates!$E$22, 0, 0, 1, COUNTA([3]HistoricalGrowthRates!$2:$2)-2)</definedName>
    <definedName name="PEdeqperFErate1">OFFSET(HistoricalGrowthRates!$E$22, 0, 0, 1, COUNTA(HistoricalGrowthRates!$2:$2)-2)</definedName>
    <definedName name="PEdeqperFErate2" localSheetId="15">OFFSET([1]HistoricalGrowthRates!$E$23, 0, 0, 1, COUNTA([1]HistoricalGrowthRates!$2:$2)-2)</definedName>
    <definedName name="PEdeqperFErate2" localSheetId="19">OFFSET([1]HistoricalGrowthRates!$E$23, 0, 0, 1, COUNTA([1]HistoricalGrowthRates!$2:$2)-2)</definedName>
    <definedName name="PEdeqperFErate2" localSheetId="16">OFFSET([1]HistoricalGrowthRates!$E$23, 0, 0, 1, COUNTA([1]HistoricalGrowthRates!$2:$2)-2)</definedName>
    <definedName name="PEdeqperFErate2" localSheetId="39">OFFSET([2]HistoricalGrowthRates!$E$23, 0, 0, 1, COUNTA([2]HistoricalGrowthRates!$2:$2)-2)</definedName>
    <definedName name="PEdeqperFErate2" localSheetId="17">OFFSET([3]HistoricalGrowthRates!$E$23, 0, 0, 1, COUNTA([3]HistoricalGrowthRates!$2:$2)-2)</definedName>
    <definedName name="PEdeqperFErate2" localSheetId="20">OFFSET([3]HistoricalGrowthRates!$E$23, 0, 0, 1, COUNTA([3]HistoricalGrowthRates!$2:$2)-2)</definedName>
    <definedName name="PEdeqperFErate2">OFFSET(HistoricalGrowthRates!$E$23, 0, 0, 1, COUNTA(HistoricalGrowthRates!$2:$2)-2)</definedName>
    <definedName name="PEdeqperFERef" localSheetId="15">OFFSET([1]ExpKayaRatiosRef!$E$5, 0, 0, 1, COUNTA([1]ExpKayaRatiosRef!$2:$2)-3)</definedName>
    <definedName name="PEdeqperFERef" localSheetId="19">OFFSET([1]ExpKayaRatiosRef!$E$5, 0, 0, 1, COUNTA([1]ExpKayaRatiosRef!$2:$2)-3)</definedName>
    <definedName name="PEdeqperFERef" localSheetId="16">OFFSET([1]ExpKayaRatiosRef!$E$5, 0, 0, 1, COUNTA([1]ExpKayaRatiosRef!$2:$2)-3)</definedName>
    <definedName name="PEdeqperFERef" localSheetId="39">OFFSET([2]ExpKayaRatiosRef!$E$5, 0, 0, 1, COUNTA([2]ExpKayaRatiosRef!$2:$2)-3)</definedName>
    <definedName name="PEdeqperFERef" localSheetId="17">OFFSET([3]ExpKayaRatiosRef!$E$5, 0, 0, 1, COUNTA([3]ExpKayaRatiosRef!$2:$2)-3)</definedName>
    <definedName name="PEdeqperFERef" localSheetId="20">OFFSET([3]ExpKayaRatiosRef!$E$5, 0, 0, 1, COUNTA([3]ExpKayaRatiosRef!$2:$2)-3)</definedName>
    <definedName name="PEdeqperFERef">OFFSET(ExpKayaRatiosRef!$E$5, 0, 0, 1, COUNTA(ExpKayaRatiosRef!$2:$2)-3)</definedName>
    <definedName name="PEdeqperGWPchngInt" localSheetId="15">OFFSET([1]ExpKayaRatiosInt!$E$37, 0, 0, 1, COUNTA([1]ExpKayaRatiosInt!$2:$2)-3)</definedName>
    <definedName name="PEdeqperGWPchngInt" localSheetId="19">OFFSET([1]ExpKayaRatiosInt!$E$37, 0, 0, 1, COUNTA([1]ExpKayaRatiosInt!$2:$2)-3)</definedName>
    <definedName name="PEdeqperGWPchngInt" localSheetId="16">OFFSET([1]ExpKayaRatiosInt!$E$37, 0, 0, 1, COUNTA([1]ExpKayaRatiosInt!$2:$2)-3)</definedName>
    <definedName name="PEdeqperGWPchngInt" localSheetId="39">OFFSET([2]ExpKayaRatiosInt!$E$37, 0, 0, 1, COUNTA([2]ExpKayaRatiosInt!$2:$2)-3)</definedName>
    <definedName name="PEdeqperGWPchngInt" localSheetId="17">OFFSET([3]ExpKayaRatiosInt!$E$37, 0, 0, 1, COUNTA([3]ExpKayaRatiosInt!$2:$2)-3)</definedName>
    <definedName name="PEdeqperGWPchngInt" localSheetId="20">OFFSET([3]ExpKayaRatiosInt!$E$37, 0, 0, 1, COUNTA([3]ExpKayaRatiosInt!$2:$2)-3)</definedName>
    <definedName name="PEdeqperGWPchngInt">OFFSET(ExpKayaRatiosInt!$E$37, 0, 0, 1, COUNTA(ExpKayaRatiosInt!$2:$2)-3)</definedName>
    <definedName name="PEdeqperGWPchngRef" localSheetId="15">OFFSET([1]ExpKayaRatiosRef!$E$37, 0, 0, 1, COUNTA([1]ExpKayaRatiosRef!$2:$2)-3)</definedName>
    <definedName name="PEdeqperGWPchngRef" localSheetId="19">OFFSET([1]ExpKayaRatiosRef!$E$37, 0, 0, 1, COUNTA([1]ExpKayaRatiosRef!$2:$2)-3)</definedName>
    <definedName name="PEdeqperGWPchngRef" localSheetId="16">OFFSET([1]ExpKayaRatiosRef!$E$37, 0, 0, 1, COUNTA([1]ExpKayaRatiosRef!$2:$2)-3)</definedName>
    <definedName name="PEdeqperGWPchngRef" localSheetId="39">OFFSET([2]ExpKayaRatiosRef!$E$37, 0, 0, 1, COUNTA([2]ExpKayaRatiosRef!$2:$2)-3)</definedName>
    <definedName name="PEdeqperGWPchngRef" localSheetId="17">OFFSET([3]ExpKayaRatiosRef!$E$37, 0, 0, 1, COUNTA([3]ExpKayaRatiosRef!$2:$2)-3)</definedName>
    <definedName name="PEdeqperGWPchngRef" localSheetId="20">OFFSET([3]ExpKayaRatiosRef!$E$37, 0, 0, 1, COUNTA([3]ExpKayaRatiosRef!$2:$2)-3)</definedName>
    <definedName name="PEdeqperGWPchngRef">OFFSET(ExpKayaRatiosRef!$E$37, 0, 0, 1, COUNTA(ExpKayaRatiosRef!$2:$2)-3)</definedName>
    <definedName name="PEdeqperGWPindexInt" localSheetId="15">OFFSET([1]ExpKayaRatiosInt!$E$24, 0, 0, 1, COUNTA([1]ExpKayaRatiosInt!$2:$2)-3)</definedName>
    <definedName name="PEdeqperGWPindexInt" localSheetId="19">OFFSET([1]ExpKayaRatiosInt!$E$24, 0, 0, 1, COUNTA([1]ExpKayaRatiosInt!$2:$2)-3)</definedName>
    <definedName name="PEdeqperGWPindexInt" localSheetId="16">OFFSET([1]ExpKayaRatiosInt!$E$24, 0, 0, 1, COUNTA([1]ExpKayaRatiosInt!$2:$2)-3)</definedName>
    <definedName name="PEdeqperGWPindexInt" localSheetId="39">OFFSET([2]ExpKayaRatiosInt!$E$24, 0, 0, 1, COUNTA([2]ExpKayaRatiosInt!$2:$2)-3)</definedName>
    <definedName name="PEdeqperGWPindexInt" localSheetId="17">OFFSET([3]ExpKayaRatiosInt!$E$24, 0, 0, 1, COUNTA([3]ExpKayaRatiosInt!$2:$2)-3)</definedName>
    <definedName name="PEdeqperGWPindexInt" localSheetId="20">OFFSET([3]ExpKayaRatiosInt!$E$24, 0, 0, 1, COUNTA([3]ExpKayaRatiosInt!$2:$2)-3)</definedName>
    <definedName name="PEdeqperGWPindexInt">OFFSET(ExpKayaRatiosInt!$E$24, 0, 0, 1, COUNTA(ExpKayaRatiosInt!$2:$2)-3)</definedName>
    <definedName name="PEdeqperGWPindexRef" localSheetId="15">OFFSET([1]ExpKayaRatiosRef!$E$24, 0, 0, 1, COUNTA([1]ExpKayaRatiosRef!$2:$2)-3)</definedName>
    <definedName name="PEdeqperGWPindexRef" localSheetId="19">OFFSET([1]ExpKayaRatiosRef!$E$24, 0, 0, 1, COUNTA([1]ExpKayaRatiosRef!$2:$2)-3)</definedName>
    <definedName name="PEdeqperGWPindexRef" localSheetId="16">OFFSET([1]ExpKayaRatiosRef!$E$24, 0, 0, 1, COUNTA([1]ExpKayaRatiosRef!$2:$2)-3)</definedName>
    <definedName name="PEdeqperGWPindexRef" localSheetId="39">OFFSET([2]ExpKayaRatiosRef!$E$24, 0, 0, 1, COUNTA([2]ExpKayaRatiosRef!$2:$2)-3)</definedName>
    <definedName name="PEdeqperGWPindexRef" localSheetId="17">OFFSET([3]ExpKayaRatiosRef!$E$24, 0, 0, 1, COUNTA([3]ExpKayaRatiosRef!$2:$2)-3)</definedName>
    <definedName name="PEdeqperGWPindexRef" localSheetId="20">OFFSET([3]ExpKayaRatiosRef!$E$24, 0, 0, 1, COUNTA([3]ExpKayaRatiosRef!$2:$2)-3)</definedName>
    <definedName name="PEdeqperGWPindexRef">OFFSET(ExpKayaRatiosRef!$E$24, 0, 0, 1, COUNTA(ExpKayaRatiosRef!$2:$2)-3)</definedName>
    <definedName name="PEdeqperGWPInt" localSheetId="15">OFFSET([1]ExpKayaRatiosInt!$E$11, 0, 0, 1, COUNTA([1]ExpKayaRatiosInt!$2:$2)-3)</definedName>
    <definedName name="PEdeqperGWPInt" localSheetId="19">OFFSET([1]ExpKayaRatiosInt!$E$11, 0, 0, 1, COUNTA([1]ExpKayaRatiosInt!$2:$2)-3)</definedName>
    <definedName name="PEdeqperGWPInt" localSheetId="16">OFFSET([1]ExpKayaRatiosInt!$E$11, 0, 0, 1, COUNTA([1]ExpKayaRatiosInt!$2:$2)-3)</definedName>
    <definedName name="PEdeqperGWPInt" localSheetId="39">OFFSET([2]ExpKayaRatiosInt!$E$11, 0, 0, 1, COUNTA([2]ExpKayaRatiosInt!$2:$2)-3)</definedName>
    <definedName name="PEdeqperGWPInt" localSheetId="17">OFFSET([3]ExpKayaRatiosInt!$E$11, 0, 0, 1, COUNTA([3]ExpKayaRatiosInt!$2:$2)-3)</definedName>
    <definedName name="PEdeqperGWPInt" localSheetId="20">OFFSET([3]ExpKayaRatiosInt!$E$11, 0, 0, 1, COUNTA([3]ExpKayaRatiosInt!$2:$2)-3)</definedName>
    <definedName name="PEdeqperGWPInt">OFFSET(ExpKayaRatiosInt!$E$11, 0, 0, 1, COUNTA(ExpKayaRatiosInt!$2:$2)-3)</definedName>
    <definedName name="PEdeqperGWPproj1" localSheetId="15">OFFSET([1]HistoricalGrowthRates!$E$60, 0, 0, 1, COUNTA([1]HistoricalGrowthRates!$2:$2)-2)</definedName>
    <definedName name="PEdeqperGWPproj1" localSheetId="19">OFFSET([1]HistoricalGrowthRates!$E$60, 0, 0, 1, COUNTA([1]HistoricalGrowthRates!$2:$2)-2)</definedName>
    <definedName name="PEdeqperGWPproj1" localSheetId="16">OFFSET([1]HistoricalGrowthRates!$E$60, 0, 0, 1, COUNTA([1]HistoricalGrowthRates!$2:$2)-2)</definedName>
    <definedName name="PEdeqperGWPproj1" localSheetId="39">OFFSET([2]HistoricalGrowthRates!$E$60, 0, 0, 1, COUNTA([2]HistoricalGrowthRates!$2:$2)-2)</definedName>
    <definedName name="PEdeqperGWPproj1" localSheetId="17">OFFSET([3]HistoricalGrowthRates!$E$60, 0, 0, 1, COUNTA([3]HistoricalGrowthRates!$2:$2)-2)</definedName>
    <definedName name="PEdeqperGWPproj1" localSheetId="20">OFFSET([3]HistoricalGrowthRates!$E$60, 0, 0, 1, COUNTA([3]HistoricalGrowthRates!$2:$2)-2)</definedName>
    <definedName name="PEdeqperGWPproj1">OFFSET(HistoricalGrowthRates!$E$60, 0, 0, 1, COUNTA(HistoricalGrowthRates!$2:$2)-2)</definedName>
    <definedName name="PEdeqperGWPproj2" localSheetId="15">OFFSET([1]HistoricalGrowthRates!$E$61, 0, 0, 1, COUNTA([1]HistoricalGrowthRates!$2:$2)-2)</definedName>
    <definedName name="PEdeqperGWPproj2" localSheetId="19">OFFSET([1]HistoricalGrowthRates!$E$61, 0, 0, 1, COUNTA([1]HistoricalGrowthRates!$2:$2)-2)</definedName>
    <definedName name="PEdeqperGWPproj2" localSheetId="16">OFFSET([1]HistoricalGrowthRates!$E$61, 0, 0, 1, COUNTA([1]HistoricalGrowthRates!$2:$2)-2)</definedName>
    <definedName name="PEdeqperGWPproj2" localSheetId="39">OFFSET([2]HistoricalGrowthRates!$E$61, 0, 0, 1, COUNTA([2]HistoricalGrowthRates!$2:$2)-2)</definedName>
    <definedName name="PEdeqperGWPproj2" localSheetId="17">OFFSET([3]HistoricalGrowthRates!$E$61, 0, 0, 1, COUNTA([3]HistoricalGrowthRates!$2:$2)-2)</definedName>
    <definedName name="PEdeqperGWPproj2" localSheetId="20">OFFSET([3]HistoricalGrowthRates!$E$61, 0, 0, 1, COUNTA([3]HistoricalGrowthRates!$2:$2)-2)</definedName>
    <definedName name="PEdeqperGWPproj2">OFFSET(HistoricalGrowthRates!$E$61, 0, 0, 1, COUNTA(HistoricalGrowthRates!$2:$2)-2)</definedName>
    <definedName name="PEdeqperGWPprojindex1" localSheetId="15">OFFSET([1]HistoricalGrowthRates!$E$91, 0, 0, 1, COUNTA([1]HistoricalGrowthRates!$2:$2)-2)</definedName>
    <definedName name="PEdeqperGWPprojindex1" localSheetId="19">OFFSET([1]HistoricalGrowthRates!$E$91, 0, 0, 1, COUNTA([1]HistoricalGrowthRates!$2:$2)-2)</definedName>
    <definedName name="PEdeqperGWPprojindex1" localSheetId="16">OFFSET([1]HistoricalGrowthRates!$E$91, 0, 0, 1, COUNTA([1]HistoricalGrowthRates!$2:$2)-2)</definedName>
    <definedName name="PEdeqperGWPprojindex1" localSheetId="39">OFFSET([2]HistoricalGrowthRates!$E$91, 0, 0, 1, COUNTA([2]HistoricalGrowthRates!$2:$2)-2)</definedName>
    <definedName name="PEdeqperGWPprojindex1" localSheetId="17">OFFSET([3]HistoricalGrowthRates!$E$91, 0, 0, 1, COUNTA([3]HistoricalGrowthRates!$2:$2)-2)</definedName>
    <definedName name="PEdeqperGWPprojindex1" localSheetId="20">OFFSET([3]HistoricalGrowthRates!$E$91, 0, 0, 1, COUNTA([3]HistoricalGrowthRates!$2:$2)-2)</definedName>
    <definedName name="PEdeqperGWPprojindex1">OFFSET(HistoricalGrowthRates!$E$91, 0, 0, 1, COUNTA(HistoricalGrowthRates!$2:$2)-2)</definedName>
    <definedName name="PEdeqperGWPprojindex2" localSheetId="15">OFFSET([1]HistoricalGrowthRates!$E$92, 0, 0, 1, COUNTA([1]HistoricalGrowthRates!$2:$2)-2)</definedName>
    <definedName name="PEdeqperGWPprojindex2" localSheetId="19">OFFSET([1]HistoricalGrowthRates!$E$92, 0, 0, 1, COUNTA([1]HistoricalGrowthRates!$2:$2)-2)</definedName>
    <definedName name="PEdeqperGWPprojindex2" localSheetId="16">OFFSET([1]HistoricalGrowthRates!$E$92, 0, 0, 1, COUNTA([1]HistoricalGrowthRates!$2:$2)-2)</definedName>
    <definedName name="PEdeqperGWPprojindex2" localSheetId="39">OFFSET([2]HistoricalGrowthRates!$E$92, 0, 0, 1, COUNTA([2]HistoricalGrowthRates!$2:$2)-2)</definedName>
    <definedName name="PEdeqperGWPprojindex2" localSheetId="17">OFFSET([3]HistoricalGrowthRates!$E$92, 0, 0, 1, COUNTA([3]HistoricalGrowthRates!$2:$2)-2)</definedName>
    <definedName name="PEdeqperGWPprojindex2" localSheetId="20">OFFSET([3]HistoricalGrowthRates!$E$92, 0, 0, 1, COUNTA([3]HistoricalGrowthRates!$2:$2)-2)</definedName>
    <definedName name="PEdeqperGWPprojindex2">OFFSET(HistoricalGrowthRates!$E$92, 0, 0, 1, COUNTA(HistoricalGrowthRates!$2:$2)-2)</definedName>
    <definedName name="PEdeqperGWPrate1" localSheetId="15">OFFSET([1]HistoricalGrowthRates!$E$28, 0, 0, 1, COUNTA([1]HistoricalGrowthRates!$2:$2)-2)</definedName>
    <definedName name="PEdeqperGWPrate1" localSheetId="19">OFFSET([1]HistoricalGrowthRates!$E$28, 0, 0, 1, COUNTA([1]HistoricalGrowthRates!$2:$2)-2)</definedName>
    <definedName name="PEdeqperGWPrate1" localSheetId="16">OFFSET([1]HistoricalGrowthRates!$E$28, 0, 0, 1, COUNTA([1]HistoricalGrowthRates!$2:$2)-2)</definedName>
    <definedName name="PEdeqperGWPrate1" localSheetId="39">OFFSET([2]HistoricalGrowthRates!$E$28, 0, 0, 1, COUNTA([2]HistoricalGrowthRates!$2:$2)-2)</definedName>
    <definedName name="PEdeqperGWPrate1" localSheetId="17">OFFSET([3]HistoricalGrowthRates!$E$28, 0, 0, 1, COUNTA([3]HistoricalGrowthRates!$2:$2)-2)</definedName>
    <definedName name="PEdeqperGWPrate1" localSheetId="20">OFFSET([3]HistoricalGrowthRates!$E$28, 0, 0, 1, COUNTA([3]HistoricalGrowthRates!$2:$2)-2)</definedName>
    <definedName name="PEdeqperGWPrate1">OFFSET(HistoricalGrowthRates!$E$28, 0, 0, 1, COUNTA(HistoricalGrowthRates!$2:$2)-2)</definedName>
    <definedName name="PEdeqperGWPrate2" localSheetId="15">OFFSET([1]HistoricalGrowthRates!$E$29, 0, 0, 1, COUNTA([1]HistoricalGrowthRates!$2:$2)-2)</definedName>
    <definedName name="PEdeqperGWPrate2" localSheetId="19">OFFSET([1]HistoricalGrowthRates!$E$29, 0, 0, 1, COUNTA([1]HistoricalGrowthRates!$2:$2)-2)</definedName>
    <definedName name="PEdeqperGWPrate2" localSheetId="16">OFFSET([1]HistoricalGrowthRates!$E$29, 0, 0, 1, COUNTA([1]HistoricalGrowthRates!$2:$2)-2)</definedName>
    <definedName name="PEdeqperGWPrate2" localSheetId="39">OFFSET([2]HistoricalGrowthRates!$E$29, 0, 0, 1, COUNTA([2]HistoricalGrowthRates!$2:$2)-2)</definedName>
    <definedName name="PEdeqperGWPrate2" localSheetId="17">OFFSET([3]HistoricalGrowthRates!$E$29, 0, 0, 1, COUNTA([3]HistoricalGrowthRates!$2:$2)-2)</definedName>
    <definedName name="PEdeqperGWPrate2" localSheetId="20">OFFSET([3]HistoricalGrowthRates!$E$29, 0, 0, 1, COUNTA([3]HistoricalGrowthRates!$2:$2)-2)</definedName>
    <definedName name="PEdeqperGWPrate2">OFFSET(HistoricalGrowthRates!$E$29, 0, 0, 1, COUNTA(HistoricalGrowthRates!$2:$2)-2)</definedName>
    <definedName name="PEdeqperGWPRef" localSheetId="15">OFFSET([1]ExpKayaRatiosRef!$E$11, 0, 0, 1, COUNTA([1]ExpKayaRatiosRef!$2:$2)-3)</definedName>
    <definedName name="PEdeqperGWPRef" localSheetId="19">OFFSET([1]ExpKayaRatiosRef!$E$11, 0, 0, 1, COUNTA([1]ExpKayaRatiosRef!$2:$2)-3)</definedName>
    <definedName name="PEdeqperGWPRef" localSheetId="16">OFFSET([1]ExpKayaRatiosRef!$E$11, 0, 0, 1, COUNTA([1]ExpKayaRatiosRef!$2:$2)-3)</definedName>
    <definedName name="PEdeqperGWPRef" localSheetId="39">OFFSET([2]ExpKayaRatiosRef!$E$11, 0, 0, 1, COUNTA([2]ExpKayaRatiosRef!$2:$2)-3)</definedName>
    <definedName name="PEdeqperGWPRef" localSheetId="17">OFFSET([3]ExpKayaRatiosRef!$E$11, 0, 0, 1, COUNTA([3]ExpKayaRatiosRef!$2:$2)-3)</definedName>
    <definedName name="PEdeqperGWPRef" localSheetId="20">OFFSET([3]ExpKayaRatiosRef!$E$11, 0, 0, 1, COUNTA([3]ExpKayaRatiosRef!$2:$2)-3)</definedName>
    <definedName name="PEdeqperGWPRef">OFFSET(ExpKayaRatiosRef!$E$11, 0, 0, 1, COUNTA(ExpKayaRatiosRef!$2:$2)-3)</definedName>
    <definedName name="PEdeqproj1" localSheetId="15">OFFSET([1]HistoricalGrowthRates!$E$41, 0, 0, 1, COUNTA([1]HistoricalGrowthRates!$2:$2)-2)</definedName>
    <definedName name="PEdeqproj1" localSheetId="19">OFFSET([1]HistoricalGrowthRates!$E$41, 0, 0, 1, COUNTA([1]HistoricalGrowthRates!$2:$2)-2)</definedName>
    <definedName name="PEdeqproj1" localSheetId="16">OFFSET([1]HistoricalGrowthRates!$E$41, 0, 0, 1, COUNTA([1]HistoricalGrowthRates!$2:$2)-2)</definedName>
    <definedName name="PEdeqproj1" localSheetId="39">OFFSET([2]HistoricalGrowthRates!$E$41, 0, 0, 1, COUNTA([2]HistoricalGrowthRates!$2:$2)-2)</definedName>
    <definedName name="PEdeqproj1" localSheetId="17">OFFSET([3]HistoricalGrowthRates!$E$41, 0, 0, 1, COUNTA([3]HistoricalGrowthRates!$2:$2)-2)</definedName>
    <definedName name="PEdeqproj1" localSheetId="20">OFFSET([3]HistoricalGrowthRates!$E$41, 0, 0, 1, COUNTA([3]HistoricalGrowthRates!$2:$2)-2)</definedName>
    <definedName name="PEdeqproj1">OFFSET(HistoricalGrowthRates!$E$41, 0, 0, 1, COUNTA(HistoricalGrowthRates!$2:$2)-2)</definedName>
    <definedName name="PEdeqproj2" localSheetId="15">OFFSET([1]HistoricalGrowthRates!$E$42, 0, 0, 1, COUNTA([1]HistoricalGrowthRates!$2:$2)-2)</definedName>
    <definedName name="PEdeqproj2" localSheetId="19">OFFSET([1]HistoricalGrowthRates!$E$42, 0, 0, 1, COUNTA([1]HistoricalGrowthRates!$2:$2)-2)</definedName>
    <definedName name="PEdeqproj2" localSheetId="16">OFFSET([1]HistoricalGrowthRates!$E$42, 0, 0, 1, COUNTA([1]HistoricalGrowthRates!$2:$2)-2)</definedName>
    <definedName name="PEdeqproj2" localSheetId="39">OFFSET([2]HistoricalGrowthRates!$E$42, 0, 0, 1, COUNTA([2]HistoricalGrowthRates!$2:$2)-2)</definedName>
    <definedName name="PEdeqproj2" localSheetId="17">OFFSET([3]HistoricalGrowthRates!$E$42, 0, 0, 1, COUNTA([3]HistoricalGrowthRates!$2:$2)-2)</definedName>
    <definedName name="PEdeqproj2" localSheetId="20">OFFSET([3]HistoricalGrowthRates!$E$42, 0, 0, 1, COUNTA([3]HistoricalGrowthRates!$2:$2)-2)</definedName>
    <definedName name="PEdeqproj2">OFFSET(HistoricalGrowthRates!$E$42, 0, 0, 1, COUNTA(HistoricalGrowthRates!$2:$2)-2)</definedName>
    <definedName name="PEdeqprojindex1" localSheetId="15">OFFSET([1]HistoricalGrowthRates!$E$72, 0, 0, 1, COUNTA([1]HistoricalGrowthRates!$2:$2)-2)</definedName>
    <definedName name="PEdeqprojindex1" localSheetId="19">OFFSET([1]HistoricalGrowthRates!$E$72, 0, 0, 1, COUNTA([1]HistoricalGrowthRates!$2:$2)-2)</definedName>
    <definedName name="PEdeqprojindex1" localSheetId="16">OFFSET([1]HistoricalGrowthRates!$E$72, 0, 0, 1, COUNTA([1]HistoricalGrowthRates!$2:$2)-2)</definedName>
    <definedName name="PEdeqprojindex1" localSheetId="39">OFFSET([2]HistoricalGrowthRates!$E$72, 0, 0, 1, COUNTA([2]HistoricalGrowthRates!$2:$2)-2)</definedName>
    <definedName name="PEdeqprojindex1" localSheetId="17">OFFSET([3]HistoricalGrowthRates!$E$72, 0, 0, 1, COUNTA([3]HistoricalGrowthRates!$2:$2)-2)</definedName>
    <definedName name="PEdeqprojindex1" localSheetId="20">OFFSET([3]HistoricalGrowthRates!$E$72, 0, 0, 1, COUNTA([3]HistoricalGrowthRates!$2:$2)-2)</definedName>
    <definedName name="PEdeqprojindex1">OFFSET(HistoricalGrowthRates!$E$72, 0, 0, 1, COUNTA(HistoricalGrowthRates!$2:$2)-2)</definedName>
    <definedName name="PEdeqprojindex2" localSheetId="15">OFFSET([1]HistoricalGrowthRates!$E$73, 0, 0, 1, COUNTA([1]HistoricalGrowthRates!$2:$2)-2)</definedName>
    <definedName name="PEdeqprojindex2" localSheetId="19">OFFSET([1]HistoricalGrowthRates!$E$73, 0, 0, 1, COUNTA([1]HistoricalGrowthRates!$2:$2)-2)</definedName>
    <definedName name="PEdeqprojindex2" localSheetId="16">OFFSET([1]HistoricalGrowthRates!$E$73, 0, 0, 1, COUNTA([1]HistoricalGrowthRates!$2:$2)-2)</definedName>
    <definedName name="PEdeqprojindex2" localSheetId="39">OFFSET([2]HistoricalGrowthRates!$E$73, 0, 0, 1, COUNTA([2]HistoricalGrowthRates!$2:$2)-2)</definedName>
    <definedName name="PEdeqprojindex2" localSheetId="17">OFFSET([3]HistoricalGrowthRates!$E$73, 0, 0, 1, COUNTA([3]HistoricalGrowthRates!$2:$2)-2)</definedName>
    <definedName name="PEdeqprojindex2" localSheetId="20">OFFSET([3]HistoricalGrowthRates!$E$73, 0, 0, 1, COUNTA([3]HistoricalGrowthRates!$2:$2)-2)</definedName>
    <definedName name="PEdeqprojindex2">OFFSET(HistoricalGrowthRates!$E$73, 0, 0, 1, COUNTA(HistoricalGrowthRates!$2:$2)-2)</definedName>
    <definedName name="PEdeqrate1" localSheetId="15">OFFSET([1]HistoricalGrowthRates!$E$9, 0, 0, 1, COUNTA([1]HistoricalGrowthRates!$2:$2)-2)</definedName>
    <definedName name="PEdeqrate1" localSheetId="19">OFFSET([1]HistoricalGrowthRates!$E$9, 0, 0, 1, COUNTA([1]HistoricalGrowthRates!$2:$2)-2)</definedName>
    <definedName name="PEdeqrate1" localSheetId="16">OFFSET([1]HistoricalGrowthRates!$E$9, 0, 0, 1, COUNTA([1]HistoricalGrowthRates!$2:$2)-2)</definedName>
    <definedName name="PEdeqrate1" localSheetId="39">OFFSET([2]HistoricalGrowthRates!$E$9, 0, 0, 1, COUNTA([2]HistoricalGrowthRates!$2:$2)-2)</definedName>
    <definedName name="PEdeqrate1" localSheetId="17">OFFSET([3]HistoricalGrowthRates!$E$9, 0, 0, 1, COUNTA([3]HistoricalGrowthRates!$2:$2)-2)</definedName>
    <definedName name="PEdeqrate1" localSheetId="20">OFFSET([3]HistoricalGrowthRates!$E$9, 0, 0, 1, COUNTA([3]HistoricalGrowthRates!$2:$2)-2)</definedName>
    <definedName name="PEdeqrate1">OFFSET(HistoricalGrowthRates!$E$9, 0, 0, 1, COUNTA(HistoricalGrowthRates!$2:$2)-2)</definedName>
    <definedName name="PEdeqrate2" localSheetId="15">OFFSET([1]HistoricalGrowthRates!$E$10, 0, 0, 1, COUNTA([1]HistoricalGrowthRates!$2:$2)-2)</definedName>
    <definedName name="PEdeqrate2" localSheetId="19">OFFSET([1]HistoricalGrowthRates!$E$10, 0, 0, 1, COUNTA([1]HistoricalGrowthRates!$2:$2)-2)</definedName>
    <definedName name="PEdeqrate2" localSheetId="16">OFFSET([1]HistoricalGrowthRates!$E$10, 0, 0, 1, COUNTA([1]HistoricalGrowthRates!$2:$2)-2)</definedName>
    <definedName name="PEdeqrate2" localSheetId="39">OFFSET([2]HistoricalGrowthRates!$E$10, 0, 0, 1, COUNTA([2]HistoricalGrowthRates!$2:$2)-2)</definedName>
    <definedName name="PEdeqrate2" localSheetId="17">OFFSET([3]HistoricalGrowthRates!$E$10, 0, 0, 1, COUNTA([3]HistoricalGrowthRates!$2:$2)-2)</definedName>
    <definedName name="PEdeqrate2" localSheetId="20">OFFSET([3]HistoricalGrowthRates!$E$10, 0, 0, 1, COUNTA([3]HistoricalGrowthRates!$2:$2)-2)</definedName>
    <definedName name="PEdeqrate2">OFFSET(HistoricalGrowthRates!$E$10, 0, 0, 1, COUNTA(HistoricalGrowthRates!$2:$2)-2)</definedName>
    <definedName name="PEdeqRef" localSheetId="15">OFFSET([1]ExpKayaFactorsRef!$E$5, 0, 0, 1, COUNTA([1]ExpKayaFactorsRef!$2:$2)-3)</definedName>
    <definedName name="PEdeqRef" localSheetId="19">OFFSET([1]ExpKayaFactorsRef!$E$5, 0, 0, 1, COUNTA([1]ExpKayaFactorsRef!$2:$2)-3)</definedName>
    <definedName name="PEdeqRef" localSheetId="16">OFFSET([1]ExpKayaFactorsRef!$E$5, 0, 0, 1, COUNTA([1]ExpKayaFactorsRef!$2:$2)-3)</definedName>
    <definedName name="PEdeqRef" localSheetId="39">OFFSET([2]ExpKayaFactorsRef!$E$5, 0, 0, 1, COUNTA([2]ExpKayaFactorsRef!$2:$2)-3)</definedName>
    <definedName name="PEdeqRef" localSheetId="17">OFFSET([3]ExpKayaFactorsRef!$E$5, 0, 0, 1, COUNTA([3]ExpKayaFactorsRef!$2:$2)-3)</definedName>
    <definedName name="PEdeqRef" localSheetId="20">OFFSET([3]ExpKayaFactorsRef!$E$5, 0, 0, 1, COUNTA([3]ExpKayaFactorsRef!$2:$2)-3)</definedName>
    <definedName name="PEdeqRef">OFFSET(ExpKayaFactorsRef!$E$5, 0, 0, 1, COUNTA(ExpKayaFactorsRef!$2:$2)-3)</definedName>
    <definedName name="PEffchngInt" localSheetId="15">OFFSET([1]ExpKayaFactorsInt!$E$32, 0, 0, 1, COUNTA([1]ExpKayaFactorsInt!$2:$2)-3)</definedName>
    <definedName name="PEffchngInt" localSheetId="19">OFFSET([1]ExpKayaFactorsInt!$E$32, 0, 0, 1, COUNTA([1]ExpKayaFactorsInt!$2:$2)-3)</definedName>
    <definedName name="PEffchngInt" localSheetId="16">OFFSET([1]ExpKayaFactorsInt!$E$32, 0, 0, 1, COUNTA([1]ExpKayaFactorsInt!$2:$2)-3)</definedName>
    <definedName name="PEffchngInt" localSheetId="39">OFFSET([2]ExpKayaFactorsInt!$E$32, 0, 0, 1, COUNTA([2]ExpKayaFactorsInt!$2:$2)-3)</definedName>
    <definedName name="PEffchngInt" localSheetId="17">OFFSET([3]ExpKayaFactorsInt!$E$32, 0, 0, 1, COUNTA([3]ExpKayaFactorsInt!$2:$2)-3)</definedName>
    <definedName name="PEffchngInt" localSheetId="20">OFFSET([3]ExpKayaFactorsInt!$E$32, 0, 0, 1, COUNTA([3]ExpKayaFactorsInt!$2:$2)-3)</definedName>
    <definedName name="PEffchngInt">OFFSET(ExpKayaFactorsInt!$E$32, 0, 0, 1, COUNTA(ExpKayaFactorsInt!$2:$2)-3)</definedName>
    <definedName name="PEffchngRef" localSheetId="15">OFFSET([1]ExpKayaFactorsRef!$E$32, 0, 0, 1, COUNTA([1]ExpKayaFactorsRef!$2:$2)-3)</definedName>
    <definedName name="PEffchngRef" localSheetId="19">OFFSET([1]ExpKayaFactorsRef!$E$32, 0, 0, 1, COUNTA([1]ExpKayaFactorsRef!$2:$2)-3)</definedName>
    <definedName name="PEffchngRef" localSheetId="16">OFFSET([1]ExpKayaFactorsRef!$E$32, 0, 0, 1, COUNTA([1]ExpKayaFactorsRef!$2:$2)-3)</definedName>
    <definedName name="PEffchngRef" localSheetId="39">OFFSET([2]ExpKayaFactorsRef!$E$32, 0, 0, 1, COUNTA([2]ExpKayaFactorsRef!$2:$2)-3)</definedName>
    <definedName name="PEffchngRef" localSheetId="17">OFFSET([3]ExpKayaFactorsRef!$E$32, 0, 0, 1, COUNTA([3]ExpKayaFactorsRef!$2:$2)-3)</definedName>
    <definedName name="PEffchngRef" localSheetId="20">OFFSET([3]ExpKayaFactorsRef!$E$32, 0, 0, 1, COUNTA([3]ExpKayaFactorsRef!$2:$2)-3)</definedName>
    <definedName name="PEffchngRef">OFFSET(ExpKayaFactorsRef!$E$32, 0, 0, 1, COUNTA(ExpKayaFactorsRef!$2:$2)-3)</definedName>
    <definedName name="PEffindexInt" localSheetId="15">OFFSET([1]ExpKayaFactorsInt!$E$19, 0, 0, 1, COUNTA([1]ExpKayaFactorsInt!$2:$2)-3)</definedName>
    <definedName name="PEffindexInt" localSheetId="19">OFFSET([1]ExpKayaFactorsInt!$E$19, 0, 0, 1, COUNTA([1]ExpKayaFactorsInt!$2:$2)-3)</definedName>
    <definedName name="PEffindexInt" localSheetId="16">OFFSET([1]ExpKayaFactorsInt!$E$19, 0, 0, 1, COUNTA([1]ExpKayaFactorsInt!$2:$2)-3)</definedName>
    <definedName name="PEffindexInt" localSheetId="39">OFFSET([2]ExpKayaFactorsInt!$E$19, 0, 0, 1, COUNTA([2]ExpKayaFactorsInt!$2:$2)-3)</definedName>
    <definedName name="PEffindexInt" localSheetId="17">OFFSET([3]ExpKayaFactorsInt!$E$19, 0, 0, 1, COUNTA([3]ExpKayaFactorsInt!$2:$2)-3)</definedName>
    <definedName name="PEffindexInt" localSheetId="20">OFFSET([3]ExpKayaFactorsInt!$E$19, 0, 0, 1, COUNTA([3]ExpKayaFactorsInt!$2:$2)-3)</definedName>
    <definedName name="PEffindexInt">OFFSET(ExpKayaFactorsInt!$E$19, 0, 0, 1, COUNTA(ExpKayaFactorsInt!$2:$2)-3)</definedName>
    <definedName name="PEffindexRef" localSheetId="15">OFFSET([1]ExpKayaFactorsRef!$E$19, 0, 0, 1, COUNTA([1]ExpKayaFactorsRef!$2:$2)-3)</definedName>
    <definedName name="PEffindexRef" localSheetId="19">OFFSET([1]ExpKayaFactorsRef!$E$19, 0, 0, 1, COUNTA([1]ExpKayaFactorsRef!$2:$2)-3)</definedName>
    <definedName name="PEffindexRef" localSheetId="16">OFFSET([1]ExpKayaFactorsRef!$E$19, 0, 0, 1, COUNTA([1]ExpKayaFactorsRef!$2:$2)-3)</definedName>
    <definedName name="PEffindexRef" localSheetId="39">OFFSET([2]ExpKayaFactorsRef!$E$19, 0, 0, 1, COUNTA([2]ExpKayaFactorsRef!$2:$2)-3)</definedName>
    <definedName name="PEffindexRef" localSheetId="17">OFFSET([3]ExpKayaFactorsRef!$E$19, 0, 0, 1, COUNTA([3]ExpKayaFactorsRef!$2:$2)-3)</definedName>
    <definedName name="PEffindexRef" localSheetId="20">OFFSET([3]ExpKayaFactorsRef!$E$19, 0, 0, 1, COUNTA([3]ExpKayaFactorsRef!$2:$2)-3)</definedName>
    <definedName name="PEffindexRef">OFFSET(ExpKayaFactorsRef!$E$19, 0, 0, 1, COUNTA(ExpKayaFactorsRef!$2:$2)-3)</definedName>
    <definedName name="PEffInt" localSheetId="15">OFFSET([1]ExpKayaFactorsInt!$E$6, 0, 0, 1, COUNTA([1]ExpKayaFactorsInt!$2:$2)-3)</definedName>
    <definedName name="PEffInt" localSheetId="19">OFFSET([1]ExpKayaFactorsInt!$E$6, 0, 0, 1, COUNTA([1]ExpKayaFactorsInt!$2:$2)-3)</definedName>
    <definedName name="PEffInt" localSheetId="16">OFFSET([1]ExpKayaFactorsInt!$E$6, 0, 0, 1, COUNTA([1]ExpKayaFactorsInt!$2:$2)-3)</definedName>
    <definedName name="PEffInt" localSheetId="39">OFFSET([2]ExpKayaFactorsInt!$E$6, 0, 0, 1, COUNTA([2]ExpKayaFactorsInt!$2:$2)-3)</definedName>
    <definedName name="PEffInt" localSheetId="17">OFFSET([3]ExpKayaFactorsInt!$E$6, 0, 0, 1, COUNTA([3]ExpKayaFactorsInt!$2:$2)-3)</definedName>
    <definedName name="PEffInt" localSheetId="20">OFFSET([3]ExpKayaFactorsInt!$E$6, 0, 0, 1, COUNTA([3]ExpKayaFactorsInt!$2:$2)-3)</definedName>
    <definedName name="PEffInt">OFFSET(ExpKayaFactorsInt!$E$6, 0, 0, 1, COUNTA(ExpKayaFactorsInt!$2:$2)-3)</definedName>
    <definedName name="PEffperPEdeqchngInt" localSheetId="15">OFFSET([1]ExpKayaRatiosInt!$E$32, 0, 0, 1, COUNTA([1]ExpKayaRatiosInt!$2:$2)-3)</definedName>
    <definedName name="PEffperPEdeqchngInt" localSheetId="19">OFFSET([1]ExpKayaRatiosInt!$E$32, 0, 0, 1, COUNTA([1]ExpKayaRatiosInt!$2:$2)-3)</definedName>
    <definedName name="PEffperPEdeqchngInt" localSheetId="16">OFFSET([1]ExpKayaRatiosInt!$E$32, 0, 0, 1, COUNTA([1]ExpKayaRatiosInt!$2:$2)-3)</definedName>
    <definedName name="PEffperPEdeqchngInt" localSheetId="39">OFFSET([2]ExpKayaRatiosInt!$E$32, 0, 0, 1, COUNTA([2]ExpKayaRatiosInt!$2:$2)-3)</definedName>
    <definedName name="PEffperPEdeqchngInt" localSheetId="17">OFFSET([3]ExpKayaRatiosInt!$E$32, 0, 0, 1, COUNTA([3]ExpKayaRatiosInt!$2:$2)-3)</definedName>
    <definedName name="PEffperPEdeqchngInt" localSheetId="20">OFFSET([3]ExpKayaRatiosInt!$E$32, 0, 0, 1, COUNTA([3]ExpKayaRatiosInt!$2:$2)-3)</definedName>
    <definedName name="PEffperPEdeqchngInt">OFFSET(ExpKayaRatiosInt!$E$32, 0, 0, 1, COUNTA(ExpKayaRatiosInt!$2:$2)-3)</definedName>
    <definedName name="PEffperPEdeqchngRef" localSheetId="15">OFFSET([1]ExpKayaRatiosRef!$E$32, 0, 0, 1, COUNTA([1]ExpKayaRatiosRef!$2:$2)-3)</definedName>
    <definedName name="PEffperPEdeqchngRef" localSheetId="19">OFFSET([1]ExpKayaRatiosRef!$E$32, 0, 0, 1, COUNTA([1]ExpKayaRatiosRef!$2:$2)-3)</definedName>
    <definedName name="PEffperPEdeqchngRef" localSheetId="16">OFFSET([1]ExpKayaRatiosRef!$E$32, 0, 0, 1, COUNTA([1]ExpKayaRatiosRef!$2:$2)-3)</definedName>
    <definedName name="PEffperPEdeqchngRef" localSheetId="39">OFFSET([2]ExpKayaRatiosRef!$E$32, 0, 0, 1, COUNTA([2]ExpKayaRatiosRef!$2:$2)-3)</definedName>
    <definedName name="PEffperPEdeqchngRef" localSheetId="17">OFFSET([3]ExpKayaRatiosRef!$E$32, 0, 0, 1, COUNTA([3]ExpKayaRatiosRef!$2:$2)-3)</definedName>
    <definedName name="PEffperPEdeqchngRef" localSheetId="20">OFFSET([3]ExpKayaRatiosRef!$E$32, 0, 0, 1, COUNTA([3]ExpKayaRatiosRef!$2:$2)-3)</definedName>
    <definedName name="PEffperPEdeqchngRef">OFFSET(ExpKayaRatiosRef!$E$32, 0, 0, 1, COUNTA(ExpKayaRatiosRef!$2:$2)-3)</definedName>
    <definedName name="PEffperPEdeqindexInt" localSheetId="15">OFFSET([1]ExpKayaRatiosInt!$E$19, 0, 0, 1, COUNTA([1]ExpKayaRatiosInt!$2:$2)-3)</definedName>
    <definedName name="PEffperPEdeqindexInt" localSheetId="19">OFFSET([1]ExpKayaRatiosInt!$E$19, 0, 0, 1, COUNTA([1]ExpKayaRatiosInt!$2:$2)-3)</definedName>
    <definedName name="PEffperPEdeqindexInt" localSheetId="16">OFFSET([1]ExpKayaRatiosInt!$E$19, 0, 0, 1, COUNTA([1]ExpKayaRatiosInt!$2:$2)-3)</definedName>
    <definedName name="PEffperPEdeqindexInt" localSheetId="39">OFFSET([2]ExpKayaRatiosInt!$E$19, 0, 0, 1, COUNTA([2]ExpKayaRatiosInt!$2:$2)-3)</definedName>
    <definedName name="PEffperPEdeqindexInt" localSheetId="17">OFFSET([3]ExpKayaRatiosInt!$E$19, 0, 0, 1, COUNTA([3]ExpKayaRatiosInt!$2:$2)-3)</definedName>
    <definedName name="PEffperPEdeqindexInt" localSheetId="20">OFFSET([3]ExpKayaRatiosInt!$E$19, 0, 0, 1, COUNTA([3]ExpKayaRatiosInt!$2:$2)-3)</definedName>
    <definedName name="PEffperPEdeqindexInt">OFFSET(ExpKayaRatiosInt!$E$19, 0, 0, 1, COUNTA(ExpKayaRatiosInt!$2:$2)-3)</definedName>
    <definedName name="PEffperPEdeqindexRef" localSheetId="15">OFFSET([1]ExpKayaRatiosRef!$E$19, 0, 0, 1, COUNTA([1]ExpKayaRatiosRef!$2:$2)-3)</definedName>
    <definedName name="PEffperPEdeqindexRef" localSheetId="19">OFFSET([1]ExpKayaRatiosRef!$E$19, 0, 0, 1, COUNTA([1]ExpKayaRatiosRef!$2:$2)-3)</definedName>
    <definedName name="PEffperPEdeqindexRef" localSheetId="16">OFFSET([1]ExpKayaRatiosRef!$E$19, 0, 0, 1, COUNTA([1]ExpKayaRatiosRef!$2:$2)-3)</definedName>
    <definedName name="PEffperPEdeqindexRef" localSheetId="39">OFFSET([2]ExpKayaRatiosRef!$E$19, 0, 0, 1, COUNTA([2]ExpKayaRatiosRef!$2:$2)-3)</definedName>
    <definedName name="PEffperPEdeqindexRef" localSheetId="17">OFFSET([3]ExpKayaRatiosRef!$E$19, 0, 0, 1, COUNTA([3]ExpKayaRatiosRef!$2:$2)-3)</definedName>
    <definedName name="PEffperPEdeqindexRef" localSheetId="20">OFFSET([3]ExpKayaRatiosRef!$E$19, 0, 0, 1, COUNTA([3]ExpKayaRatiosRef!$2:$2)-3)</definedName>
    <definedName name="PEffperPEdeqindexRef">OFFSET(ExpKayaRatiosRef!$E$19, 0, 0, 1, COUNTA(ExpKayaRatiosRef!$2:$2)-3)</definedName>
    <definedName name="PEffperPEdeqInt" localSheetId="15">OFFSET([1]ExpKayaRatiosInt!$E$6, 0, 0, 1, COUNTA([1]ExpKayaRatiosInt!$2:$2)-3)</definedName>
    <definedName name="PEffperPEdeqInt" localSheetId="19">OFFSET([1]ExpKayaRatiosInt!$E$6, 0, 0, 1, COUNTA([1]ExpKayaRatiosInt!$2:$2)-3)</definedName>
    <definedName name="PEffperPEdeqInt" localSheetId="16">OFFSET([1]ExpKayaRatiosInt!$E$6, 0, 0, 1, COUNTA([1]ExpKayaRatiosInt!$2:$2)-3)</definedName>
    <definedName name="PEffperPEdeqInt" localSheetId="39">OFFSET([2]ExpKayaRatiosInt!$E$6, 0, 0, 1, COUNTA([2]ExpKayaRatiosInt!$2:$2)-3)</definedName>
    <definedName name="PEffperPEdeqInt" localSheetId="17">OFFSET([3]ExpKayaRatiosInt!$E$6, 0, 0, 1, COUNTA([3]ExpKayaRatiosInt!$2:$2)-3)</definedName>
    <definedName name="PEffperPEdeqInt" localSheetId="20">OFFSET([3]ExpKayaRatiosInt!$E$6, 0, 0, 1, COUNTA([3]ExpKayaRatiosInt!$2:$2)-3)</definedName>
    <definedName name="PEffperPEdeqInt">OFFSET(ExpKayaRatiosInt!$E$6, 0, 0, 1, COUNTA(ExpKayaRatiosInt!$2:$2)-3)</definedName>
    <definedName name="PEffperPEdeqproj1" localSheetId="15">OFFSET([1]HistoricalGrowthRates!$E$56, 0, 0, 1, COUNTA([1]HistoricalGrowthRates!$2:$2)-2)</definedName>
    <definedName name="PEffperPEdeqproj1" localSheetId="19">OFFSET([1]HistoricalGrowthRates!$E$56, 0, 0, 1, COUNTA([1]HistoricalGrowthRates!$2:$2)-2)</definedName>
    <definedName name="PEffperPEdeqproj1" localSheetId="16">OFFSET([1]HistoricalGrowthRates!$E$56, 0, 0, 1, COUNTA([1]HistoricalGrowthRates!$2:$2)-2)</definedName>
    <definedName name="PEffperPEdeqproj1" localSheetId="39">OFFSET([2]HistoricalGrowthRates!$E$56, 0, 0, 1, COUNTA([2]HistoricalGrowthRates!$2:$2)-2)</definedName>
    <definedName name="PEffperPEdeqproj1" localSheetId="17">OFFSET([3]HistoricalGrowthRates!$E$56, 0, 0, 1, COUNTA([3]HistoricalGrowthRates!$2:$2)-2)</definedName>
    <definedName name="PEffperPEdeqproj1" localSheetId="20">OFFSET([3]HistoricalGrowthRates!$E$56, 0, 0, 1, COUNTA([3]HistoricalGrowthRates!$2:$2)-2)</definedName>
    <definedName name="PEffperPEdeqproj1">OFFSET(HistoricalGrowthRates!$E$56, 0, 0, 1, COUNTA(HistoricalGrowthRates!$2:$2)-2)</definedName>
    <definedName name="PEffperPEdeqproj2" localSheetId="15">OFFSET([1]HistoricalGrowthRates!$E$57, 0, 0, 1, COUNTA([1]HistoricalGrowthRates!$2:$2)-2)</definedName>
    <definedName name="PEffperPEdeqproj2" localSheetId="19">OFFSET([1]HistoricalGrowthRates!$E$57, 0, 0, 1, COUNTA([1]HistoricalGrowthRates!$2:$2)-2)</definedName>
    <definedName name="PEffperPEdeqproj2" localSheetId="16">OFFSET([1]HistoricalGrowthRates!$E$57, 0, 0, 1, COUNTA([1]HistoricalGrowthRates!$2:$2)-2)</definedName>
    <definedName name="PEffperPEdeqproj2" localSheetId="39">OFFSET([2]HistoricalGrowthRates!$E$57, 0, 0, 1, COUNTA([2]HistoricalGrowthRates!$2:$2)-2)</definedName>
    <definedName name="PEffperPEdeqproj2" localSheetId="17">OFFSET([3]HistoricalGrowthRates!$E$57, 0, 0, 1, COUNTA([3]HistoricalGrowthRates!$2:$2)-2)</definedName>
    <definedName name="PEffperPEdeqproj2" localSheetId="20">OFFSET([3]HistoricalGrowthRates!$E$57, 0, 0, 1, COUNTA([3]HistoricalGrowthRates!$2:$2)-2)</definedName>
    <definedName name="PEffperPEdeqproj2">OFFSET(HistoricalGrowthRates!$E$57, 0, 0, 1, COUNTA(HistoricalGrowthRates!$2:$2)-2)</definedName>
    <definedName name="PEffperPEdeqprojindex1" localSheetId="15">OFFSET([1]HistoricalGrowthRates!$E$87, 0, 0, 1, COUNTA([1]HistoricalGrowthRates!$2:$2)-2)</definedName>
    <definedName name="PEffperPEdeqprojindex1" localSheetId="19">OFFSET([1]HistoricalGrowthRates!$E$87, 0, 0, 1, COUNTA([1]HistoricalGrowthRates!$2:$2)-2)</definedName>
    <definedName name="PEffperPEdeqprojindex1" localSheetId="16">OFFSET([1]HistoricalGrowthRates!$E$87, 0, 0, 1, COUNTA([1]HistoricalGrowthRates!$2:$2)-2)</definedName>
    <definedName name="PEffperPEdeqprojindex1" localSheetId="39">OFFSET([2]HistoricalGrowthRates!$E$87, 0, 0, 1, COUNTA([2]HistoricalGrowthRates!$2:$2)-2)</definedName>
    <definedName name="PEffperPEdeqprojindex1" localSheetId="17">OFFSET([3]HistoricalGrowthRates!$E$87, 0, 0, 1, COUNTA([3]HistoricalGrowthRates!$2:$2)-2)</definedName>
    <definedName name="PEffperPEdeqprojindex1" localSheetId="20">OFFSET([3]HistoricalGrowthRates!$E$87, 0, 0, 1, COUNTA([3]HistoricalGrowthRates!$2:$2)-2)</definedName>
    <definedName name="PEffperPEdeqprojindex1">OFFSET(HistoricalGrowthRates!$E$87, 0, 0, 1, COUNTA(HistoricalGrowthRates!$2:$2)-2)</definedName>
    <definedName name="PEffperPEdeqprojindex2" localSheetId="15">OFFSET([1]HistoricalGrowthRates!$E$88, 0, 0, 1, COUNTA([1]HistoricalGrowthRates!$2:$2)-2)</definedName>
    <definedName name="PEffperPEdeqprojindex2" localSheetId="19">OFFSET([1]HistoricalGrowthRates!$E$88, 0, 0, 1, COUNTA([1]HistoricalGrowthRates!$2:$2)-2)</definedName>
    <definedName name="PEffperPEdeqprojindex2" localSheetId="16">OFFSET([1]HistoricalGrowthRates!$E$88, 0, 0, 1, COUNTA([1]HistoricalGrowthRates!$2:$2)-2)</definedName>
    <definedName name="PEffperPEdeqprojindex2" localSheetId="39">OFFSET([2]HistoricalGrowthRates!$E$88, 0, 0, 1, COUNTA([2]HistoricalGrowthRates!$2:$2)-2)</definedName>
    <definedName name="PEffperPEdeqprojindex2" localSheetId="17">OFFSET([3]HistoricalGrowthRates!$E$88, 0, 0, 1, COUNTA([3]HistoricalGrowthRates!$2:$2)-2)</definedName>
    <definedName name="PEffperPEdeqprojindex2" localSheetId="20">OFFSET([3]HistoricalGrowthRates!$E$88, 0, 0, 1, COUNTA([3]HistoricalGrowthRates!$2:$2)-2)</definedName>
    <definedName name="PEffperPEdeqprojindex2">OFFSET(HistoricalGrowthRates!$E$88, 0, 0, 1, COUNTA(HistoricalGrowthRates!$2:$2)-2)</definedName>
    <definedName name="PEffperPEdeqrate1" localSheetId="15">OFFSET([1]HistoricalGrowthRates!$E$24, 0, 0, 1, COUNTA([1]HistoricalGrowthRates!$2:$2)-2)</definedName>
    <definedName name="PEffperPEdeqrate1" localSheetId="19">OFFSET([1]HistoricalGrowthRates!$E$24, 0, 0, 1, COUNTA([1]HistoricalGrowthRates!$2:$2)-2)</definedName>
    <definedName name="PEffperPEdeqrate1" localSheetId="16">OFFSET([1]HistoricalGrowthRates!$E$24, 0, 0, 1, COUNTA([1]HistoricalGrowthRates!$2:$2)-2)</definedName>
    <definedName name="PEffperPEdeqrate1" localSheetId="39">OFFSET([2]HistoricalGrowthRates!$E$24, 0, 0, 1, COUNTA([2]HistoricalGrowthRates!$2:$2)-2)</definedName>
    <definedName name="PEffperPEdeqrate1" localSheetId="17">OFFSET([3]HistoricalGrowthRates!$E$24, 0, 0, 1, COUNTA([3]HistoricalGrowthRates!$2:$2)-2)</definedName>
    <definedName name="PEffperPEdeqrate1" localSheetId="20">OFFSET([3]HistoricalGrowthRates!$E$24, 0, 0, 1, COUNTA([3]HistoricalGrowthRates!$2:$2)-2)</definedName>
    <definedName name="PEffperPEdeqrate1">OFFSET(HistoricalGrowthRates!$E$24, 0, 0, 1, COUNTA(HistoricalGrowthRates!$2:$2)-2)</definedName>
    <definedName name="PEffperPEdeqrate2" localSheetId="15">OFFSET([1]HistoricalGrowthRates!$E$25, 0, 0, 1, COUNTA([1]HistoricalGrowthRates!$2:$2)-2)</definedName>
    <definedName name="PEffperPEdeqrate2" localSheetId="19">OFFSET([1]HistoricalGrowthRates!$E$25, 0, 0, 1, COUNTA([1]HistoricalGrowthRates!$2:$2)-2)</definedName>
    <definedName name="PEffperPEdeqrate2" localSheetId="16">OFFSET([1]HistoricalGrowthRates!$E$25, 0, 0, 1, COUNTA([1]HistoricalGrowthRates!$2:$2)-2)</definedName>
    <definedName name="PEffperPEdeqrate2" localSheetId="39">OFFSET([2]HistoricalGrowthRates!$E$25, 0, 0, 1, COUNTA([2]HistoricalGrowthRates!$2:$2)-2)</definedName>
    <definedName name="PEffperPEdeqrate2" localSheetId="17">OFFSET([3]HistoricalGrowthRates!$E$25, 0, 0, 1, COUNTA([3]HistoricalGrowthRates!$2:$2)-2)</definedName>
    <definedName name="PEffperPEdeqrate2" localSheetId="20">OFFSET([3]HistoricalGrowthRates!$E$25, 0, 0, 1, COUNTA([3]HistoricalGrowthRates!$2:$2)-2)</definedName>
    <definedName name="PEffperPEdeqrate2">OFFSET(HistoricalGrowthRates!$E$25, 0, 0, 1, COUNTA(HistoricalGrowthRates!$2:$2)-2)</definedName>
    <definedName name="PEffperPEdeqRef" localSheetId="15">OFFSET([1]ExpKayaRatiosRef!$E$6, 0, 0, 1, COUNTA([1]ExpKayaRatiosRef!$2:$2)-3)</definedName>
    <definedName name="PEffperPEdeqRef" localSheetId="19">OFFSET([1]ExpKayaRatiosRef!$E$6, 0, 0, 1, COUNTA([1]ExpKayaRatiosRef!$2:$2)-3)</definedName>
    <definedName name="PEffperPEdeqRef" localSheetId="16">OFFSET([1]ExpKayaRatiosRef!$E$6, 0, 0, 1, COUNTA([1]ExpKayaRatiosRef!$2:$2)-3)</definedName>
    <definedName name="PEffperPEdeqRef" localSheetId="39">OFFSET([2]ExpKayaRatiosRef!$E$6, 0, 0, 1, COUNTA([2]ExpKayaRatiosRef!$2:$2)-3)</definedName>
    <definedName name="PEffperPEdeqRef" localSheetId="17">OFFSET([3]ExpKayaRatiosRef!$E$6, 0, 0, 1, COUNTA([3]ExpKayaRatiosRef!$2:$2)-3)</definedName>
    <definedName name="PEffperPEdeqRef" localSheetId="20">OFFSET([3]ExpKayaRatiosRef!$E$6, 0, 0, 1, COUNTA([3]ExpKayaRatiosRef!$2:$2)-3)</definedName>
    <definedName name="PEffperPEdeqRef">OFFSET(ExpKayaRatiosRef!$E$6, 0, 0, 1, COUNTA(ExpKayaRatiosRef!$2:$2)-3)</definedName>
    <definedName name="PEffproj1" localSheetId="15">OFFSET([1]HistoricalGrowthRates!$E$43, 0, 0, 1, COUNTA([1]HistoricalGrowthRates!$2:$2)-2)</definedName>
    <definedName name="PEffproj1" localSheetId="19">OFFSET([1]HistoricalGrowthRates!$E$43, 0, 0, 1, COUNTA([1]HistoricalGrowthRates!$2:$2)-2)</definedName>
    <definedName name="PEffproj1" localSheetId="16">OFFSET([1]HistoricalGrowthRates!$E$43, 0, 0, 1, COUNTA([1]HistoricalGrowthRates!$2:$2)-2)</definedName>
    <definedName name="PEffproj1" localSheetId="39">OFFSET([2]HistoricalGrowthRates!$E$43, 0, 0, 1, COUNTA([2]HistoricalGrowthRates!$2:$2)-2)</definedName>
    <definedName name="PEffproj1" localSheetId="17">OFFSET([3]HistoricalGrowthRates!$E$43, 0, 0, 1, COUNTA([3]HistoricalGrowthRates!$2:$2)-2)</definedName>
    <definedName name="PEffproj1" localSheetId="20">OFFSET([3]HistoricalGrowthRates!$E$43, 0, 0, 1, COUNTA([3]HistoricalGrowthRates!$2:$2)-2)</definedName>
    <definedName name="PEffproj1">OFFSET(HistoricalGrowthRates!$E$43, 0, 0, 1, COUNTA(HistoricalGrowthRates!$2:$2)-2)</definedName>
    <definedName name="PEffproj2" localSheetId="15">OFFSET([1]HistoricalGrowthRates!$E$44, 0, 0, 1, COUNTA([1]HistoricalGrowthRates!$2:$2)-2)</definedName>
    <definedName name="PEffproj2" localSheetId="19">OFFSET([1]HistoricalGrowthRates!$E$44, 0, 0, 1, COUNTA([1]HistoricalGrowthRates!$2:$2)-2)</definedName>
    <definedName name="PEffproj2" localSheetId="16">OFFSET([1]HistoricalGrowthRates!$E$44, 0, 0, 1, COUNTA([1]HistoricalGrowthRates!$2:$2)-2)</definedName>
    <definedName name="PEffproj2" localSheetId="39">OFFSET([2]HistoricalGrowthRates!$E$44, 0, 0, 1, COUNTA([2]HistoricalGrowthRates!$2:$2)-2)</definedName>
    <definedName name="PEffproj2" localSheetId="17">OFFSET([3]HistoricalGrowthRates!$E$44, 0, 0, 1, COUNTA([3]HistoricalGrowthRates!$2:$2)-2)</definedName>
    <definedName name="PEffproj2" localSheetId="20">OFFSET([3]HistoricalGrowthRates!$E$44, 0, 0, 1, COUNTA([3]HistoricalGrowthRates!$2:$2)-2)</definedName>
    <definedName name="PEffproj2">OFFSET(HistoricalGrowthRates!$E$44, 0, 0, 1, COUNTA(HistoricalGrowthRates!$2:$2)-2)</definedName>
    <definedName name="PEffprojindex1" localSheetId="15">OFFSET([1]HistoricalGrowthRates!$E$74, 0, 0, 1, COUNTA([1]HistoricalGrowthRates!$2:$2)-2)</definedName>
    <definedName name="PEffprojindex1" localSheetId="19">OFFSET([1]HistoricalGrowthRates!$E$74, 0, 0, 1, COUNTA([1]HistoricalGrowthRates!$2:$2)-2)</definedName>
    <definedName name="PEffprojindex1" localSheetId="16">OFFSET([1]HistoricalGrowthRates!$E$74, 0, 0, 1, COUNTA([1]HistoricalGrowthRates!$2:$2)-2)</definedName>
    <definedName name="PEffprojindex1" localSheetId="39">OFFSET([2]HistoricalGrowthRates!$E$74, 0, 0, 1, COUNTA([2]HistoricalGrowthRates!$2:$2)-2)</definedName>
    <definedName name="PEffprojindex1" localSheetId="17">OFFSET([3]HistoricalGrowthRates!$E$74, 0, 0, 1, COUNTA([3]HistoricalGrowthRates!$2:$2)-2)</definedName>
    <definedName name="PEffprojindex1" localSheetId="20">OFFSET([3]HistoricalGrowthRates!$E$74, 0, 0, 1, COUNTA([3]HistoricalGrowthRates!$2:$2)-2)</definedName>
    <definedName name="PEffprojindex1">OFFSET(HistoricalGrowthRates!$E$74, 0, 0, 1, COUNTA(HistoricalGrowthRates!$2:$2)-2)</definedName>
    <definedName name="PEffprojindex2" localSheetId="15">OFFSET([1]HistoricalGrowthRates!$E$75, 0, 0, 1, COUNTA([1]HistoricalGrowthRates!$2:$2)-2)</definedName>
    <definedName name="PEffprojindex2" localSheetId="19">OFFSET([1]HistoricalGrowthRates!$E$75, 0, 0, 1, COUNTA([1]HistoricalGrowthRates!$2:$2)-2)</definedName>
    <definedName name="PEffprojindex2" localSheetId="16">OFFSET([1]HistoricalGrowthRates!$E$75, 0, 0, 1, COUNTA([1]HistoricalGrowthRates!$2:$2)-2)</definedName>
    <definedName name="PEffprojindex2" localSheetId="39">OFFSET([2]HistoricalGrowthRates!$E$75, 0, 0, 1, COUNTA([2]HistoricalGrowthRates!$2:$2)-2)</definedName>
    <definedName name="PEffprojindex2" localSheetId="17">OFFSET([3]HistoricalGrowthRates!$E$75, 0, 0, 1, COUNTA([3]HistoricalGrowthRates!$2:$2)-2)</definedName>
    <definedName name="PEffprojindex2" localSheetId="20">OFFSET([3]HistoricalGrowthRates!$E$75, 0, 0, 1, COUNTA([3]HistoricalGrowthRates!$2:$2)-2)</definedName>
    <definedName name="PEffprojindex2">OFFSET(HistoricalGrowthRates!$E$75, 0, 0, 1, COUNTA(HistoricalGrowthRates!$2:$2)-2)</definedName>
    <definedName name="PEffrate1" localSheetId="15">OFFSET([1]HistoricalGrowthRates!$E$11, 0, 0, 1, COUNTA([1]HistoricalGrowthRates!$2:$2)-2)</definedName>
    <definedName name="PEffrate1" localSheetId="19">OFFSET([1]HistoricalGrowthRates!$E$11, 0, 0, 1, COUNTA([1]HistoricalGrowthRates!$2:$2)-2)</definedName>
    <definedName name="PEffrate1" localSheetId="16">OFFSET([1]HistoricalGrowthRates!$E$11, 0, 0, 1, COUNTA([1]HistoricalGrowthRates!$2:$2)-2)</definedName>
    <definedName name="PEffrate1" localSheetId="39">OFFSET([2]HistoricalGrowthRates!$E$11, 0, 0, 1, COUNTA([2]HistoricalGrowthRates!$2:$2)-2)</definedName>
    <definedName name="PEffrate1" localSheetId="17">OFFSET([3]HistoricalGrowthRates!$E$11, 0, 0, 1, COUNTA([3]HistoricalGrowthRates!$2:$2)-2)</definedName>
    <definedName name="PEffrate1" localSheetId="20">OFFSET([3]HistoricalGrowthRates!$E$11, 0, 0, 1, COUNTA([3]HistoricalGrowthRates!$2:$2)-2)</definedName>
    <definedName name="PEffrate1">OFFSET(HistoricalGrowthRates!$E$11, 0, 0, 1, COUNTA(HistoricalGrowthRates!$2:$2)-2)</definedName>
    <definedName name="PEffrate2" localSheetId="15">OFFSET([1]HistoricalGrowthRates!$E$12, 0, 0, 1, COUNTA([1]HistoricalGrowthRates!$2:$2)-2)</definedName>
    <definedName name="PEffrate2" localSheetId="19">OFFSET([1]HistoricalGrowthRates!$E$12, 0, 0, 1, COUNTA([1]HistoricalGrowthRates!$2:$2)-2)</definedName>
    <definedName name="PEffrate2" localSheetId="16">OFFSET([1]HistoricalGrowthRates!$E$12, 0, 0, 1, COUNTA([1]HistoricalGrowthRates!$2:$2)-2)</definedName>
    <definedName name="PEffrate2" localSheetId="39">OFFSET([2]HistoricalGrowthRates!$E$12, 0, 0, 1, COUNTA([2]HistoricalGrowthRates!$2:$2)-2)</definedName>
    <definedName name="PEffrate2" localSheetId="17">OFFSET([3]HistoricalGrowthRates!$E$12, 0, 0, 1, COUNTA([3]HistoricalGrowthRates!$2:$2)-2)</definedName>
    <definedName name="PEffrate2" localSheetId="20">OFFSET([3]HistoricalGrowthRates!$E$12, 0, 0, 1, COUNTA([3]HistoricalGrowthRates!$2:$2)-2)</definedName>
    <definedName name="PEffrate2">OFFSET(HistoricalGrowthRates!$E$12, 0, 0, 1, COUNTA(HistoricalGrowthRates!$2:$2)-2)</definedName>
    <definedName name="PEffRef" localSheetId="15">OFFSET([1]ExpKayaFactorsRef!$E$6, 0, 0, 1, COUNTA([1]ExpKayaFactorsRef!$2:$2)-3)</definedName>
    <definedName name="PEffRef" localSheetId="19">OFFSET([1]ExpKayaFactorsRef!$E$6, 0, 0, 1, COUNTA([1]ExpKayaFactorsRef!$2:$2)-3)</definedName>
    <definedName name="PEffRef" localSheetId="16">OFFSET([1]ExpKayaFactorsRef!$E$6, 0, 0, 1, COUNTA([1]ExpKayaFactorsRef!$2:$2)-3)</definedName>
    <definedName name="PEffRef" localSheetId="39">OFFSET([2]ExpKayaFactorsRef!$E$6, 0, 0, 1, COUNTA([2]ExpKayaFactorsRef!$2:$2)-3)</definedName>
    <definedName name="PEffRef" localSheetId="17">OFFSET([3]ExpKayaFactorsRef!$E$6, 0, 0, 1, COUNTA([3]ExpKayaFactorsRef!$2:$2)-3)</definedName>
    <definedName name="PEffRef" localSheetId="20">OFFSET([3]ExpKayaFactorsRef!$E$6, 0, 0, 1, COUNTA([3]ExpKayaFactorsRef!$2:$2)-3)</definedName>
    <definedName name="PEffRef">OFFSET(ExpKayaFactorsRef!$E$6, 0, 0, 1, COUNTA(ExpKayaFactorsRef!$2:$2)-3)</definedName>
    <definedName name="PopchngInt" localSheetId="15">OFFSET([1]ExpKayaRatiosInt!$E$28, 0, 0, 1, COUNTA([1]ExpKayaRatiosInt!$1:$1)-3)</definedName>
    <definedName name="PopchngInt" localSheetId="19">OFFSET([1]ExpKayaRatiosInt!$E$28, 0, 0, 1, COUNTA([1]ExpKayaRatiosInt!$1:$1)-3)</definedName>
    <definedName name="PopchngInt" localSheetId="16">OFFSET([1]ExpKayaRatiosInt!$E$28, 0, 0, 1, COUNTA([1]ExpKayaRatiosInt!$1:$1)-3)</definedName>
    <definedName name="PopchngInt" localSheetId="39">OFFSET([2]ExpKayaRatiosInt!$E$28, 0, 0, 1, COUNTA([2]ExpKayaRatiosInt!$1:$1)-3)</definedName>
    <definedName name="PopchngInt" localSheetId="17">OFFSET([3]ExpKayaRatiosInt!$E$28, 0, 0, 1, COUNTA([3]ExpKayaRatiosInt!$1:$1)-3)</definedName>
    <definedName name="PopchngInt" localSheetId="20">OFFSET([3]ExpKayaRatiosInt!$E$28, 0, 0, 1, COUNTA([3]ExpKayaRatiosInt!$1:$1)-3)</definedName>
    <definedName name="PopchngInt">OFFSET(ExpKayaRatiosInt!$E$28, 0, 0, 1, COUNTA(ExpKayaRatiosInt!$1:$1)-3)</definedName>
    <definedName name="PopchngRef" localSheetId="15">OFFSET([1]ExpKayaRatiosRef!$E$28, 0, 0, 1, COUNTA([1]ExpKayaRatiosRef!$1:$1)-3)</definedName>
    <definedName name="PopchngRef" localSheetId="19">OFFSET([1]ExpKayaRatiosRef!$E$28, 0, 0, 1, COUNTA([1]ExpKayaRatiosRef!$1:$1)-3)</definedName>
    <definedName name="PopchngRef" localSheetId="16">OFFSET([1]ExpKayaRatiosRef!$E$28, 0, 0, 1, COUNTA([1]ExpKayaRatiosRef!$1:$1)-3)</definedName>
    <definedName name="PopchngRef" localSheetId="39">OFFSET([2]ExpKayaRatiosRef!$E$28, 0, 0, 1, COUNTA([2]ExpKayaRatiosRef!$1:$1)-3)</definedName>
    <definedName name="PopchngRef" localSheetId="17">OFFSET([3]ExpKayaRatiosRef!$E$28, 0, 0, 1, COUNTA([3]ExpKayaRatiosRef!$1:$1)-3)</definedName>
    <definedName name="PopchngRef" localSheetId="20">OFFSET([3]ExpKayaRatiosRef!$E$28, 0, 0, 1, COUNTA([3]ExpKayaRatiosRef!$1:$1)-3)</definedName>
    <definedName name="PopchngRef">OFFSET(ExpKayaRatiosRef!$E$28, 0, 0, 1, COUNTA(ExpKayaRatiosRef!$1:$1)-3)</definedName>
    <definedName name="PopindexInt" localSheetId="15">OFFSET([1]ExpKayaRatiosInt!$E$15, 0, 0, 1, COUNTA([1]ExpKayaRatiosInt!$1:$1)-3)</definedName>
    <definedName name="PopindexInt" localSheetId="19">OFFSET([1]ExpKayaRatiosInt!$E$15, 0, 0, 1, COUNTA([1]ExpKayaRatiosInt!$1:$1)-3)</definedName>
    <definedName name="PopindexInt" localSheetId="16">OFFSET([1]ExpKayaRatiosInt!$E$15, 0, 0, 1, COUNTA([1]ExpKayaRatiosInt!$1:$1)-3)</definedName>
    <definedName name="PopindexInt" localSheetId="39">OFFSET([2]ExpKayaRatiosInt!$E$15, 0, 0, 1, COUNTA([2]ExpKayaRatiosInt!$1:$1)-3)</definedName>
    <definedName name="PopindexInt" localSheetId="17">OFFSET([3]ExpKayaRatiosInt!$E$15, 0, 0, 1, COUNTA([3]ExpKayaRatiosInt!$1:$1)-3)</definedName>
    <definedName name="PopindexInt" localSheetId="20">OFFSET([3]ExpKayaRatiosInt!$E$15, 0, 0, 1, COUNTA([3]ExpKayaRatiosInt!$1:$1)-3)</definedName>
    <definedName name="PopindexInt">OFFSET(ExpKayaRatiosInt!$E$15, 0, 0, 1, COUNTA(ExpKayaRatiosInt!$1:$1)-3)</definedName>
    <definedName name="PopindexRef" localSheetId="15">OFFSET([1]ExpKayaRatiosRef!$E$15, 0, 0, 1, COUNTA([1]ExpKayaRatiosRef!$1:$1)-3)</definedName>
    <definedName name="PopindexRef" localSheetId="19">OFFSET([1]ExpKayaRatiosRef!$E$15, 0, 0, 1, COUNTA([1]ExpKayaRatiosRef!$1:$1)-3)</definedName>
    <definedName name="PopindexRef" localSheetId="16">OFFSET([1]ExpKayaRatiosRef!$E$15, 0, 0, 1, COUNTA([1]ExpKayaRatiosRef!$1:$1)-3)</definedName>
    <definedName name="PopindexRef" localSheetId="39">OFFSET([2]ExpKayaRatiosRef!$E$15, 0, 0, 1, COUNTA([2]ExpKayaRatiosRef!$1:$1)-3)</definedName>
    <definedName name="PopindexRef" localSheetId="17">OFFSET([3]ExpKayaRatiosRef!$E$15, 0, 0, 1, COUNTA([3]ExpKayaRatiosRef!$1:$1)-3)</definedName>
    <definedName name="PopindexRef" localSheetId="20">OFFSET([3]ExpKayaRatiosRef!$E$15, 0, 0, 1, COUNTA([3]ExpKayaRatiosRef!$1:$1)-3)</definedName>
    <definedName name="PopindexRef">OFFSET(ExpKayaRatiosRef!$E$15, 0, 0, 1, COUNTA(ExpKayaRatiosRef!$1:$1)-3)</definedName>
    <definedName name="PopInt" localSheetId="15">OFFSET([1]ExpKayaRatiosInt!$E$2, 0, 0, 1, COUNTA([1]ExpKayaRatiosInt!$1:$1)-3)</definedName>
    <definedName name="PopInt" localSheetId="19">OFFSET([1]ExpKayaRatiosInt!$E$2, 0, 0, 1, COUNTA([1]ExpKayaRatiosInt!$1:$1)-3)</definedName>
    <definedName name="PopInt" localSheetId="16">OFFSET([1]ExpKayaRatiosInt!$E$2, 0, 0, 1, COUNTA([1]ExpKayaRatiosInt!$1:$1)-3)</definedName>
    <definedName name="PopInt" localSheetId="39">OFFSET([2]ExpKayaRatiosInt!$E$2, 0, 0, 1, COUNTA([2]ExpKayaRatiosInt!$1:$1)-3)</definedName>
    <definedName name="PopInt" localSheetId="17">OFFSET([3]ExpKayaRatiosInt!$E$2, 0, 0, 1, COUNTA([3]ExpKayaRatiosInt!$1:$1)-3)</definedName>
    <definedName name="PopInt" localSheetId="20">OFFSET([3]ExpKayaRatiosInt!$E$2, 0, 0, 1, COUNTA([3]ExpKayaRatiosInt!$1:$1)-3)</definedName>
    <definedName name="PopInt">OFFSET(ExpKayaRatiosInt!$E$2, 0, 0, 1, COUNTA(ExpKayaRatiosInt!$1:$1)-3)</definedName>
    <definedName name="PopRef" localSheetId="15">OFFSET([1]ExpKayaRatiosRef!$E$2, 0, 0, 1, COUNTA([1]ExpKayaRatiosRef!$1:$1)-3)</definedName>
    <definedName name="PopRef" localSheetId="19">OFFSET([1]ExpKayaRatiosRef!$E$2, 0, 0, 1, COUNTA([1]ExpKayaRatiosRef!$1:$1)-3)</definedName>
    <definedName name="PopRef" localSheetId="16">OFFSET([1]ExpKayaRatiosRef!$E$2, 0, 0, 1, COUNTA([1]ExpKayaRatiosRef!$1:$1)-3)</definedName>
    <definedName name="PopRef" localSheetId="39">OFFSET([2]ExpKayaRatiosRef!$E$2, 0, 0, 1, COUNTA([2]ExpKayaRatiosRef!$1:$1)-3)</definedName>
    <definedName name="PopRef" localSheetId="17">OFFSET([3]ExpKayaRatiosRef!$E$2, 0, 0, 1, COUNTA([3]ExpKayaRatiosRef!$1:$1)-3)</definedName>
    <definedName name="PopRef" localSheetId="20">OFFSET([3]ExpKayaRatiosRef!$E$2, 0, 0, 1, COUNTA([3]ExpKayaRatiosRef!$1:$1)-3)</definedName>
    <definedName name="PopRef">OFFSET(ExpKayaRatiosRef!$E$2, 0, 0, 1, COUNTA(ExpKayaRatiosRef!$1:$1)-3)</definedName>
    <definedName name="Pproj1" localSheetId="15">OFFSET([1]HistoricalGrowthRates!$E$35, 0, 0, 1, COUNTA([1]HistoricalGrowthRates!$2:$2)-2)</definedName>
    <definedName name="Pproj1" localSheetId="19">OFFSET([1]HistoricalGrowthRates!$E$35, 0, 0, 1, COUNTA([1]HistoricalGrowthRates!$2:$2)-2)</definedName>
    <definedName name="Pproj1" localSheetId="16">OFFSET([1]HistoricalGrowthRates!$E$35, 0, 0, 1, COUNTA([1]HistoricalGrowthRates!$2:$2)-2)</definedName>
    <definedName name="Pproj1" localSheetId="39">OFFSET([2]HistoricalGrowthRates!$E$35, 0, 0, 1, COUNTA([2]HistoricalGrowthRates!$2:$2)-2)</definedName>
    <definedName name="Pproj1" localSheetId="17">OFFSET([3]HistoricalGrowthRates!$E$35, 0, 0, 1, COUNTA([3]HistoricalGrowthRates!$2:$2)-2)</definedName>
    <definedName name="Pproj1" localSheetId="20">OFFSET([3]HistoricalGrowthRates!$E$35, 0, 0, 1, COUNTA([3]HistoricalGrowthRates!$2:$2)-2)</definedName>
    <definedName name="Pproj1">OFFSET(HistoricalGrowthRates!$E$35, 0, 0, 1, COUNTA(HistoricalGrowthRates!$2:$2)-2)</definedName>
    <definedName name="Pproj2" localSheetId="15">OFFSET([1]HistoricalGrowthRates!$E$36, 0, 0, 1, COUNTA([1]HistoricalGrowthRates!$2:$2)-2)</definedName>
    <definedName name="Pproj2" localSheetId="19">OFFSET([1]HistoricalGrowthRates!$E$36, 0, 0, 1, COUNTA([1]HistoricalGrowthRates!$2:$2)-2)</definedName>
    <definedName name="Pproj2" localSheetId="16">OFFSET([1]HistoricalGrowthRates!$E$36, 0, 0, 1, COUNTA([1]HistoricalGrowthRates!$2:$2)-2)</definedName>
    <definedName name="Pproj2" localSheetId="39">OFFSET([2]HistoricalGrowthRates!$E$36, 0, 0, 1, COUNTA([2]HistoricalGrowthRates!$2:$2)-2)</definedName>
    <definedName name="Pproj2" localSheetId="17">OFFSET([3]HistoricalGrowthRates!$E$36, 0, 0, 1, COUNTA([3]HistoricalGrowthRates!$2:$2)-2)</definedName>
    <definedName name="Pproj2" localSheetId="20">OFFSET([3]HistoricalGrowthRates!$E$36, 0, 0, 1, COUNTA([3]HistoricalGrowthRates!$2:$2)-2)</definedName>
    <definedName name="Pproj2">OFFSET(HistoricalGrowthRates!$E$36, 0, 0, 1, COUNTA(HistoricalGrowthRates!$2:$2)-2)</definedName>
    <definedName name="Pprojindex1" localSheetId="15">OFFSET([1]HistoricalGrowthRates!$E$66, 0, 0, 1, COUNTA([1]HistoricalGrowthRates!$2:$2)-2)</definedName>
    <definedName name="Pprojindex1" localSheetId="19">OFFSET([1]HistoricalGrowthRates!$E$66, 0, 0, 1, COUNTA([1]HistoricalGrowthRates!$2:$2)-2)</definedName>
    <definedName name="Pprojindex1" localSheetId="16">OFFSET([1]HistoricalGrowthRates!$E$66, 0, 0, 1, COUNTA([1]HistoricalGrowthRates!$2:$2)-2)</definedName>
    <definedName name="Pprojindex1" localSheetId="39">OFFSET([2]HistoricalGrowthRates!$E$66, 0, 0, 1, COUNTA([2]HistoricalGrowthRates!$2:$2)-2)</definedName>
    <definedName name="Pprojindex1" localSheetId="17">OFFSET([3]HistoricalGrowthRates!$E$66, 0, 0, 1, COUNTA([3]HistoricalGrowthRates!$2:$2)-2)</definedName>
    <definedName name="Pprojindex1" localSheetId="20">OFFSET([3]HistoricalGrowthRates!$E$66, 0, 0, 1, COUNTA([3]HistoricalGrowthRates!$2:$2)-2)</definedName>
    <definedName name="Pprojindex1">OFFSET(HistoricalGrowthRates!$E$66, 0, 0, 1, COUNTA(HistoricalGrowthRates!$2:$2)-2)</definedName>
    <definedName name="Pprojindex2" localSheetId="15">OFFSET([1]HistoricalGrowthRates!$E$67, 0, 0, 1, COUNTA([1]HistoricalGrowthRates!$2:$2)-2)</definedName>
    <definedName name="Pprojindex2" localSheetId="19">OFFSET([1]HistoricalGrowthRates!$E$67, 0, 0, 1, COUNTA([1]HistoricalGrowthRates!$2:$2)-2)</definedName>
    <definedName name="Pprojindex2" localSheetId="16">OFFSET([1]HistoricalGrowthRates!$E$67, 0, 0, 1, COUNTA([1]HistoricalGrowthRates!$2:$2)-2)</definedName>
    <definedName name="Pprojindex2" localSheetId="39">OFFSET([2]HistoricalGrowthRates!$E$67, 0, 0, 1, COUNTA([2]HistoricalGrowthRates!$2:$2)-2)</definedName>
    <definedName name="Pprojindex2" localSheetId="17">OFFSET([3]HistoricalGrowthRates!$E$67, 0, 0, 1, COUNTA([3]HistoricalGrowthRates!$2:$2)-2)</definedName>
    <definedName name="Pprojindex2" localSheetId="20">OFFSET([3]HistoricalGrowthRates!$E$67, 0, 0, 1, COUNTA([3]HistoricalGrowthRates!$2:$2)-2)</definedName>
    <definedName name="Pprojindex2">OFFSET(HistoricalGrowthRates!$E$67, 0, 0, 1, COUNTA(HistoricalGrowthRates!$2:$2)-2)</definedName>
    <definedName name="Prate1" localSheetId="15">OFFSET([1]HistoricalGrowthRates!$E$3, 0, 0, 1, COUNTA([1]HistoricalGrowthRates!$2:$2)-2)</definedName>
    <definedName name="Prate1" localSheetId="19">OFFSET([1]HistoricalGrowthRates!$E$3, 0, 0, 1, COUNTA([1]HistoricalGrowthRates!$2:$2)-2)</definedName>
    <definedName name="Prate1" localSheetId="16">OFFSET([1]HistoricalGrowthRates!$E$3, 0, 0, 1, COUNTA([1]HistoricalGrowthRates!$2:$2)-2)</definedName>
    <definedName name="Prate1" localSheetId="39">OFFSET([2]HistoricalGrowthRates!$E$3, 0, 0, 1, COUNTA([2]HistoricalGrowthRates!$2:$2)-2)</definedName>
    <definedName name="Prate1" localSheetId="17">OFFSET([3]HistoricalGrowthRates!$E$3, 0, 0, 1, COUNTA([3]HistoricalGrowthRates!$2:$2)-2)</definedName>
    <definedName name="Prate1" localSheetId="20">OFFSET([3]HistoricalGrowthRates!$E$3, 0, 0, 1, COUNTA([3]HistoricalGrowthRates!$2:$2)-2)</definedName>
    <definedName name="Prate1">OFFSET(HistoricalGrowthRates!$E$3, 0, 0, 1, COUNTA(HistoricalGrowthRates!$2:$2)-2)</definedName>
    <definedName name="Prate2" localSheetId="15">OFFSET([1]HistoricalGrowthRates!$E$4, 0, 0, 1, COUNTA([1]HistoricalGrowthRates!$2:$2)-2)</definedName>
    <definedName name="Prate2" localSheetId="19">OFFSET([1]HistoricalGrowthRates!$E$4, 0, 0, 1, COUNTA([1]HistoricalGrowthRates!$2:$2)-2)</definedName>
    <definedName name="Prate2" localSheetId="16">OFFSET([1]HistoricalGrowthRates!$E$4, 0, 0, 1, COUNTA([1]HistoricalGrowthRates!$2:$2)-2)</definedName>
    <definedName name="Prate2" localSheetId="39">OFFSET([2]HistoricalGrowthRates!$E$4, 0, 0, 1, COUNTA([2]HistoricalGrowthRates!$2:$2)-2)</definedName>
    <definedName name="Prate2" localSheetId="17">OFFSET([3]HistoricalGrowthRates!$E$4, 0, 0, 1, COUNTA([3]HistoricalGrowthRates!$2:$2)-2)</definedName>
    <definedName name="Prate2" localSheetId="20">OFFSET([3]HistoricalGrowthRates!$E$4, 0, 0, 1, COUNTA([3]HistoricalGrowthRates!$2:$2)-2)</definedName>
    <definedName name="Prate2">OFFSET(HistoricalGrowthRates!$E$4, 0, 0, 1, COUNTA(HistoricalGrowthRates!$2:$2)-2)</definedName>
    <definedName name="_xlnm.Print_Area" localSheetId="10">Fig6AdditiveDashboard!$B$7:$W$80</definedName>
    <definedName name="_xlnm.Print_Area" localSheetId="1">Readme!$A$1:$I$88</definedName>
    <definedName name="_xlnm.Print_Area" localSheetId="17">WaterfallVertData!$A:$N</definedName>
    <definedName name="_xlnm.Print_Area" localSheetId="20">WaterfallVertData2050!$A:$N</definedName>
    <definedName name="ratioDataInt" localSheetId="15">OFFSET([1]ExpKayaRatiosInt!$E$2, 0, 0, 62, COUNTA([1]ExpKayaRatiosInt!$1:$1)-3)</definedName>
    <definedName name="ratioDataInt" localSheetId="19">OFFSET([1]ExpKayaRatiosInt!$E$2, 0, 0, 62, COUNTA([1]ExpKayaRatiosInt!$1:$1)-3)</definedName>
    <definedName name="ratioDataInt" localSheetId="16">OFFSET([1]ExpKayaRatiosInt!$E$2, 0, 0, 62, COUNTA([1]ExpKayaRatiosInt!$1:$1)-3)</definedName>
    <definedName name="ratioDataInt" localSheetId="39">OFFSET([2]ExpKayaRatiosInt!$E$2, 0, 0, 62, COUNTA([2]ExpKayaRatiosInt!$1:$1)-3)</definedName>
    <definedName name="ratioDataInt" localSheetId="17">OFFSET([3]ExpKayaRatiosInt!$E$2, 0, 0, 62, COUNTA([3]ExpKayaRatiosInt!$1:$1)-3)</definedName>
    <definedName name="ratioDataInt" localSheetId="20">OFFSET([3]ExpKayaRatiosInt!$E$2, 0, 0, 62, COUNTA([3]ExpKayaRatiosInt!$1:$1)-3)</definedName>
    <definedName name="ratioDataInt">OFFSET(ExpKayaRatiosInt!$E$2, 0, 0, 62, COUNTA(ExpKayaRatiosInt!$1:$1)-3)</definedName>
    <definedName name="ratioDataRef" localSheetId="15">OFFSET([1]ExpKayaRatiosRef!$E$2, 0, 0, 62, COUNTA([1]ExpKayaRatiosRef!$1:$1)-3)</definedName>
    <definedName name="ratioDataRef" localSheetId="19">OFFSET([1]ExpKayaRatiosRef!$E$2, 0, 0, 62, COUNTA([1]ExpKayaRatiosRef!$1:$1)-3)</definedName>
    <definedName name="ratioDataRef" localSheetId="16">OFFSET([1]ExpKayaRatiosRef!$E$2, 0, 0, 62, COUNTA([1]ExpKayaRatiosRef!$1:$1)-3)</definedName>
    <definedName name="ratioDataRef" localSheetId="39">OFFSET([2]ExpKayaRatiosRef!$E$2, 0, 0, 62, COUNTA([2]ExpKayaRatiosRef!$1:$1)-3)</definedName>
    <definedName name="ratioDataRef" localSheetId="17">OFFSET([3]ExpKayaRatiosRef!$E$2, 0, 0, 62, COUNTA([3]ExpKayaRatiosRef!$1:$1)-3)</definedName>
    <definedName name="ratioDataRef" localSheetId="20">OFFSET([3]ExpKayaRatiosRef!$E$2, 0, 0, 62, COUNTA([3]ExpKayaRatiosRef!$1:$1)-3)</definedName>
    <definedName name="ratioDataRef">OFFSET(ExpKayaRatiosRef!$E$2, 0, 0, 62, COUNTA(ExpKayaRatiosRef!$1:$1)-3)</definedName>
    <definedName name="ratioYearschng" localSheetId="15">OFFSET([1]ExpKayaFactorsInt!$E$1, 0, 0, 1, COUNTA([1]ExpKayaFactorsInt!$1:$1)-3)</definedName>
    <definedName name="ratioYearschng" localSheetId="19">OFFSET([1]ExpKayaFactorsInt!$E$1, 0, 0, 1, COUNTA([1]ExpKayaFactorsInt!$1:$1)-3)</definedName>
    <definedName name="ratioYearschng" localSheetId="16">OFFSET([1]ExpKayaFactorsInt!$E$1, 0, 0, 1, COUNTA([1]ExpKayaFactorsInt!$1:$1)-3)</definedName>
    <definedName name="ratioYearschng" localSheetId="39">OFFSET([2]ExpKayaFactorsInt!$E$1, 0, 0, 1, COUNTA([2]ExpKayaFactorsInt!$1:$1)-3)</definedName>
    <definedName name="ratioYearschng" localSheetId="17">OFFSET([3]ExpKayaFactorsInt!$E$1, 0, 0, 1, COUNTA([3]ExpKayaFactorsInt!$1:$1)-3)</definedName>
    <definedName name="ratioYearschng" localSheetId="20">OFFSET([3]ExpKayaFactorsInt!$E$1, 0, 0, 1, COUNTA([3]ExpKayaFactorsInt!$1:$1)-3)</definedName>
    <definedName name="ratioYearschng">OFFSET(ExpKayaFactorsInt!$E$1, 0, 0, 1, COUNTA(ExpKayaFactorsInt!$1:$1)-3)</definedName>
    <definedName name="ratioYearsInt" localSheetId="15">OFFSET('[1]Int Data'!$H$13, 0, 0, 1, COUNTA('[1]Int Data'!$13:$13)-7)</definedName>
    <definedName name="ratioYearsInt" localSheetId="19">OFFSET('[1]Int Data'!$H$13, 0, 0, 1, COUNTA('[1]Int Data'!$13:$13)-7)</definedName>
    <definedName name="ratioYearsInt" localSheetId="16">OFFSET('[1]Int Data'!$H$13, 0, 0, 1, COUNTA('[1]Int Data'!$13:$13)-7)</definedName>
    <definedName name="ratioYearsInt" localSheetId="39">OFFSET('[2]Int Data'!$H$13, 0, 0, 1, COUNTA('[2]Int Data'!$13:$13)-7)</definedName>
    <definedName name="ratioYearsInt" localSheetId="17">OFFSET('[3]Int Data'!$H$13, 0, 0, 1, COUNTA('[3]Int Data'!$13:$13)-7)</definedName>
    <definedName name="ratioYearsInt" localSheetId="20">OFFSET('[3]Int Data'!$H$13, 0, 0, 1, COUNTA('[3]Int Data'!$13:$13)-7)</definedName>
    <definedName name="ratioYearsInt">OFFSET('Int Data'!$H$13, 0, 0, 1, COUNTA('Int Data'!$13:$13)-7)</definedName>
    <definedName name="ratioYearsRef" localSheetId="15">OFFSET('[1]Ref Data'!$H$13, 0, 0, 1, COUNTA('[1]Ref Data'!$13:$13)-7)</definedName>
    <definedName name="ratioYearsRef" localSheetId="19">OFFSET('[1]Ref Data'!$H$13, 0, 0, 1, COUNTA('[1]Ref Data'!$13:$13)-7)</definedName>
    <definedName name="ratioYearsRef" localSheetId="16">OFFSET('[1]Ref Data'!$H$13, 0, 0, 1, COUNTA('[1]Ref Data'!$13:$13)-7)</definedName>
    <definedName name="ratioYearsRef" localSheetId="39">OFFSET('[2]Ref Data'!$H$13, 0, 0, 1, COUNTA('[2]Ref Data'!$13:$13)-7)</definedName>
    <definedName name="ratioYearsRef" localSheetId="17">OFFSET('[3]Ref Data'!$H$13, 0, 0, 1, COUNTA('[3]Ref Data'!$13:$13)-7)</definedName>
    <definedName name="ratioYearsRef" localSheetId="20">OFFSET('[3]Ref Data'!$H$13, 0, 0, 1, COUNTA('[3]Ref Data'!$13:$13)-7)</definedName>
    <definedName name="ratioYearsRef">OFFSET('Ref Data'!$H$13, 0, 0, 1, COUNTA('Ref Data'!$13:$13)-7)</definedName>
    <definedName name="ratioYearsRefchng" localSheetId="15">OFFSET('[1]Ref Data input'!#REF!, 0, 0, 1, COUNTA('[1]Int Data input'!$1:$1)-6)</definedName>
    <definedName name="ratioYearsRefchng" localSheetId="19">OFFSET('[1]Ref Data input'!#REF!, 0, 0, 1, COUNTA('[1]Int Data input'!$1:$1)-6)</definedName>
    <definedName name="ratioYearsRefchng" localSheetId="16">OFFSET('[1]Ref Data input'!#REF!, 0, 0, 1, COUNTA('[1]Int Data input'!$1:$1)-6)</definedName>
    <definedName name="ratioYearsRefchng" localSheetId="39">OFFSET('[2]Ref Data input'!#REF!, 0, 0, 1, COUNTA('[2]Int Data input'!$1:$1)-6)</definedName>
    <definedName name="ratioYearsRefchng" localSheetId="17">OFFSET('[3]Ref Data input'!#REF!, 0, 0, 1, COUNTA('[3]Int Data input'!$1:$1)-6)</definedName>
    <definedName name="ratioYearsRefchng" localSheetId="20">OFFSET('[3]Ref Data input'!#REF!, 0, 0, 1, COUNTA('[3]Int Data input'!$1:$1)-6)</definedName>
    <definedName name="ratioYearsRefchng">OFFSET('Ref Data input'!#REF!, 0, 0, 1, COUNTA('Int Data input'!$1:$1)-6)</definedName>
    <definedName name="refInput" localSheetId="46">'[5]Ref Data input'!$D:$Z</definedName>
    <definedName name="refInput" localSheetId="36">'[4]Ref Data input'!$D:$DC</definedName>
    <definedName name="refInput" localSheetId="37">'[4]Ref Data input'!$D:$DC</definedName>
    <definedName name="refInput" localSheetId="9">'[5]Ref Data input'!$D:$Z</definedName>
    <definedName name="refInput" localSheetId="0">'[5]Ref Data input'!$D:$Z</definedName>
    <definedName name="refInput" localSheetId="10">'[5]Ref Data input'!$D:$Z</definedName>
    <definedName name="refInput" localSheetId="41">'[5]Ref Data input'!$D:$Z</definedName>
    <definedName name="refInput" localSheetId="43">'[5]Ref Data input'!$D:$Z</definedName>
    <definedName name="refInput" localSheetId="23">'[5]Ref Data input'!$D:$Z</definedName>
    <definedName name="refInput" localSheetId="42">'[5]Ref Data input'!$D:$Z</definedName>
    <definedName name="refInput" localSheetId="1">'[5]Ref Data input'!$D:$Z</definedName>
    <definedName name="refInput" localSheetId="15">'[1]Ref Data input'!$D:$DB</definedName>
    <definedName name="refInput" localSheetId="19">'[1]Ref Data input'!$D:$DB</definedName>
    <definedName name="refInput" localSheetId="16">'[1]Ref Data input'!$D:$DB</definedName>
    <definedName name="refInput" localSheetId="45">'[5]Ref Data input'!$D:$Z</definedName>
    <definedName name="refInput" localSheetId="39">'[2]Ref Data input'!$D:$DB</definedName>
    <definedName name="refInput" localSheetId="17">'[3]Ref Data input'!$D:$DB</definedName>
    <definedName name="refInput" localSheetId="20">'[3]Ref Data input'!$D:$DB</definedName>
    <definedName name="refInput">'Ref Data input'!$D:$DB</definedName>
    <definedName name="refInputyear">'Ref Data input'!$M$1:$DA$1</definedName>
    <definedName name="RefLine" localSheetId="15">OFFSET([1]TotalEmissions!$B$58, 0, 0, 1, COUNTA([1]TotalEmissions!$2:$2)-1)</definedName>
    <definedName name="RefLine" localSheetId="19">OFFSET([1]TotalEmissions!$B$58, 0, 0, 1, COUNTA([1]TotalEmissions!$2:$2)-1)</definedName>
    <definedName name="RefLine" localSheetId="16">OFFSET([1]TotalEmissions!$B$58, 0, 0, 1, COUNTA([1]TotalEmissions!$2:$2)-1)</definedName>
    <definedName name="RefLine" localSheetId="39">OFFSET([2]TotalEmissions!$B$58, 0, 0, 1, COUNTA([2]TotalEmissions!$2:$2)-1)</definedName>
    <definedName name="RefLine" localSheetId="17">OFFSET([3]TotalEmissions!$B$58, 0, 0, 1, COUNTA([3]TotalEmissions!$2:$2)-1)</definedName>
    <definedName name="RefLine" localSheetId="20">OFFSET([3]TotalEmissions!$B$58, 0, 0, 1, COUNTA([3]TotalEmissions!$2:$2)-1)</definedName>
    <definedName name="RefLine">OFFSET(TotalEmissions!$B$58, 0, 0, 1, COUNTA(TotalEmissions!$2:$2)-1)</definedName>
    <definedName name="RoundFactorLong">4</definedName>
    <definedName name="RoundFactorMed">3</definedName>
    <definedName name="RoundFactorShort">3</definedName>
    <definedName name="SmallestNonZeroValue">0.00001</definedName>
    <definedName name="SumTolerance">0.005</definedName>
    <definedName name="TFC_PEdeq" localSheetId="15">OFFSET([1]AreasForDashboardsRatios!$E$25, 0, 0, 1, COUNTA([1]AreasForDashboardsRatios!$1:$1)-3)</definedName>
    <definedName name="TFC_PEdeq" localSheetId="19">OFFSET([1]AreasForDashboardsRatios!$E$25, 0, 0, 1, COUNTA([1]AreasForDashboardsRatios!$1:$1)-3)</definedName>
    <definedName name="TFC_PEdeq" localSheetId="16">OFFSET([1]AreasForDashboardsRatios!$E$25, 0, 0, 1, COUNTA([1]AreasForDashboardsRatios!$1:$1)-3)</definedName>
    <definedName name="TFC_PEdeq" localSheetId="39">OFFSET([2]AreasForDashboardsRatios!$E$25, 0, 0, 1, COUNTA([2]AreasForDashboardsRatios!$1:$1)-3)</definedName>
    <definedName name="TFC_PEdeq" localSheetId="17">OFFSET([3]AreasForDashboardsRatios!$E$25, 0, 0, 1, COUNTA([3]AreasForDashboardsRatios!$1:$1)-3)</definedName>
    <definedName name="TFC_PEdeq" localSheetId="20">OFFSET([3]AreasForDashboardsRatios!$E$25, 0, 0, 1, COUNTA([3]AreasForDashboardsRatios!$1:$1)-3)</definedName>
    <definedName name="TFC_PEdeq">OFFSET(AreasForDashboardsRatios!$E$25, 0, 0, 1, COUNTA(AreasForDashboardsRatios!$1:$1)-3)</definedName>
    <definedName name="TFCchngInt" localSheetId="15">OFFSET([1]ExpKayaFactorsInt!$E$33, 0, 0, 1, COUNTA([1]ExpKayaFactorsInt!$2:$2)-3)</definedName>
    <definedName name="TFCchngInt" localSheetId="19">OFFSET([1]ExpKayaFactorsInt!$E$33, 0, 0, 1, COUNTA([1]ExpKayaFactorsInt!$2:$2)-3)</definedName>
    <definedName name="TFCchngInt" localSheetId="16">OFFSET([1]ExpKayaFactorsInt!$E$33, 0, 0, 1, COUNTA([1]ExpKayaFactorsInt!$2:$2)-3)</definedName>
    <definedName name="TFCchngInt" localSheetId="39">OFFSET([2]ExpKayaFactorsInt!$E$33, 0, 0, 1, COUNTA([2]ExpKayaFactorsInt!$2:$2)-3)</definedName>
    <definedName name="TFCchngInt" localSheetId="17">OFFSET([3]ExpKayaFactorsInt!$E$33, 0, 0, 1, COUNTA([3]ExpKayaFactorsInt!$2:$2)-3)</definedName>
    <definedName name="TFCchngInt" localSheetId="20">OFFSET([3]ExpKayaFactorsInt!$E$33, 0, 0, 1, COUNTA([3]ExpKayaFactorsInt!$2:$2)-3)</definedName>
    <definedName name="TFCchngInt">OFFSET(ExpKayaFactorsInt!$E$33, 0, 0, 1, COUNTA(ExpKayaFactorsInt!$2:$2)-3)</definedName>
    <definedName name="TFCchngRef" localSheetId="15">OFFSET([1]ExpKayaFactorsRef!$E$33, 0, 0, 1, COUNTA([1]ExpKayaFactorsRef!$2:$2)-3)</definedName>
    <definedName name="TFCchngRef" localSheetId="19">OFFSET([1]ExpKayaFactorsRef!$E$33, 0, 0, 1, COUNTA([1]ExpKayaFactorsRef!$2:$2)-3)</definedName>
    <definedName name="TFCchngRef" localSheetId="16">OFFSET([1]ExpKayaFactorsRef!$E$33, 0, 0, 1, COUNTA([1]ExpKayaFactorsRef!$2:$2)-3)</definedName>
    <definedName name="TFCchngRef" localSheetId="39">OFFSET([2]ExpKayaFactorsRef!$E$33, 0, 0, 1, COUNTA([2]ExpKayaFactorsRef!$2:$2)-3)</definedName>
    <definedName name="TFCchngRef" localSheetId="17">OFFSET([3]ExpKayaFactorsRef!$E$33, 0, 0, 1, COUNTA([3]ExpKayaFactorsRef!$2:$2)-3)</definedName>
    <definedName name="TFCchngRef" localSheetId="20">OFFSET([3]ExpKayaFactorsRef!$E$33, 0, 0, 1, COUNTA([3]ExpKayaFactorsRef!$2:$2)-3)</definedName>
    <definedName name="TFCchngRef">OFFSET(ExpKayaFactorsRef!$E$33, 0, 0, 1, COUNTA(ExpKayaFactorsRef!$2:$2)-3)</definedName>
    <definedName name="TFCindexInt" localSheetId="15">OFFSET([1]ExpKayaFactorsInt!$E$20, 0, 0, 1, COUNTA([1]ExpKayaFactorsInt!$2:$2)-3)</definedName>
    <definedName name="TFCindexInt" localSheetId="19">OFFSET([1]ExpKayaFactorsInt!$E$20, 0, 0, 1, COUNTA([1]ExpKayaFactorsInt!$2:$2)-3)</definedName>
    <definedName name="TFCindexInt" localSheetId="16">OFFSET([1]ExpKayaFactorsInt!$E$20, 0, 0, 1, COUNTA([1]ExpKayaFactorsInt!$2:$2)-3)</definedName>
    <definedName name="TFCindexInt" localSheetId="39">OFFSET([2]ExpKayaFactorsInt!$E$20, 0, 0, 1, COUNTA([2]ExpKayaFactorsInt!$2:$2)-3)</definedName>
    <definedName name="TFCindexInt" localSheetId="17">OFFSET([3]ExpKayaFactorsInt!$E$20, 0, 0, 1, COUNTA([3]ExpKayaFactorsInt!$2:$2)-3)</definedName>
    <definedName name="TFCindexInt" localSheetId="20">OFFSET([3]ExpKayaFactorsInt!$E$20, 0, 0, 1, COUNTA([3]ExpKayaFactorsInt!$2:$2)-3)</definedName>
    <definedName name="TFCindexInt">OFFSET(ExpKayaFactorsInt!$E$20, 0, 0, 1, COUNTA(ExpKayaFactorsInt!$2:$2)-3)</definedName>
    <definedName name="TFCindexRef" localSheetId="15">OFFSET([1]ExpKayaFactorsRef!$E$20, 0, 0, 1, COUNTA([1]ExpKayaFactorsRef!$2:$2)-3)</definedName>
    <definedName name="TFCindexRef" localSheetId="19">OFFSET([1]ExpKayaFactorsRef!$E$20, 0, 0, 1, COUNTA([1]ExpKayaFactorsRef!$2:$2)-3)</definedName>
    <definedName name="TFCindexRef" localSheetId="16">OFFSET([1]ExpKayaFactorsRef!$E$20, 0, 0, 1, COUNTA([1]ExpKayaFactorsRef!$2:$2)-3)</definedName>
    <definedName name="TFCindexRef" localSheetId="39">OFFSET([2]ExpKayaFactorsRef!$E$20, 0, 0, 1, COUNTA([2]ExpKayaFactorsRef!$2:$2)-3)</definedName>
    <definedName name="TFCindexRef" localSheetId="17">OFFSET([3]ExpKayaFactorsRef!$E$20, 0, 0, 1, COUNTA([3]ExpKayaFactorsRef!$2:$2)-3)</definedName>
    <definedName name="TFCindexRef" localSheetId="20">OFFSET([3]ExpKayaFactorsRef!$E$20, 0, 0, 1, COUNTA([3]ExpKayaFactorsRef!$2:$2)-3)</definedName>
    <definedName name="TFCindexRef">OFFSET(ExpKayaFactorsRef!$E$20, 0, 0, 1, COUNTA(ExpKayaFactorsRef!$2:$2)-3)</definedName>
    <definedName name="TFCInt" localSheetId="15">OFFSET([1]ExpKayaFactorsInt!$E$7, 0, 0, 1, COUNTA([1]ExpKayaFactorsInt!$2:$2)-3)</definedName>
    <definedName name="TFCInt" localSheetId="19">OFFSET([1]ExpKayaFactorsInt!$E$7, 0, 0, 1, COUNTA([1]ExpKayaFactorsInt!$2:$2)-3)</definedName>
    <definedName name="TFCInt" localSheetId="16">OFFSET([1]ExpKayaFactorsInt!$E$7, 0, 0, 1, COUNTA([1]ExpKayaFactorsInt!$2:$2)-3)</definedName>
    <definedName name="TFCInt" localSheetId="39">OFFSET([2]ExpKayaFactorsInt!$E$7, 0, 0, 1, COUNTA([2]ExpKayaFactorsInt!$2:$2)-3)</definedName>
    <definedName name="TFCInt" localSheetId="17">OFFSET([3]ExpKayaFactorsInt!$E$7, 0, 0, 1, COUNTA([3]ExpKayaFactorsInt!$2:$2)-3)</definedName>
    <definedName name="TFCInt" localSheetId="20">OFFSET([3]ExpKayaFactorsInt!$E$7, 0, 0, 1, COUNTA([3]ExpKayaFactorsInt!$2:$2)-3)</definedName>
    <definedName name="TFCInt">OFFSET(ExpKayaFactorsInt!$E$7, 0, 0, 1, COUNTA(ExpKayaFactorsInt!$2:$2)-3)</definedName>
    <definedName name="TFCperPEdeqchngInt" localSheetId="15">OFFSET([1]ExpKayaRatiosInt!$E$38, 0, 0, 1, COUNTA([1]ExpKayaRatiosInt!$2:$2)-3)</definedName>
    <definedName name="TFCperPEdeqchngInt" localSheetId="19">OFFSET([1]ExpKayaRatiosInt!$E$38, 0, 0, 1, COUNTA([1]ExpKayaRatiosInt!$2:$2)-3)</definedName>
    <definedName name="TFCperPEdeqchngInt" localSheetId="16">OFFSET([1]ExpKayaRatiosInt!$E$38, 0, 0, 1, COUNTA([1]ExpKayaRatiosInt!$2:$2)-3)</definedName>
    <definedName name="TFCperPEdeqchngInt" localSheetId="39">OFFSET([2]ExpKayaRatiosInt!$E$38, 0, 0, 1, COUNTA([2]ExpKayaRatiosInt!$2:$2)-3)</definedName>
    <definedName name="TFCperPEdeqchngInt" localSheetId="17">OFFSET([3]ExpKayaRatiosInt!$E$38, 0, 0, 1, COUNTA([3]ExpKayaRatiosInt!$2:$2)-3)</definedName>
    <definedName name="TFCperPEdeqchngInt" localSheetId="20">OFFSET([3]ExpKayaRatiosInt!$E$38, 0, 0, 1, COUNTA([3]ExpKayaRatiosInt!$2:$2)-3)</definedName>
    <definedName name="TFCperPEdeqchngInt">OFFSET(ExpKayaRatiosInt!$E$38, 0, 0, 1, COUNTA(ExpKayaRatiosInt!$2:$2)-3)</definedName>
    <definedName name="TFCperPEdeqchngRef" localSheetId="15">OFFSET([1]ExpKayaRatiosRef!$E$38, 0, 0, 1, COUNTA([1]ExpKayaRatiosRef!$2:$2)-3)</definedName>
    <definedName name="TFCperPEdeqchngRef" localSheetId="19">OFFSET([1]ExpKayaRatiosRef!$E$38, 0, 0, 1, COUNTA([1]ExpKayaRatiosRef!$2:$2)-3)</definedName>
    <definedName name="TFCperPEdeqchngRef" localSheetId="16">OFFSET([1]ExpKayaRatiosRef!$E$38, 0, 0, 1, COUNTA([1]ExpKayaRatiosRef!$2:$2)-3)</definedName>
    <definedName name="TFCperPEdeqchngRef" localSheetId="39">OFFSET([2]ExpKayaRatiosRef!$E$38, 0, 0, 1, COUNTA([2]ExpKayaRatiosRef!$2:$2)-3)</definedName>
    <definedName name="TFCperPEdeqchngRef" localSheetId="17">OFFSET([3]ExpKayaRatiosRef!$E$38, 0, 0, 1, COUNTA([3]ExpKayaRatiosRef!$2:$2)-3)</definedName>
    <definedName name="TFCperPEdeqchngRef" localSheetId="20">OFFSET([3]ExpKayaRatiosRef!$E$38, 0, 0, 1, COUNTA([3]ExpKayaRatiosRef!$2:$2)-3)</definedName>
    <definedName name="TFCperPEdeqchngRef">OFFSET(ExpKayaRatiosRef!$E$38, 0, 0, 1, COUNTA(ExpKayaRatiosRef!$2:$2)-3)</definedName>
    <definedName name="TFCperPEdeqindexInt" localSheetId="15">OFFSET([1]ExpKayaRatiosInt!$E$25, 0, 0, 1, COUNTA([1]ExpKayaRatiosInt!$2:$2)-3)</definedName>
    <definedName name="TFCperPEdeqindexInt" localSheetId="19">OFFSET([1]ExpKayaRatiosInt!$E$25, 0, 0, 1, COUNTA([1]ExpKayaRatiosInt!$2:$2)-3)</definedName>
    <definedName name="TFCperPEdeqindexInt" localSheetId="16">OFFSET([1]ExpKayaRatiosInt!$E$25, 0, 0, 1, COUNTA([1]ExpKayaRatiosInt!$2:$2)-3)</definedName>
    <definedName name="TFCperPEdeqindexInt" localSheetId="39">OFFSET([2]ExpKayaRatiosInt!$E$25, 0, 0, 1, COUNTA([2]ExpKayaRatiosInt!$2:$2)-3)</definedName>
    <definedName name="TFCperPEdeqindexInt" localSheetId="17">OFFSET([3]ExpKayaRatiosInt!$E$25, 0, 0, 1, COUNTA([3]ExpKayaRatiosInt!$2:$2)-3)</definedName>
    <definedName name="TFCperPEdeqindexInt" localSheetId="20">OFFSET([3]ExpKayaRatiosInt!$E$25, 0, 0, 1, COUNTA([3]ExpKayaRatiosInt!$2:$2)-3)</definedName>
    <definedName name="TFCperPEdeqindexInt">OFFSET(ExpKayaRatiosInt!$E$25, 0, 0, 1, COUNTA(ExpKayaRatiosInt!$2:$2)-3)</definedName>
    <definedName name="TFCperPEdeqindexRef" localSheetId="15">OFFSET([1]ExpKayaRatiosRef!$E$25, 0, 0, 1, COUNTA([1]ExpKayaRatiosRef!$2:$2)-3)</definedName>
    <definedName name="TFCperPEdeqindexRef" localSheetId="19">OFFSET([1]ExpKayaRatiosRef!$E$25, 0, 0, 1, COUNTA([1]ExpKayaRatiosRef!$2:$2)-3)</definedName>
    <definedName name="TFCperPEdeqindexRef" localSheetId="16">OFFSET([1]ExpKayaRatiosRef!$E$25, 0, 0, 1, COUNTA([1]ExpKayaRatiosRef!$2:$2)-3)</definedName>
    <definedName name="TFCperPEdeqindexRef" localSheetId="39">OFFSET([2]ExpKayaRatiosRef!$E$25, 0, 0, 1, COUNTA([2]ExpKayaRatiosRef!$2:$2)-3)</definedName>
    <definedName name="TFCperPEdeqindexRef" localSheetId="17">OFFSET([3]ExpKayaRatiosRef!$E$25, 0, 0, 1, COUNTA([3]ExpKayaRatiosRef!$2:$2)-3)</definedName>
    <definedName name="TFCperPEdeqindexRef" localSheetId="20">OFFSET([3]ExpKayaRatiosRef!$E$25, 0, 0, 1, COUNTA([3]ExpKayaRatiosRef!$2:$2)-3)</definedName>
    <definedName name="TFCperPEdeqindexRef">OFFSET(ExpKayaRatiosRef!$E$25, 0, 0, 1, COUNTA(ExpKayaRatiosRef!$2:$2)-3)</definedName>
    <definedName name="TFCperPEdeqInt" localSheetId="15">OFFSET([1]ExpKayaRatiosInt!$E$12, 0, 0, 1, COUNTA([1]ExpKayaRatiosInt!$2:$2)-3)</definedName>
    <definedName name="TFCperPEdeqInt" localSheetId="19">OFFSET([1]ExpKayaRatiosInt!$E$12, 0, 0, 1, COUNTA([1]ExpKayaRatiosInt!$2:$2)-3)</definedName>
    <definedName name="TFCperPEdeqInt" localSheetId="16">OFFSET([1]ExpKayaRatiosInt!$E$12, 0, 0, 1, COUNTA([1]ExpKayaRatiosInt!$2:$2)-3)</definedName>
    <definedName name="TFCperPEdeqInt" localSheetId="39">OFFSET([2]ExpKayaRatiosInt!$E$12, 0, 0, 1, COUNTA([2]ExpKayaRatiosInt!$2:$2)-3)</definedName>
    <definedName name="TFCperPEdeqInt" localSheetId="17">OFFSET([3]ExpKayaRatiosInt!$E$12, 0, 0, 1, COUNTA([3]ExpKayaRatiosInt!$2:$2)-3)</definedName>
    <definedName name="TFCperPEdeqInt" localSheetId="20">OFFSET([3]ExpKayaRatiosInt!$E$12, 0, 0, 1, COUNTA([3]ExpKayaRatiosInt!$2:$2)-3)</definedName>
    <definedName name="TFCperPEdeqInt">OFFSET(ExpKayaRatiosInt!$E$12, 0, 0, 1, COUNTA(ExpKayaRatiosInt!$2:$2)-3)</definedName>
    <definedName name="TFCperPEdeqproj1" localSheetId="15">OFFSET([1]HistoricalGrowthRates!$E$62, 0, 0, 1, COUNTA([1]HistoricalGrowthRates!$2:$2)-2)</definedName>
    <definedName name="TFCperPEdeqproj1" localSheetId="19">OFFSET([1]HistoricalGrowthRates!$E$62, 0, 0, 1, COUNTA([1]HistoricalGrowthRates!$2:$2)-2)</definedName>
    <definedName name="TFCperPEdeqproj1" localSheetId="16">OFFSET([1]HistoricalGrowthRates!$E$62, 0, 0, 1, COUNTA([1]HistoricalGrowthRates!$2:$2)-2)</definedName>
    <definedName name="TFCperPEdeqproj1" localSheetId="39">OFFSET([2]HistoricalGrowthRates!$E$62, 0, 0, 1, COUNTA([2]HistoricalGrowthRates!$2:$2)-2)</definedName>
    <definedName name="TFCperPEdeqproj1" localSheetId="17">OFFSET([3]HistoricalGrowthRates!$E$62, 0, 0, 1, COUNTA([3]HistoricalGrowthRates!$2:$2)-2)</definedName>
    <definedName name="TFCperPEdeqproj1" localSheetId="20">OFFSET([3]HistoricalGrowthRates!$E$62, 0, 0, 1, COUNTA([3]HistoricalGrowthRates!$2:$2)-2)</definedName>
    <definedName name="TFCperPEdeqproj1">OFFSET(HistoricalGrowthRates!$E$62, 0, 0, 1, COUNTA(HistoricalGrowthRates!$2:$2)-2)</definedName>
    <definedName name="TFCperPEdeqproj2" localSheetId="15">OFFSET([1]HistoricalGrowthRates!$E$63, 0, 0, 1, COUNTA([1]HistoricalGrowthRates!$2:$2)-2)</definedName>
    <definedName name="TFCperPEdeqproj2" localSheetId="19">OFFSET([1]HistoricalGrowthRates!$E$63, 0, 0, 1, COUNTA([1]HistoricalGrowthRates!$2:$2)-2)</definedName>
    <definedName name="TFCperPEdeqproj2" localSheetId="16">OFFSET([1]HistoricalGrowthRates!$E$63, 0, 0, 1, COUNTA([1]HistoricalGrowthRates!$2:$2)-2)</definedName>
    <definedName name="TFCperPEdeqproj2" localSheetId="39">OFFSET([2]HistoricalGrowthRates!$E$63, 0, 0, 1, COUNTA([2]HistoricalGrowthRates!$2:$2)-2)</definedName>
    <definedName name="TFCperPEdeqproj2" localSheetId="17">OFFSET([3]HistoricalGrowthRates!$E$63, 0, 0, 1, COUNTA([3]HistoricalGrowthRates!$2:$2)-2)</definedName>
    <definedName name="TFCperPEdeqproj2" localSheetId="20">OFFSET([3]HistoricalGrowthRates!$E$63, 0, 0, 1, COUNTA([3]HistoricalGrowthRates!$2:$2)-2)</definedName>
    <definedName name="TFCperPEdeqproj2">OFFSET(HistoricalGrowthRates!$E$63, 0, 0, 1, COUNTA(HistoricalGrowthRates!$2:$2)-2)</definedName>
    <definedName name="TFCperPEdeqprojindex1" localSheetId="15">OFFSET([1]HistoricalGrowthRates!$E$93, 0, 0, 1, COUNTA([1]HistoricalGrowthRates!$2:$2)-5)</definedName>
    <definedName name="TFCperPEdeqprojindex1" localSheetId="19">OFFSET([1]HistoricalGrowthRates!$E$93, 0, 0, 1, COUNTA([1]HistoricalGrowthRates!$2:$2)-5)</definedName>
    <definedName name="TFCperPEdeqprojindex1" localSheetId="16">OFFSET([1]HistoricalGrowthRates!$E$93, 0, 0, 1, COUNTA([1]HistoricalGrowthRates!$2:$2)-5)</definedName>
    <definedName name="TFCperPEdeqprojindex1" localSheetId="39">OFFSET([2]HistoricalGrowthRates!$E$93, 0, 0, 1, COUNTA([2]HistoricalGrowthRates!$2:$2)-5)</definedName>
    <definedName name="TFCperPEdeqprojindex1" localSheetId="17">OFFSET([3]HistoricalGrowthRates!$E$93, 0, 0, 1, COUNTA([3]HistoricalGrowthRates!$2:$2)-5)</definedName>
    <definedName name="TFCperPEdeqprojindex1" localSheetId="20">OFFSET([3]HistoricalGrowthRates!$E$93, 0, 0, 1, COUNTA([3]HistoricalGrowthRates!$2:$2)-5)</definedName>
    <definedName name="TFCperPEdeqprojindex1">OFFSET(HistoricalGrowthRates!$E$93, 0, 0, 1, COUNTA(HistoricalGrowthRates!$2:$2)-5)</definedName>
    <definedName name="TFCperPEdeqprojindex2" localSheetId="15">OFFSET([1]HistoricalGrowthRates!$E$94, 0, 0, 1, COUNTA([1]HistoricalGrowthRates!$2:$2)-5)</definedName>
    <definedName name="TFCperPEdeqprojindex2" localSheetId="19">OFFSET([1]HistoricalGrowthRates!$E$94, 0, 0, 1, COUNTA([1]HistoricalGrowthRates!$2:$2)-5)</definedName>
    <definedName name="TFCperPEdeqprojindex2" localSheetId="16">OFFSET([1]HistoricalGrowthRates!$E$94, 0, 0, 1, COUNTA([1]HistoricalGrowthRates!$2:$2)-5)</definedName>
    <definedName name="TFCperPEdeqprojindex2" localSheetId="39">OFFSET([2]HistoricalGrowthRates!$E$94, 0, 0, 1, COUNTA([2]HistoricalGrowthRates!$2:$2)-5)</definedName>
    <definedName name="TFCperPEdeqprojindex2" localSheetId="17">OFFSET([3]HistoricalGrowthRates!$E$94, 0, 0, 1, COUNTA([3]HistoricalGrowthRates!$2:$2)-5)</definedName>
    <definedName name="TFCperPEdeqprojindex2" localSheetId="20">OFFSET([3]HistoricalGrowthRates!$E$94, 0, 0, 1, COUNTA([3]HistoricalGrowthRates!$2:$2)-5)</definedName>
    <definedName name="TFCperPEdeqprojindex2">OFFSET(HistoricalGrowthRates!$E$94, 0, 0, 1, COUNTA(HistoricalGrowthRates!$2:$2)-5)</definedName>
    <definedName name="TFCperPEdeqrate1" localSheetId="15">OFFSET([1]HistoricalGrowthRates!$E$30, 0, 0, 1, COUNTA([1]HistoricalGrowthRates!$2:$2)-2)</definedName>
    <definedName name="TFCperPEdeqrate1" localSheetId="19">OFFSET([1]HistoricalGrowthRates!$E$30, 0, 0, 1, COUNTA([1]HistoricalGrowthRates!$2:$2)-2)</definedName>
    <definedName name="TFCperPEdeqrate1" localSheetId="16">OFFSET([1]HistoricalGrowthRates!$E$30, 0, 0, 1, COUNTA([1]HistoricalGrowthRates!$2:$2)-2)</definedName>
    <definedName name="TFCperPEdeqrate1" localSheetId="39">OFFSET([2]HistoricalGrowthRates!$E$30, 0, 0, 1, COUNTA([2]HistoricalGrowthRates!$2:$2)-2)</definedName>
    <definedName name="TFCperPEdeqrate1" localSheetId="17">OFFSET([3]HistoricalGrowthRates!$E$30, 0, 0, 1, COUNTA([3]HistoricalGrowthRates!$2:$2)-2)</definedName>
    <definedName name="TFCperPEdeqrate1" localSheetId="20">OFFSET([3]HistoricalGrowthRates!$E$30, 0, 0, 1, COUNTA([3]HistoricalGrowthRates!$2:$2)-2)</definedName>
    <definedName name="TFCperPEdeqrate1">OFFSET(HistoricalGrowthRates!$E$30, 0, 0, 1, COUNTA(HistoricalGrowthRates!$2:$2)-2)</definedName>
    <definedName name="TFCperPEdeqrate2" localSheetId="15">OFFSET([1]HistoricalGrowthRates!$E$31, 0, 0, 1, COUNTA([1]HistoricalGrowthRates!$2:$2)-2)</definedName>
    <definedName name="TFCperPEdeqrate2" localSheetId="19">OFFSET([1]HistoricalGrowthRates!$E$31, 0, 0, 1, COUNTA([1]HistoricalGrowthRates!$2:$2)-2)</definedName>
    <definedName name="TFCperPEdeqrate2" localSheetId="16">OFFSET([1]HistoricalGrowthRates!$E$31, 0, 0, 1, COUNTA([1]HistoricalGrowthRates!$2:$2)-2)</definedName>
    <definedName name="TFCperPEdeqrate2" localSheetId="39">OFFSET([2]HistoricalGrowthRates!$E$31, 0, 0, 1, COUNTA([2]HistoricalGrowthRates!$2:$2)-2)</definedName>
    <definedName name="TFCperPEdeqrate2" localSheetId="17">OFFSET([3]HistoricalGrowthRates!$E$31, 0, 0, 1, COUNTA([3]HistoricalGrowthRates!$2:$2)-2)</definedName>
    <definedName name="TFCperPEdeqrate2" localSheetId="20">OFFSET([3]HistoricalGrowthRates!$E$31, 0, 0, 1, COUNTA([3]HistoricalGrowthRates!$2:$2)-2)</definedName>
    <definedName name="TFCperPEdeqrate2">OFFSET(HistoricalGrowthRates!$E$31, 0, 0, 1, COUNTA(HistoricalGrowthRates!$2:$2)-2)</definedName>
    <definedName name="TFCperPEdeqRef" localSheetId="15">OFFSET([1]ExpKayaRatiosRef!$E$12, 0, 0, 1, COUNTA([1]ExpKayaRatiosRef!$2:$2)-3)</definedName>
    <definedName name="TFCperPEdeqRef" localSheetId="19">OFFSET([1]ExpKayaRatiosRef!$E$12, 0, 0, 1, COUNTA([1]ExpKayaRatiosRef!$2:$2)-3)</definedName>
    <definedName name="TFCperPEdeqRef" localSheetId="16">OFFSET([1]ExpKayaRatiosRef!$E$12, 0, 0, 1, COUNTA([1]ExpKayaRatiosRef!$2:$2)-3)</definedName>
    <definedName name="TFCperPEdeqRef" localSheetId="39">OFFSET([2]ExpKayaRatiosRef!$E$12, 0, 0, 1, COUNTA([2]ExpKayaRatiosRef!$2:$2)-3)</definedName>
    <definedName name="TFCperPEdeqRef" localSheetId="17">OFFSET([3]ExpKayaRatiosRef!$E$12, 0, 0, 1, COUNTA([3]ExpKayaRatiosRef!$2:$2)-3)</definedName>
    <definedName name="TFCperPEdeqRef" localSheetId="20">OFFSET([3]ExpKayaRatiosRef!$E$12, 0, 0, 1, COUNTA([3]ExpKayaRatiosRef!$2:$2)-3)</definedName>
    <definedName name="TFCperPEdeqRef">OFFSET(ExpKayaRatiosRef!$E$12, 0, 0, 1, COUNTA(ExpKayaRatiosRef!$2:$2)-3)</definedName>
    <definedName name="TFCperPEffchngInt" localSheetId="15">OFFSET([1]ExpKayaRatiosInt!$E$33, 0, 0, 1, COUNTA([1]ExpKayaRatiosInt!$2:$2)-3)</definedName>
    <definedName name="TFCperPEffchngInt" localSheetId="19">OFFSET([1]ExpKayaRatiosInt!$E$33, 0, 0, 1, COUNTA([1]ExpKayaRatiosInt!$2:$2)-3)</definedName>
    <definedName name="TFCperPEffchngInt" localSheetId="16">OFFSET([1]ExpKayaRatiosInt!$E$33, 0, 0, 1, COUNTA([1]ExpKayaRatiosInt!$2:$2)-3)</definedName>
    <definedName name="TFCperPEffchngInt" localSheetId="39">OFFSET([2]ExpKayaRatiosInt!$E$33, 0, 0, 1, COUNTA([2]ExpKayaRatiosInt!$2:$2)-3)</definedName>
    <definedName name="TFCperPEffchngInt" localSheetId="17">OFFSET([3]ExpKayaRatiosInt!$E$33, 0, 0, 1, COUNTA([3]ExpKayaRatiosInt!$2:$2)-3)</definedName>
    <definedName name="TFCperPEffchngInt" localSheetId="20">OFFSET([3]ExpKayaRatiosInt!$E$33, 0, 0, 1, COUNTA([3]ExpKayaRatiosInt!$2:$2)-3)</definedName>
    <definedName name="TFCperPEffchngInt">OFFSET(ExpKayaRatiosInt!$E$33, 0, 0, 1, COUNTA(ExpKayaRatiosInt!$2:$2)-3)</definedName>
    <definedName name="TFCperPEffchngRef" localSheetId="15">OFFSET([1]ExpKayaRatiosRef!$E$33, 0, 0, 1, COUNTA([1]ExpKayaRatiosRef!$2:$2)-3)</definedName>
    <definedName name="TFCperPEffchngRef" localSheetId="19">OFFSET([1]ExpKayaRatiosRef!$E$33, 0, 0, 1, COUNTA([1]ExpKayaRatiosRef!$2:$2)-3)</definedName>
    <definedName name="TFCperPEffchngRef" localSheetId="16">OFFSET([1]ExpKayaRatiosRef!$E$33, 0, 0, 1, COUNTA([1]ExpKayaRatiosRef!$2:$2)-3)</definedName>
    <definedName name="TFCperPEffchngRef" localSheetId="39">OFFSET([2]ExpKayaRatiosRef!$E$33, 0, 0, 1, COUNTA([2]ExpKayaRatiosRef!$2:$2)-3)</definedName>
    <definedName name="TFCperPEffchngRef" localSheetId="17">OFFSET([3]ExpKayaRatiosRef!$E$33, 0, 0, 1, COUNTA([3]ExpKayaRatiosRef!$2:$2)-3)</definedName>
    <definedName name="TFCperPEffchngRef" localSheetId="20">OFFSET([3]ExpKayaRatiosRef!$E$33, 0, 0, 1, COUNTA([3]ExpKayaRatiosRef!$2:$2)-3)</definedName>
    <definedName name="TFCperPEffchngRef">OFFSET(ExpKayaRatiosRef!$E$33, 0, 0, 1, COUNTA(ExpKayaRatiosRef!$2:$2)-3)</definedName>
    <definedName name="TFCperPEffindexInt" localSheetId="15">OFFSET([1]ExpKayaRatiosInt!$E$20, 0, 0, 1, COUNTA([1]ExpKayaRatiosInt!$2:$2)-3)</definedName>
    <definedName name="TFCperPEffindexInt" localSheetId="19">OFFSET([1]ExpKayaRatiosInt!$E$20, 0, 0, 1, COUNTA([1]ExpKayaRatiosInt!$2:$2)-3)</definedName>
    <definedName name="TFCperPEffindexInt" localSheetId="16">OFFSET([1]ExpKayaRatiosInt!$E$20, 0, 0, 1, COUNTA([1]ExpKayaRatiosInt!$2:$2)-3)</definedName>
    <definedName name="TFCperPEffindexInt" localSheetId="39">OFFSET([2]ExpKayaRatiosInt!$E$20, 0, 0, 1, COUNTA([2]ExpKayaRatiosInt!$2:$2)-3)</definedName>
    <definedName name="TFCperPEffindexInt" localSheetId="17">OFFSET([3]ExpKayaRatiosInt!$E$20, 0, 0, 1, COUNTA([3]ExpKayaRatiosInt!$2:$2)-3)</definedName>
    <definedName name="TFCperPEffindexInt" localSheetId="20">OFFSET([3]ExpKayaRatiosInt!$E$20, 0, 0, 1, COUNTA([3]ExpKayaRatiosInt!$2:$2)-3)</definedName>
    <definedName name="TFCperPEffindexInt">OFFSET(ExpKayaRatiosInt!$E$20, 0, 0, 1, COUNTA(ExpKayaRatiosInt!$2:$2)-3)</definedName>
    <definedName name="TFCperPEffindexRef" localSheetId="15">OFFSET([1]ExpKayaRatiosRef!$E$20, 0, 0, 1, COUNTA([1]ExpKayaRatiosRef!$2:$2)-3)</definedName>
    <definedName name="TFCperPEffindexRef" localSheetId="19">OFFSET([1]ExpKayaRatiosRef!$E$20, 0, 0, 1, COUNTA([1]ExpKayaRatiosRef!$2:$2)-3)</definedName>
    <definedName name="TFCperPEffindexRef" localSheetId="16">OFFSET([1]ExpKayaRatiosRef!$E$20, 0, 0, 1, COUNTA([1]ExpKayaRatiosRef!$2:$2)-3)</definedName>
    <definedName name="TFCperPEffindexRef" localSheetId="39">OFFSET([2]ExpKayaRatiosRef!$E$20, 0, 0, 1, COUNTA([2]ExpKayaRatiosRef!$2:$2)-3)</definedName>
    <definedName name="TFCperPEffindexRef" localSheetId="17">OFFSET([3]ExpKayaRatiosRef!$E$20, 0, 0, 1, COUNTA([3]ExpKayaRatiosRef!$2:$2)-3)</definedName>
    <definedName name="TFCperPEffindexRef" localSheetId="20">OFFSET([3]ExpKayaRatiosRef!$E$20, 0, 0, 1, COUNTA([3]ExpKayaRatiosRef!$2:$2)-3)</definedName>
    <definedName name="TFCperPEffindexRef">OFFSET(ExpKayaRatiosRef!$E$20, 0, 0, 1, COUNTA(ExpKayaRatiosRef!$2:$2)-3)</definedName>
    <definedName name="TFCperPEffInt" localSheetId="15">OFFSET([1]ExpKayaRatiosInt!$E$7, 0, 0, 1, COUNTA([1]ExpKayaRatiosInt!$2:$2)-3)</definedName>
    <definedName name="TFCperPEffInt" localSheetId="19">OFFSET([1]ExpKayaRatiosInt!$E$7, 0, 0, 1, COUNTA([1]ExpKayaRatiosInt!$2:$2)-3)</definedName>
    <definedName name="TFCperPEffInt" localSheetId="16">OFFSET([1]ExpKayaRatiosInt!$E$7, 0, 0, 1, COUNTA([1]ExpKayaRatiosInt!$2:$2)-3)</definedName>
    <definedName name="TFCperPEffInt" localSheetId="39">OFFSET([2]ExpKayaRatiosInt!$E$7, 0, 0, 1, COUNTA([2]ExpKayaRatiosInt!$2:$2)-3)</definedName>
    <definedName name="TFCperPEffInt" localSheetId="17">OFFSET([3]ExpKayaRatiosInt!$E$7, 0, 0, 1, COUNTA([3]ExpKayaRatiosInt!$2:$2)-3)</definedName>
    <definedName name="TFCperPEffInt" localSheetId="20">OFFSET([3]ExpKayaRatiosInt!$E$7, 0, 0, 1, COUNTA([3]ExpKayaRatiosInt!$2:$2)-3)</definedName>
    <definedName name="TFCperPEffInt">OFFSET(ExpKayaRatiosInt!$E$7, 0, 0, 1, COUNTA(ExpKayaRatiosInt!$2:$2)-3)</definedName>
    <definedName name="TFCperPEffproj1" localSheetId="15">OFFSET([1]HistoricalGrowthRates!$E$58, 0, 0, 1, COUNTA([1]HistoricalGrowthRates!$2:$2)-2)</definedName>
    <definedName name="TFCperPEffproj1" localSheetId="19">OFFSET([1]HistoricalGrowthRates!$E$58, 0, 0, 1, COUNTA([1]HistoricalGrowthRates!$2:$2)-2)</definedName>
    <definedName name="TFCperPEffproj1" localSheetId="16">OFFSET([1]HistoricalGrowthRates!$E$58, 0, 0, 1, COUNTA([1]HistoricalGrowthRates!$2:$2)-2)</definedName>
    <definedName name="TFCperPEffproj1" localSheetId="39">OFFSET([2]HistoricalGrowthRates!$E$58, 0, 0, 1, COUNTA([2]HistoricalGrowthRates!$2:$2)-2)</definedName>
    <definedName name="TFCperPEffproj1" localSheetId="17">OFFSET([3]HistoricalGrowthRates!$E$58, 0, 0, 1, COUNTA([3]HistoricalGrowthRates!$2:$2)-2)</definedName>
    <definedName name="TFCperPEffproj1" localSheetId="20">OFFSET([3]HistoricalGrowthRates!$E$58, 0, 0, 1, COUNTA([3]HistoricalGrowthRates!$2:$2)-2)</definedName>
    <definedName name="TFCperPEffproj1">OFFSET(HistoricalGrowthRates!$E$58, 0, 0, 1, COUNTA(HistoricalGrowthRates!$2:$2)-2)</definedName>
    <definedName name="TFCperPEffproj2" localSheetId="15">OFFSET([1]HistoricalGrowthRates!$E$59, 0, 0, 1, COUNTA([1]HistoricalGrowthRates!$2:$2)-2)</definedName>
    <definedName name="TFCperPEffproj2" localSheetId="19">OFFSET([1]HistoricalGrowthRates!$E$59, 0, 0, 1, COUNTA([1]HistoricalGrowthRates!$2:$2)-2)</definedName>
    <definedName name="TFCperPEffproj2" localSheetId="16">OFFSET([1]HistoricalGrowthRates!$E$59, 0, 0, 1, COUNTA([1]HistoricalGrowthRates!$2:$2)-2)</definedName>
    <definedName name="TFCperPEffproj2" localSheetId="39">OFFSET([2]HistoricalGrowthRates!$E$59, 0, 0, 1, COUNTA([2]HistoricalGrowthRates!$2:$2)-2)</definedName>
    <definedName name="TFCperPEffproj2" localSheetId="17">OFFSET([3]HistoricalGrowthRates!$E$59, 0, 0, 1, COUNTA([3]HistoricalGrowthRates!$2:$2)-2)</definedName>
    <definedName name="TFCperPEffproj2" localSheetId="20">OFFSET([3]HistoricalGrowthRates!$E$59, 0, 0, 1, COUNTA([3]HistoricalGrowthRates!$2:$2)-2)</definedName>
    <definedName name="TFCperPEffproj2">OFFSET(HistoricalGrowthRates!$E$59, 0, 0, 1, COUNTA(HistoricalGrowthRates!$2:$2)-2)</definedName>
    <definedName name="TFCperPEffprojindex1" localSheetId="15">OFFSET([1]HistoricalGrowthRates!$E$89, 0, 0, 1, COUNTA([1]HistoricalGrowthRates!$2:$2)-2)</definedName>
    <definedName name="TFCperPEffprojindex1" localSheetId="19">OFFSET([1]HistoricalGrowthRates!$E$89, 0, 0, 1, COUNTA([1]HistoricalGrowthRates!$2:$2)-2)</definedName>
    <definedName name="TFCperPEffprojindex1" localSheetId="16">OFFSET([1]HistoricalGrowthRates!$E$89, 0, 0, 1, COUNTA([1]HistoricalGrowthRates!$2:$2)-2)</definedName>
    <definedName name="TFCperPEffprojindex1" localSheetId="39">OFFSET([2]HistoricalGrowthRates!$E$89, 0, 0, 1, COUNTA([2]HistoricalGrowthRates!$2:$2)-2)</definedName>
    <definedName name="TFCperPEffprojindex1" localSheetId="17">OFFSET([3]HistoricalGrowthRates!$E$89, 0, 0, 1, COUNTA([3]HistoricalGrowthRates!$2:$2)-2)</definedName>
    <definedName name="TFCperPEffprojindex1" localSheetId="20">OFFSET([3]HistoricalGrowthRates!$E$89, 0, 0, 1, COUNTA([3]HistoricalGrowthRates!$2:$2)-2)</definedName>
    <definedName name="TFCperPEffprojindex1">OFFSET(HistoricalGrowthRates!$E$89, 0, 0, 1, COUNTA(HistoricalGrowthRates!$2:$2)-2)</definedName>
    <definedName name="TFCperPEffprojindex2" localSheetId="15">OFFSET([1]HistoricalGrowthRates!$E$90, 0, 0, 1, COUNTA([1]HistoricalGrowthRates!$2:$2)-2)</definedName>
    <definedName name="TFCperPEffprojindex2" localSheetId="19">OFFSET([1]HistoricalGrowthRates!$E$90, 0, 0, 1, COUNTA([1]HistoricalGrowthRates!$2:$2)-2)</definedName>
    <definedName name="TFCperPEffprojindex2" localSheetId="16">OFFSET([1]HistoricalGrowthRates!$E$90, 0, 0, 1, COUNTA([1]HistoricalGrowthRates!$2:$2)-2)</definedName>
    <definedName name="TFCperPEffprojindex2" localSheetId="39">OFFSET([2]HistoricalGrowthRates!$E$90, 0, 0, 1, COUNTA([2]HistoricalGrowthRates!$2:$2)-2)</definedName>
    <definedName name="TFCperPEffprojindex2" localSheetId="17">OFFSET([3]HistoricalGrowthRates!$E$90, 0, 0, 1, COUNTA([3]HistoricalGrowthRates!$2:$2)-2)</definedName>
    <definedName name="TFCperPEffprojindex2" localSheetId="20">OFFSET([3]HistoricalGrowthRates!$E$90, 0, 0, 1, COUNTA([3]HistoricalGrowthRates!$2:$2)-2)</definedName>
    <definedName name="TFCperPEffprojindex2">OFFSET(HistoricalGrowthRates!$E$90, 0, 0, 1, COUNTA(HistoricalGrowthRates!$2:$2)-2)</definedName>
    <definedName name="TFCperPEffrate1" localSheetId="15">OFFSET([1]HistoricalGrowthRates!$E$26, 0, 0, 1, COUNTA([1]HistoricalGrowthRates!$2:$2)-2)</definedName>
    <definedName name="TFCperPEffrate1" localSheetId="19">OFFSET([1]HistoricalGrowthRates!$E$26, 0, 0, 1, COUNTA([1]HistoricalGrowthRates!$2:$2)-2)</definedName>
    <definedName name="TFCperPEffrate1" localSheetId="16">OFFSET([1]HistoricalGrowthRates!$E$26, 0, 0, 1, COUNTA([1]HistoricalGrowthRates!$2:$2)-2)</definedName>
    <definedName name="TFCperPEffrate1" localSheetId="39">OFFSET([2]HistoricalGrowthRates!$E$26, 0, 0, 1, COUNTA([2]HistoricalGrowthRates!$2:$2)-2)</definedName>
    <definedName name="TFCperPEffrate1" localSheetId="17">OFFSET([3]HistoricalGrowthRates!$E$26, 0, 0, 1, COUNTA([3]HistoricalGrowthRates!$2:$2)-2)</definedName>
    <definedName name="TFCperPEffrate1" localSheetId="20">OFFSET([3]HistoricalGrowthRates!$E$26, 0, 0, 1, COUNTA([3]HistoricalGrowthRates!$2:$2)-2)</definedName>
    <definedName name="TFCperPEffrate1">OFFSET(HistoricalGrowthRates!$E$26, 0, 0, 1, COUNTA(HistoricalGrowthRates!$2:$2)-2)</definedName>
    <definedName name="TFCperPEffrate2" localSheetId="15">OFFSET([1]HistoricalGrowthRates!$E$27, 0, 0, 1, COUNTA([1]HistoricalGrowthRates!$2:$2)-2)</definedName>
    <definedName name="TFCperPEffrate2" localSheetId="19">OFFSET([1]HistoricalGrowthRates!$E$27, 0, 0, 1, COUNTA([1]HistoricalGrowthRates!$2:$2)-2)</definedName>
    <definedName name="TFCperPEffrate2" localSheetId="16">OFFSET([1]HistoricalGrowthRates!$E$27, 0, 0, 1, COUNTA([1]HistoricalGrowthRates!$2:$2)-2)</definedName>
    <definedName name="TFCperPEffrate2" localSheetId="39">OFFSET([2]HistoricalGrowthRates!$E$27, 0, 0, 1, COUNTA([2]HistoricalGrowthRates!$2:$2)-2)</definedName>
    <definedName name="TFCperPEffrate2" localSheetId="17">OFFSET([3]HistoricalGrowthRates!$E$27, 0, 0, 1, COUNTA([3]HistoricalGrowthRates!$2:$2)-2)</definedName>
    <definedName name="TFCperPEffrate2" localSheetId="20">OFFSET([3]HistoricalGrowthRates!$E$27, 0, 0, 1, COUNTA([3]HistoricalGrowthRates!$2:$2)-2)</definedName>
    <definedName name="TFCperPEffrate2">OFFSET(HistoricalGrowthRates!$E$27, 0, 0, 1, COUNTA(HistoricalGrowthRates!$2:$2)-2)</definedName>
    <definedName name="TFCperPEffRef" localSheetId="15">OFFSET([1]ExpKayaRatiosRef!$E$7, 0, 0, 1, COUNTA([1]ExpKayaRatiosRef!$2:$2)-3)</definedName>
    <definedName name="TFCperPEffRef" localSheetId="19">OFFSET([1]ExpKayaRatiosRef!$E$7, 0, 0, 1, COUNTA([1]ExpKayaRatiosRef!$2:$2)-3)</definedName>
    <definedName name="TFCperPEffRef" localSheetId="16">OFFSET([1]ExpKayaRatiosRef!$E$7, 0, 0, 1, COUNTA([1]ExpKayaRatiosRef!$2:$2)-3)</definedName>
    <definedName name="TFCperPEffRef" localSheetId="39">OFFSET([2]ExpKayaRatiosRef!$E$7, 0, 0, 1, COUNTA([2]ExpKayaRatiosRef!$2:$2)-3)</definedName>
    <definedName name="TFCperPEffRef" localSheetId="17">OFFSET([3]ExpKayaRatiosRef!$E$7, 0, 0, 1, COUNTA([3]ExpKayaRatiosRef!$2:$2)-3)</definedName>
    <definedName name="TFCperPEffRef" localSheetId="20">OFFSET([3]ExpKayaRatiosRef!$E$7, 0, 0, 1, COUNTA([3]ExpKayaRatiosRef!$2:$2)-3)</definedName>
    <definedName name="TFCperPEffRef">OFFSET(ExpKayaRatiosRef!$E$7, 0, 0, 1, COUNTA(ExpKayaRatiosRef!$2:$2)-3)</definedName>
    <definedName name="TFCproj1" localSheetId="15">OFFSET([1]HistoricalGrowthRates!$E$45, 0, 0, 1, COUNTA([1]HistoricalGrowthRates!$2:$2)-2)</definedName>
    <definedName name="TFCproj1" localSheetId="19">OFFSET([1]HistoricalGrowthRates!$E$45, 0, 0, 1, COUNTA([1]HistoricalGrowthRates!$2:$2)-2)</definedName>
    <definedName name="TFCproj1" localSheetId="16">OFFSET([1]HistoricalGrowthRates!$E$45, 0, 0, 1, COUNTA([1]HistoricalGrowthRates!$2:$2)-2)</definedName>
    <definedName name="TFCproj1" localSheetId="39">OFFSET([2]HistoricalGrowthRates!$E$45, 0, 0, 1, COUNTA([2]HistoricalGrowthRates!$2:$2)-2)</definedName>
    <definedName name="TFCproj1" localSheetId="17">OFFSET([3]HistoricalGrowthRates!$E$45, 0, 0, 1, COUNTA([3]HistoricalGrowthRates!$2:$2)-2)</definedName>
    <definedName name="TFCproj1" localSheetId="20">OFFSET([3]HistoricalGrowthRates!$E$45, 0, 0, 1, COUNTA([3]HistoricalGrowthRates!$2:$2)-2)</definedName>
    <definedName name="TFCproj1">OFFSET(HistoricalGrowthRates!$E$45, 0, 0, 1, COUNTA(HistoricalGrowthRates!$2:$2)-2)</definedName>
    <definedName name="TFCproj2" localSheetId="15">OFFSET([1]HistoricalGrowthRates!$E$46, 0, 0, 1, COUNTA([1]HistoricalGrowthRates!$2:$2)-2)</definedName>
    <definedName name="TFCproj2" localSheetId="19">OFFSET([1]HistoricalGrowthRates!$E$46, 0, 0, 1, COUNTA([1]HistoricalGrowthRates!$2:$2)-2)</definedName>
    <definedName name="TFCproj2" localSheetId="16">OFFSET([1]HistoricalGrowthRates!$E$46, 0, 0, 1, COUNTA([1]HistoricalGrowthRates!$2:$2)-2)</definedName>
    <definedName name="TFCproj2" localSheetId="39">OFFSET([2]HistoricalGrowthRates!$E$46, 0, 0, 1, COUNTA([2]HistoricalGrowthRates!$2:$2)-2)</definedName>
    <definedName name="TFCproj2" localSheetId="17">OFFSET([3]HistoricalGrowthRates!$E$46, 0, 0, 1, COUNTA([3]HistoricalGrowthRates!$2:$2)-2)</definedName>
    <definedName name="TFCproj2" localSheetId="20">OFFSET([3]HistoricalGrowthRates!$E$46, 0, 0, 1, COUNTA([3]HistoricalGrowthRates!$2:$2)-2)</definedName>
    <definedName name="TFCproj2">OFFSET(HistoricalGrowthRates!$E$46, 0, 0, 1, COUNTA(HistoricalGrowthRates!$2:$2)-2)</definedName>
    <definedName name="TFCprojindex1" localSheetId="15">OFFSET([1]HistoricalGrowthRates!$E$76, 0, 0, 1, COUNTA([1]HistoricalGrowthRates!$2:$2)-2)</definedName>
    <definedName name="TFCprojindex1" localSheetId="19">OFFSET([1]HistoricalGrowthRates!$E$76, 0, 0, 1, COUNTA([1]HistoricalGrowthRates!$2:$2)-2)</definedName>
    <definedName name="TFCprojindex1" localSheetId="16">OFFSET([1]HistoricalGrowthRates!$E$76, 0, 0, 1, COUNTA([1]HistoricalGrowthRates!$2:$2)-2)</definedName>
    <definedName name="TFCprojindex1" localSheetId="39">OFFSET([2]HistoricalGrowthRates!$E$76, 0, 0, 1, COUNTA([2]HistoricalGrowthRates!$2:$2)-2)</definedName>
    <definedName name="TFCprojindex1" localSheetId="17">OFFSET([3]HistoricalGrowthRates!$E$76, 0, 0, 1, COUNTA([3]HistoricalGrowthRates!$2:$2)-2)</definedName>
    <definedName name="TFCprojindex1" localSheetId="20">OFFSET([3]HistoricalGrowthRates!$E$76, 0, 0, 1, COUNTA([3]HistoricalGrowthRates!$2:$2)-2)</definedName>
    <definedName name="TFCprojindex1">OFFSET(HistoricalGrowthRates!$E$76, 0, 0, 1, COUNTA(HistoricalGrowthRates!$2:$2)-2)</definedName>
    <definedName name="TFCprojindex2" localSheetId="15">OFFSET([1]HistoricalGrowthRates!$E$77, 0, 0, 1, COUNTA([1]HistoricalGrowthRates!$2:$2)-2)</definedName>
    <definedName name="TFCprojindex2" localSheetId="19">OFFSET([1]HistoricalGrowthRates!$E$77, 0, 0, 1, COUNTA([1]HistoricalGrowthRates!$2:$2)-2)</definedName>
    <definedName name="TFCprojindex2" localSheetId="16">OFFSET([1]HistoricalGrowthRates!$E$77, 0, 0, 1, COUNTA([1]HistoricalGrowthRates!$2:$2)-2)</definedName>
    <definedName name="TFCprojindex2" localSheetId="39">OFFSET([2]HistoricalGrowthRates!$E$77, 0, 0, 1, COUNTA([2]HistoricalGrowthRates!$2:$2)-2)</definedName>
    <definedName name="TFCprojindex2" localSheetId="17">OFFSET([3]HistoricalGrowthRates!$E$77, 0, 0, 1, COUNTA([3]HistoricalGrowthRates!$2:$2)-2)</definedName>
    <definedName name="TFCprojindex2" localSheetId="20">OFFSET([3]HistoricalGrowthRates!$E$77, 0, 0, 1, COUNTA([3]HistoricalGrowthRates!$2:$2)-2)</definedName>
    <definedName name="TFCprojindex2">OFFSET(HistoricalGrowthRates!$E$77, 0, 0, 1, COUNTA(HistoricalGrowthRates!$2:$2)-2)</definedName>
    <definedName name="TFCrate1" localSheetId="15">OFFSET([1]HistoricalGrowthRates!$E$13, 0, 0, 1, COUNTA([1]HistoricalGrowthRates!$2:$2)-2)</definedName>
    <definedName name="TFCrate1" localSheetId="19">OFFSET([1]HistoricalGrowthRates!$E$13, 0, 0, 1, COUNTA([1]HistoricalGrowthRates!$2:$2)-2)</definedName>
    <definedName name="TFCrate1" localSheetId="16">OFFSET([1]HistoricalGrowthRates!$E$13, 0, 0, 1, COUNTA([1]HistoricalGrowthRates!$2:$2)-2)</definedName>
    <definedName name="TFCrate1" localSheetId="39">OFFSET([2]HistoricalGrowthRates!$E$13, 0, 0, 1, COUNTA([2]HistoricalGrowthRates!$2:$2)-2)</definedName>
    <definedName name="TFCrate1" localSheetId="17">OFFSET([3]HistoricalGrowthRates!$E$13, 0, 0, 1, COUNTA([3]HistoricalGrowthRates!$2:$2)-2)</definedName>
    <definedName name="TFCrate1" localSheetId="20">OFFSET([3]HistoricalGrowthRates!$E$13, 0, 0, 1, COUNTA([3]HistoricalGrowthRates!$2:$2)-2)</definedName>
    <definedName name="TFCrate1">OFFSET(HistoricalGrowthRates!$E$13, 0, 0, 1, COUNTA(HistoricalGrowthRates!$2:$2)-2)</definedName>
    <definedName name="TFCrate2" localSheetId="15">OFFSET([1]HistoricalGrowthRates!$E$14, 0, 0, 1, COUNTA([1]HistoricalGrowthRates!$2:$2)-2)</definedName>
    <definedName name="TFCrate2" localSheetId="19">OFFSET([1]HistoricalGrowthRates!$E$14, 0, 0, 1, COUNTA([1]HistoricalGrowthRates!$2:$2)-2)</definedName>
    <definedName name="TFCrate2" localSheetId="16">OFFSET([1]HistoricalGrowthRates!$E$14, 0, 0, 1, COUNTA([1]HistoricalGrowthRates!$2:$2)-2)</definedName>
    <definedName name="TFCrate2" localSheetId="39">OFFSET([2]HistoricalGrowthRates!$E$14, 0, 0, 1, COUNTA([2]HistoricalGrowthRates!$2:$2)-2)</definedName>
    <definedName name="TFCrate2" localSheetId="17">OFFSET([3]HistoricalGrowthRates!$E$14, 0, 0, 1, COUNTA([3]HistoricalGrowthRates!$2:$2)-2)</definedName>
    <definedName name="TFCrate2" localSheetId="20">OFFSET([3]HistoricalGrowthRates!$E$14, 0, 0, 1, COUNTA([3]HistoricalGrowthRates!$2:$2)-2)</definedName>
    <definedName name="TFCrate2">OFFSET(HistoricalGrowthRates!$E$14, 0, 0, 1, COUNTA(HistoricalGrowthRates!$2:$2)-2)</definedName>
    <definedName name="TFCRef" localSheetId="15">OFFSET([1]ExpKayaFactorsRef!$E$7, 0, 0, 1, COUNTA([1]ExpKayaFactorsRef!$2:$2)-3)</definedName>
    <definedName name="TFCRef" localSheetId="19">OFFSET([1]ExpKayaFactorsRef!$E$7, 0, 0, 1, COUNTA([1]ExpKayaFactorsRef!$2:$2)-3)</definedName>
    <definedName name="TFCRef" localSheetId="16">OFFSET([1]ExpKayaFactorsRef!$E$7, 0, 0, 1, COUNTA([1]ExpKayaFactorsRef!$2:$2)-3)</definedName>
    <definedName name="TFCRef" localSheetId="39">OFFSET([2]ExpKayaFactorsRef!$E$7, 0, 0, 1, COUNTA([2]ExpKayaFactorsRef!$2:$2)-3)</definedName>
    <definedName name="TFCRef" localSheetId="17">OFFSET([3]ExpKayaFactorsRef!$E$7, 0, 0, 1, COUNTA([3]ExpKayaFactorsRef!$2:$2)-3)</definedName>
    <definedName name="TFCRef" localSheetId="20">OFFSET([3]ExpKayaFactorsRef!$E$7, 0, 0, 1, COUNTA([3]ExpKayaFactorsRef!$2:$2)-3)</definedName>
    <definedName name="TFCRef">OFFSET(ExpKayaFactorsRef!$E$7, 0, 0, 1, COUNTA(ExpKayaFactorsRef!$2:$2)-3)</definedName>
    <definedName name="valuevx">42.314159</definedName>
    <definedName name="vertex42_copyright" hidden="1">"© 2015 Vertex42 LLC"</definedName>
    <definedName name="vertex42_id" hidden="1">"waterfall-chart.xlsx"</definedName>
    <definedName name="vertex42_title" hidden="1">"Waterfall Chart Template"</definedName>
    <definedName name="yearsInt" localSheetId="15">OFFSET('[1]Int Data input'!$F$1, 0, 0, 1, COUNTA('[1]Int Data input'!$1:$1)-5)</definedName>
    <definedName name="yearsInt" localSheetId="19">OFFSET('[1]Int Data input'!$F$1, 0, 0, 1, COUNTA('[1]Int Data input'!$1:$1)-5)</definedName>
    <definedName name="yearsInt" localSheetId="16">OFFSET('[1]Int Data input'!$F$1, 0, 0, 1, COUNTA('[1]Int Data input'!$1:$1)-5)</definedName>
    <definedName name="yearsInt" localSheetId="39">OFFSET('[2]Int Data input'!$F$1, 0, 0, 1, COUNTA('[2]Int Data input'!$1:$1)-5)</definedName>
    <definedName name="yearsInt" localSheetId="17">OFFSET('[3]Int Data input'!$F$1, 0, 0, 1, COUNTA('[3]Int Data input'!$1:$1)-5)</definedName>
    <definedName name="yearsInt" localSheetId="20">OFFSET('[3]Int Data input'!$F$1, 0, 0, 1, COUNTA('[3]Int Data input'!$1:$1)-5)</definedName>
    <definedName name="yearsInt">OFFSET('Int Data input'!$F$1, 0, 0, 1, COUNTA('Int Data input'!$1:$1)-5)</definedName>
    <definedName name="yearsRef" localSheetId="15">OFFSET('[1]Ref Data input'!$F$1, 0, 0, 1, COUNTA('[1]Ref Data input'!$1:$1)-5)</definedName>
    <definedName name="yearsRef" localSheetId="19">OFFSET('[1]Ref Data input'!$F$1, 0, 0, 1, COUNTA('[1]Ref Data input'!$1:$1)-5)</definedName>
    <definedName name="yearsRef" localSheetId="16">OFFSET('[1]Ref Data input'!$F$1, 0, 0, 1, COUNTA('[1]Ref Data input'!$1:$1)-5)</definedName>
    <definedName name="yearsRef" localSheetId="39">OFFSET('[2]Ref Data input'!$F$1, 0, 0, 1, COUNTA('[2]Ref Data input'!$1:$1)-5)</definedName>
    <definedName name="yearsRef" localSheetId="17">OFFSET('[3]Ref Data input'!$F$1, 0, 0, 1, COUNTA('[3]Ref Data input'!$1:$1)-5)</definedName>
    <definedName name="yearsRef" localSheetId="20">OFFSET('[3]Ref Data input'!$F$1, 0, 0, 1, COUNTA('[3]Ref Data input'!$1:$1)-5)</definedName>
    <definedName name="yearsRef">OFFSET('Ref Data input'!$F$1, 0, 0, 1, COUNTA('Ref Data input'!$1:$1)-5)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9" i="4" l="1"/>
  <c r="H39" i="4"/>
  <c r="I39" i="4"/>
  <c r="J39" i="4"/>
  <c r="K39" i="4"/>
  <c r="L39" i="4"/>
  <c r="M39" i="4"/>
  <c r="N39" i="4"/>
  <c r="O39" i="4"/>
  <c r="P39" i="4"/>
  <c r="Q39" i="4"/>
  <c r="G37" i="4"/>
  <c r="H37" i="4"/>
  <c r="I37" i="4"/>
  <c r="J37" i="4"/>
  <c r="K37" i="4"/>
  <c r="L37" i="4"/>
  <c r="M37" i="4"/>
  <c r="N37" i="4"/>
  <c r="O37" i="4"/>
  <c r="P37" i="4"/>
  <c r="Q37" i="4"/>
  <c r="G38" i="4"/>
  <c r="H38" i="4"/>
  <c r="I38" i="4"/>
  <c r="J38" i="4"/>
  <c r="K38" i="4"/>
  <c r="L38" i="4"/>
  <c r="M38" i="4"/>
  <c r="N38" i="4"/>
  <c r="O38" i="4"/>
  <c r="P38" i="4"/>
  <c r="Q38" i="4"/>
  <c r="H19" i="2"/>
  <c r="I19" i="2"/>
  <c r="J19" i="2"/>
  <c r="K19" i="2"/>
  <c r="L19" i="2"/>
  <c r="M19" i="2"/>
  <c r="N19" i="2"/>
  <c r="O19" i="2"/>
  <c r="P19" i="2"/>
  <c r="Q19" i="2"/>
  <c r="R19" i="2"/>
  <c r="S19" i="2"/>
  <c r="T19" i="2"/>
  <c r="U19" i="2"/>
  <c r="V19" i="2"/>
  <c r="F37" i="5"/>
  <c r="G37" i="5"/>
  <c r="H37" i="5"/>
  <c r="J37" i="5"/>
  <c r="K37" i="5"/>
  <c r="L37" i="5"/>
  <c r="M37" i="5"/>
  <c r="N37" i="5"/>
  <c r="O37" i="5"/>
  <c r="P37" i="5"/>
  <c r="Q37" i="5"/>
  <c r="F38" i="5"/>
  <c r="G38" i="5"/>
  <c r="H38" i="5"/>
  <c r="J38" i="5"/>
  <c r="K38" i="5"/>
  <c r="L38" i="5"/>
  <c r="M38" i="5"/>
  <c r="N38" i="5"/>
  <c r="O38" i="5"/>
  <c r="P38" i="5"/>
  <c r="Q38" i="5"/>
  <c r="F39" i="5"/>
  <c r="G39" i="5"/>
  <c r="H39" i="5"/>
  <c r="J39" i="5"/>
  <c r="K39" i="5"/>
  <c r="L39" i="5"/>
  <c r="M39" i="5"/>
  <c r="N39" i="5"/>
  <c r="O39" i="5"/>
  <c r="P39" i="5"/>
  <c r="Q39" i="5"/>
  <c r="R25" i="89"/>
  <c r="R24" i="89"/>
  <c r="R23" i="89"/>
  <c r="S22" i="89"/>
  <c r="R25" i="90"/>
  <c r="R24" i="90"/>
  <c r="R23" i="90"/>
  <c r="S22" i="90"/>
  <c r="N24" i="17" l="1"/>
  <c r="O23" i="17"/>
  <c r="Q33" i="17"/>
  <c r="Q22" i="17"/>
  <c r="K32" i="17"/>
  <c r="N31" i="17"/>
  <c r="L33" i="17"/>
  <c r="O32" i="17"/>
  <c r="J31" i="17"/>
  <c r="Q23" i="17"/>
  <c r="I23" i="17"/>
  <c r="L22" i="17"/>
  <c r="O24" i="17"/>
  <c r="G24" i="17"/>
  <c r="H31" i="17"/>
  <c r="J33" i="17"/>
  <c r="N32" i="17"/>
  <c r="H33" i="17"/>
  <c r="Q31" i="17"/>
  <c r="G23" i="17"/>
  <c r="K24" i="17"/>
  <c r="K33" i="17"/>
  <c r="P23" i="17"/>
  <c r="M32" i="17"/>
  <c r="J22" i="17"/>
  <c r="L32" i="17"/>
  <c r="L24" i="17"/>
  <c r="G33" i="17"/>
  <c r="H22" i="17"/>
  <c r="O33" i="17"/>
  <c r="J32" i="17"/>
  <c r="M31" i="17"/>
  <c r="L23" i="17"/>
  <c r="O22" i="17"/>
  <c r="G22" i="17"/>
  <c r="J24" i="17"/>
  <c r="H23" i="17"/>
  <c r="G31" i="17"/>
  <c r="N23" i="17"/>
  <c r="P33" i="17"/>
  <c r="P22" i="17"/>
  <c r="N33" i="17"/>
  <c r="Q32" i="17"/>
  <c r="H32" i="17"/>
  <c r="L31" i="17"/>
  <c r="K23" i="17"/>
  <c r="N22" i="17"/>
  <c r="Q24" i="17"/>
  <c r="I24" i="17"/>
  <c r="K22" i="17"/>
  <c r="P31" i="17"/>
  <c r="M24" i="17"/>
  <c r="O31" i="17"/>
  <c r="I22" i="17"/>
  <c r="M23" i="17"/>
  <c r="M33" i="17"/>
  <c r="P32" i="17"/>
  <c r="G32" i="17"/>
  <c r="K31" i="17"/>
  <c r="J23" i="17"/>
  <c r="M22" i="17"/>
  <c r="P24" i="17"/>
  <c r="H24" i="17"/>
  <c r="A77" i="64"/>
  <c r="A78" i="64"/>
  <c r="I13" i="90" l="1"/>
  <c r="I22" i="90"/>
  <c r="I13" i="89"/>
  <c r="I22" i="89"/>
  <c r="D117" i="81" l="1"/>
  <c r="E117" i="81"/>
  <c r="F117" i="81"/>
  <c r="G117" i="81"/>
  <c r="H117" i="81"/>
  <c r="I117" i="81"/>
  <c r="J117" i="81"/>
  <c r="K117" i="81"/>
  <c r="L117" i="81"/>
  <c r="M117" i="81"/>
  <c r="N117" i="81"/>
  <c r="O117" i="81"/>
  <c r="P117" i="81"/>
  <c r="Q117" i="81"/>
  <c r="R117" i="81"/>
  <c r="S117" i="81"/>
  <c r="T117" i="81"/>
  <c r="U117" i="81"/>
  <c r="V117" i="81"/>
  <c r="W117" i="81"/>
  <c r="X117" i="81"/>
  <c r="Y117" i="81"/>
  <c r="Z117" i="81"/>
  <c r="AA117" i="81"/>
  <c r="AB117" i="81"/>
  <c r="AC117" i="81"/>
  <c r="AD117" i="81"/>
  <c r="AE117" i="81"/>
  <c r="AF117" i="81"/>
  <c r="AG117" i="81"/>
  <c r="AH117" i="81"/>
  <c r="AI117" i="81"/>
  <c r="AJ117" i="81"/>
  <c r="AK117" i="81"/>
  <c r="AL117" i="81"/>
  <c r="AM117" i="81"/>
  <c r="AN117" i="81"/>
  <c r="AO117" i="81"/>
  <c r="AP117" i="81"/>
  <c r="AQ117" i="81"/>
  <c r="AR117" i="81"/>
  <c r="AS117" i="81"/>
  <c r="AT117" i="81"/>
  <c r="AU117" i="81"/>
  <c r="AV117" i="81"/>
  <c r="AW117" i="81"/>
  <c r="AX117" i="81"/>
  <c r="AY117" i="81"/>
  <c r="AZ117" i="81"/>
  <c r="BA117" i="81"/>
  <c r="BB117" i="81"/>
  <c r="BC117" i="81"/>
  <c r="BD117" i="81"/>
  <c r="BE117" i="81"/>
  <c r="BF117" i="81"/>
  <c r="BG117" i="81"/>
  <c r="BH117" i="81"/>
  <c r="BI117" i="81"/>
  <c r="BJ117" i="81"/>
  <c r="BK117" i="81"/>
  <c r="BL117" i="81"/>
  <c r="BM117" i="81"/>
  <c r="BN117" i="81"/>
  <c r="BO117" i="81"/>
  <c r="BP117" i="81"/>
  <c r="BQ117" i="81"/>
  <c r="BR117" i="81"/>
  <c r="BS117" i="81"/>
  <c r="BT117" i="81"/>
  <c r="BU117" i="81"/>
  <c r="BV117" i="81"/>
  <c r="BW117" i="81"/>
  <c r="BX117" i="81"/>
  <c r="BY117" i="81"/>
  <c r="BZ117" i="81"/>
  <c r="CA117" i="81"/>
  <c r="CB117" i="81"/>
  <c r="CC117" i="81"/>
  <c r="CD117" i="81"/>
  <c r="CE117" i="81"/>
  <c r="CF117" i="81"/>
  <c r="CG117" i="81"/>
  <c r="CH117" i="81"/>
  <c r="CI117" i="81"/>
  <c r="CJ117" i="81"/>
  <c r="CK117" i="81"/>
  <c r="CL117" i="81"/>
  <c r="CM117" i="81"/>
  <c r="CN117" i="81"/>
  <c r="C117" i="81"/>
  <c r="A48" i="87"/>
  <c r="A47" i="87"/>
  <c r="A46" i="87"/>
  <c r="A45" i="87"/>
  <c r="A44" i="87"/>
  <c r="A43" i="87"/>
  <c r="A42" i="87"/>
  <c r="A41" i="87"/>
  <c r="A40" i="87"/>
  <c r="A39" i="87"/>
  <c r="A38" i="87"/>
  <c r="A37" i="87"/>
  <c r="A36" i="87"/>
  <c r="A35" i="87"/>
  <c r="A48" i="75"/>
  <c r="A47" i="75"/>
  <c r="A46" i="75"/>
  <c r="A45" i="75"/>
  <c r="A44" i="75"/>
  <c r="A43" i="75"/>
  <c r="A42" i="75"/>
  <c r="A41" i="75"/>
  <c r="A40" i="75"/>
  <c r="A39" i="75"/>
  <c r="A38" i="75"/>
  <c r="A37" i="75"/>
  <c r="A36" i="75"/>
  <c r="A35" i="75"/>
  <c r="A48" i="64"/>
  <c r="A47" i="64"/>
  <c r="A46" i="64"/>
  <c r="A45" i="64"/>
  <c r="A44" i="64"/>
  <c r="A43" i="64"/>
  <c r="A42" i="64"/>
  <c r="A41" i="64"/>
  <c r="A40" i="64"/>
  <c r="A39" i="64"/>
  <c r="A38" i="64"/>
  <c r="A37" i="64"/>
  <c r="A36" i="64"/>
  <c r="A35" i="64"/>
  <c r="A146" i="87" l="1"/>
  <c r="A145" i="87"/>
  <c r="A139" i="87"/>
  <c r="A138" i="87"/>
  <c r="A137" i="87"/>
  <c r="A136" i="87"/>
  <c r="A135" i="87"/>
  <c r="A129" i="87"/>
  <c r="A128" i="87"/>
  <c r="A127" i="87"/>
  <c r="A125" i="87"/>
  <c r="CN118" i="87"/>
  <c r="CD118" i="87"/>
  <c r="BT118" i="87"/>
  <c r="BJ118" i="87"/>
  <c r="AZ118" i="87"/>
  <c r="AP118" i="87"/>
  <c r="AF118" i="87"/>
  <c r="V118" i="87"/>
  <c r="A118" i="87"/>
  <c r="CN117" i="87"/>
  <c r="CD117" i="87"/>
  <c r="BT117" i="87"/>
  <c r="BJ117" i="87"/>
  <c r="AZ117" i="87"/>
  <c r="AP117" i="87"/>
  <c r="AF117" i="87"/>
  <c r="V117" i="87"/>
  <c r="A117" i="87"/>
  <c r="A116" i="87"/>
  <c r="A115" i="87"/>
  <c r="CN114" i="87"/>
  <c r="CD114" i="87"/>
  <c r="BT114" i="87"/>
  <c r="BJ114" i="87"/>
  <c r="AZ114" i="87"/>
  <c r="AP114" i="87"/>
  <c r="AF114" i="87"/>
  <c r="V114" i="87"/>
  <c r="A114" i="87"/>
  <c r="A98" i="87"/>
  <c r="A97" i="87"/>
  <c r="A96" i="87"/>
  <c r="A95" i="87"/>
  <c r="A94" i="87"/>
  <c r="A88" i="87"/>
  <c r="A87" i="87"/>
  <c r="A86" i="87"/>
  <c r="A84" i="87"/>
  <c r="A81" i="87"/>
  <c r="A80" i="87"/>
  <c r="A79" i="87"/>
  <c r="A78" i="87"/>
  <c r="A77" i="87"/>
  <c r="A76" i="87"/>
  <c r="P20" i="20" l="1"/>
  <c r="P19" i="20"/>
  <c r="P18" i="20"/>
  <c r="C6" i="37" l="1"/>
  <c r="C5" i="37"/>
  <c r="C4" i="37"/>
  <c r="H3" i="86" l="1"/>
  <c r="E8" i="90"/>
  <c r="E8" i="89"/>
  <c r="C3" i="86"/>
  <c r="E10" i="90"/>
  <c r="E10" i="89"/>
  <c r="E9" i="90"/>
  <c r="E9" i="89"/>
  <c r="H4" i="86"/>
  <c r="W13" i="5"/>
  <c r="A108" i="81" l="1"/>
  <c r="A98" i="81"/>
  <c r="A113" i="81" s="1"/>
  <c r="E2" i="82"/>
  <c r="E1" i="82"/>
  <c r="A81" i="64"/>
  <c r="A115" i="64" l="1"/>
  <c r="A116" i="64"/>
  <c r="A117" i="64"/>
  <c r="A118" i="64"/>
  <c r="A114" i="64"/>
  <c r="CN118" i="64"/>
  <c r="CD118" i="64"/>
  <c r="BT118" i="64"/>
  <c r="BJ118" i="64"/>
  <c r="AZ118" i="64"/>
  <c r="AP118" i="64"/>
  <c r="AF118" i="64"/>
  <c r="V118" i="64"/>
  <c r="CN117" i="64"/>
  <c r="CD117" i="64"/>
  <c r="BT117" i="64"/>
  <c r="BJ117" i="64"/>
  <c r="AZ117" i="64"/>
  <c r="AP117" i="64"/>
  <c r="AF117" i="64"/>
  <c r="V117" i="64"/>
  <c r="CN114" i="64"/>
  <c r="CD114" i="64"/>
  <c r="BT114" i="64"/>
  <c r="BJ114" i="64"/>
  <c r="AZ114" i="64"/>
  <c r="AP114" i="64"/>
  <c r="AF114" i="64"/>
  <c r="V114" i="64"/>
  <c r="A79" i="64"/>
  <c r="A80" i="64"/>
  <c r="A76" i="64"/>
  <c r="BZ3" i="81"/>
  <c r="A40" i="78" l="1"/>
  <c r="A39" i="78"/>
  <c r="A38" i="78"/>
  <c r="A37" i="78"/>
  <c r="A36" i="78"/>
  <c r="A35" i="78"/>
  <c r="A34" i="78"/>
  <c r="A33" i="78"/>
  <c r="A32" i="78"/>
  <c r="A31" i="78"/>
  <c r="A30" i="78"/>
  <c r="A29" i="78"/>
  <c r="A28" i="78"/>
  <c r="A27" i="78"/>
  <c r="F27" i="78"/>
  <c r="G27" i="78"/>
  <c r="H27" i="78"/>
  <c r="I27" i="78"/>
  <c r="J27" i="78"/>
  <c r="K27" i="78"/>
  <c r="L27" i="78"/>
  <c r="M27" i="78"/>
  <c r="N27" i="78"/>
  <c r="N28" i="78" s="1"/>
  <c r="N29" i="78" s="1"/>
  <c r="N30" i="78" s="1"/>
  <c r="N31" i="78" s="1"/>
  <c r="N32" i="78" s="1"/>
  <c r="N33" i="78" s="1"/>
  <c r="N34" i="78" s="1"/>
  <c r="N35" i="78" s="1"/>
  <c r="N36" i="78" s="1"/>
  <c r="N37" i="78" s="1"/>
  <c r="N38" i="78" s="1"/>
  <c r="N39" i="78" s="1"/>
  <c r="E28" i="78"/>
  <c r="M28" i="78"/>
  <c r="E29" i="78"/>
  <c r="M29" i="78"/>
  <c r="E30" i="78"/>
  <c r="M30" i="78"/>
  <c r="E31" i="78"/>
  <c r="M31" i="78"/>
  <c r="E32" i="78"/>
  <c r="M32" i="78"/>
  <c r="E33" i="78"/>
  <c r="M33" i="78"/>
  <c r="E34" i="78"/>
  <c r="M34" i="78"/>
  <c r="E35" i="78"/>
  <c r="M35" i="78"/>
  <c r="E36" i="78"/>
  <c r="M36" i="78"/>
  <c r="H37" i="78"/>
  <c r="I37" i="78"/>
  <c r="J37" i="78"/>
  <c r="K37" i="78"/>
  <c r="L37" i="78"/>
  <c r="M37" i="78"/>
  <c r="E38" i="78"/>
  <c r="M38" i="78"/>
  <c r="E39" i="78"/>
  <c r="M39" i="78"/>
  <c r="H40" i="78"/>
  <c r="I40" i="78"/>
  <c r="J40" i="78"/>
  <c r="K40" i="78"/>
  <c r="L40" i="78"/>
  <c r="M40" i="78"/>
  <c r="N40" i="78"/>
  <c r="A121" i="75"/>
  <c r="A120" i="75"/>
  <c r="A114" i="75"/>
  <c r="A113" i="75"/>
  <c r="A112" i="75"/>
  <c r="A111" i="75"/>
  <c r="A110" i="75"/>
  <c r="A108" i="75"/>
  <c r="A107" i="75"/>
  <c r="A106" i="75"/>
  <c r="A104" i="75"/>
  <c r="A87" i="75"/>
  <c r="A86" i="75"/>
  <c r="A85" i="75"/>
  <c r="A84" i="75"/>
  <c r="A83" i="75"/>
  <c r="A81" i="75"/>
  <c r="A80" i="75"/>
  <c r="A79" i="75"/>
  <c r="A77" i="75"/>
  <c r="A13" i="73" l="1"/>
  <c r="A14" i="73"/>
  <c r="A3" i="73"/>
  <c r="A4" i="73"/>
  <c r="A5" i="73"/>
  <c r="A6" i="73"/>
  <c r="A7" i="73"/>
  <c r="A8" i="73"/>
  <c r="A9" i="73"/>
  <c r="A10" i="73"/>
  <c r="A11" i="73"/>
  <c r="A12" i="73"/>
  <c r="A2" i="73"/>
  <c r="A84" i="64"/>
  <c r="A125" i="64"/>
  <c r="A127" i="64"/>
  <c r="A128" i="64"/>
  <c r="A129" i="64"/>
  <c r="A86" i="64"/>
  <c r="A99" i="81" s="1"/>
  <c r="A87" i="64"/>
  <c r="A100" i="81" s="1"/>
  <c r="A115" i="81" s="1"/>
  <c r="A88" i="64"/>
  <c r="A101" i="81" s="1"/>
  <c r="A116" i="81" s="1"/>
  <c r="A146" i="64" l="1"/>
  <c r="A145" i="64"/>
  <c r="A139" i="64"/>
  <c r="A138" i="64"/>
  <c r="A137" i="64"/>
  <c r="A136" i="64"/>
  <c r="A135" i="64"/>
  <c r="A97" i="64"/>
  <c r="A106" i="81" s="1"/>
  <c r="A120" i="81" s="1"/>
  <c r="A95" i="64"/>
  <c r="A104" i="81" s="1"/>
  <c r="A118" i="81" s="1"/>
  <c r="A94" i="64"/>
  <c r="A103" i="81" s="1"/>
  <c r="A117" i="81" s="1"/>
  <c r="A96" i="64"/>
  <c r="A105" i="81" s="1"/>
  <c r="A119" i="81" s="1"/>
  <c r="A98" i="64"/>
  <c r="A107" i="81" s="1"/>
  <c r="A40" i="71" l="1"/>
  <c r="A39" i="71"/>
  <c r="A38" i="71"/>
  <c r="A37" i="71"/>
  <c r="A36" i="71"/>
  <c r="A35" i="71"/>
  <c r="A34" i="71"/>
  <c r="A33" i="71"/>
  <c r="A31" i="71"/>
  <c r="A30" i="71"/>
  <c r="A29" i="71"/>
  <c r="A28" i="71"/>
  <c r="A27" i="71"/>
  <c r="A32" i="71"/>
  <c r="F27" i="71"/>
  <c r="G27" i="71"/>
  <c r="H27" i="71"/>
  <c r="I27" i="71"/>
  <c r="J27" i="71"/>
  <c r="K27" i="71"/>
  <c r="L27" i="71"/>
  <c r="M27" i="71"/>
  <c r="N27" i="71"/>
  <c r="N28" i="71" s="1"/>
  <c r="N29" i="71" s="1"/>
  <c r="N30" i="71" s="1"/>
  <c r="N31" i="71" s="1"/>
  <c r="N32" i="71" s="1"/>
  <c r="N33" i="71" s="1"/>
  <c r="N34" i="71" s="1"/>
  <c r="N35" i="71" s="1"/>
  <c r="N36" i="71" s="1"/>
  <c r="N37" i="71" s="1"/>
  <c r="N38" i="71" s="1"/>
  <c r="N39" i="71" s="1"/>
  <c r="E28" i="71"/>
  <c r="M28" i="71"/>
  <c r="E29" i="71"/>
  <c r="M29" i="71"/>
  <c r="E30" i="71"/>
  <c r="M30" i="71"/>
  <c r="E31" i="71"/>
  <c r="M31" i="71"/>
  <c r="E32" i="71"/>
  <c r="M32" i="71"/>
  <c r="E33" i="71"/>
  <c r="M33" i="71"/>
  <c r="E34" i="71"/>
  <c r="M34" i="71"/>
  <c r="E35" i="71"/>
  <c r="M35" i="71"/>
  <c r="E36" i="71"/>
  <c r="M36" i="71"/>
  <c r="H37" i="71"/>
  <c r="I37" i="71"/>
  <c r="J37" i="71"/>
  <c r="K37" i="71"/>
  <c r="L37" i="71"/>
  <c r="M37" i="71"/>
  <c r="E38" i="71"/>
  <c r="M38" i="71"/>
  <c r="E39" i="71"/>
  <c r="M39" i="71"/>
  <c r="H40" i="71"/>
  <c r="I40" i="71"/>
  <c r="J40" i="71"/>
  <c r="K40" i="71"/>
  <c r="L40" i="71"/>
  <c r="M40" i="71"/>
  <c r="N40" i="71"/>
  <c r="I21" i="3" l="1"/>
  <c r="J21" i="3"/>
  <c r="K21" i="3"/>
  <c r="L21" i="3"/>
  <c r="M21" i="3"/>
  <c r="N21" i="3"/>
  <c r="O21" i="3"/>
  <c r="P21" i="3"/>
  <c r="Q21" i="3"/>
  <c r="R21" i="3"/>
  <c r="S21" i="3"/>
  <c r="T21" i="3"/>
  <c r="U21" i="3"/>
  <c r="V21" i="3"/>
  <c r="I22" i="3"/>
  <c r="J22" i="3"/>
  <c r="K22" i="3"/>
  <c r="L22" i="3"/>
  <c r="M22" i="3"/>
  <c r="N22" i="3"/>
  <c r="O22" i="3"/>
  <c r="P22" i="3"/>
  <c r="Q22" i="3"/>
  <c r="R22" i="3"/>
  <c r="S22" i="3"/>
  <c r="T22" i="3"/>
  <c r="U22" i="3"/>
  <c r="V22" i="3"/>
  <c r="I23" i="3"/>
  <c r="J23" i="3"/>
  <c r="K23" i="3"/>
  <c r="L23" i="3"/>
  <c r="M23" i="3"/>
  <c r="N23" i="3"/>
  <c r="O23" i="3"/>
  <c r="P23" i="3"/>
  <c r="Q23" i="3"/>
  <c r="R23" i="3"/>
  <c r="S23" i="3"/>
  <c r="T23" i="3"/>
  <c r="U23" i="3"/>
  <c r="V23" i="3"/>
  <c r="H23" i="3"/>
  <c r="H22" i="3"/>
  <c r="H21" i="3"/>
  <c r="V9" i="2" l="1"/>
  <c r="U9" i="2"/>
  <c r="T9" i="2"/>
  <c r="S9" i="2"/>
  <c r="R9" i="2"/>
  <c r="Q9" i="2"/>
  <c r="P9" i="2"/>
  <c r="O9" i="2"/>
  <c r="N9" i="2"/>
  <c r="M9" i="2"/>
  <c r="L9" i="2"/>
  <c r="K9" i="2"/>
  <c r="J9" i="2"/>
  <c r="I9" i="2"/>
  <c r="H9" i="2"/>
  <c r="V28" i="3" l="1"/>
  <c r="V27" i="3"/>
  <c r="J1" i="21" l="1"/>
  <c r="K1" i="21"/>
  <c r="L1" i="21"/>
  <c r="M1" i="21"/>
  <c r="N1" i="21"/>
  <c r="G2" i="27" l="1"/>
  <c r="H2" i="27"/>
  <c r="I2" i="27"/>
  <c r="J2" i="27"/>
  <c r="K2" i="27"/>
  <c r="J14" i="55" l="1"/>
  <c r="K14" i="55"/>
  <c r="L14" i="55"/>
  <c r="M14" i="55"/>
  <c r="N14" i="55"/>
  <c r="J10" i="54"/>
  <c r="K10" i="54"/>
  <c r="L10" i="54"/>
  <c r="M10" i="54"/>
  <c r="N10" i="54"/>
  <c r="J1" i="26"/>
  <c r="J1" i="55" s="1"/>
  <c r="K1" i="26"/>
  <c r="K1" i="55" s="1"/>
  <c r="L1" i="26"/>
  <c r="L1" i="55" s="1"/>
  <c r="M1" i="26"/>
  <c r="M1" i="55" s="1"/>
  <c r="N1" i="26"/>
  <c r="N1" i="55" s="1"/>
  <c r="J1" i="16"/>
  <c r="K1" i="16"/>
  <c r="L1" i="16"/>
  <c r="M1" i="16"/>
  <c r="N1" i="16"/>
  <c r="J1" i="25"/>
  <c r="J1" i="54" s="1"/>
  <c r="K1" i="25"/>
  <c r="K1" i="54" s="1"/>
  <c r="L1" i="25"/>
  <c r="L1" i="54" s="1"/>
  <c r="M1" i="25"/>
  <c r="M1" i="54" s="1"/>
  <c r="N1" i="25"/>
  <c r="N1" i="54" s="1"/>
  <c r="J1" i="14"/>
  <c r="K1" i="14"/>
  <c r="L1" i="14"/>
  <c r="M1" i="14"/>
  <c r="N1" i="14"/>
  <c r="N3" i="18" l="1"/>
  <c r="Q33" i="5" l="1"/>
  <c r="Q34" i="5"/>
  <c r="Q35" i="5"/>
  <c r="Q36" i="5"/>
  <c r="G33" i="5"/>
  <c r="H33" i="5"/>
  <c r="J33" i="5"/>
  <c r="K33" i="5"/>
  <c r="L33" i="5"/>
  <c r="M33" i="5"/>
  <c r="N33" i="5"/>
  <c r="O33" i="5"/>
  <c r="P33" i="5"/>
  <c r="G34" i="5"/>
  <c r="H34" i="5"/>
  <c r="J34" i="5"/>
  <c r="K34" i="5"/>
  <c r="L34" i="5"/>
  <c r="M34" i="5"/>
  <c r="N34" i="5"/>
  <c r="O34" i="5"/>
  <c r="P34" i="5"/>
  <c r="G35" i="5"/>
  <c r="H35" i="5"/>
  <c r="J35" i="5"/>
  <c r="K35" i="5"/>
  <c r="L35" i="5"/>
  <c r="M35" i="5"/>
  <c r="N35" i="5"/>
  <c r="O35" i="5"/>
  <c r="P35" i="5"/>
  <c r="G36" i="5"/>
  <c r="H36" i="5"/>
  <c r="J36" i="5"/>
  <c r="K36" i="5"/>
  <c r="L36" i="5"/>
  <c r="M36" i="5"/>
  <c r="N36" i="5"/>
  <c r="O36" i="5"/>
  <c r="P36" i="5"/>
  <c r="F34" i="5"/>
  <c r="F35" i="5"/>
  <c r="F36" i="5"/>
  <c r="H33" i="4"/>
  <c r="J33" i="4"/>
  <c r="K33" i="4"/>
  <c r="L33" i="4"/>
  <c r="M33" i="4"/>
  <c r="N33" i="4"/>
  <c r="O33" i="4"/>
  <c r="P33" i="4"/>
  <c r="Q33" i="4"/>
  <c r="H34" i="4"/>
  <c r="J34" i="4"/>
  <c r="K34" i="4"/>
  <c r="L34" i="4"/>
  <c r="M34" i="4"/>
  <c r="N34" i="4"/>
  <c r="O34" i="4"/>
  <c r="P34" i="4"/>
  <c r="Q34" i="4"/>
  <c r="H35" i="4"/>
  <c r="J35" i="4"/>
  <c r="K35" i="4"/>
  <c r="L35" i="4"/>
  <c r="M35" i="4"/>
  <c r="N35" i="4"/>
  <c r="O35" i="4"/>
  <c r="P35" i="4"/>
  <c r="Q35" i="4"/>
  <c r="H36" i="4"/>
  <c r="J36" i="4"/>
  <c r="K36" i="4"/>
  <c r="L36" i="4"/>
  <c r="M36" i="4"/>
  <c r="N36" i="4"/>
  <c r="O36" i="4"/>
  <c r="P36" i="4"/>
  <c r="Q36" i="4"/>
  <c r="G34" i="4"/>
  <c r="G35" i="4"/>
  <c r="G36" i="4"/>
  <c r="S36" i="5" l="1"/>
  <c r="S33" i="5"/>
  <c r="S35" i="5"/>
  <c r="U36" i="5"/>
  <c r="T36" i="5"/>
  <c r="U35" i="5"/>
  <c r="T35" i="5"/>
  <c r="S34" i="5"/>
  <c r="U34" i="5"/>
  <c r="T34" i="5"/>
  <c r="T33" i="5"/>
  <c r="U33" i="5"/>
  <c r="O36" i="35"/>
  <c r="P36" i="35"/>
  <c r="Q36" i="35"/>
  <c r="R36" i="35"/>
  <c r="S36" i="35"/>
  <c r="T36" i="35"/>
  <c r="O109" i="35"/>
  <c r="S109" i="35"/>
  <c r="T109" i="35"/>
  <c r="K61" i="27"/>
  <c r="J61" i="27"/>
  <c r="I61" i="27"/>
  <c r="H61" i="27"/>
  <c r="G61" i="27"/>
  <c r="F61" i="27"/>
  <c r="E61" i="27"/>
  <c r="D61" i="27"/>
  <c r="B61" i="27"/>
  <c r="K31" i="27"/>
  <c r="J31" i="27"/>
  <c r="I31" i="27"/>
  <c r="H31" i="27"/>
  <c r="G31" i="27"/>
  <c r="F31" i="27"/>
  <c r="E31" i="27"/>
  <c r="D31" i="27"/>
  <c r="B31" i="27"/>
  <c r="F2" i="27"/>
  <c r="AP102" i="75" s="1"/>
  <c r="E2" i="27"/>
  <c r="AF102" i="75" s="1"/>
  <c r="D2" i="27"/>
  <c r="V102" i="75" s="1"/>
  <c r="W102" i="75" s="1"/>
  <c r="X102" i="75" s="1"/>
  <c r="Y102" i="75" s="1"/>
  <c r="Z102" i="75" s="1"/>
  <c r="AA102" i="75" s="1"/>
  <c r="AB102" i="75" s="1"/>
  <c r="AC102" i="75" s="1"/>
  <c r="AD102" i="75" s="1"/>
  <c r="AE102" i="75" s="1"/>
  <c r="B2" i="27"/>
  <c r="B102" i="75" s="1"/>
  <c r="Q6" i="17"/>
  <c r="P6" i="17"/>
  <c r="O6" i="17"/>
  <c r="N6" i="17"/>
  <c r="M6" i="17"/>
  <c r="L6" i="17"/>
  <c r="K6" i="17"/>
  <c r="J6" i="17"/>
  <c r="H6" i="17"/>
  <c r="G6" i="17"/>
  <c r="H21" i="5"/>
  <c r="J21" i="5"/>
  <c r="K21" i="5"/>
  <c r="I1" i="26"/>
  <c r="H1" i="26"/>
  <c r="G1" i="26"/>
  <c r="E1" i="26"/>
  <c r="D1" i="26"/>
  <c r="C1" i="26"/>
  <c r="C11" i="16"/>
  <c r="C5" i="16"/>
  <c r="C4" i="16"/>
  <c r="C3" i="16"/>
  <c r="I1" i="16"/>
  <c r="H1" i="16"/>
  <c r="G1" i="16"/>
  <c r="E1" i="16"/>
  <c r="D1" i="16"/>
  <c r="C1" i="16"/>
  <c r="I1" i="25"/>
  <c r="H1" i="25"/>
  <c r="G1" i="25"/>
  <c r="E1" i="25"/>
  <c r="D1" i="25"/>
  <c r="C1" i="25"/>
  <c r="O2" i="22"/>
  <c r="S2" i="22"/>
  <c r="T2" i="22"/>
  <c r="O3" i="22"/>
  <c r="S3" i="22"/>
  <c r="T3" i="22"/>
  <c r="O4" i="22"/>
  <c r="S4" i="22"/>
  <c r="T4" i="22"/>
  <c r="O5" i="22"/>
  <c r="S5" i="22"/>
  <c r="T5" i="22"/>
  <c r="B5" i="22"/>
  <c r="B4" i="22"/>
  <c r="B3" i="22"/>
  <c r="B2" i="22"/>
  <c r="A5" i="22"/>
  <c r="A4" i="22"/>
  <c r="A3" i="22"/>
  <c r="A2" i="22"/>
  <c r="O2" i="10"/>
  <c r="P2" i="10"/>
  <c r="Q2" i="10"/>
  <c r="R2" i="10"/>
  <c r="S2" i="10"/>
  <c r="T2" i="10"/>
  <c r="O3" i="10"/>
  <c r="P3" i="10"/>
  <c r="Q3" i="10"/>
  <c r="R3" i="10"/>
  <c r="S3" i="10"/>
  <c r="T3" i="10"/>
  <c r="O4" i="10"/>
  <c r="P4" i="10"/>
  <c r="Q4" i="10"/>
  <c r="R4" i="10"/>
  <c r="S4" i="10"/>
  <c r="T4" i="10"/>
  <c r="O5" i="10"/>
  <c r="P5" i="10"/>
  <c r="Q5" i="10"/>
  <c r="R5" i="10"/>
  <c r="S5" i="10"/>
  <c r="T5" i="10"/>
  <c r="B5" i="10"/>
  <c r="B4" i="10"/>
  <c r="C5" i="10"/>
  <c r="A5" i="10"/>
  <c r="C4" i="10"/>
  <c r="A4" i="10"/>
  <c r="C3" i="10"/>
  <c r="B3" i="10"/>
  <c r="A3" i="10"/>
  <c r="C2" i="10"/>
  <c r="B2" i="10"/>
  <c r="A2" i="10"/>
  <c r="AG102" i="75" l="1"/>
  <c r="AH102" i="75" s="1"/>
  <c r="AI102" i="75" s="1"/>
  <c r="AJ102" i="75" s="1"/>
  <c r="AK102" i="75" s="1"/>
  <c r="AL102" i="75" s="1"/>
  <c r="AM102" i="75" s="1"/>
  <c r="AN102" i="75" s="1"/>
  <c r="AO102" i="75" s="1"/>
  <c r="E4" i="25"/>
  <c r="G4" i="25"/>
  <c r="H4" i="25"/>
  <c r="C1" i="10"/>
  <c r="D1" i="10"/>
  <c r="E1" i="10"/>
  <c r="G1" i="10"/>
  <c r="H1" i="10"/>
  <c r="I1" i="10"/>
  <c r="J1" i="10"/>
  <c r="K1" i="10"/>
  <c r="L1" i="10"/>
  <c r="M1" i="10"/>
  <c r="N1" i="10"/>
  <c r="O1" i="10"/>
  <c r="P1" i="10"/>
  <c r="Q1" i="10"/>
  <c r="R1" i="10"/>
  <c r="S1" i="10"/>
  <c r="T1" i="10"/>
  <c r="Q6" i="10"/>
  <c r="R6" i="10"/>
  <c r="C6" i="10"/>
  <c r="O6" i="10"/>
  <c r="P6" i="10"/>
  <c r="S6" i="10"/>
  <c r="T6" i="10"/>
  <c r="B18" i="21"/>
  <c r="A18" i="21"/>
  <c r="B17" i="21"/>
  <c r="A17" i="21"/>
  <c r="B9" i="21"/>
  <c r="A9" i="21"/>
  <c r="B6" i="21"/>
  <c r="B4" i="21"/>
  <c r="A4" i="21"/>
  <c r="B3" i="21"/>
  <c r="A3" i="21"/>
  <c r="I1" i="21"/>
  <c r="H1" i="21"/>
  <c r="G1" i="21"/>
  <c r="E1" i="21"/>
  <c r="D1" i="21"/>
  <c r="C1" i="21"/>
  <c r="B18" i="1"/>
  <c r="A18" i="1"/>
  <c r="C17" i="1"/>
  <c r="B17" i="1"/>
  <c r="A17" i="1"/>
  <c r="C9" i="1"/>
  <c r="B9" i="1"/>
  <c r="A9" i="1"/>
  <c r="B6" i="1"/>
  <c r="C4" i="1"/>
  <c r="B4" i="1"/>
  <c r="A4" i="1"/>
  <c r="C3" i="1"/>
  <c r="B3" i="1"/>
  <c r="A3" i="1"/>
  <c r="N1" i="1"/>
  <c r="M1" i="1"/>
  <c r="L1" i="1"/>
  <c r="K1" i="1"/>
  <c r="J1" i="1"/>
  <c r="I1" i="1"/>
  <c r="H1" i="1"/>
  <c r="G1" i="1"/>
  <c r="E1" i="1"/>
  <c r="D1" i="1"/>
  <c r="C1" i="1"/>
  <c r="A4" i="20"/>
  <c r="A10" i="21" s="1"/>
  <c r="A3" i="20"/>
  <c r="A6" i="21" s="1"/>
  <c r="A2" i="20"/>
  <c r="N1" i="20"/>
  <c r="M1" i="20"/>
  <c r="L1" i="20"/>
  <c r="K1" i="20"/>
  <c r="J1" i="20"/>
  <c r="I1" i="20"/>
  <c r="H1" i="20"/>
  <c r="G1" i="20"/>
  <c r="E1" i="20"/>
  <c r="D1" i="20"/>
  <c r="C1" i="20"/>
  <c r="C4" i="7"/>
  <c r="C10" i="1" s="1"/>
  <c r="A4" i="7"/>
  <c r="A10" i="1" s="1"/>
  <c r="C3" i="7"/>
  <c r="C6" i="1" s="1"/>
  <c r="A3" i="7"/>
  <c r="A6" i="1" s="1"/>
  <c r="A2" i="7"/>
  <c r="N1" i="7"/>
  <c r="M1" i="7"/>
  <c r="L1" i="7"/>
  <c r="K1" i="7"/>
  <c r="J1" i="7"/>
  <c r="I1" i="7"/>
  <c r="H1" i="7"/>
  <c r="G1" i="7"/>
  <c r="E1" i="7"/>
  <c r="D1" i="7"/>
  <c r="C1" i="7"/>
  <c r="C5" i="14"/>
  <c r="C4" i="14"/>
  <c r="C3" i="14"/>
  <c r="C2" i="14"/>
  <c r="I1" i="14"/>
  <c r="H1" i="14"/>
  <c r="G1" i="14"/>
  <c r="E1" i="14"/>
  <c r="D1" i="14"/>
  <c r="C1" i="14"/>
  <c r="F16" i="5"/>
  <c r="C9" i="21" s="1"/>
  <c r="G16" i="5"/>
  <c r="D4" i="21" s="1"/>
  <c r="H16" i="5"/>
  <c r="E9" i="21" s="1"/>
  <c r="J16" i="5"/>
  <c r="G9" i="21" s="1"/>
  <c r="K16" i="5"/>
  <c r="H4" i="21" s="1"/>
  <c r="L16" i="5"/>
  <c r="M16" i="5"/>
  <c r="J9" i="21" s="1"/>
  <c r="N16" i="5"/>
  <c r="K9" i="21" s="1"/>
  <c r="O16" i="5"/>
  <c r="L4" i="21" s="1"/>
  <c r="P16" i="5"/>
  <c r="M9" i="21" s="1"/>
  <c r="Q16" i="5"/>
  <c r="G16" i="4"/>
  <c r="D9" i="1" s="1"/>
  <c r="H16" i="4"/>
  <c r="E9" i="1" s="1"/>
  <c r="J16" i="4"/>
  <c r="G9" i="1" s="1"/>
  <c r="K16" i="4"/>
  <c r="H4" i="1" s="1"/>
  <c r="L16" i="4"/>
  <c r="I9" i="1" s="1"/>
  <c r="M16" i="4"/>
  <c r="J9" i="1" s="1"/>
  <c r="N16" i="4"/>
  <c r="K9" i="1" s="1"/>
  <c r="O16" i="4"/>
  <c r="P16" i="4"/>
  <c r="M9" i="1" s="1"/>
  <c r="Q16" i="4"/>
  <c r="N9" i="1" s="1"/>
  <c r="I1" i="54"/>
  <c r="K1" i="18"/>
  <c r="J2" i="19" s="1"/>
  <c r="L1" i="18"/>
  <c r="K2" i="19" s="1"/>
  <c r="I1" i="55"/>
  <c r="I13" i="5"/>
  <c r="I13" i="4"/>
  <c r="I37" i="5" l="1"/>
  <c r="I39" i="5"/>
  <c r="I38" i="5"/>
  <c r="N9" i="21"/>
  <c r="U16" i="5"/>
  <c r="T16" i="5"/>
  <c r="I9" i="21"/>
  <c r="S16" i="5"/>
  <c r="F1" i="20"/>
  <c r="I34" i="5"/>
  <c r="I35" i="5"/>
  <c r="I36" i="5"/>
  <c r="I33" i="5"/>
  <c r="I16" i="4"/>
  <c r="F9" i="1" s="1"/>
  <c r="I33" i="4"/>
  <c r="I34" i="4"/>
  <c r="I35" i="4"/>
  <c r="I36" i="4"/>
  <c r="H30" i="25"/>
  <c r="F1" i="21"/>
  <c r="I16" i="5"/>
  <c r="F9" i="21" s="1"/>
  <c r="F1" i="1"/>
  <c r="C6" i="16"/>
  <c r="C61" i="27"/>
  <c r="C31" i="27"/>
  <c r="I6" i="17"/>
  <c r="F1" i="16"/>
  <c r="C2" i="27"/>
  <c r="L102" i="75" s="1"/>
  <c r="I21" i="5"/>
  <c r="F1" i="26"/>
  <c r="F1" i="25"/>
  <c r="F1" i="14"/>
  <c r="F1" i="7"/>
  <c r="F1" i="10"/>
  <c r="D9" i="21"/>
  <c r="H9" i="21"/>
  <c r="L9" i="21"/>
  <c r="J4" i="21"/>
  <c r="N4" i="21"/>
  <c r="E4" i="21"/>
  <c r="I4" i="21"/>
  <c r="M4" i="21"/>
  <c r="C4" i="21"/>
  <c r="G4" i="21"/>
  <c r="K4" i="21"/>
  <c r="L4" i="1"/>
  <c r="L9" i="1"/>
  <c r="H9" i="1"/>
  <c r="D4" i="1"/>
  <c r="E4" i="1"/>
  <c r="I4" i="1"/>
  <c r="M4" i="1"/>
  <c r="J4" i="1"/>
  <c r="N4" i="1"/>
  <c r="G4" i="1"/>
  <c r="K4" i="1"/>
  <c r="I32" i="17" l="1"/>
  <c r="I33" i="17"/>
  <c r="I31" i="17"/>
  <c r="M102" i="75"/>
  <c r="N102" i="75" s="1"/>
  <c r="O102" i="75" s="1"/>
  <c r="P102" i="75" s="1"/>
  <c r="Q102" i="75" s="1"/>
  <c r="R102" i="75" s="1"/>
  <c r="S102" i="75" s="1"/>
  <c r="T102" i="75" s="1"/>
  <c r="U102" i="75" s="1"/>
  <c r="C102" i="75"/>
  <c r="D102" i="75" s="1"/>
  <c r="E102" i="75" s="1"/>
  <c r="F102" i="75" s="1"/>
  <c r="G102" i="75" s="1"/>
  <c r="H102" i="75" s="1"/>
  <c r="I102" i="75" s="1"/>
  <c r="J102" i="75" s="1"/>
  <c r="K102" i="75" s="1"/>
  <c r="F4" i="1"/>
  <c r="F4" i="21"/>
  <c r="F4" i="25"/>
  <c r="H15" i="4"/>
  <c r="E3" i="1" s="1"/>
  <c r="F30" i="25" l="1"/>
  <c r="G30" i="25"/>
  <c r="B202" i="35"/>
  <c r="C202" i="35"/>
  <c r="B199" i="35"/>
  <c r="C199" i="35"/>
  <c r="B196" i="35"/>
  <c r="C196" i="35"/>
  <c r="B193" i="35"/>
  <c r="C193" i="35"/>
  <c r="B190" i="35"/>
  <c r="C190" i="35"/>
  <c r="B187" i="35"/>
  <c r="C187" i="35"/>
  <c r="B184" i="35"/>
  <c r="C184" i="35"/>
  <c r="B181" i="35"/>
  <c r="C181" i="35"/>
  <c r="B178" i="35"/>
  <c r="C178" i="35"/>
  <c r="B175" i="35"/>
  <c r="C175" i="35"/>
  <c r="C172" i="35"/>
  <c r="B172" i="35"/>
  <c r="C169" i="35"/>
  <c r="B169" i="35"/>
  <c r="C165" i="35"/>
  <c r="B165" i="35"/>
  <c r="C162" i="35"/>
  <c r="B162" i="35"/>
  <c r="C159" i="35"/>
  <c r="B159" i="35"/>
  <c r="C156" i="35"/>
  <c r="B156" i="35"/>
  <c r="C153" i="35"/>
  <c r="B153" i="35"/>
  <c r="E75" i="35"/>
  <c r="F75" i="35"/>
  <c r="G75" i="35"/>
  <c r="H75" i="35"/>
  <c r="I75" i="35"/>
  <c r="J75" i="35"/>
  <c r="K75" i="35"/>
  <c r="L75" i="35"/>
  <c r="M75" i="35"/>
  <c r="N75" i="35"/>
  <c r="O75" i="35"/>
  <c r="P75" i="35"/>
  <c r="Q75" i="35"/>
  <c r="R75" i="35"/>
  <c r="S75" i="35"/>
  <c r="T75" i="35"/>
  <c r="D75" i="35"/>
  <c r="E2" i="35"/>
  <c r="F2" i="35"/>
  <c r="G2" i="35"/>
  <c r="H2" i="35"/>
  <c r="I2" i="35"/>
  <c r="J2" i="35"/>
  <c r="K2" i="35"/>
  <c r="L2" i="35"/>
  <c r="M2" i="35"/>
  <c r="N2" i="35"/>
  <c r="D2" i="35"/>
  <c r="C14" i="55" l="1"/>
  <c r="D14" i="55"/>
  <c r="E14" i="55"/>
  <c r="F14" i="55"/>
  <c r="G14" i="55"/>
  <c r="H14" i="55"/>
  <c r="I14" i="55"/>
  <c r="C2" i="55"/>
  <c r="C10" i="54"/>
  <c r="D10" i="54"/>
  <c r="E10" i="54"/>
  <c r="O52" i="35" l="1"/>
  <c r="O53" i="35" s="1"/>
  <c r="P52" i="35"/>
  <c r="Q52" i="35"/>
  <c r="Q53" i="35" s="1"/>
  <c r="R52" i="35"/>
  <c r="R53" i="35" s="1"/>
  <c r="S52" i="35"/>
  <c r="S53" i="35" s="1"/>
  <c r="T52" i="35"/>
  <c r="O129" i="35"/>
  <c r="O130" i="35" s="1"/>
  <c r="P129" i="35"/>
  <c r="Q129" i="35"/>
  <c r="Q130" i="35" s="1"/>
  <c r="R129" i="35"/>
  <c r="R130" i="35" s="1"/>
  <c r="S129" i="35"/>
  <c r="S130" i="35" s="1"/>
  <c r="T129" i="35"/>
  <c r="M2" i="15"/>
  <c r="N2" i="15"/>
  <c r="S17" i="15" l="1"/>
  <c r="S18" i="15"/>
  <c r="S19" i="15"/>
  <c r="S20" i="15"/>
  <c r="S21" i="15"/>
  <c r="S22" i="15"/>
  <c r="S23" i="15"/>
  <c r="S24" i="15"/>
  <c r="S25" i="15"/>
  <c r="S26" i="15"/>
  <c r="S27" i="15"/>
  <c r="S28" i="15"/>
  <c r="S29" i="15"/>
  <c r="O17" i="15"/>
  <c r="O18" i="15"/>
  <c r="O19" i="15"/>
  <c r="O20" i="15"/>
  <c r="O21" i="15"/>
  <c r="O22" i="15"/>
  <c r="O23" i="15"/>
  <c r="O24" i="15"/>
  <c r="O25" i="15"/>
  <c r="O26" i="15"/>
  <c r="O27" i="15"/>
  <c r="O28" i="15"/>
  <c r="O29" i="15"/>
  <c r="O30" i="15"/>
  <c r="S3" i="15"/>
  <c r="O3" i="15"/>
  <c r="R14" i="15"/>
  <c r="N14" i="15"/>
  <c r="R13" i="15"/>
  <c r="N13" i="15"/>
  <c r="R12" i="15"/>
  <c r="N12" i="15"/>
  <c r="R11" i="15"/>
  <c r="N11" i="15"/>
  <c r="R10" i="15"/>
  <c r="N10" i="15"/>
  <c r="R9" i="15"/>
  <c r="N9" i="15"/>
  <c r="R8" i="15"/>
  <c r="N8" i="15"/>
  <c r="R7" i="15"/>
  <c r="N7" i="15"/>
  <c r="R6" i="15"/>
  <c r="N6" i="15"/>
  <c r="R5" i="15"/>
  <c r="N5" i="15"/>
  <c r="R4" i="15"/>
  <c r="N4" i="15"/>
  <c r="S16" i="15"/>
  <c r="O16" i="15"/>
  <c r="O31" i="15"/>
  <c r="R17" i="15"/>
  <c r="R18" i="15"/>
  <c r="R19" i="15"/>
  <c r="R20" i="15"/>
  <c r="R21" i="15"/>
  <c r="R22" i="15"/>
  <c r="R23" i="15"/>
  <c r="R24" i="15"/>
  <c r="R26" i="15"/>
  <c r="R25" i="15"/>
  <c r="R27" i="15"/>
  <c r="R28" i="15"/>
  <c r="R29" i="15"/>
  <c r="R30" i="15"/>
  <c r="R31" i="15"/>
  <c r="N17" i="15"/>
  <c r="N18" i="15"/>
  <c r="N19" i="15"/>
  <c r="N20" i="15"/>
  <c r="N21" i="15"/>
  <c r="N22" i="15"/>
  <c r="N23" i="15"/>
  <c r="N24" i="15"/>
  <c r="N25" i="15"/>
  <c r="N26" i="15"/>
  <c r="N27" i="15"/>
  <c r="N28" i="15"/>
  <c r="N29" i="15"/>
  <c r="N30" i="15"/>
  <c r="N31" i="15"/>
  <c r="R3" i="15"/>
  <c r="N3" i="15"/>
  <c r="Q14" i="15"/>
  <c r="M14" i="15"/>
  <c r="Q13" i="15"/>
  <c r="M13" i="15"/>
  <c r="Q12" i="15"/>
  <c r="M12" i="15"/>
  <c r="Q11" i="15"/>
  <c r="M11" i="15"/>
  <c r="Q10" i="15"/>
  <c r="M10" i="15"/>
  <c r="Q9" i="15"/>
  <c r="M9" i="15"/>
  <c r="Q8" i="15"/>
  <c r="M8" i="15"/>
  <c r="Q7" i="15"/>
  <c r="M7" i="15"/>
  <c r="Q6" i="15"/>
  <c r="M6" i="15"/>
  <c r="Q5" i="15"/>
  <c r="M5" i="15"/>
  <c r="Q4" i="15"/>
  <c r="M4" i="15"/>
  <c r="R16" i="15"/>
  <c r="N16" i="15"/>
  <c r="Q17" i="15"/>
  <c r="Q18" i="15"/>
  <c r="Q19" i="15"/>
  <c r="Q20" i="15"/>
  <c r="Q21" i="15"/>
  <c r="Q22" i="15"/>
  <c r="Q23" i="15"/>
  <c r="Q24" i="15"/>
  <c r="Q25" i="15"/>
  <c r="Q26" i="15"/>
  <c r="Q27" i="15"/>
  <c r="Q28" i="15"/>
  <c r="Q29" i="15"/>
  <c r="Q30" i="15"/>
  <c r="Q31" i="15"/>
  <c r="M17" i="15"/>
  <c r="M18" i="15"/>
  <c r="M19" i="15"/>
  <c r="M20" i="15"/>
  <c r="M21" i="15"/>
  <c r="M22" i="15"/>
  <c r="M23" i="15"/>
  <c r="M25" i="15"/>
  <c r="M27" i="15"/>
  <c r="M28" i="15"/>
  <c r="M29" i="15"/>
  <c r="M30" i="15"/>
  <c r="M31" i="15"/>
  <c r="M24" i="15"/>
  <c r="M26" i="15"/>
  <c r="Q3" i="15"/>
  <c r="M3" i="15"/>
  <c r="T14" i="15"/>
  <c r="P14" i="15"/>
  <c r="T13" i="15"/>
  <c r="P13" i="15"/>
  <c r="T12" i="15"/>
  <c r="P12" i="15"/>
  <c r="T11" i="15"/>
  <c r="P11" i="15"/>
  <c r="T10" i="15"/>
  <c r="P10" i="15"/>
  <c r="T9" i="15"/>
  <c r="P9" i="15"/>
  <c r="T8" i="15"/>
  <c r="P8" i="15"/>
  <c r="T7" i="15"/>
  <c r="P7" i="15"/>
  <c r="T6" i="15"/>
  <c r="P6" i="15"/>
  <c r="T5" i="15"/>
  <c r="P5" i="15"/>
  <c r="T4" i="15"/>
  <c r="P4" i="15"/>
  <c r="Q16" i="15"/>
  <c r="M16" i="15"/>
  <c r="P18" i="15"/>
  <c r="P22" i="15"/>
  <c r="P24" i="15"/>
  <c r="P26" i="15"/>
  <c r="P17" i="15"/>
  <c r="P21" i="15"/>
  <c r="P28" i="15"/>
  <c r="P29" i="15"/>
  <c r="P30" i="15"/>
  <c r="P31" i="15"/>
  <c r="P20" i="15"/>
  <c r="P25" i="15"/>
  <c r="P27" i="15"/>
  <c r="P19" i="15"/>
  <c r="P23" i="15"/>
  <c r="T17" i="15"/>
  <c r="T18" i="15"/>
  <c r="T19" i="15"/>
  <c r="T20" i="15"/>
  <c r="T21" i="15"/>
  <c r="T22" i="15"/>
  <c r="T23" i="15"/>
  <c r="T24" i="15"/>
  <c r="T25" i="15"/>
  <c r="T26" i="15"/>
  <c r="T27" i="15"/>
  <c r="T28" i="15"/>
  <c r="T29" i="15"/>
  <c r="T30" i="15"/>
  <c r="T31" i="15"/>
  <c r="T3" i="15"/>
  <c r="P3" i="15"/>
  <c r="S14" i="15"/>
  <c r="O14" i="15"/>
  <c r="S13" i="15"/>
  <c r="O13" i="15"/>
  <c r="S12" i="15"/>
  <c r="O12" i="15"/>
  <c r="S11" i="15"/>
  <c r="O11" i="15"/>
  <c r="S10" i="15"/>
  <c r="O10" i="15"/>
  <c r="S9" i="15"/>
  <c r="O9" i="15"/>
  <c r="S8" i="15"/>
  <c r="O8" i="15"/>
  <c r="S7" i="15"/>
  <c r="O7" i="15"/>
  <c r="S6" i="15"/>
  <c r="O6" i="15"/>
  <c r="S5" i="15"/>
  <c r="O5" i="15"/>
  <c r="S4" i="15"/>
  <c r="O4" i="15"/>
  <c r="T16" i="15"/>
  <c r="P16" i="15"/>
  <c r="S31" i="15"/>
  <c r="S30" i="15"/>
  <c r="T130" i="35"/>
  <c r="P130" i="35"/>
  <c r="T53" i="35"/>
  <c r="P53" i="35"/>
  <c r="T1" i="22"/>
  <c r="S1" i="22"/>
  <c r="M1" i="22"/>
  <c r="N1" i="22"/>
  <c r="O1" i="22"/>
  <c r="P1" i="22"/>
  <c r="Q1" i="22"/>
  <c r="R1" i="22"/>
  <c r="G15" i="5"/>
  <c r="D3" i="21" s="1"/>
  <c r="H15" i="5"/>
  <c r="E3" i="21" s="1"/>
  <c r="I15" i="5"/>
  <c r="F3" i="21" s="1"/>
  <c r="J15" i="5"/>
  <c r="G3" i="21" s="1"/>
  <c r="K15" i="5"/>
  <c r="H3" i="21" s="1"/>
  <c r="L15" i="5"/>
  <c r="M15" i="5"/>
  <c r="J3" i="21" s="1"/>
  <c r="N15" i="5"/>
  <c r="K3" i="21" s="1"/>
  <c r="O15" i="5"/>
  <c r="L3" i="21" s="1"/>
  <c r="P15" i="5"/>
  <c r="M3" i="21" s="1"/>
  <c r="Q15" i="5"/>
  <c r="G17" i="5"/>
  <c r="D17" i="21" s="1"/>
  <c r="H17" i="5"/>
  <c r="E17" i="21" s="1"/>
  <c r="I17" i="5"/>
  <c r="F17" i="21" s="1"/>
  <c r="J17" i="5"/>
  <c r="G17" i="21" s="1"/>
  <c r="K17" i="5"/>
  <c r="H17" i="21" s="1"/>
  <c r="L17" i="5"/>
  <c r="M17" i="5"/>
  <c r="J17" i="21" s="1"/>
  <c r="N17" i="5"/>
  <c r="K17" i="21" s="1"/>
  <c r="O17" i="5"/>
  <c r="L17" i="21" s="1"/>
  <c r="P17" i="5"/>
  <c r="M17" i="21" s="1"/>
  <c r="Q17" i="5"/>
  <c r="G18" i="5"/>
  <c r="D109" i="35" s="1"/>
  <c r="H18" i="5"/>
  <c r="I18" i="5"/>
  <c r="J18" i="5"/>
  <c r="K18" i="5"/>
  <c r="L18" i="5"/>
  <c r="M18" i="5"/>
  <c r="N18" i="5"/>
  <c r="O18" i="5"/>
  <c r="P18" i="5"/>
  <c r="Q18" i="5"/>
  <c r="G19" i="5"/>
  <c r="H19" i="5"/>
  <c r="I19" i="5"/>
  <c r="J19" i="5"/>
  <c r="K19" i="5"/>
  <c r="L19" i="5"/>
  <c r="M19" i="5"/>
  <c r="N19" i="5"/>
  <c r="O19" i="5"/>
  <c r="P19" i="5"/>
  <c r="Q19" i="5"/>
  <c r="G20" i="5"/>
  <c r="G15" i="17" s="1"/>
  <c r="H20" i="5"/>
  <c r="H15" i="17" s="1"/>
  <c r="I20" i="5"/>
  <c r="I15" i="17" s="1"/>
  <c r="L132" i="87" s="1"/>
  <c r="J20" i="5"/>
  <c r="J15" i="17" s="1"/>
  <c r="V132" i="87" s="1"/>
  <c r="K20" i="5"/>
  <c r="K15" i="17" s="1"/>
  <c r="AF132" i="87" s="1"/>
  <c r="L20" i="5"/>
  <c r="M20" i="5"/>
  <c r="M15" i="17" s="1"/>
  <c r="AZ132" i="87" s="1"/>
  <c r="N20" i="5"/>
  <c r="N15" i="17" s="1"/>
  <c r="BJ132" i="87" s="1"/>
  <c r="O20" i="5"/>
  <c r="O15" i="17" s="1"/>
  <c r="BT132" i="87" s="1"/>
  <c r="P20" i="5"/>
  <c r="P15" i="17" s="1"/>
  <c r="CD132" i="87" s="1"/>
  <c r="Q20" i="5"/>
  <c r="G21" i="5"/>
  <c r="L21" i="5"/>
  <c r="M21" i="5"/>
  <c r="N21" i="5"/>
  <c r="O21" i="5"/>
  <c r="P21" i="5"/>
  <c r="Q21" i="5"/>
  <c r="G22" i="5"/>
  <c r="H22" i="5"/>
  <c r="I22" i="5"/>
  <c r="J22" i="5"/>
  <c r="K22" i="5"/>
  <c r="L22" i="5"/>
  <c r="M22" i="5"/>
  <c r="N22" i="5"/>
  <c r="O22" i="5"/>
  <c r="P22" i="5"/>
  <c r="Q22" i="5"/>
  <c r="G23" i="5"/>
  <c r="H23" i="5"/>
  <c r="I23" i="5"/>
  <c r="J23" i="5"/>
  <c r="K23" i="5"/>
  <c r="L23" i="5"/>
  <c r="M23" i="5"/>
  <c r="N23" i="5"/>
  <c r="O23" i="5"/>
  <c r="P23" i="5"/>
  <c r="Q23" i="5"/>
  <c r="G24" i="5"/>
  <c r="H24" i="5"/>
  <c r="I24" i="5"/>
  <c r="J24" i="5"/>
  <c r="K24" i="5"/>
  <c r="L24" i="5"/>
  <c r="M24" i="5"/>
  <c r="N24" i="5"/>
  <c r="O24" i="5"/>
  <c r="P24" i="5"/>
  <c r="Q24" i="5"/>
  <c r="P25" i="5"/>
  <c r="Q25" i="5"/>
  <c r="G26" i="5"/>
  <c r="H26" i="5"/>
  <c r="I26" i="5"/>
  <c r="J26" i="5"/>
  <c r="K26" i="5"/>
  <c r="L26" i="5"/>
  <c r="M26" i="5"/>
  <c r="N26" i="5"/>
  <c r="O26" i="5"/>
  <c r="P26" i="5"/>
  <c r="Q26" i="5"/>
  <c r="G27" i="5"/>
  <c r="H27" i="5"/>
  <c r="I27" i="5"/>
  <c r="J27" i="5"/>
  <c r="K27" i="5"/>
  <c r="L27" i="5"/>
  <c r="M27" i="5"/>
  <c r="N27" i="5"/>
  <c r="O27" i="5"/>
  <c r="P27" i="5"/>
  <c r="Q27" i="5"/>
  <c r="G28" i="5"/>
  <c r="H28" i="5"/>
  <c r="I28" i="5"/>
  <c r="J28" i="5"/>
  <c r="K28" i="5"/>
  <c r="L28" i="5"/>
  <c r="M28" i="5"/>
  <c r="N28" i="5"/>
  <c r="O28" i="5"/>
  <c r="P28" i="5"/>
  <c r="Q28" i="5"/>
  <c r="G29" i="5"/>
  <c r="H29" i="5"/>
  <c r="E2" i="20" s="1"/>
  <c r="E15" i="20" s="1"/>
  <c r="I29" i="5"/>
  <c r="F2" i="20" s="1"/>
  <c r="J29" i="5"/>
  <c r="G2" i="20" s="1"/>
  <c r="K29" i="5"/>
  <c r="H2" i="20" s="1"/>
  <c r="L29" i="5"/>
  <c r="M29" i="5"/>
  <c r="J2" i="20" s="1"/>
  <c r="N29" i="5"/>
  <c r="K2" i="20" s="1"/>
  <c r="O29" i="5"/>
  <c r="L2" i="20" s="1"/>
  <c r="P29" i="5"/>
  <c r="M2" i="20" s="1"/>
  <c r="Q29" i="5"/>
  <c r="G30" i="5"/>
  <c r="D3" i="20" s="1"/>
  <c r="D6" i="21" s="1"/>
  <c r="H30" i="5"/>
  <c r="E3" i="20" s="1"/>
  <c r="E6" i="21" s="1"/>
  <c r="B18" i="27" s="1"/>
  <c r="I30" i="5"/>
  <c r="F3" i="20" s="1"/>
  <c r="F6" i="21" s="1"/>
  <c r="C18" i="27" s="1"/>
  <c r="J30" i="5"/>
  <c r="G3" i="20" s="1"/>
  <c r="G6" i="21" s="1"/>
  <c r="D18" i="27" s="1"/>
  <c r="K30" i="5"/>
  <c r="H3" i="20" s="1"/>
  <c r="H6" i="21" s="1"/>
  <c r="E18" i="27" s="1"/>
  <c r="L30" i="5"/>
  <c r="M30" i="5"/>
  <c r="J3" i="20" s="1"/>
  <c r="J6" i="21" s="1"/>
  <c r="G18" i="27" s="1"/>
  <c r="N30" i="5"/>
  <c r="K3" i="20" s="1"/>
  <c r="K6" i="21" s="1"/>
  <c r="H18" i="27" s="1"/>
  <c r="O30" i="5"/>
  <c r="L3" i="20" s="1"/>
  <c r="L6" i="21" s="1"/>
  <c r="I18" i="27" s="1"/>
  <c r="P30" i="5"/>
  <c r="M3" i="20" s="1"/>
  <c r="M6" i="21" s="1"/>
  <c r="J18" i="27" s="1"/>
  <c r="Q30" i="5"/>
  <c r="G31" i="5"/>
  <c r="H31" i="5"/>
  <c r="I31" i="5"/>
  <c r="J31" i="5"/>
  <c r="K31" i="5"/>
  <c r="L31" i="5"/>
  <c r="M31" i="5"/>
  <c r="N31" i="5"/>
  <c r="O31" i="5"/>
  <c r="P31" i="5"/>
  <c r="Q31" i="5"/>
  <c r="G32" i="5"/>
  <c r="H32" i="5"/>
  <c r="I32" i="5"/>
  <c r="J32" i="5"/>
  <c r="K32" i="5"/>
  <c r="L32" i="5"/>
  <c r="M32" i="5"/>
  <c r="N32" i="5"/>
  <c r="O32" i="5"/>
  <c r="P32" i="5"/>
  <c r="Q32" i="5"/>
  <c r="D4" i="20"/>
  <c r="D10" i="21" s="1"/>
  <c r="E4" i="20"/>
  <c r="E10" i="21" s="1"/>
  <c r="B21" i="27" s="1"/>
  <c r="F4" i="20"/>
  <c r="F10" i="21" s="1"/>
  <c r="C21" i="27" s="1"/>
  <c r="G4" i="20"/>
  <c r="G10" i="21" s="1"/>
  <c r="D21" i="27" s="1"/>
  <c r="H4" i="20"/>
  <c r="H10" i="21" s="1"/>
  <c r="E21" i="27" s="1"/>
  <c r="I4" i="20"/>
  <c r="I10" i="21" s="1"/>
  <c r="F21" i="27" s="1"/>
  <c r="J4" i="20"/>
  <c r="J10" i="21" s="1"/>
  <c r="G21" i="27" s="1"/>
  <c r="K4" i="20"/>
  <c r="K10" i="21" s="1"/>
  <c r="H21" i="27" s="1"/>
  <c r="L4" i="20"/>
  <c r="L10" i="21" s="1"/>
  <c r="I21" i="27" s="1"/>
  <c r="M4" i="20"/>
  <c r="M10" i="21" s="1"/>
  <c r="J21" i="27" s="1"/>
  <c r="N4" i="20"/>
  <c r="N10" i="21" s="1"/>
  <c r="K21" i="27" s="1"/>
  <c r="G14" i="5"/>
  <c r="G14" i="17" s="1"/>
  <c r="H14" i="5"/>
  <c r="H14" i="17" s="1"/>
  <c r="I14" i="5"/>
  <c r="J14" i="5"/>
  <c r="J14" i="17" s="1"/>
  <c r="V131" i="87" s="1"/>
  <c r="K14" i="5"/>
  <c r="K14" i="17" s="1"/>
  <c r="AF131" i="87" s="1"/>
  <c r="L14" i="5"/>
  <c r="M14" i="5"/>
  <c r="M14" i="17" s="1"/>
  <c r="AZ131" i="87" s="1"/>
  <c r="N14" i="5"/>
  <c r="N14" i="17" s="1"/>
  <c r="BJ131" i="87" s="1"/>
  <c r="O14" i="5"/>
  <c r="O14" i="17" s="1"/>
  <c r="BT131" i="87" s="1"/>
  <c r="Q14" i="5"/>
  <c r="P14" i="5"/>
  <c r="P14" i="17" s="1"/>
  <c r="CD131" i="87" s="1"/>
  <c r="G15" i="4"/>
  <c r="D3" i="1" s="1"/>
  <c r="I15" i="4"/>
  <c r="F3" i="1" s="1"/>
  <c r="J15" i="4"/>
  <c r="G3" i="1" s="1"/>
  <c r="K15" i="4"/>
  <c r="H3" i="1" s="1"/>
  <c r="L15" i="4"/>
  <c r="I3" i="1" s="1"/>
  <c r="M15" i="4"/>
  <c r="J3" i="1" s="1"/>
  <c r="N15" i="4"/>
  <c r="K3" i="1" s="1"/>
  <c r="O15" i="4"/>
  <c r="L3" i="1" s="1"/>
  <c r="G17" i="4"/>
  <c r="D17" i="1" s="1"/>
  <c r="H17" i="4"/>
  <c r="E17" i="1" s="1"/>
  <c r="I17" i="4"/>
  <c r="F17" i="1" s="1"/>
  <c r="J17" i="4"/>
  <c r="G17" i="1" s="1"/>
  <c r="K17" i="4"/>
  <c r="H17" i="1" s="1"/>
  <c r="L17" i="4"/>
  <c r="I17" i="1" s="1"/>
  <c r="M17" i="4"/>
  <c r="J17" i="1" s="1"/>
  <c r="N17" i="4"/>
  <c r="K17" i="1" s="1"/>
  <c r="O17" i="4"/>
  <c r="L17" i="1" s="1"/>
  <c r="G18" i="4"/>
  <c r="D36" i="35" s="1"/>
  <c r="H18" i="4"/>
  <c r="I18" i="4"/>
  <c r="J18" i="4"/>
  <c r="K18" i="4"/>
  <c r="L18" i="4"/>
  <c r="M18" i="4"/>
  <c r="N18" i="4"/>
  <c r="O18" i="4"/>
  <c r="G19" i="4"/>
  <c r="H19" i="4"/>
  <c r="I19" i="4"/>
  <c r="J19" i="4"/>
  <c r="K19" i="4"/>
  <c r="L19" i="4"/>
  <c r="M19" i="4"/>
  <c r="N19" i="4"/>
  <c r="O19" i="4"/>
  <c r="G20" i="4"/>
  <c r="G9" i="17" s="1"/>
  <c r="H20" i="4"/>
  <c r="H9" i="17" s="1"/>
  <c r="I20" i="4"/>
  <c r="I9" i="17" s="1"/>
  <c r="L91" i="87" s="1"/>
  <c r="J20" i="4"/>
  <c r="J9" i="17" s="1"/>
  <c r="V91" i="87" s="1"/>
  <c r="K20" i="4"/>
  <c r="K9" i="17" s="1"/>
  <c r="AF91" i="87" s="1"/>
  <c r="L20" i="4"/>
  <c r="L9" i="17" s="1"/>
  <c r="AP91" i="87" s="1"/>
  <c r="M20" i="4"/>
  <c r="M9" i="17" s="1"/>
  <c r="AZ91" i="87" s="1"/>
  <c r="N20" i="4"/>
  <c r="N9" i="17" s="1"/>
  <c r="BJ91" i="87" s="1"/>
  <c r="O20" i="4"/>
  <c r="O9" i="17" s="1"/>
  <c r="BT91" i="87" s="1"/>
  <c r="G21" i="4"/>
  <c r="H21" i="4"/>
  <c r="I21" i="4"/>
  <c r="J21" i="4"/>
  <c r="K21" i="4"/>
  <c r="L21" i="4"/>
  <c r="M21" i="4"/>
  <c r="N21" i="4"/>
  <c r="O21" i="4"/>
  <c r="G22" i="4"/>
  <c r="H22" i="4"/>
  <c r="I22" i="4"/>
  <c r="J22" i="4"/>
  <c r="K22" i="4"/>
  <c r="L22" i="4"/>
  <c r="M22" i="4"/>
  <c r="N22" i="4"/>
  <c r="O22" i="4"/>
  <c r="G23" i="4"/>
  <c r="H23" i="4"/>
  <c r="I23" i="4"/>
  <c r="J23" i="4"/>
  <c r="K23" i="4"/>
  <c r="L23" i="4"/>
  <c r="M23" i="4"/>
  <c r="N23" i="4"/>
  <c r="O23" i="4"/>
  <c r="G24" i="4"/>
  <c r="H24" i="4"/>
  <c r="I24" i="4"/>
  <c r="J24" i="4"/>
  <c r="K24" i="4"/>
  <c r="L24" i="4"/>
  <c r="M24" i="4"/>
  <c r="N24" i="4"/>
  <c r="O24" i="4"/>
  <c r="G26" i="4"/>
  <c r="H26" i="4"/>
  <c r="I26" i="4"/>
  <c r="J26" i="4"/>
  <c r="K26" i="4"/>
  <c r="L26" i="4"/>
  <c r="M26" i="4"/>
  <c r="N26" i="4"/>
  <c r="O26" i="4"/>
  <c r="G27" i="4"/>
  <c r="H27" i="4"/>
  <c r="I27" i="4"/>
  <c r="J27" i="4"/>
  <c r="K27" i="4"/>
  <c r="L27" i="4"/>
  <c r="M27" i="4"/>
  <c r="N27" i="4"/>
  <c r="O27" i="4"/>
  <c r="G28" i="4"/>
  <c r="H28" i="4"/>
  <c r="I28" i="4"/>
  <c r="J28" i="4"/>
  <c r="K28" i="4"/>
  <c r="L28" i="4"/>
  <c r="M28" i="4"/>
  <c r="N28" i="4"/>
  <c r="O28" i="4"/>
  <c r="G29" i="4"/>
  <c r="H29" i="4"/>
  <c r="E2" i="7" s="1"/>
  <c r="I29" i="4"/>
  <c r="F2" i="7" s="1"/>
  <c r="J29" i="4"/>
  <c r="G2" i="7" s="1"/>
  <c r="K29" i="4"/>
  <c r="H2" i="7" s="1"/>
  <c r="L29" i="4"/>
  <c r="I2" i="7" s="1"/>
  <c r="M29" i="4"/>
  <c r="J2" i="7" s="1"/>
  <c r="N29" i="4"/>
  <c r="K2" i="7" s="1"/>
  <c r="O29" i="4"/>
  <c r="L2" i="7" s="1"/>
  <c r="G30" i="4"/>
  <c r="D3" i="7" s="1"/>
  <c r="H30" i="4"/>
  <c r="E3" i="7" s="1"/>
  <c r="I30" i="4"/>
  <c r="F3" i="7" s="1"/>
  <c r="J30" i="4"/>
  <c r="G3" i="7" s="1"/>
  <c r="K30" i="4"/>
  <c r="H3" i="7" s="1"/>
  <c r="L30" i="4"/>
  <c r="I3" i="7" s="1"/>
  <c r="M30" i="4"/>
  <c r="J3" i="7" s="1"/>
  <c r="N30" i="4"/>
  <c r="K3" i="7" s="1"/>
  <c r="O30" i="4"/>
  <c r="L3" i="7" s="1"/>
  <c r="G31" i="4"/>
  <c r="H31" i="4"/>
  <c r="I31" i="4"/>
  <c r="J31" i="4"/>
  <c r="K31" i="4"/>
  <c r="L31" i="4"/>
  <c r="M31" i="4"/>
  <c r="N31" i="4"/>
  <c r="O31" i="4"/>
  <c r="G32" i="4"/>
  <c r="H32" i="4"/>
  <c r="I32" i="4"/>
  <c r="J32" i="4"/>
  <c r="K32" i="4"/>
  <c r="L32" i="4"/>
  <c r="M32" i="4"/>
  <c r="N32" i="4"/>
  <c r="O32" i="4"/>
  <c r="G33" i="4"/>
  <c r="D4" i="7" s="1"/>
  <c r="E4" i="7"/>
  <c r="F4" i="7"/>
  <c r="G4" i="7"/>
  <c r="H4" i="7"/>
  <c r="I4" i="7"/>
  <c r="J4" i="7"/>
  <c r="K4" i="7"/>
  <c r="L4" i="7"/>
  <c r="G14" i="4"/>
  <c r="G8" i="17" s="1"/>
  <c r="H14" i="4"/>
  <c r="H8" i="17" s="1"/>
  <c r="I14" i="4"/>
  <c r="I8" i="17" s="1"/>
  <c r="L90" i="87" s="1"/>
  <c r="J14" i="4"/>
  <c r="J8" i="17" s="1"/>
  <c r="V90" i="87" s="1"/>
  <c r="K14" i="4"/>
  <c r="K8" i="17" s="1"/>
  <c r="AF90" i="87" s="1"/>
  <c r="L14" i="4"/>
  <c r="L8" i="17" s="1"/>
  <c r="AP90" i="87" s="1"/>
  <c r="M14" i="4"/>
  <c r="M8" i="17" s="1"/>
  <c r="AZ90" i="87" s="1"/>
  <c r="N14" i="4"/>
  <c r="N8" i="17" s="1"/>
  <c r="BJ90" i="87" s="1"/>
  <c r="O14" i="4"/>
  <c r="O8" i="17" s="1"/>
  <c r="BT90" i="87" s="1"/>
  <c r="P15" i="4"/>
  <c r="M3" i="1" s="1"/>
  <c r="Q15" i="4"/>
  <c r="N3" i="1" s="1"/>
  <c r="P17" i="4"/>
  <c r="M17" i="1" s="1"/>
  <c r="Q17" i="4"/>
  <c r="N17" i="1" s="1"/>
  <c r="P18" i="4"/>
  <c r="Q18" i="4"/>
  <c r="P19" i="4"/>
  <c r="Q19" i="4"/>
  <c r="P20" i="4"/>
  <c r="P9" i="17" s="1"/>
  <c r="CD91" i="87" s="1"/>
  <c r="Q20" i="4"/>
  <c r="Q9" i="17" s="1"/>
  <c r="CN91" i="87" s="1"/>
  <c r="P21" i="4"/>
  <c r="Q21" i="4"/>
  <c r="P22" i="4"/>
  <c r="Q22" i="4"/>
  <c r="P23" i="4"/>
  <c r="Q23" i="4"/>
  <c r="P24" i="4"/>
  <c r="Q24" i="4"/>
  <c r="P25" i="4"/>
  <c r="Q25" i="4"/>
  <c r="P26" i="4"/>
  <c r="Q26" i="4"/>
  <c r="P27" i="4"/>
  <c r="Q27" i="4"/>
  <c r="P28" i="4"/>
  <c r="Q28" i="4"/>
  <c r="P29" i="4"/>
  <c r="M2" i="7" s="1"/>
  <c r="Q29" i="4"/>
  <c r="N2" i="7" s="1"/>
  <c r="P30" i="4"/>
  <c r="M3" i="7" s="1"/>
  <c r="Q30" i="4"/>
  <c r="N3" i="7" s="1"/>
  <c r="P31" i="4"/>
  <c r="Q31" i="4"/>
  <c r="P32" i="4"/>
  <c r="Q32" i="4"/>
  <c r="M4" i="7"/>
  <c r="N4" i="7"/>
  <c r="Q14" i="4"/>
  <c r="Q8" i="17" s="1"/>
  <c r="CN90" i="87" s="1"/>
  <c r="P14" i="4"/>
  <c r="P8" i="17" s="1"/>
  <c r="CD90" i="87" s="1"/>
  <c r="S21" i="5" l="1"/>
  <c r="I14" i="17"/>
  <c r="L131" i="87" s="1"/>
  <c r="M131" i="87" s="1"/>
  <c r="N131" i="87" s="1"/>
  <c r="O131" i="87" s="1"/>
  <c r="P131" i="87" s="1"/>
  <c r="Q131" i="87" s="1"/>
  <c r="R131" i="87" s="1"/>
  <c r="S131" i="87" s="1"/>
  <c r="T131" i="87" s="1"/>
  <c r="U131" i="87" s="1"/>
  <c r="Q14" i="89"/>
  <c r="Q17" i="90"/>
  <c r="Q24" i="90" s="1"/>
  <c r="I14" i="90"/>
  <c r="J16" i="90"/>
  <c r="J25" i="90" s="1"/>
  <c r="L16" i="90"/>
  <c r="L25" i="90" s="1"/>
  <c r="O17" i="90"/>
  <c r="O24" i="90" s="1"/>
  <c r="O14" i="89"/>
  <c r="N17" i="90"/>
  <c r="N24" i="90" s="1"/>
  <c r="I16" i="90"/>
  <c r="I25" i="90" s="1"/>
  <c r="N14" i="89"/>
  <c r="M17" i="90"/>
  <c r="M24" i="90" s="1"/>
  <c r="H16" i="90"/>
  <c r="M14" i="89"/>
  <c r="L17" i="90"/>
  <c r="L24" i="90" s="1"/>
  <c r="G16" i="90"/>
  <c r="L14" i="89"/>
  <c r="K17" i="90"/>
  <c r="K24" i="90" s="1"/>
  <c r="Q15" i="90"/>
  <c r="Q23" i="90" s="1"/>
  <c r="K14" i="89"/>
  <c r="J17" i="90"/>
  <c r="J24" i="90" s="1"/>
  <c r="P15" i="90"/>
  <c r="P23" i="90" s="1"/>
  <c r="J14" i="89"/>
  <c r="I17" i="90"/>
  <c r="I24" i="90" s="1"/>
  <c r="Q14" i="90"/>
  <c r="I14" i="89"/>
  <c r="H17" i="90"/>
  <c r="P14" i="90"/>
  <c r="H14" i="89"/>
  <c r="G17" i="90"/>
  <c r="O14" i="90"/>
  <c r="G14" i="89"/>
  <c r="Q16" i="90"/>
  <c r="Q25" i="90" s="1"/>
  <c r="N14" i="90"/>
  <c r="P16" i="90"/>
  <c r="P25" i="90" s="1"/>
  <c r="M14" i="90"/>
  <c r="O16" i="90"/>
  <c r="O25" i="90" s="1"/>
  <c r="L14" i="90"/>
  <c r="N16" i="90"/>
  <c r="N25" i="90" s="1"/>
  <c r="K14" i="90"/>
  <c r="M16" i="90"/>
  <c r="M25" i="90" s="1"/>
  <c r="J14" i="90"/>
  <c r="P14" i="89"/>
  <c r="P17" i="90"/>
  <c r="P24" i="90" s="1"/>
  <c r="K16" i="90"/>
  <c r="K25" i="90" s="1"/>
  <c r="H14" i="90"/>
  <c r="G14" i="90"/>
  <c r="J5" i="10"/>
  <c r="M17" i="89"/>
  <c r="M24" i="89" s="1"/>
  <c r="F4" i="10"/>
  <c r="I16" i="89"/>
  <c r="I25" i="89" s="1"/>
  <c r="I5" i="10"/>
  <c r="L17" i="89"/>
  <c r="L24" i="89" s="1"/>
  <c r="L5" i="10"/>
  <c r="O17" i="89"/>
  <c r="O24" i="89" s="1"/>
  <c r="E4" i="10"/>
  <c r="H16" i="89"/>
  <c r="K5" i="10"/>
  <c r="N17" i="89"/>
  <c r="N24" i="89" s="1"/>
  <c r="H5" i="10"/>
  <c r="K17" i="89"/>
  <c r="K24" i="89" s="1"/>
  <c r="G5" i="10"/>
  <c r="J17" i="89"/>
  <c r="J24" i="89" s="1"/>
  <c r="J4" i="10"/>
  <c r="M16" i="89"/>
  <c r="M25" i="89" s="1"/>
  <c r="H4" i="10"/>
  <c r="K16" i="89"/>
  <c r="K25" i="89" s="1"/>
  <c r="F5" i="10"/>
  <c r="I17" i="89"/>
  <c r="I24" i="89" s="1"/>
  <c r="E5" i="10"/>
  <c r="H17" i="89"/>
  <c r="N3" i="10"/>
  <c r="Q15" i="89"/>
  <c r="M3" i="10"/>
  <c r="P15" i="89"/>
  <c r="G4" i="10"/>
  <c r="J16" i="89"/>
  <c r="J25" i="89" s="1"/>
  <c r="I4" i="10"/>
  <c r="L16" i="89"/>
  <c r="L25" i="89" s="1"/>
  <c r="N5" i="10"/>
  <c r="Q17" i="89"/>
  <c r="Q24" i="89" s="1"/>
  <c r="L4" i="10"/>
  <c r="O16" i="89"/>
  <c r="O25" i="89" s="1"/>
  <c r="M5" i="10"/>
  <c r="P17" i="89"/>
  <c r="P24" i="89" s="1"/>
  <c r="K4" i="10"/>
  <c r="N16" i="89"/>
  <c r="N25" i="89" s="1"/>
  <c r="N4" i="10"/>
  <c r="Q16" i="89"/>
  <c r="Q25" i="89" s="1"/>
  <c r="M4" i="10"/>
  <c r="P16" i="89"/>
  <c r="P25" i="89" s="1"/>
  <c r="D4" i="10"/>
  <c r="G16" i="89"/>
  <c r="D5" i="10"/>
  <c r="G17" i="89"/>
  <c r="Q46" i="5"/>
  <c r="L45" i="5"/>
  <c r="P46" i="5"/>
  <c r="K45" i="5"/>
  <c r="O46" i="5"/>
  <c r="J45" i="5"/>
  <c r="N46" i="5"/>
  <c r="I45" i="5"/>
  <c r="M46" i="5"/>
  <c r="H45" i="5"/>
  <c r="L46" i="5"/>
  <c r="H2" i="26"/>
  <c r="K46" i="5"/>
  <c r="G2" i="26"/>
  <c r="J46" i="5"/>
  <c r="F2" i="26"/>
  <c r="I46" i="5"/>
  <c r="E2" i="26"/>
  <c r="H46" i="5"/>
  <c r="Q45" i="5"/>
  <c r="P45" i="5"/>
  <c r="O45" i="5"/>
  <c r="N45" i="5"/>
  <c r="M45" i="5"/>
  <c r="D2" i="26"/>
  <c r="G46" i="5"/>
  <c r="G45" i="5"/>
  <c r="W132" i="87"/>
  <c r="X132" i="87" s="1"/>
  <c r="Y132" i="87" s="1"/>
  <c r="Z132" i="87" s="1"/>
  <c r="AA132" i="87" s="1"/>
  <c r="AB132" i="87" s="1"/>
  <c r="AC132" i="87" s="1"/>
  <c r="AD132" i="87" s="1"/>
  <c r="AE132" i="87" s="1"/>
  <c r="BA91" i="87"/>
  <c r="BB91" i="87" s="1"/>
  <c r="BC91" i="87" s="1"/>
  <c r="BD91" i="87" s="1"/>
  <c r="BE91" i="87" s="1"/>
  <c r="BF91" i="87" s="1"/>
  <c r="BG91" i="87" s="1"/>
  <c r="BH91" i="87" s="1"/>
  <c r="BI91" i="87" s="1"/>
  <c r="BU132" i="87"/>
  <c r="BV132" i="87" s="1"/>
  <c r="BW132" i="87" s="1"/>
  <c r="BX132" i="87" s="1"/>
  <c r="BY132" i="87" s="1"/>
  <c r="BZ132" i="87" s="1"/>
  <c r="CA132" i="87" s="1"/>
  <c r="CB132" i="87" s="1"/>
  <c r="CC132" i="87" s="1"/>
  <c r="BK90" i="87"/>
  <c r="BL90" i="87" s="1"/>
  <c r="BM90" i="87" s="1"/>
  <c r="BN90" i="87" s="1"/>
  <c r="BO90" i="87" s="1"/>
  <c r="BP90" i="87" s="1"/>
  <c r="BQ90" i="87" s="1"/>
  <c r="BR90" i="87" s="1"/>
  <c r="BS90" i="87" s="1"/>
  <c r="CE90" i="87"/>
  <c r="CF90" i="87" s="1"/>
  <c r="CG90" i="87" s="1"/>
  <c r="CH90" i="87" s="1"/>
  <c r="CI90" i="87" s="1"/>
  <c r="CJ90" i="87" s="1"/>
  <c r="CK90" i="87" s="1"/>
  <c r="CL90" i="87" s="1"/>
  <c r="CM90" i="87" s="1"/>
  <c r="BU91" i="87"/>
  <c r="BV91" i="87" s="1"/>
  <c r="BW91" i="87" s="1"/>
  <c r="BX91" i="87" s="1"/>
  <c r="BY91" i="87" s="1"/>
  <c r="BZ91" i="87" s="1"/>
  <c r="CA91" i="87" s="1"/>
  <c r="CB91" i="87" s="1"/>
  <c r="CC91" i="87" s="1"/>
  <c r="BU131" i="87"/>
  <c r="BV131" i="87" s="1"/>
  <c r="BW131" i="87" s="1"/>
  <c r="BX131" i="87" s="1"/>
  <c r="BY131" i="87" s="1"/>
  <c r="BZ131" i="87" s="1"/>
  <c r="CA131" i="87" s="1"/>
  <c r="CB131" i="87" s="1"/>
  <c r="CC131" i="87" s="1"/>
  <c r="AG91" i="87"/>
  <c r="AH91" i="87" s="1"/>
  <c r="AI91" i="87" s="1"/>
  <c r="AJ91" i="87" s="1"/>
  <c r="AK91" i="87" s="1"/>
  <c r="AL91" i="87" s="1"/>
  <c r="AM91" i="87" s="1"/>
  <c r="AN91" i="87" s="1"/>
  <c r="AO91" i="87" s="1"/>
  <c r="BK132" i="87"/>
  <c r="BL132" i="87" s="1"/>
  <c r="BM132" i="87" s="1"/>
  <c r="BN132" i="87" s="1"/>
  <c r="BO132" i="87" s="1"/>
  <c r="BP132" i="87" s="1"/>
  <c r="BQ132" i="87" s="1"/>
  <c r="BR132" i="87" s="1"/>
  <c r="BS132" i="87" s="1"/>
  <c r="W91" i="87"/>
  <c r="X91" i="87" s="1"/>
  <c r="Y91" i="87" s="1"/>
  <c r="Z91" i="87" s="1"/>
  <c r="AA91" i="87" s="1"/>
  <c r="AB91" i="87" s="1"/>
  <c r="AC91" i="87" s="1"/>
  <c r="AD91" i="87" s="1"/>
  <c r="AE91" i="87" s="1"/>
  <c r="BA132" i="87"/>
  <c r="BB132" i="87" s="1"/>
  <c r="BC132" i="87" s="1"/>
  <c r="BD132" i="87" s="1"/>
  <c r="BE132" i="87" s="1"/>
  <c r="BF132" i="87" s="1"/>
  <c r="BG132" i="87" s="1"/>
  <c r="BH132" i="87" s="1"/>
  <c r="BI132" i="87" s="1"/>
  <c r="AP146" i="87"/>
  <c r="AP138" i="87"/>
  <c r="AZ145" i="87"/>
  <c r="AZ136" i="87"/>
  <c r="BK91" i="87"/>
  <c r="BL91" i="87" s="1"/>
  <c r="BM91" i="87" s="1"/>
  <c r="BN91" i="87" s="1"/>
  <c r="BO91" i="87" s="1"/>
  <c r="BP91" i="87" s="1"/>
  <c r="BQ91" i="87" s="1"/>
  <c r="BR91" i="87" s="1"/>
  <c r="BS91" i="87" s="1"/>
  <c r="BT146" i="87"/>
  <c r="BT138" i="87"/>
  <c r="CD145" i="87"/>
  <c r="CD136" i="87"/>
  <c r="B145" i="87"/>
  <c r="B136" i="87"/>
  <c r="M132" i="87"/>
  <c r="N132" i="87" s="1"/>
  <c r="O132" i="87" s="1"/>
  <c r="P132" i="87" s="1"/>
  <c r="Q132" i="87" s="1"/>
  <c r="R132" i="87" s="1"/>
  <c r="S132" i="87" s="1"/>
  <c r="T132" i="87" s="1"/>
  <c r="U132" i="87" s="1"/>
  <c r="BJ146" i="87"/>
  <c r="BJ138" i="87"/>
  <c r="BT145" i="87"/>
  <c r="BT136" i="87"/>
  <c r="B132" i="64"/>
  <c r="B132" i="87"/>
  <c r="C132" i="87" s="1"/>
  <c r="D132" i="87" s="1"/>
  <c r="E132" i="87" s="1"/>
  <c r="F132" i="87" s="1"/>
  <c r="G132" i="87" s="1"/>
  <c r="H132" i="87" s="1"/>
  <c r="I132" i="87" s="1"/>
  <c r="J132" i="87" s="1"/>
  <c r="K132" i="87" s="1"/>
  <c r="BA90" i="87"/>
  <c r="BB90" i="87" s="1"/>
  <c r="BC90" i="87" s="1"/>
  <c r="BD90" i="87" s="1"/>
  <c r="BE90" i="87" s="1"/>
  <c r="BF90" i="87" s="1"/>
  <c r="BG90" i="87" s="1"/>
  <c r="BH90" i="87" s="1"/>
  <c r="BI90" i="87" s="1"/>
  <c r="B131" i="64"/>
  <c r="B131" i="87"/>
  <c r="AF146" i="87"/>
  <c r="AF138" i="87"/>
  <c r="AQ90" i="87"/>
  <c r="M91" i="87"/>
  <c r="N91" i="87" s="1"/>
  <c r="O91" i="87" s="1"/>
  <c r="P91" i="87" s="1"/>
  <c r="Q91" i="87" s="1"/>
  <c r="R91" i="87" s="1"/>
  <c r="S91" i="87" s="1"/>
  <c r="T91" i="87" s="1"/>
  <c r="U91" i="87" s="1"/>
  <c r="V146" i="87"/>
  <c r="V138" i="87"/>
  <c r="AF145" i="87"/>
  <c r="AF136" i="87"/>
  <c r="AG90" i="87"/>
  <c r="AH90" i="87" s="1"/>
  <c r="AI90" i="87" s="1"/>
  <c r="AJ90" i="87" s="1"/>
  <c r="AK90" i="87" s="1"/>
  <c r="AL90" i="87" s="1"/>
  <c r="AM90" i="87" s="1"/>
  <c r="AN90" i="87" s="1"/>
  <c r="AO90" i="87" s="1"/>
  <c r="B91" i="64"/>
  <c r="B91" i="87"/>
  <c r="C91" i="87" s="1"/>
  <c r="D91" i="87" s="1"/>
  <c r="E91" i="87" s="1"/>
  <c r="F91" i="87" s="1"/>
  <c r="G91" i="87" s="1"/>
  <c r="H91" i="87" s="1"/>
  <c r="I91" i="87" s="1"/>
  <c r="J91" i="87" s="1"/>
  <c r="K91" i="87" s="1"/>
  <c r="BK131" i="87"/>
  <c r="BL131" i="87" s="1"/>
  <c r="BM131" i="87" s="1"/>
  <c r="BN131" i="87" s="1"/>
  <c r="BO131" i="87" s="1"/>
  <c r="BP131" i="87" s="1"/>
  <c r="BQ131" i="87" s="1"/>
  <c r="BR131" i="87" s="1"/>
  <c r="BS131" i="87" s="1"/>
  <c r="CN138" i="87"/>
  <c r="CN146" i="87"/>
  <c r="L146" i="87"/>
  <c r="L138" i="87"/>
  <c r="V136" i="87"/>
  <c r="V145" i="87"/>
  <c r="W90" i="87"/>
  <c r="X90" i="87" s="1"/>
  <c r="Y90" i="87" s="1"/>
  <c r="Z90" i="87" s="1"/>
  <c r="AA90" i="87" s="1"/>
  <c r="AB90" i="87" s="1"/>
  <c r="AC90" i="87" s="1"/>
  <c r="AD90" i="87" s="1"/>
  <c r="AE90" i="87" s="1"/>
  <c r="BA131" i="87"/>
  <c r="BB131" i="87" s="1"/>
  <c r="BC131" i="87" s="1"/>
  <c r="BD131" i="87" s="1"/>
  <c r="BE131" i="87" s="1"/>
  <c r="BF131" i="87" s="1"/>
  <c r="BG131" i="87" s="1"/>
  <c r="BH131" i="87" s="1"/>
  <c r="BI131" i="87" s="1"/>
  <c r="CD146" i="87"/>
  <c r="CD138" i="87"/>
  <c r="B146" i="87"/>
  <c r="B138" i="87"/>
  <c r="L145" i="87"/>
  <c r="L136" i="87"/>
  <c r="M90" i="87"/>
  <c r="N90" i="87" s="1"/>
  <c r="O90" i="87" s="1"/>
  <c r="P90" i="87" s="1"/>
  <c r="Q90" i="87" s="1"/>
  <c r="R90" i="87" s="1"/>
  <c r="S90" i="87" s="1"/>
  <c r="T90" i="87" s="1"/>
  <c r="U90" i="87" s="1"/>
  <c r="CE91" i="87"/>
  <c r="CF91" i="87" s="1"/>
  <c r="CG91" i="87" s="1"/>
  <c r="CH91" i="87" s="1"/>
  <c r="CI91" i="87" s="1"/>
  <c r="CJ91" i="87" s="1"/>
  <c r="CK91" i="87" s="1"/>
  <c r="CL91" i="87" s="1"/>
  <c r="CM91" i="87" s="1"/>
  <c r="B90" i="64"/>
  <c r="B90" i="87"/>
  <c r="C90" i="87" s="1"/>
  <c r="D90" i="87" s="1"/>
  <c r="E90" i="87" s="1"/>
  <c r="F90" i="87" s="1"/>
  <c r="G90" i="87" s="1"/>
  <c r="H90" i="87" s="1"/>
  <c r="I90" i="87" s="1"/>
  <c r="J90" i="87" s="1"/>
  <c r="K90" i="87" s="1"/>
  <c r="BU90" i="87"/>
  <c r="BV90" i="87" s="1"/>
  <c r="BW90" i="87" s="1"/>
  <c r="BX90" i="87" s="1"/>
  <c r="BY90" i="87" s="1"/>
  <c r="BZ90" i="87" s="1"/>
  <c r="CA90" i="87" s="1"/>
  <c r="CB90" i="87" s="1"/>
  <c r="CC90" i="87" s="1"/>
  <c r="W131" i="87"/>
  <c r="X131" i="87" s="1"/>
  <c r="Y131" i="87" s="1"/>
  <c r="Z131" i="87" s="1"/>
  <c r="AA131" i="87" s="1"/>
  <c r="AB131" i="87" s="1"/>
  <c r="AC131" i="87" s="1"/>
  <c r="AD131" i="87" s="1"/>
  <c r="AE131" i="87" s="1"/>
  <c r="AZ138" i="87"/>
  <c r="AZ146" i="87"/>
  <c r="BJ136" i="87"/>
  <c r="BJ145" i="87"/>
  <c r="K20" i="20"/>
  <c r="J20" i="20"/>
  <c r="I20" i="20"/>
  <c r="H20" i="20"/>
  <c r="N18" i="20"/>
  <c r="G20" i="20"/>
  <c r="M18" i="20"/>
  <c r="N19" i="20"/>
  <c r="M19" i="20"/>
  <c r="L19" i="20"/>
  <c r="K19" i="20"/>
  <c r="J19" i="20"/>
  <c r="N20" i="20"/>
  <c r="I19" i="20"/>
  <c r="M20" i="20"/>
  <c r="H19" i="20"/>
  <c r="L20" i="20"/>
  <c r="G19" i="20"/>
  <c r="F4" i="22"/>
  <c r="F19" i="20"/>
  <c r="E4" i="22"/>
  <c r="E19" i="20"/>
  <c r="D4" i="22"/>
  <c r="D19" i="20"/>
  <c r="F5" i="22"/>
  <c r="F20" i="20"/>
  <c r="E5" i="22"/>
  <c r="E20" i="20"/>
  <c r="D5" i="22"/>
  <c r="D20" i="20"/>
  <c r="CD131" i="64"/>
  <c r="AZ131" i="64"/>
  <c r="BJ132" i="64"/>
  <c r="V132" i="64"/>
  <c r="AZ132" i="64"/>
  <c r="BT131" i="64"/>
  <c r="AF131" i="64"/>
  <c r="CD132" i="64"/>
  <c r="BJ131" i="64"/>
  <c r="V131" i="64"/>
  <c r="BT132" i="64"/>
  <c r="AF132" i="64"/>
  <c r="L132" i="64"/>
  <c r="AF91" i="64"/>
  <c r="BJ91" i="64"/>
  <c r="V90" i="64"/>
  <c r="CN91" i="64"/>
  <c r="L90" i="64"/>
  <c r="CD91" i="64"/>
  <c r="AZ91" i="64"/>
  <c r="BT90" i="64"/>
  <c r="AP91" i="64"/>
  <c r="BJ90" i="64"/>
  <c r="CD90" i="64"/>
  <c r="AZ90" i="64"/>
  <c r="V91" i="64"/>
  <c r="CN90" i="64"/>
  <c r="AP90" i="64"/>
  <c r="L91" i="64"/>
  <c r="AF90" i="64"/>
  <c r="BT91" i="64"/>
  <c r="X24" i="5"/>
  <c r="AE24" i="5"/>
  <c r="AB24" i="5"/>
  <c r="Y24" i="5"/>
  <c r="AC24" i="5"/>
  <c r="K5" i="22"/>
  <c r="AB27" i="5"/>
  <c r="J5" i="22"/>
  <c r="AA27" i="5"/>
  <c r="Z27" i="5"/>
  <c r="AG27" i="5"/>
  <c r="H5" i="22"/>
  <c r="Y27" i="5"/>
  <c r="G5" i="22"/>
  <c r="X27" i="5"/>
  <c r="AD24" i="5"/>
  <c r="AE26" i="5"/>
  <c r="M4" i="22"/>
  <c r="AD26" i="5"/>
  <c r="AA24" i="5"/>
  <c r="L4" i="22"/>
  <c r="AC26" i="5"/>
  <c r="AG24" i="5"/>
  <c r="Z24" i="5"/>
  <c r="K4" i="22"/>
  <c r="AB26" i="5"/>
  <c r="J4" i="22"/>
  <c r="AA26" i="5"/>
  <c r="AE27" i="5"/>
  <c r="AG26" i="5"/>
  <c r="Z26" i="5"/>
  <c r="M5" i="22"/>
  <c r="AD27" i="5"/>
  <c r="H4" i="22"/>
  <c r="Y26" i="5"/>
  <c r="L5" i="22"/>
  <c r="AC27" i="5"/>
  <c r="G4" i="22"/>
  <c r="X26" i="5"/>
  <c r="S18" i="5"/>
  <c r="P109" i="35" s="1"/>
  <c r="S22" i="5"/>
  <c r="S24" i="5"/>
  <c r="P2" i="22" s="1"/>
  <c r="S28" i="5"/>
  <c r="Q41" i="5"/>
  <c r="M3" i="22"/>
  <c r="P41" i="5"/>
  <c r="S31" i="5"/>
  <c r="U23" i="5"/>
  <c r="T23" i="5"/>
  <c r="Q14" i="17"/>
  <c r="CN131" i="87" s="1"/>
  <c r="CE131" i="87" s="1"/>
  <c r="CF131" i="87" s="1"/>
  <c r="CG131" i="87" s="1"/>
  <c r="CH131" i="87" s="1"/>
  <c r="CI131" i="87" s="1"/>
  <c r="CJ131" i="87" s="1"/>
  <c r="CK131" i="87" s="1"/>
  <c r="CL131" i="87" s="1"/>
  <c r="CM131" i="87" s="1"/>
  <c r="U14" i="5"/>
  <c r="T14" i="5"/>
  <c r="U31" i="5"/>
  <c r="T31" i="5"/>
  <c r="I3" i="20"/>
  <c r="I6" i="21" s="1"/>
  <c r="F18" i="27" s="1"/>
  <c r="S30" i="5"/>
  <c r="T28" i="5"/>
  <c r="U28" i="5"/>
  <c r="I5" i="22"/>
  <c r="S27" i="5"/>
  <c r="P5" i="22" s="1"/>
  <c r="L15" i="17"/>
  <c r="AP132" i="87" s="1"/>
  <c r="AQ132" i="87" s="1"/>
  <c r="AR132" i="87" s="1"/>
  <c r="AS132" i="87" s="1"/>
  <c r="AT132" i="87" s="1"/>
  <c r="AU132" i="87" s="1"/>
  <c r="AV132" i="87" s="1"/>
  <c r="AW132" i="87" s="1"/>
  <c r="AX132" i="87" s="1"/>
  <c r="AY132" i="87" s="1"/>
  <c r="S20" i="5"/>
  <c r="N3" i="22"/>
  <c r="U18" i="5"/>
  <c r="R109" i="35" s="1"/>
  <c r="T18" i="5"/>
  <c r="Q109" i="35" s="1"/>
  <c r="I17" i="21"/>
  <c r="S17" i="5"/>
  <c r="L14" i="17"/>
  <c r="AP131" i="87" s="1"/>
  <c r="AQ131" i="87" s="1"/>
  <c r="AR131" i="87" s="1"/>
  <c r="AS131" i="87" s="1"/>
  <c r="AT131" i="87" s="1"/>
  <c r="AU131" i="87" s="1"/>
  <c r="AV131" i="87" s="1"/>
  <c r="AW131" i="87" s="1"/>
  <c r="AX131" i="87" s="1"/>
  <c r="AY131" i="87" s="1"/>
  <c r="S14" i="5"/>
  <c r="T24" i="5"/>
  <c r="Q2" i="22" s="1"/>
  <c r="U24" i="5"/>
  <c r="R2" i="22" s="1"/>
  <c r="I2" i="26"/>
  <c r="S23" i="5"/>
  <c r="U32" i="5"/>
  <c r="T32" i="5"/>
  <c r="T21" i="5"/>
  <c r="U21" i="5"/>
  <c r="N2" i="20"/>
  <c r="U29" i="5"/>
  <c r="T29" i="5"/>
  <c r="N4" i="22"/>
  <c r="U26" i="5"/>
  <c r="R4" i="22" s="1"/>
  <c r="T26" i="5"/>
  <c r="Q4" i="22" s="1"/>
  <c r="U19" i="5"/>
  <c r="T19" i="5"/>
  <c r="N3" i="21"/>
  <c r="U15" i="5"/>
  <c r="T15" i="5"/>
  <c r="S32" i="5"/>
  <c r="U22" i="5"/>
  <c r="T22" i="5"/>
  <c r="N3" i="20"/>
  <c r="N6" i="21" s="1"/>
  <c r="K18" i="27" s="1"/>
  <c r="T30" i="5"/>
  <c r="U30" i="5"/>
  <c r="I2" i="20"/>
  <c r="S29" i="5"/>
  <c r="N5" i="22"/>
  <c r="T27" i="5"/>
  <c r="Q5" i="22" s="1"/>
  <c r="U27" i="5"/>
  <c r="R5" i="22" s="1"/>
  <c r="I4" i="22"/>
  <c r="S26" i="5"/>
  <c r="P4" i="22" s="1"/>
  <c r="Q15" i="17"/>
  <c r="CN132" i="87" s="1"/>
  <c r="CE132" i="87" s="1"/>
  <c r="CF132" i="87" s="1"/>
  <c r="CG132" i="87" s="1"/>
  <c r="CH132" i="87" s="1"/>
  <c r="CI132" i="87" s="1"/>
  <c r="CJ132" i="87" s="1"/>
  <c r="CK132" i="87" s="1"/>
  <c r="CL132" i="87" s="1"/>
  <c r="CM132" i="87" s="1"/>
  <c r="U20" i="5"/>
  <c r="T20" i="5"/>
  <c r="S19" i="5"/>
  <c r="N17" i="21"/>
  <c r="U17" i="5"/>
  <c r="T17" i="5"/>
  <c r="I3" i="21"/>
  <c r="S15" i="5"/>
  <c r="L121" i="75"/>
  <c r="L113" i="75"/>
  <c r="V111" i="75"/>
  <c r="V120" i="75"/>
  <c r="AP113" i="75"/>
  <c r="AP121" i="75"/>
  <c r="AF121" i="75"/>
  <c r="AF113" i="75"/>
  <c r="V121" i="75"/>
  <c r="V113" i="75"/>
  <c r="AF111" i="75"/>
  <c r="AF120" i="75"/>
  <c r="B121" i="75"/>
  <c r="B113" i="75"/>
  <c r="L111" i="75"/>
  <c r="L120" i="75"/>
  <c r="B111" i="75"/>
  <c r="B120" i="75"/>
  <c r="AP138" i="64"/>
  <c r="AP146" i="64"/>
  <c r="AZ136" i="64"/>
  <c r="AZ145" i="64"/>
  <c r="AF138" i="64"/>
  <c r="AF146" i="64"/>
  <c r="V138" i="64"/>
  <c r="V146" i="64"/>
  <c r="AF136" i="64"/>
  <c r="AF145" i="64"/>
  <c r="CN138" i="64"/>
  <c r="CN146" i="64"/>
  <c r="L138" i="64"/>
  <c r="L146" i="64"/>
  <c r="V136" i="64"/>
  <c r="V145" i="64"/>
  <c r="CD138" i="64"/>
  <c r="CD146" i="64"/>
  <c r="B138" i="64"/>
  <c r="B146" i="64"/>
  <c r="L136" i="64"/>
  <c r="L145" i="64"/>
  <c r="BT138" i="64"/>
  <c r="BT146" i="64"/>
  <c r="CD136" i="64"/>
  <c r="CD145" i="64"/>
  <c r="B136" i="64"/>
  <c r="B145" i="64"/>
  <c r="BJ138" i="64"/>
  <c r="BJ146" i="64"/>
  <c r="BT136" i="64"/>
  <c r="BT145" i="64"/>
  <c r="AZ138" i="64"/>
  <c r="AZ146" i="64"/>
  <c r="BJ136" i="64"/>
  <c r="BJ145" i="64"/>
  <c r="N6" i="1"/>
  <c r="K48" i="27" s="1"/>
  <c r="CN95" i="87" s="1"/>
  <c r="K10" i="1"/>
  <c r="H51" i="27" s="1"/>
  <c r="BJ97" i="87" s="1"/>
  <c r="F6" i="1"/>
  <c r="C48" i="27" s="1"/>
  <c r="L95" i="87" s="1"/>
  <c r="M6" i="1"/>
  <c r="J48" i="27" s="1"/>
  <c r="CD95" i="87" s="1"/>
  <c r="J10" i="1"/>
  <c r="G51" i="27" s="1"/>
  <c r="AZ97" i="87" s="1"/>
  <c r="N10" i="1"/>
  <c r="K51" i="27" s="1"/>
  <c r="CN97" i="87" s="1"/>
  <c r="I10" i="1"/>
  <c r="F51" i="27" s="1"/>
  <c r="AP97" i="87" s="1"/>
  <c r="L6" i="1"/>
  <c r="I48" i="27" s="1"/>
  <c r="BT95" i="87" s="1"/>
  <c r="M10" i="1"/>
  <c r="J51" i="27" s="1"/>
  <c r="CD97" i="87" s="1"/>
  <c r="H10" i="1"/>
  <c r="E51" i="27" s="1"/>
  <c r="AF97" i="87" s="1"/>
  <c r="K6" i="1"/>
  <c r="H48" i="27" s="1"/>
  <c r="BJ95" i="87" s="1"/>
  <c r="G10" i="1"/>
  <c r="D51" i="27" s="1"/>
  <c r="V97" i="87" s="1"/>
  <c r="J6" i="1"/>
  <c r="G48" i="27" s="1"/>
  <c r="AZ95" i="87" s="1"/>
  <c r="F10" i="1"/>
  <c r="C51" i="27" s="1"/>
  <c r="L97" i="87" s="1"/>
  <c r="I6" i="1"/>
  <c r="F48" i="27" s="1"/>
  <c r="AP95" i="87" s="1"/>
  <c r="H6" i="1"/>
  <c r="E48" i="27" s="1"/>
  <c r="AF95" i="87" s="1"/>
  <c r="L10" i="1"/>
  <c r="I51" i="27" s="1"/>
  <c r="BT97" i="87" s="1"/>
  <c r="G6" i="1"/>
  <c r="D48" i="27" s="1"/>
  <c r="V95" i="87" s="1"/>
  <c r="D10" i="1"/>
  <c r="D6" i="1"/>
  <c r="E10" i="1"/>
  <c r="B51" i="27" s="1"/>
  <c r="B97" i="87" s="1"/>
  <c r="E6" i="1"/>
  <c r="B48" i="27" s="1"/>
  <c r="B95" i="87" s="1"/>
  <c r="M5" i="25"/>
  <c r="M5" i="26"/>
  <c r="M11" i="26"/>
  <c r="L2" i="25"/>
  <c r="L2" i="26"/>
  <c r="N4" i="25"/>
  <c r="N17" i="25" s="1"/>
  <c r="N4" i="26"/>
  <c r="K5" i="25"/>
  <c r="K5" i="26"/>
  <c r="K11" i="26"/>
  <c r="N2" i="25"/>
  <c r="N2" i="26"/>
  <c r="J2" i="25"/>
  <c r="J2" i="26"/>
  <c r="M3" i="25"/>
  <c r="M3" i="26"/>
  <c r="L4" i="25"/>
  <c r="L17" i="25" s="1"/>
  <c r="L4" i="26"/>
  <c r="K3" i="25"/>
  <c r="K3" i="26"/>
  <c r="J4" i="25"/>
  <c r="J17" i="25" s="1"/>
  <c r="J4" i="26"/>
  <c r="N5" i="25"/>
  <c r="N5" i="26"/>
  <c r="N11" i="26"/>
  <c r="J5" i="25"/>
  <c r="J5" i="26"/>
  <c r="J11" i="26"/>
  <c r="M2" i="25"/>
  <c r="M2" i="26"/>
  <c r="L3" i="25"/>
  <c r="L3" i="26"/>
  <c r="K4" i="25"/>
  <c r="K17" i="25" s="1"/>
  <c r="K4" i="26"/>
  <c r="L5" i="25"/>
  <c r="L5" i="26"/>
  <c r="L11" i="26"/>
  <c r="K2" i="25"/>
  <c r="K2" i="26"/>
  <c r="N3" i="25"/>
  <c r="N3" i="26"/>
  <c r="J3" i="25"/>
  <c r="J3" i="26"/>
  <c r="M4" i="25"/>
  <c r="M4" i="26"/>
  <c r="L5" i="14"/>
  <c r="L5" i="16"/>
  <c r="BT79" i="87" s="1"/>
  <c r="L11" i="16"/>
  <c r="N3" i="14"/>
  <c r="N3" i="16"/>
  <c r="CN77" i="87" s="1"/>
  <c r="K5" i="14"/>
  <c r="K5" i="16"/>
  <c r="BJ79" i="87" s="1"/>
  <c r="K11" i="16"/>
  <c r="M2" i="14"/>
  <c r="M2" i="16"/>
  <c r="CD76" i="87" s="1"/>
  <c r="M4" i="14"/>
  <c r="M4" i="16"/>
  <c r="CD78" i="87" s="1"/>
  <c r="J3" i="14"/>
  <c r="J3" i="16"/>
  <c r="AZ77" i="87" s="1"/>
  <c r="K4" i="14"/>
  <c r="K4" i="16"/>
  <c r="BJ78" i="87" s="1"/>
  <c r="N5" i="14"/>
  <c r="N5" i="16"/>
  <c r="CN79" i="87" s="1"/>
  <c r="N11" i="16"/>
  <c r="L2" i="14"/>
  <c r="L2" i="16"/>
  <c r="BT76" i="87" s="1"/>
  <c r="J4" i="14"/>
  <c r="J4" i="16"/>
  <c r="AZ78" i="87" s="1"/>
  <c r="M5" i="14"/>
  <c r="M5" i="16"/>
  <c r="CD79" i="87" s="1"/>
  <c r="M11" i="16"/>
  <c r="M3" i="14"/>
  <c r="M3" i="16"/>
  <c r="CD77" i="87" s="1"/>
  <c r="J5" i="14"/>
  <c r="J5" i="16"/>
  <c r="AZ79" i="87" s="1"/>
  <c r="J11" i="16"/>
  <c r="K2" i="14"/>
  <c r="K2" i="16"/>
  <c r="BJ76" i="87" s="1"/>
  <c r="L3" i="14"/>
  <c r="L3" i="16"/>
  <c r="BT77" i="87" s="1"/>
  <c r="N2" i="14"/>
  <c r="N2" i="16"/>
  <c r="CN76" i="87" s="1"/>
  <c r="N4" i="14"/>
  <c r="N4" i="16"/>
  <c r="CN78" i="87" s="1"/>
  <c r="J2" i="14"/>
  <c r="J2" i="16"/>
  <c r="AZ76" i="87" s="1"/>
  <c r="K3" i="14"/>
  <c r="K3" i="16"/>
  <c r="BJ77" i="87" s="1"/>
  <c r="L4" i="14"/>
  <c r="L4" i="16"/>
  <c r="BT78" i="87" s="1"/>
  <c r="G44" i="27"/>
  <c r="AZ88" i="87" s="1"/>
  <c r="J36" i="35"/>
  <c r="C44" i="27"/>
  <c r="L88" i="87" s="1"/>
  <c r="F36" i="35"/>
  <c r="K44" i="27"/>
  <c r="CN88" i="87" s="1"/>
  <c r="N36" i="35"/>
  <c r="F44" i="27"/>
  <c r="AP88" i="87" s="1"/>
  <c r="I36" i="35"/>
  <c r="B44" i="27"/>
  <c r="B88" i="87" s="1"/>
  <c r="E36" i="35"/>
  <c r="J44" i="27"/>
  <c r="CD88" i="87" s="1"/>
  <c r="M36" i="35"/>
  <c r="I44" i="27"/>
  <c r="BT88" i="87" s="1"/>
  <c r="L36" i="35"/>
  <c r="E44" i="27"/>
  <c r="AF88" i="87" s="1"/>
  <c r="H36" i="35"/>
  <c r="H44" i="27"/>
  <c r="BJ88" i="87" s="1"/>
  <c r="K36" i="35"/>
  <c r="D44" i="27"/>
  <c r="V88" i="87" s="1"/>
  <c r="G36" i="35"/>
  <c r="J14" i="27"/>
  <c r="CD129" i="87" s="1"/>
  <c r="M109" i="35"/>
  <c r="F14" i="27"/>
  <c r="AP129" i="87" s="1"/>
  <c r="I109" i="35"/>
  <c r="B14" i="27"/>
  <c r="B129" i="87" s="1"/>
  <c r="E109" i="35"/>
  <c r="I14" i="27"/>
  <c r="BT129" i="87" s="1"/>
  <c r="L109" i="35"/>
  <c r="E14" i="27"/>
  <c r="AF129" i="87" s="1"/>
  <c r="H109" i="35"/>
  <c r="H14" i="27"/>
  <c r="BJ129" i="87" s="1"/>
  <c r="K109" i="35"/>
  <c r="D14" i="27"/>
  <c r="V129" i="87" s="1"/>
  <c r="G109" i="35"/>
  <c r="K14" i="27"/>
  <c r="CN129" i="87" s="1"/>
  <c r="N109" i="35"/>
  <c r="G14" i="27"/>
  <c r="AZ129" i="87" s="1"/>
  <c r="J109" i="35"/>
  <c r="C14" i="27"/>
  <c r="L129" i="87" s="1"/>
  <c r="F109" i="35"/>
  <c r="H5" i="26"/>
  <c r="H11" i="26"/>
  <c r="F3" i="26"/>
  <c r="F4" i="26"/>
  <c r="G11" i="26"/>
  <c r="G5" i="26"/>
  <c r="I3" i="26"/>
  <c r="E4" i="26"/>
  <c r="E3" i="26"/>
  <c r="F11" i="26"/>
  <c r="F5" i="26"/>
  <c r="H4" i="26"/>
  <c r="H3" i="26"/>
  <c r="I11" i="26"/>
  <c r="I5" i="26"/>
  <c r="E11" i="26"/>
  <c r="E5" i="26"/>
  <c r="G3" i="26"/>
  <c r="G4" i="26"/>
  <c r="I4" i="26"/>
  <c r="H5" i="25"/>
  <c r="D5" i="25"/>
  <c r="G2" i="25"/>
  <c r="F3" i="25"/>
  <c r="G5" i="25"/>
  <c r="F2" i="25"/>
  <c r="I3" i="25"/>
  <c r="E3" i="25"/>
  <c r="F5" i="25"/>
  <c r="I2" i="25"/>
  <c r="E2" i="25"/>
  <c r="H3" i="25"/>
  <c r="D3" i="25"/>
  <c r="I5" i="25"/>
  <c r="E5" i="25"/>
  <c r="H2" i="25"/>
  <c r="D2" i="25"/>
  <c r="G3" i="25"/>
  <c r="G11" i="16"/>
  <c r="G5" i="16"/>
  <c r="V79" i="87" s="1"/>
  <c r="H2" i="14"/>
  <c r="H2" i="16"/>
  <c r="AF76" i="87" s="1"/>
  <c r="D2" i="14"/>
  <c r="D2" i="16"/>
  <c r="I3" i="14"/>
  <c r="I3" i="16"/>
  <c r="AP77" i="87" s="1"/>
  <c r="E3" i="14"/>
  <c r="E3" i="16"/>
  <c r="G4" i="16"/>
  <c r="V78" i="87" s="1"/>
  <c r="F11" i="16"/>
  <c r="F5" i="16"/>
  <c r="G2" i="14"/>
  <c r="G2" i="16"/>
  <c r="V76" i="87" s="1"/>
  <c r="H3" i="14"/>
  <c r="H3" i="16"/>
  <c r="AF77" i="87" s="1"/>
  <c r="D3" i="14"/>
  <c r="D3" i="16"/>
  <c r="F4" i="16"/>
  <c r="I11" i="16"/>
  <c r="I5" i="16"/>
  <c r="AP79" i="87" s="1"/>
  <c r="E11" i="16"/>
  <c r="E5" i="16"/>
  <c r="F2" i="14"/>
  <c r="F2" i="16"/>
  <c r="G3" i="14"/>
  <c r="G3" i="16"/>
  <c r="V77" i="87" s="1"/>
  <c r="I4" i="16"/>
  <c r="AP78" i="87" s="1"/>
  <c r="E4" i="16"/>
  <c r="H11" i="16"/>
  <c r="H5" i="16"/>
  <c r="AF79" i="87" s="1"/>
  <c r="D11" i="16"/>
  <c r="D5" i="16"/>
  <c r="I2" i="14"/>
  <c r="I2" i="16"/>
  <c r="AP76" i="87" s="1"/>
  <c r="E2" i="14"/>
  <c r="E2" i="16"/>
  <c r="F3" i="14"/>
  <c r="F3" i="16"/>
  <c r="H4" i="16"/>
  <c r="AF78" i="87" s="1"/>
  <c r="D4" i="16"/>
  <c r="D4" i="25"/>
  <c r="I4" i="25"/>
  <c r="I30" i="25" s="1"/>
  <c r="K2" i="22"/>
  <c r="G2" i="22"/>
  <c r="N2" i="22"/>
  <c r="J2" i="22"/>
  <c r="F2" i="22"/>
  <c r="M2" i="22"/>
  <c r="I2" i="22"/>
  <c r="E2" i="22"/>
  <c r="L2" i="22"/>
  <c r="H2" i="22"/>
  <c r="D2" i="22"/>
  <c r="K2" i="10"/>
  <c r="G2" i="10"/>
  <c r="F2" i="10"/>
  <c r="G4" i="14"/>
  <c r="J2" i="10"/>
  <c r="F4" i="14"/>
  <c r="N2" i="10"/>
  <c r="I2" i="10"/>
  <c r="I4" i="14"/>
  <c r="E2" i="10"/>
  <c r="E4" i="14"/>
  <c r="M2" i="10"/>
  <c r="L2" i="10"/>
  <c r="H2" i="10"/>
  <c r="D2" i="10"/>
  <c r="H4" i="14"/>
  <c r="D4" i="14"/>
  <c r="F5" i="14"/>
  <c r="G5" i="14"/>
  <c r="I5" i="14"/>
  <c r="E5" i="14"/>
  <c r="H5" i="14"/>
  <c r="D5" i="14"/>
  <c r="T37" i="35"/>
  <c r="T110" i="35"/>
  <c r="L131" i="64" l="1"/>
  <c r="C131" i="87"/>
  <c r="D131" i="87" s="1"/>
  <c r="E131" i="87" s="1"/>
  <c r="F131" i="87" s="1"/>
  <c r="G131" i="87" s="1"/>
  <c r="H131" i="87" s="1"/>
  <c r="I131" i="87" s="1"/>
  <c r="J131" i="87" s="1"/>
  <c r="K131" i="87" s="1"/>
  <c r="AA23" i="90"/>
  <c r="Z25" i="90"/>
  <c r="Z23" i="90"/>
  <c r="AA24" i="90"/>
  <c r="AA25" i="90"/>
  <c r="Z24" i="90"/>
  <c r="M29" i="89"/>
  <c r="L30" i="89"/>
  <c r="J29" i="89"/>
  <c r="M30" i="89"/>
  <c r="Q29" i="89"/>
  <c r="J30" i="89"/>
  <c r="P30" i="89"/>
  <c r="Q30" i="90"/>
  <c r="L29" i="90"/>
  <c r="K30" i="90"/>
  <c r="P29" i="90"/>
  <c r="M30" i="90"/>
  <c r="P29" i="89"/>
  <c r="K29" i="89"/>
  <c r="N29" i="89"/>
  <c r="Q30" i="89"/>
  <c r="N30" i="89"/>
  <c r="O29" i="89"/>
  <c r="L29" i="89"/>
  <c r="O30" i="89"/>
  <c r="K30" i="89"/>
  <c r="M29" i="90"/>
  <c r="N29" i="90"/>
  <c r="N30" i="90"/>
  <c r="O29" i="90"/>
  <c r="L30" i="90"/>
  <c r="O30" i="90"/>
  <c r="P30" i="90"/>
  <c r="Q28" i="90"/>
  <c r="Q29" i="90"/>
  <c r="K29" i="90"/>
  <c r="J29" i="90"/>
  <c r="J30" i="90"/>
  <c r="P18" i="90"/>
  <c r="P20" i="90" s="1"/>
  <c r="Q18" i="90"/>
  <c r="N6" i="10"/>
  <c r="N6" i="14" s="1"/>
  <c r="M6" i="10"/>
  <c r="M6" i="14" s="1"/>
  <c r="P18" i="89"/>
  <c r="P23" i="89"/>
  <c r="Z23" i="89" s="1"/>
  <c r="Q18" i="89"/>
  <c r="Q23" i="89"/>
  <c r="AA23" i="89" s="1"/>
  <c r="G28" i="26"/>
  <c r="C2" i="28"/>
  <c r="H28" i="26"/>
  <c r="I28" i="26"/>
  <c r="F28" i="26"/>
  <c r="BK77" i="87"/>
  <c r="BL77" i="87" s="1"/>
  <c r="BM77" i="87" s="1"/>
  <c r="BN77" i="87" s="1"/>
  <c r="BO77" i="87" s="1"/>
  <c r="BP77" i="87" s="1"/>
  <c r="BQ77" i="87" s="1"/>
  <c r="BR77" i="87" s="1"/>
  <c r="BS77" i="87" s="1"/>
  <c r="AQ91" i="87"/>
  <c r="AR91" i="87" s="1"/>
  <c r="AS91" i="87" s="1"/>
  <c r="AT91" i="87" s="1"/>
  <c r="AU91" i="87" s="1"/>
  <c r="AV91" i="87" s="1"/>
  <c r="AW91" i="87" s="1"/>
  <c r="AX91" i="87" s="1"/>
  <c r="AY91" i="87" s="1"/>
  <c r="AG138" i="87"/>
  <c r="AH138" i="87" s="1"/>
  <c r="AI138" i="87" s="1"/>
  <c r="AJ138" i="87" s="1"/>
  <c r="AK138" i="87" s="1"/>
  <c r="AL138" i="87" s="1"/>
  <c r="AM138" i="87" s="1"/>
  <c r="AN138" i="87" s="1"/>
  <c r="AO138" i="87" s="1"/>
  <c r="BU97" i="87"/>
  <c r="BV97" i="87" s="1"/>
  <c r="BW97" i="87" s="1"/>
  <c r="BX97" i="87" s="1"/>
  <c r="BY97" i="87" s="1"/>
  <c r="BZ97" i="87" s="1"/>
  <c r="CA97" i="87" s="1"/>
  <c r="CB97" i="87" s="1"/>
  <c r="CC97" i="87" s="1"/>
  <c r="AG97" i="87"/>
  <c r="AH97" i="87" s="1"/>
  <c r="AI97" i="87" s="1"/>
  <c r="AJ97" i="87" s="1"/>
  <c r="AK97" i="87" s="1"/>
  <c r="AL97" i="87" s="1"/>
  <c r="AM97" i="87" s="1"/>
  <c r="AN97" i="87" s="1"/>
  <c r="AO97" i="87" s="1"/>
  <c r="W95" i="87"/>
  <c r="X95" i="87" s="1"/>
  <c r="Y95" i="87" s="1"/>
  <c r="Z95" i="87" s="1"/>
  <c r="AA95" i="87" s="1"/>
  <c r="AB95" i="87" s="1"/>
  <c r="AC95" i="87" s="1"/>
  <c r="AD95" i="87" s="1"/>
  <c r="AE95" i="87" s="1"/>
  <c r="BU78" i="87"/>
  <c r="BV78" i="87" s="1"/>
  <c r="BW78" i="87" s="1"/>
  <c r="BX78" i="87" s="1"/>
  <c r="BY78" i="87" s="1"/>
  <c r="BZ78" i="87" s="1"/>
  <c r="CA78" i="87" s="1"/>
  <c r="CB78" i="87" s="1"/>
  <c r="CC78" i="87" s="1"/>
  <c r="AQ129" i="87"/>
  <c r="AR129" i="87" s="1"/>
  <c r="AS129" i="87" s="1"/>
  <c r="AT129" i="87" s="1"/>
  <c r="AU129" i="87" s="1"/>
  <c r="AV129" i="87" s="1"/>
  <c r="AW129" i="87" s="1"/>
  <c r="AX129" i="87" s="1"/>
  <c r="AY129" i="87" s="1"/>
  <c r="BK136" i="87"/>
  <c r="BL136" i="87" s="1"/>
  <c r="BM136" i="87" s="1"/>
  <c r="BN136" i="87" s="1"/>
  <c r="BO136" i="87" s="1"/>
  <c r="BP136" i="87" s="1"/>
  <c r="BQ136" i="87" s="1"/>
  <c r="BR136" i="87" s="1"/>
  <c r="BS136" i="87" s="1"/>
  <c r="BU145" i="87"/>
  <c r="BV145" i="87" s="1"/>
  <c r="BW145" i="87" s="1"/>
  <c r="BX145" i="87" s="1"/>
  <c r="BY145" i="87" s="1"/>
  <c r="BZ145" i="87" s="1"/>
  <c r="CA145" i="87" s="1"/>
  <c r="CB145" i="87" s="1"/>
  <c r="CC145" i="87" s="1"/>
  <c r="M136" i="87"/>
  <c r="N136" i="87" s="1"/>
  <c r="O136" i="87" s="1"/>
  <c r="P136" i="87" s="1"/>
  <c r="Q136" i="87" s="1"/>
  <c r="R136" i="87" s="1"/>
  <c r="S136" i="87" s="1"/>
  <c r="T136" i="87" s="1"/>
  <c r="U136" i="87" s="1"/>
  <c r="AG95" i="87"/>
  <c r="AH95" i="87" s="1"/>
  <c r="AI95" i="87" s="1"/>
  <c r="AJ95" i="87" s="1"/>
  <c r="AK95" i="87" s="1"/>
  <c r="AL95" i="87" s="1"/>
  <c r="AM95" i="87" s="1"/>
  <c r="AN95" i="87" s="1"/>
  <c r="AO95" i="87" s="1"/>
  <c r="BK79" i="87"/>
  <c r="BL79" i="87" s="1"/>
  <c r="BM79" i="87" s="1"/>
  <c r="BN79" i="87" s="1"/>
  <c r="BO79" i="87" s="1"/>
  <c r="BP79" i="87" s="1"/>
  <c r="BQ79" i="87" s="1"/>
  <c r="BR79" i="87" s="1"/>
  <c r="BS79" i="87" s="1"/>
  <c r="BK146" i="87"/>
  <c r="BL146" i="87" s="1"/>
  <c r="BM146" i="87" s="1"/>
  <c r="BN146" i="87" s="1"/>
  <c r="BO146" i="87" s="1"/>
  <c r="BP146" i="87" s="1"/>
  <c r="BQ146" i="87" s="1"/>
  <c r="BR146" i="87" s="1"/>
  <c r="BS146" i="87" s="1"/>
  <c r="BK97" i="87"/>
  <c r="BL97" i="87" s="1"/>
  <c r="BM97" i="87" s="1"/>
  <c r="BN97" i="87" s="1"/>
  <c r="BO97" i="87" s="1"/>
  <c r="BP97" i="87" s="1"/>
  <c r="BQ97" i="87" s="1"/>
  <c r="BR97" i="87" s="1"/>
  <c r="BS97" i="87" s="1"/>
  <c r="M138" i="87"/>
  <c r="N138" i="87" s="1"/>
  <c r="O138" i="87" s="1"/>
  <c r="P138" i="87" s="1"/>
  <c r="Q138" i="87" s="1"/>
  <c r="R138" i="87" s="1"/>
  <c r="S138" i="87" s="1"/>
  <c r="T138" i="87" s="1"/>
  <c r="U138" i="87" s="1"/>
  <c r="W129" i="87"/>
  <c r="X129" i="87" s="1"/>
  <c r="Y129" i="87" s="1"/>
  <c r="Z129" i="87" s="1"/>
  <c r="AA129" i="87" s="1"/>
  <c r="AB129" i="87" s="1"/>
  <c r="AC129" i="87" s="1"/>
  <c r="AD129" i="87" s="1"/>
  <c r="AE129" i="87" s="1"/>
  <c r="BK88" i="87"/>
  <c r="BL88" i="87" s="1"/>
  <c r="BM88" i="87" s="1"/>
  <c r="BN88" i="87" s="1"/>
  <c r="BO88" i="87" s="1"/>
  <c r="BP88" i="87" s="1"/>
  <c r="BQ88" i="87" s="1"/>
  <c r="BR88" i="87" s="1"/>
  <c r="BS88" i="87" s="1"/>
  <c r="BK76" i="87"/>
  <c r="BL76" i="87" s="1"/>
  <c r="BM76" i="87" s="1"/>
  <c r="BN76" i="87" s="1"/>
  <c r="BO76" i="87" s="1"/>
  <c r="BP76" i="87" s="1"/>
  <c r="BQ76" i="87" s="1"/>
  <c r="BR76" i="87" s="1"/>
  <c r="BS76" i="87" s="1"/>
  <c r="W146" i="87"/>
  <c r="X146" i="87" s="1"/>
  <c r="Y146" i="87" s="1"/>
  <c r="Z146" i="87" s="1"/>
  <c r="AA146" i="87" s="1"/>
  <c r="AB146" i="87" s="1"/>
  <c r="AC146" i="87" s="1"/>
  <c r="AD146" i="87" s="1"/>
  <c r="AE146" i="87" s="1"/>
  <c r="BA138" i="87"/>
  <c r="BB138" i="87" s="1"/>
  <c r="BC138" i="87" s="1"/>
  <c r="BD138" i="87" s="1"/>
  <c r="BE138" i="87" s="1"/>
  <c r="BF138" i="87" s="1"/>
  <c r="BG138" i="87" s="1"/>
  <c r="BH138" i="87" s="1"/>
  <c r="BI138" i="87" s="1"/>
  <c r="C97" i="87"/>
  <c r="D97" i="87" s="1"/>
  <c r="E97" i="87" s="1"/>
  <c r="F97" i="87" s="1"/>
  <c r="G97" i="87" s="1"/>
  <c r="H97" i="87" s="1"/>
  <c r="I97" i="87" s="1"/>
  <c r="J97" i="87" s="1"/>
  <c r="K97" i="87" s="1"/>
  <c r="CE146" i="87"/>
  <c r="CF146" i="87" s="1"/>
  <c r="CG146" i="87" s="1"/>
  <c r="CH146" i="87" s="1"/>
  <c r="CI146" i="87" s="1"/>
  <c r="CJ146" i="87" s="1"/>
  <c r="CK146" i="87" s="1"/>
  <c r="CL146" i="87" s="1"/>
  <c r="CM146" i="87" s="1"/>
  <c r="AG79" i="87"/>
  <c r="AH79" i="87" s="1"/>
  <c r="AI79" i="87" s="1"/>
  <c r="AJ79" i="87" s="1"/>
  <c r="AK79" i="87" s="1"/>
  <c r="AL79" i="87" s="1"/>
  <c r="AM79" i="87" s="1"/>
  <c r="AN79" i="87" s="1"/>
  <c r="AO79" i="87" s="1"/>
  <c r="CE79" i="87"/>
  <c r="CF79" i="87" s="1"/>
  <c r="CG79" i="87" s="1"/>
  <c r="CH79" i="87" s="1"/>
  <c r="CI79" i="87" s="1"/>
  <c r="CJ79" i="87" s="1"/>
  <c r="CK79" i="87" s="1"/>
  <c r="CL79" i="87" s="1"/>
  <c r="CM79" i="87" s="1"/>
  <c r="BA146" i="87"/>
  <c r="BB146" i="87" s="1"/>
  <c r="BC146" i="87" s="1"/>
  <c r="BD146" i="87" s="1"/>
  <c r="BE146" i="87" s="1"/>
  <c r="BF146" i="87" s="1"/>
  <c r="BG146" i="87" s="1"/>
  <c r="BH146" i="87" s="1"/>
  <c r="BI146" i="87" s="1"/>
  <c r="W76" i="87"/>
  <c r="X76" i="87" s="1"/>
  <c r="Y76" i="87" s="1"/>
  <c r="Z76" i="87" s="1"/>
  <c r="AA76" i="87" s="1"/>
  <c r="AB76" i="87" s="1"/>
  <c r="AC76" i="87" s="1"/>
  <c r="AD76" i="87" s="1"/>
  <c r="AE76" i="87" s="1"/>
  <c r="BK78" i="87"/>
  <c r="BL78" i="87" s="1"/>
  <c r="BM78" i="87" s="1"/>
  <c r="BN78" i="87" s="1"/>
  <c r="BO78" i="87" s="1"/>
  <c r="BP78" i="87" s="1"/>
  <c r="BQ78" i="87" s="1"/>
  <c r="BR78" i="87" s="1"/>
  <c r="BS78" i="87" s="1"/>
  <c r="BK95" i="87"/>
  <c r="BL95" i="87" s="1"/>
  <c r="BM95" i="87" s="1"/>
  <c r="BN95" i="87" s="1"/>
  <c r="BO95" i="87" s="1"/>
  <c r="BP95" i="87" s="1"/>
  <c r="BQ95" i="87" s="1"/>
  <c r="BR95" i="87" s="1"/>
  <c r="BS95" i="87" s="1"/>
  <c r="W145" i="87"/>
  <c r="X145" i="87" s="1"/>
  <c r="Y145" i="87" s="1"/>
  <c r="Z145" i="87" s="1"/>
  <c r="AA145" i="87" s="1"/>
  <c r="AB145" i="87" s="1"/>
  <c r="AC145" i="87" s="1"/>
  <c r="AD145" i="87" s="1"/>
  <c r="AE145" i="87" s="1"/>
  <c r="BA77" i="87"/>
  <c r="BB77" i="87" s="1"/>
  <c r="BC77" i="87" s="1"/>
  <c r="BD77" i="87" s="1"/>
  <c r="BE77" i="87" s="1"/>
  <c r="BF77" i="87" s="1"/>
  <c r="BG77" i="87" s="1"/>
  <c r="BH77" i="87" s="1"/>
  <c r="BI77" i="87" s="1"/>
  <c r="CE97" i="87"/>
  <c r="CF97" i="87" s="1"/>
  <c r="CG97" i="87" s="1"/>
  <c r="CH97" i="87" s="1"/>
  <c r="CI97" i="87" s="1"/>
  <c r="CJ97" i="87" s="1"/>
  <c r="CK97" i="87" s="1"/>
  <c r="CL97" i="87" s="1"/>
  <c r="CM97" i="87" s="1"/>
  <c r="BU136" i="87"/>
  <c r="BV136" i="87" s="1"/>
  <c r="BW136" i="87" s="1"/>
  <c r="BX136" i="87" s="1"/>
  <c r="BY136" i="87" s="1"/>
  <c r="BZ136" i="87" s="1"/>
  <c r="CA136" i="87" s="1"/>
  <c r="CB136" i="87" s="1"/>
  <c r="CC136" i="87" s="1"/>
  <c r="CE129" i="87"/>
  <c r="CF129" i="87" s="1"/>
  <c r="CG129" i="87" s="1"/>
  <c r="CH129" i="87" s="1"/>
  <c r="CI129" i="87" s="1"/>
  <c r="CJ129" i="87" s="1"/>
  <c r="CK129" i="87" s="1"/>
  <c r="CL129" i="87" s="1"/>
  <c r="CM129" i="87" s="1"/>
  <c r="BU138" i="87"/>
  <c r="BV138" i="87" s="1"/>
  <c r="BW138" i="87" s="1"/>
  <c r="BX138" i="87" s="1"/>
  <c r="BY138" i="87" s="1"/>
  <c r="BZ138" i="87" s="1"/>
  <c r="CA138" i="87" s="1"/>
  <c r="CB138" i="87" s="1"/>
  <c r="CC138" i="87" s="1"/>
  <c r="BK129" i="87"/>
  <c r="BL129" i="87" s="1"/>
  <c r="BM129" i="87" s="1"/>
  <c r="BN129" i="87" s="1"/>
  <c r="BO129" i="87" s="1"/>
  <c r="BP129" i="87" s="1"/>
  <c r="BQ129" i="87" s="1"/>
  <c r="BR129" i="87" s="1"/>
  <c r="BS129" i="87" s="1"/>
  <c r="AG88" i="87"/>
  <c r="AH88" i="87" s="1"/>
  <c r="AI88" i="87" s="1"/>
  <c r="AJ88" i="87" s="1"/>
  <c r="AK88" i="87" s="1"/>
  <c r="AL88" i="87" s="1"/>
  <c r="AM88" i="87" s="1"/>
  <c r="AN88" i="87" s="1"/>
  <c r="AO88" i="87" s="1"/>
  <c r="BU88" i="87"/>
  <c r="BV88" i="87" s="1"/>
  <c r="BW88" i="87" s="1"/>
  <c r="BX88" i="87" s="1"/>
  <c r="BY88" i="87" s="1"/>
  <c r="BZ88" i="87" s="1"/>
  <c r="CA88" i="87" s="1"/>
  <c r="CB88" i="87" s="1"/>
  <c r="CC88" i="87" s="1"/>
  <c r="BK138" i="87"/>
  <c r="BL138" i="87" s="1"/>
  <c r="BM138" i="87" s="1"/>
  <c r="BN138" i="87" s="1"/>
  <c r="BO138" i="87" s="1"/>
  <c r="BP138" i="87" s="1"/>
  <c r="BQ138" i="87" s="1"/>
  <c r="BR138" i="87" s="1"/>
  <c r="BS138" i="87" s="1"/>
  <c r="AG78" i="87"/>
  <c r="AH78" i="87" s="1"/>
  <c r="AI78" i="87" s="1"/>
  <c r="AJ78" i="87" s="1"/>
  <c r="AK78" i="87" s="1"/>
  <c r="AL78" i="87" s="1"/>
  <c r="AM78" i="87" s="1"/>
  <c r="AN78" i="87" s="1"/>
  <c r="AO78" i="87" s="1"/>
  <c r="CE76" i="87"/>
  <c r="CF76" i="87" s="1"/>
  <c r="CG76" i="87" s="1"/>
  <c r="CH76" i="87" s="1"/>
  <c r="CI76" i="87" s="1"/>
  <c r="CJ76" i="87" s="1"/>
  <c r="CK76" i="87" s="1"/>
  <c r="CL76" i="87" s="1"/>
  <c r="CM76" i="87" s="1"/>
  <c r="AG131" i="87"/>
  <c r="AH131" i="87" s="1"/>
  <c r="AI131" i="87" s="1"/>
  <c r="AJ131" i="87" s="1"/>
  <c r="AK131" i="87" s="1"/>
  <c r="AL131" i="87" s="1"/>
  <c r="AM131" i="87" s="1"/>
  <c r="AN131" i="87" s="1"/>
  <c r="AO131" i="87" s="1"/>
  <c r="W97" i="87"/>
  <c r="X97" i="87" s="1"/>
  <c r="Y97" i="87" s="1"/>
  <c r="Z97" i="87" s="1"/>
  <c r="AA97" i="87" s="1"/>
  <c r="AB97" i="87" s="1"/>
  <c r="AC97" i="87" s="1"/>
  <c r="AD97" i="87" s="1"/>
  <c r="AE97" i="87" s="1"/>
  <c r="CE95" i="87"/>
  <c r="CF95" i="87" s="1"/>
  <c r="CG95" i="87" s="1"/>
  <c r="CH95" i="87" s="1"/>
  <c r="CI95" i="87" s="1"/>
  <c r="CJ95" i="87" s="1"/>
  <c r="CK95" i="87" s="1"/>
  <c r="CL95" i="87" s="1"/>
  <c r="CM95" i="87" s="1"/>
  <c r="M95" i="87"/>
  <c r="N95" i="87" s="1"/>
  <c r="O95" i="87" s="1"/>
  <c r="P95" i="87" s="1"/>
  <c r="Q95" i="87" s="1"/>
  <c r="R95" i="87" s="1"/>
  <c r="S95" i="87" s="1"/>
  <c r="T95" i="87" s="1"/>
  <c r="U95" i="87" s="1"/>
  <c r="AG132" i="87"/>
  <c r="AH132" i="87" s="1"/>
  <c r="AI132" i="87" s="1"/>
  <c r="AJ132" i="87" s="1"/>
  <c r="AK132" i="87" s="1"/>
  <c r="AL132" i="87" s="1"/>
  <c r="AM132" i="87" s="1"/>
  <c r="AN132" i="87" s="1"/>
  <c r="AO132" i="87" s="1"/>
  <c r="C145" i="87"/>
  <c r="D145" i="87" s="1"/>
  <c r="E145" i="87" s="1"/>
  <c r="F145" i="87" s="1"/>
  <c r="G145" i="87" s="1"/>
  <c r="H145" i="87" s="1"/>
  <c r="I145" i="87" s="1"/>
  <c r="J145" i="87" s="1"/>
  <c r="K145" i="87" s="1"/>
  <c r="BK145" i="87"/>
  <c r="BL145" i="87" s="1"/>
  <c r="BM145" i="87" s="1"/>
  <c r="BN145" i="87" s="1"/>
  <c r="BO145" i="87" s="1"/>
  <c r="BP145" i="87" s="1"/>
  <c r="BQ145" i="87" s="1"/>
  <c r="BR145" i="87" s="1"/>
  <c r="BS145" i="87" s="1"/>
  <c r="BA145" i="87"/>
  <c r="BB145" i="87" s="1"/>
  <c r="BC145" i="87" s="1"/>
  <c r="BD145" i="87" s="1"/>
  <c r="BE145" i="87" s="1"/>
  <c r="BF145" i="87" s="1"/>
  <c r="BG145" i="87" s="1"/>
  <c r="BH145" i="87" s="1"/>
  <c r="BI145" i="87" s="1"/>
  <c r="C129" i="87"/>
  <c r="D129" i="87" s="1"/>
  <c r="E129" i="87" s="1"/>
  <c r="F129" i="87" s="1"/>
  <c r="G129" i="87" s="1"/>
  <c r="H129" i="87" s="1"/>
  <c r="I129" i="87" s="1"/>
  <c r="J129" i="87" s="1"/>
  <c r="K129" i="87" s="1"/>
  <c r="BA76" i="87"/>
  <c r="BB76" i="87" s="1"/>
  <c r="BC76" i="87" s="1"/>
  <c r="BD76" i="87" s="1"/>
  <c r="BE76" i="87" s="1"/>
  <c r="BF76" i="87" s="1"/>
  <c r="BG76" i="87" s="1"/>
  <c r="BH76" i="87" s="1"/>
  <c r="BI76" i="87" s="1"/>
  <c r="AG77" i="87"/>
  <c r="AH77" i="87" s="1"/>
  <c r="AI77" i="87" s="1"/>
  <c r="AJ77" i="87" s="1"/>
  <c r="AK77" i="87" s="1"/>
  <c r="AL77" i="87" s="1"/>
  <c r="AM77" i="87" s="1"/>
  <c r="AN77" i="87" s="1"/>
  <c r="AO77" i="87" s="1"/>
  <c r="BU79" i="87"/>
  <c r="BV79" i="87" s="1"/>
  <c r="BW79" i="87" s="1"/>
  <c r="BX79" i="87" s="1"/>
  <c r="BY79" i="87" s="1"/>
  <c r="BZ79" i="87" s="1"/>
  <c r="CA79" i="87" s="1"/>
  <c r="CB79" i="87" s="1"/>
  <c r="CC79" i="87" s="1"/>
  <c r="BA95" i="87"/>
  <c r="BB95" i="87" s="1"/>
  <c r="BC95" i="87" s="1"/>
  <c r="BD95" i="87" s="1"/>
  <c r="BE95" i="87" s="1"/>
  <c r="BF95" i="87" s="1"/>
  <c r="BG95" i="87" s="1"/>
  <c r="BH95" i="87" s="1"/>
  <c r="BI95" i="87" s="1"/>
  <c r="BA97" i="87"/>
  <c r="BB97" i="87" s="1"/>
  <c r="BC97" i="87" s="1"/>
  <c r="BD97" i="87" s="1"/>
  <c r="BE97" i="87" s="1"/>
  <c r="BF97" i="87" s="1"/>
  <c r="BG97" i="87" s="1"/>
  <c r="BH97" i="87" s="1"/>
  <c r="BI97" i="87" s="1"/>
  <c r="W138" i="87"/>
  <c r="X138" i="87" s="1"/>
  <c r="Y138" i="87" s="1"/>
  <c r="Z138" i="87" s="1"/>
  <c r="AA138" i="87" s="1"/>
  <c r="AB138" i="87" s="1"/>
  <c r="AC138" i="87" s="1"/>
  <c r="AD138" i="87" s="1"/>
  <c r="AE138" i="87" s="1"/>
  <c r="BU146" i="87"/>
  <c r="BV146" i="87" s="1"/>
  <c r="BW146" i="87" s="1"/>
  <c r="BX146" i="87" s="1"/>
  <c r="BY146" i="87" s="1"/>
  <c r="BZ146" i="87" s="1"/>
  <c r="CA146" i="87" s="1"/>
  <c r="CB146" i="87" s="1"/>
  <c r="CC146" i="87" s="1"/>
  <c r="BA136" i="87"/>
  <c r="BB136" i="87" s="1"/>
  <c r="BC136" i="87" s="1"/>
  <c r="BD136" i="87" s="1"/>
  <c r="BE136" i="87" s="1"/>
  <c r="BF136" i="87" s="1"/>
  <c r="BG136" i="87" s="1"/>
  <c r="BH136" i="87" s="1"/>
  <c r="BI136" i="87" s="1"/>
  <c r="M129" i="87"/>
  <c r="N129" i="87" s="1"/>
  <c r="O129" i="87" s="1"/>
  <c r="P129" i="87" s="1"/>
  <c r="Q129" i="87" s="1"/>
  <c r="R129" i="87" s="1"/>
  <c r="S129" i="87" s="1"/>
  <c r="T129" i="87" s="1"/>
  <c r="U129" i="87" s="1"/>
  <c r="AP145" i="87"/>
  <c r="AQ145" i="87" s="1"/>
  <c r="AR145" i="87" s="1"/>
  <c r="AS145" i="87" s="1"/>
  <c r="AT145" i="87" s="1"/>
  <c r="AU145" i="87" s="1"/>
  <c r="AV145" i="87" s="1"/>
  <c r="AW145" i="87" s="1"/>
  <c r="AX145" i="87" s="1"/>
  <c r="AY145" i="87" s="1"/>
  <c r="AP136" i="87"/>
  <c r="M145" i="87"/>
  <c r="N145" i="87" s="1"/>
  <c r="O145" i="87" s="1"/>
  <c r="P145" i="87" s="1"/>
  <c r="Q145" i="87" s="1"/>
  <c r="R145" i="87" s="1"/>
  <c r="S145" i="87" s="1"/>
  <c r="T145" i="87" s="1"/>
  <c r="U145" i="87" s="1"/>
  <c r="W136" i="87"/>
  <c r="X136" i="87" s="1"/>
  <c r="Y136" i="87" s="1"/>
  <c r="Z136" i="87" s="1"/>
  <c r="AA136" i="87" s="1"/>
  <c r="AB136" i="87" s="1"/>
  <c r="AC136" i="87" s="1"/>
  <c r="AD136" i="87" s="1"/>
  <c r="AE136" i="87" s="1"/>
  <c r="AR90" i="87"/>
  <c r="AS90" i="87" s="1"/>
  <c r="AT90" i="87" s="1"/>
  <c r="AU90" i="87" s="1"/>
  <c r="AV90" i="87" s="1"/>
  <c r="AW90" i="87" s="1"/>
  <c r="AX90" i="87" s="1"/>
  <c r="AY90" i="87" s="1"/>
  <c r="C136" i="87"/>
  <c r="D136" i="87" s="1"/>
  <c r="E136" i="87" s="1"/>
  <c r="F136" i="87" s="1"/>
  <c r="G136" i="87" s="1"/>
  <c r="H136" i="87" s="1"/>
  <c r="I136" i="87" s="1"/>
  <c r="J136" i="87" s="1"/>
  <c r="K136" i="87" s="1"/>
  <c r="AQ138" i="87"/>
  <c r="AR138" i="87" s="1"/>
  <c r="AS138" i="87" s="1"/>
  <c r="AT138" i="87" s="1"/>
  <c r="AU138" i="87" s="1"/>
  <c r="AV138" i="87" s="1"/>
  <c r="AW138" i="87" s="1"/>
  <c r="AX138" i="87" s="1"/>
  <c r="AY138" i="87" s="1"/>
  <c r="C88" i="87"/>
  <c r="D88" i="87" s="1"/>
  <c r="E88" i="87" s="1"/>
  <c r="F88" i="87" s="1"/>
  <c r="G88" i="87" s="1"/>
  <c r="H88" i="87" s="1"/>
  <c r="I88" i="87" s="1"/>
  <c r="J88" i="87" s="1"/>
  <c r="K88" i="87" s="1"/>
  <c r="BA79" i="87"/>
  <c r="BB79" i="87" s="1"/>
  <c r="BC79" i="87" s="1"/>
  <c r="BD79" i="87" s="1"/>
  <c r="BE79" i="87" s="1"/>
  <c r="BF79" i="87" s="1"/>
  <c r="BG79" i="87" s="1"/>
  <c r="BH79" i="87" s="1"/>
  <c r="BI79" i="87" s="1"/>
  <c r="AQ76" i="87"/>
  <c r="L116" i="87"/>
  <c r="L78" i="87"/>
  <c r="M78" i="87" s="1"/>
  <c r="N78" i="87" s="1"/>
  <c r="O78" i="87" s="1"/>
  <c r="P78" i="87" s="1"/>
  <c r="Q78" i="87" s="1"/>
  <c r="R78" i="87" s="1"/>
  <c r="S78" i="87" s="1"/>
  <c r="T78" i="87" s="1"/>
  <c r="U78" i="87" s="1"/>
  <c r="AG129" i="87"/>
  <c r="AH129" i="87" s="1"/>
  <c r="AI129" i="87" s="1"/>
  <c r="AJ129" i="87" s="1"/>
  <c r="AK129" i="87" s="1"/>
  <c r="AL129" i="87" s="1"/>
  <c r="AM129" i="87" s="1"/>
  <c r="AN129" i="87" s="1"/>
  <c r="AO129" i="87" s="1"/>
  <c r="C138" i="87"/>
  <c r="D138" i="87" s="1"/>
  <c r="E138" i="87" s="1"/>
  <c r="F138" i="87" s="1"/>
  <c r="G138" i="87" s="1"/>
  <c r="H138" i="87" s="1"/>
  <c r="I138" i="87" s="1"/>
  <c r="J138" i="87" s="1"/>
  <c r="K138" i="87" s="1"/>
  <c r="AQ146" i="87"/>
  <c r="AR146" i="87" s="1"/>
  <c r="AS146" i="87" s="1"/>
  <c r="AT146" i="87" s="1"/>
  <c r="AU146" i="87" s="1"/>
  <c r="AV146" i="87" s="1"/>
  <c r="AW146" i="87" s="1"/>
  <c r="AX146" i="87" s="1"/>
  <c r="AY146" i="87" s="1"/>
  <c r="BA88" i="87"/>
  <c r="BB88" i="87" s="1"/>
  <c r="BC88" i="87" s="1"/>
  <c r="BD88" i="87" s="1"/>
  <c r="BE88" i="87" s="1"/>
  <c r="BF88" i="87" s="1"/>
  <c r="BG88" i="87" s="1"/>
  <c r="BH88" i="87" s="1"/>
  <c r="BI88" i="87" s="1"/>
  <c r="B116" i="87"/>
  <c r="B78" i="87"/>
  <c r="L117" i="87"/>
  <c r="M117" i="87" s="1"/>
  <c r="N117" i="87" s="1"/>
  <c r="O117" i="87" s="1"/>
  <c r="P117" i="87" s="1"/>
  <c r="Q117" i="87" s="1"/>
  <c r="R117" i="87" s="1"/>
  <c r="S117" i="87" s="1"/>
  <c r="T117" i="87" s="1"/>
  <c r="U117" i="87" s="1"/>
  <c r="L79" i="87"/>
  <c r="M79" i="87" s="1"/>
  <c r="N79" i="87" s="1"/>
  <c r="O79" i="87" s="1"/>
  <c r="P79" i="87" s="1"/>
  <c r="Q79" i="87" s="1"/>
  <c r="R79" i="87" s="1"/>
  <c r="S79" i="87" s="1"/>
  <c r="T79" i="87" s="1"/>
  <c r="U79" i="87" s="1"/>
  <c r="W77" i="87"/>
  <c r="X77" i="87" s="1"/>
  <c r="Y77" i="87" s="1"/>
  <c r="Z77" i="87" s="1"/>
  <c r="AA77" i="87" s="1"/>
  <c r="AB77" i="87" s="1"/>
  <c r="AC77" i="87" s="1"/>
  <c r="AD77" i="87" s="1"/>
  <c r="AE77" i="87" s="1"/>
  <c r="BA129" i="87"/>
  <c r="BB129" i="87" s="1"/>
  <c r="BC129" i="87" s="1"/>
  <c r="BD129" i="87" s="1"/>
  <c r="BE129" i="87" s="1"/>
  <c r="BF129" i="87" s="1"/>
  <c r="BG129" i="87" s="1"/>
  <c r="BH129" i="87" s="1"/>
  <c r="BI129" i="87" s="1"/>
  <c r="BU76" i="87"/>
  <c r="BV76" i="87" s="1"/>
  <c r="BW76" i="87" s="1"/>
  <c r="BX76" i="87" s="1"/>
  <c r="BY76" i="87" s="1"/>
  <c r="BZ76" i="87" s="1"/>
  <c r="CA76" i="87" s="1"/>
  <c r="CB76" i="87" s="1"/>
  <c r="CC76" i="87" s="1"/>
  <c r="CE77" i="87"/>
  <c r="CF77" i="87" s="1"/>
  <c r="CG77" i="87" s="1"/>
  <c r="CH77" i="87" s="1"/>
  <c r="CI77" i="87" s="1"/>
  <c r="CJ77" i="87" s="1"/>
  <c r="CK77" i="87" s="1"/>
  <c r="CL77" i="87" s="1"/>
  <c r="CM77" i="87" s="1"/>
  <c r="CE78" i="87"/>
  <c r="CF78" i="87" s="1"/>
  <c r="CG78" i="87" s="1"/>
  <c r="CH78" i="87" s="1"/>
  <c r="CI78" i="87" s="1"/>
  <c r="CJ78" i="87" s="1"/>
  <c r="CK78" i="87" s="1"/>
  <c r="CL78" i="87" s="1"/>
  <c r="CM78" i="87" s="1"/>
  <c r="AQ95" i="87"/>
  <c r="AR95" i="87" s="1"/>
  <c r="AS95" i="87" s="1"/>
  <c r="AT95" i="87" s="1"/>
  <c r="AU95" i="87" s="1"/>
  <c r="AV95" i="87" s="1"/>
  <c r="AW95" i="87" s="1"/>
  <c r="AX95" i="87" s="1"/>
  <c r="AY95" i="87" s="1"/>
  <c r="AQ97" i="87"/>
  <c r="AR97" i="87" s="1"/>
  <c r="AS97" i="87" s="1"/>
  <c r="AT97" i="87" s="1"/>
  <c r="AU97" i="87" s="1"/>
  <c r="AV97" i="87" s="1"/>
  <c r="AW97" i="87" s="1"/>
  <c r="AX97" i="87" s="1"/>
  <c r="AY97" i="87" s="1"/>
  <c r="CN145" i="87"/>
  <c r="CE145" i="87" s="1"/>
  <c r="CF145" i="87" s="1"/>
  <c r="CG145" i="87" s="1"/>
  <c r="CH145" i="87" s="1"/>
  <c r="CI145" i="87" s="1"/>
  <c r="CJ145" i="87" s="1"/>
  <c r="CK145" i="87" s="1"/>
  <c r="CL145" i="87" s="1"/>
  <c r="CM145" i="87" s="1"/>
  <c r="CN136" i="87"/>
  <c r="CE136" i="87" s="1"/>
  <c r="CF136" i="87" s="1"/>
  <c r="CG136" i="87" s="1"/>
  <c r="CH136" i="87" s="1"/>
  <c r="CI136" i="87" s="1"/>
  <c r="CJ136" i="87" s="1"/>
  <c r="CK136" i="87" s="1"/>
  <c r="CL136" i="87" s="1"/>
  <c r="CM136" i="87" s="1"/>
  <c r="C146" i="87"/>
  <c r="D146" i="87" s="1"/>
  <c r="E146" i="87" s="1"/>
  <c r="F146" i="87" s="1"/>
  <c r="G146" i="87" s="1"/>
  <c r="H146" i="87" s="1"/>
  <c r="I146" i="87" s="1"/>
  <c r="J146" i="87" s="1"/>
  <c r="K146" i="87" s="1"/>
  <c r="M146" i="87"/>
  <c r="N146" i="87" s="1"/>
  <c r="O146" i="87" s="1"/>
  <c r="P146" i="87" s="1"/>
  <c r="Q146" i="87" s="1"/>
  <c r="R146" i="87" s="1"/>
  <c r="S146" i="87" s="1"/>
  <c r="T146" i="87" s="1"/>
  <c r="U146" i="87" s="1"/>
  <c r="AG146" i="87"/>
  <c r="AH146" i="87" s="1"/>
  <c r="AI146" i="87" s="1"/>
  <c r="AJ146" i="87" s="1"/>
  <c r="AK146" i="87" s="1"/>
  <c r="AL146" i="87" s="1"/>
  <c r="AM146" i="87" s="1"/>
  <c r="AN146" i="87" s="1"/>
  <c r="AO146" i="87" s="1"/>
  <c r="L115" i="87"/>
  <c r="L77" i="87"/>
  <c r="M77" i="87" s="1"/>
  <c r="N77" i="87" s="1"/>
  <c r="O77" i="87" s="1"/>
  <c r="P77" i="87" s="1"/>
  <c r="Q77" i="87" s="1"/>
  <c r="R77" i="87" s="1"/>
  <c r="S77" i="87" s="1"/>
  <c r="T77" i="87" s="1"/>
  <c r="U77" i="87" s="1"/>
  <c r="B117" i="87"/>
  <c r="B79" i="87"/>
  <c r="B114" i="87"/>
  <c r="B76" i="87"/>
  <c r="AQ88" i="87"/>
  <c r="AR88" i="87" s="1"/>
  <c r="AS88" i="87" s="1"/>
  <c r="AT88" i="87" s="1"/>
  <c r="AU88" i="87" s="1"/>
  <c r="AV88" i="87" s="1"/>
  <c r="AW88" i="87" s="1"/>
  <c r="AX88" i="87" s="1"/>
  <c r="AY88" i="87" s="1"/>
  <c r="BA78" i="87"/>
  <c r="BB78" i="87" s="1"/>
  <c r="BC78" i="87" s="1"/>
  <c r="BD78" i="87" s="1"/>
  <c r="BE78" i="87" s="1"/>
  <c r="BF78" i="87" s="1"/>
  <c r="BG78" i="87" s="1"/>
  <c r="BH78" i="87" s="1"/>
  <c r="BI78" i="87" s="1"/>
  <c r="AG76" i="87"/>
  <c r="AH76" i="87" s="1"/>
  <c r="AI76" i="87" s="1"/>
  <c r="AJ76" i="87" s="1"/>
  <c r="AK76" i="87" s="1"/>
  <c r="AL76" i="87" s="1"/>
  <c r="AM76" i="87" s="1"/>
  <c r="AN76" i="87" s="1"/>
  <c r="AO76" i="87" s="1"/>
  <c r="BU95" i="87"/>
  <c r="BV95" i="87" s="1"/>
  <c r="BW95" i="87" s="1"/>
  <c r="BX95" i="87" s="1"/>
  <c r="BY95" i="87" s="1"/>
  <c r="BZ95" i="87" s="1"/>
  <c r="CA95" i="87" s="1"/>
  <c r="CB95" i="87" s="1"/>
  <c r="CC95" i="87" s="1"/>
  <c r="W78" i="87"/>
  <c r="X78" i="87" s="1"/>
  <c r="Y78" i="87" s="1"/>
  <c r="Z78" i="87" s="1"/>
  <c r="AA78" i="87" s="1"/>
  <c r="AB78" i="87" s="1"/>
  <c r="AC78" i="87" s="1"/>
  <c r="AD78" i="87" s="1"/>
  <c r="AE78" i="87" s="1"/>
  <c r="L114" i="87"/>
  <c r="M114" i="87" s="1"/>
  <c r="N114" i="87" s="1"/>
  <c r="O114" i="87" s="1"/>
  <c r="P114" i="87" s="1"/>
  <c r="Q114" i="87" s="1"/>
  <c r="R114" i="87" s="1"/>
  <c r="S114" i="87" s="1"/>
  <c r="T114" i="87" s="1"/>
  <c r="U114" i="87" s="1"/>
  <c r="L76" i="87"/>
  <c r="M76" i="87" s="1"/>
  <c r="N76" i="87" s="1"/>
  <c r="O76" i="87" s="1"/>
  <c r="P76" i="87" s="1"/>
  <c r="Q76" i="87" s="1"/>
  <c r="R76" i="87" s="1"/>
  <c r="S76" i="87" s="1"/>
  <c r="T76" i="87" s="1"/>
  <c r="U76" i="87" s="1"/>
  <c r="B115" i="87"/>
  <c r="B77" i="87"/>
  <c r="W79" i="87"/>
  <c r="X79" i="87" s="1"/>
  <c r="Y79" i="87" s="1"/>
  <c r="Z79" i="87" s="1"/>
  <c r="AA79" i="87" s="1"/>
  <c r="AB79" i="87" s="1"/>
  <c r="AC79" i="87" s="1"/>
  <c r="AD79" i="87" s="1"/>
  <c r="AE79" i="87" s="1"/>
  <c r="BU129" i="87"/>
  <c r="BV129" i="87" s="1"/>
  <c r="BW129" i="87" s="1"/>
  <c r="BX129" i="87" s="1"/>
  <c r="BY129" i="87" s="1"/>
  <c r="BZ129" i="87" s="1"/>
  <c r="CA129" i="87" s="1"/>
  <c r="CB129" i="87" s="1"/>
  <c r="CC129" i="87" s="1"/>
  <c r="W88" i="87"/>
  <c r="X88" i="87" s="1"/>
  <c r="Y88" i="87" s="1"/>
  <c r="Z88" i="87" s="1"/>
  <c r="AA88" i="87" s="1"/>
  <c r="AB88" i="87" s="1"/>
  <c r="AC88" i="87" s="1"/>
  <c r="AD88" i="87" s="1"/>
  <c r="AE88" i="87" s="1"/>
  <c r="CE88" i="87"/>
  <c r="CF88" i="87" s="1"/>
  <c r="CG88" i="87" s="1"/>
  <c r="CH88" i="87" s="1"/>
  <c r="CI88" i="87" s="1"/>
  <c r="CJ88" i="87" s="1"/>
  <c r="CK88" i="87" s="1"/>
  <c r="CL88" i="87" s="1"/>
  <c r="CM88" i="87" s="1"/>
  <c r="M88" i="87"/>
  <c r="N88" i="87" s="1"/>
  <c r="O88" i="87" s="1"/>
  <c r="P88" i="87" s="1"/>
  <c r="Q88" i="87" s="1"/>
  <c r="R88" i="87" s="1"/>
  <c r="S88" i="87" s="1"/>
  <c r="T88" i="87" s="1"/>
  <c r="U88" i="87" s="1"/>
  <c r="BU77" i="87"/>
  <c r="BV77" i="87" s="1"/>
  <c r="BW77" i="87" s="1"/>
  <c r="BX77" i="87" s="1"/>
  <c r="BY77" i="87" s="1"/>
  <c r="BZ77" i="87" s="1"/>
  <c r="CA77" i="87" s="1"/>
  <c r="CB77" i="87" s="1"/>
  <c r="CC77" i="87" s="1"/>
  <c r="C95" i="87"/>
  <c r="D95" i="87" s="1"/>
  <c r="E95" i="87" s="1"/>
  <c r="F95" i="87" s="1"/>
  <c r="G95" i="87" s="1"/>
  <c r="H95" i="87" s="1"/>
  <c r="I95" i="87" s="1"/>
  <c r="J95" i="87" s="1"/>
  <c r="K95" i="87" s="1"/>
  <c r="M97" i="87"/>
  <c r="N97" i="87" s="1"/>
  <c r="O97" i="87" s="1"/>
  <c r="P97" i="87" s="1"/>
  <c r="Q97" i="87" s="1"/>
  <c r="R97" i="87" s="1"/>
  <c r="S97" i="87" s="1"/>
  <c r="T97" i="87" s="1"/>
  <c r="U97" i="87" s="1"/>
  <c r="CE138" i="87"/>
  <c r="CF138" i="87" s="1"/>
  <c r="CG138" i="87" s="1"/>
  <c r="CH138" i="87" s="1"/>
  <c r="CI138" i="87" s="1"/>
  <c r="CJ138" i="87" s="1"/>
  <c r="CK138" i="87" s="1"/>
  <c r="CL138" i="87" s="1"/>
  <c r="CM138" i="87" s="1"/>
  <c r="CN131" i="64"/>
  <c r="AP132" i="64"/>
  <c r="AP131" i="64"/>
  <c r="CN132" i="64"/>
  <c r="N15" i="18"/>
  <c r="B86" i="75"/>
  <c r="BJ88" i="64"/>
  <c r="AZ88" i="64"/>
  <c r="V86" i="75"/>
  <c r="BT129" i="64"/>
  <c r="L84" i="75"/>
  <c r="CD88" i="64"/>
  <c r="V84" i="75"/>
  <c r="AF86" i="75"/>
  <c r="BJ129" i="64"/>
  <c r="AP136" i="64"/>
  <c r="AQ136" i="64" s="1"/>
  <c r="AR136" i="64" s="1"/>
  <c r="AS136" i="64" s="1"/>
  <c r="AT136" i="64" s="1"/>
  <c r="AU136" i="64" s="1"/>
  <c r="AV136" i="64" s="1"/>
  <c r="AW136" i="64" s="1"/>
  <c r="AX136" i="64" s="1"/>
  <c r="AY136" i="64" s="1"/>
  <c r="L86" i="75"/>
  <c r="AZ129" i="64"/>
  <c r="CD129" i="64"/>
  <c r="BT88" i="64"/>
  <c r="CN88" i="64"/>
  <c r="AF84" i="75"/>
  <c r="CN129" i="64"/>
  <c r="B84" i="75"/>
  <c r="AP84" i="75"/>
  <c r="AP86" i="75"/>
  <c r="CN136" i="64"/>
  <c r="CE136" i="64" s="1"/>
  <c r="CF136" i="64" s="1"/>
  <c r="CG136" i="64" s="1"/>
  <c r="CH136" i="64" s="1"/>
  <c r="CI136" i="64" s="1"/>
  <c r="CJ136" i="64" s="1"/>
  <c r="CK136" i="64" s="1"/>
  <c r="CL136" i="64" s="1"/>
  <c r="CM136" i="64" s="1"/>
  <c r="AP111" i="75"/>
  <c r="AP120" i="75"/>
  <c r="N6" i="22"/>
  <c r="CN145" i="64"/>
  <c r="CE145" i="64" s="1"/>
  <c r="CF145" i="64" s="1"/>
  <c r="CG145" i="64" s="1"/>
  <c r="CH145" i="64" s="1"/>
  <c r="CI145" i="64" s="1"/>
  <c r="CJ145" i="64" s="1"/>
  <c r="CK145" i="64" s="1"/>
  <c r="CL145" i="64" s="1"/>
  <c r="CM145" i="64" s="1"/>
  <c r="AP145" i="64"/>
  <c r="AQ145" i="64" s="1"/>
  <c r="AR145" i="64" s="1"/>
  <c r="AS145" i="64" s="1"/>
  <c r="AT145" i="64" s="1"/>
  <c r="AU145" i="64" s="1"/>
  <c r="AV145" i="64" s="1"/>
  <c r="AW145" i="64" s="1"/>
  <c r="AX145" i="64" s="1"/>
  <c r="AY145" i="64" s="1"/>
  <c r="AP78" i="64"/>
  <c r="AZ79" i="64"/>
  <c r="AZ77" i="64"/>
  <c r="AP79" i="64"/>
  <c r="L117" i="64"/>
  <c r="M117" i="64" s="1"/>
  <c r="N117" i="64" s="1"/>
  <c r="O117" i="64" s="1"/>
  <c r="P117" i="64" s="1"/>
  <c r="Q117" i="64" s="1"/>
  <c r="R117" i="64" s="1"/>
  <c r="S117" i="64" s="1"/>
  <c r="T117" i="64" s="1"/>
  <c r="U117" i="64" s="1"/>
  <c r="CN78" i="64"/>
  <c r="V78" i="64"/>
  <c r="BT78" i="64"/>
  <c r="CN76" i="64"/>
  <c r="BT76" i="64"/>
  <c r="CN77" i="64"/>
  <c r="V79" i="64"/>
  <c r="CD77" i="64"/>
  <c r="CD78" i="64"/>
  <c r="BJ78" i="64"/>
  <c r="AZ78" i="64"/>
  <c r="V77" i="64"/>
  <c r="L114" i="64"/>
  <c r="M114" i="64" s="1"/>
  <c r="N114" i="64" s="1"/>
  <c r="O114" i="64" s="1"/>
  <c r="P114" i="64" s="1"/>
  <c r="Q114" i="64" s="1"/>
  <c r="R114" i="64" s="1"/>
  <c r="S114" i="64" s="1"/>
  <c r="T114" i="64" s="1"/>
  <c r="U114" i="64" s="1"/>
  <c r="AF78" i="64"/>
  <c r="AF77" i="64"/>
  <c r="BJ77" i="64"/>
  <c r="BT77" i="64"/>
  <c r="BJ79" i="64"/>
  <c r="L116" i="64"/>
  <c r="AF79" i="64"/>
  <c r="AP77" i="64"/>
  <c r="CN79" i="64"/>
  <c r="CD76" i="64"/>
  <c r="BT79" i="64"/>
  <c r="AP76" i="64"/>
  <c r="AF76" i="64"/>
  <c r="L115" i="64"/>
  <c r="V76" i="64"/>
  <c r="AZ76" i="64"/>
  <c r="BJ76" i="64"/>
  <c r="CD79" i="64"/>
  <c r="L78" i="64"/>
  <c r="L79" i="64"/>
  <c r="L76" i="64"/>
  <c r="L77" i="64"/>
  <c r="B78" i="64"/>
  <c r="B116" i="64"/>
  <c r="B77" i="64"/>
  <c r="B115" i="64"/>
  <c r="B79" i="64"/>
  <c r="B117" i="64"/>
  <c r="B76" i="64"/>
  <c r="B114" i="64"/>
  <c r="L129" i="64"/>
  <c r="L108" i="75"/>
  <c r="AP129" i="64"/>
  <c r="AP108" i="75"/>
  <c r="AF88" i="64"/>
  <c r="AF81" i="75"/>
  <c r="AP88" i="64"/>
  <c r="AP81" i="75"/>
  <c r="AF129" i="64"/>
  <c r="AF108" i="75"/>
  <c r="V88" i="64"/>
  <c r="V81" i="75"/>
  <c r="L88" i="64"/>
  <c r="L81" i="75"/>
  <c r="V129" i="64"/>
  <c r="V108" i="75"/>
  <c r="B129" i="64"/>
  <c r="B108" i="75"/>
  <c r="B88" i="64"/>
  <c r="B81" i="75"/>
  <c r="CE146" i="64"/>
  <c r="CF146" i="64" s="1"/>
  <c r="CG146" i="64" s="1"/>
  <c r="CH146" i="64" s="1"/>
  <c r="CI146" i="64" s="1"/>
  <c r="CJ146" i="64" s="1"/>
  <c r="CK146" i="64" s="1"/>
  <c r="CL146" i="64" s="1"/>
  <c r="CM146" i="64" s="1"/>
  <c r="CE138" i="64"/>
  <c r="CF138" i="64" s="1"/>
  <c r="CG138" i="64" s="1"/>
  <c r="CH138" i="64" s="1"/>
  <c r="CI138" i="64" s="1"/>
  <c r="CJ138" i="64" s="1"/>
  <c r="CK138" i="64" s="1"/>
  <c r="CL138" i="64" s="1"/>
  <c r="CM138" i="64" s="1"/>
  <c r="BU145" i="64"/>
  <c r="BV145" i="64" s="1"/>
  <c r="BW145" i="64" s="1"/>
  <c r="BX145" i="64" s="1"/>
  <c r="BY145" i="64" s="1"/>
  <c r="BZ145" i="64" s="1"/>
  <c r="CA145" i="64" s="1"/>
  <c r="CB145" i="64" s="1"/>
  <c r="CC145" i="64" s="1"/>
  <c r="BU146" i="64"/>
  <c r="BV146" i="64" s="1"/>
  <c r="BW146" i="64" s="1"/>
  <c r="BX146" i="64" s="1"/>
  <c r="BY146" i="64" s="1"/>
  <c r="BZ146" i="64" s="1"/>
  <c r="CA146" i="64" s="1"/>
  <c r="CB146" i="64" s="1"/>
  <c r="CC146" i="64" s="1"/>
  <c r="BU136" i="64"/>
  <c r="BV136" i="64" s="1"/>
  <c r="BW136" i="64" s="1"/>
  <c r="BX136" i="64" s="1"/>
  <c r="BY136" i="64" s="1"/>
  <c r="BZ136" i="64" s="1"/>
  <c r="CA136" i="64" s="1"/>
  <c r="CB136" i="64" s="1"/>
  <c r="CC136" i="64" s="1"/>
  <c r="BU138" i="64"/>
  <c r="BV138" i="64" s="1"/>
  <c r="BW138" i="64" s="1"/>
  <c r="BX138" i="64" s="1"/>
  <c r="BY138" i="64" s="1"/>
  <c r="BZ138" i="64" s="1"/>
  <c r="CA138" i="64" s="1"/>
  <c r="CB138" i="64" s="1"/>
  <c r="CC138" i="64" s="1"/>
  <c r="BK136" i="64"/>
  <c r="BL136" i="64" s="1"/>
  <c r="BM136" i="64" s="1"/>
  <c r="BN136" i="64" s="1"/>
  <c r="BO136" i="64" s="1"/>
  <c r="BP136" i="64" s="1"/>
  <c r="BQ136" i="64" s="1"/>
  <c r="BR136" i="64" s="1"/>
  <c r="BS136" i="64" s="1"/>
  <c r="BK145" i="64"/>
  <c r="BL145" i="64" s="1"/>
  <c r="BM145" i="64" s="1"/>
  <c r="BN145" i="64" s="1"/>
  <c r="BO145" i="64" s="1"/>
  <c r="BP145" i="64" s="1"/>
  <c r="BQ145" i="64" s="1"/>
  <c r="BR145" i="64" s="1"/>
  <c r="BS145" i="64" s="1"/>
  <c r="BK146" i="64"/>
  <c r="BL146" i="64" s="1"/>
  <c r="BM146" i="64" s="1"/>
  <c r="BN146" i="64" s="1"/>
  <c r="BO146" i="64" s="1"/>
  <c r="BP146" i="64" s="1"/>
  <c r="BQ146" i="64" s="1"/>
  <c r="BR146" i="64" s="1"/>
  <c r="BS146" i="64" s="1"/>
  <c r="BK138" i="64"/>
  <c r="BL138" i="64" s="1"/>
  <c r="BM138" i="64" s="1"/>
  <c r="BN138" i="64" s="1"/>
  <c r="BO138" i="64" s="1"/>
  <c r="BP138" i="64" s="1"/>
  <c r="BQ138" i="64" s="1"/>
  <c r="BR138" i="64" s="1"/>
  <c r="BS138" i="64" s="1"/>
  <c r="BA146" i="64"/>
  <c r="BB146" i="64" s="1"/>
  <c r="BC146" i="64" s="1"/>
  <c r="BD146" i="64" s="1"/>
  <c r="BE146" i="64" s="1"/>
  <c r="BF146" i="64" s="1"/>
  <c r="BG146" i="64" s="1"/>
  <c r="BH146" i="64" s="1"/>
  <c r="BI146" i="64" s="1"/>
  <c r="BA138" i="64"/>
  <c r="BB138" i="64" s="1"/>
  <c r="BC138" i="64" s="1"/>
  <c r="BD138" i="64" s="1"/>
  <c r="BE138" i="64" s="1"/>
  <c r="BF138" i="64" s="1"/>
  <c r="BG138" i="64" s="1"/>
  <c r="BH138" i="64" s="1"/>
  <c r="BI138" i="64" s="1"/>
  <c r="BA145" i="64"/>
  <c r="BB145" i="64" s="1"/>
  <c r="BC145" i="64" s="1"/>
  <c r="BD145" i="64" s="1"/>
  <c r="BE145" i="64" s="1"/>
  <c r="BF145" i="64" s="1"/>
  <c r="BG145" i="64" s="1"/>
  <c r="BH145" i="64" s="1"/>
  <c r="BI145" i="64" s="1"/>
  <c r="BA136" i="64"/>
  <c r="BB136" i="64" s="1"/>
  <c r="BC136" i="64" s="1"/>
  <c r="BD136" i="64" s="1"/>
  <c r="BE136" i="64" s="1"/>
  <c r="BF136" i="64" s="1"/>
  <c r="BG136" i="64" s="1"/>
  <c r="BH136" i="64" s="1"/>
  <c r="BI136" i="64" s="1"/>
  <c r="AQ146" i="64"/>
  <c r="AR146" i="64" s="1"/>
  <c r="AS146" i="64" s="1"/>
  <c r="AT146" i="64" s="1"/>
  <c r="AU146" i="64" s="1"/>
  <c r="AV146" i="64" s="1"/>
  <c r="AW146" i="64" s="1"/>
  <c r="AX146" i="64" s="1"/>
  <c r="AY146" i="64" s="1"/>
  <c r="AQ138" i="64"/>
  <c r="AR138" i="64" s="1"/>
  <c r="AS138" i="64" s="1"/>
  <c r="AT138" i="64" s="1"/>
  <c r="AU138" i="64" s="1"/>
  <c r="AV138" i="64" s="1"/>
  <c r="AW138" i="64" s="1"/>
  <c r="AX138" i="64" s="1"/>
  <c r="AY138" i="64" s="1"/>
  <c r="AG146" i="64"/>
  <c r="AH146" i="64" s="1"/>
  <c r="AI146" i="64" s="1"/>
  <c r="AJ146" i="64" s="1"/>
  <c r="AK146" i="64" s="1"/>
  <c r="AL146" i="64" s="1"/>
  <c r="AM146" i="64" s="1"/>
  <c r="AN146" i="64" s="1"/>
  <c r="AO146" i="64" s="1"/>
  <c r="AG138" i="64"/>
  <c r="AH138" i="64" s="1"/>
  <c r="AI138" i="64" s="1"/>
  <c r="AJ138" i="64" s="1"/>
  <c r="AK138" i="64" s="1"/>
  <c r="AL138" i="64" s="1"/>
  <c r="AM138" i="64" s="1"/>
  <c r="AN138" i="64" s="1"/>
  <c r="AO138" i="64" s="1"/>
  <c r="W145" i="64"/>
  <c r="X145" i="64" s="1"/>
  <c r="Y145" i="64" s="1"/>
  <c r="Z145" i="64" s="1"/>
  <c r="AA145" i="64" s="1"/>
  <c r="AB145" i="64" s="1"/>
  <c r="AC145" i="64" s="1"/>
  <c r="AD145" i="64" s="1"/>
  <c r="AE145" i="64" s="1"/>
  <c r="W146" i="64"/>
  <c r="X146" i="64" s="1"/>
  <c r="Y146" i="64" s="1"/>
  <c r="Z146" i="64" s="1"/>
  <c r="AA146" i="64" s="1"/>
  <c r="AB146" i="64" s="1"/>
  <c r="AC146" i="64" s="1"/>
  <c r="AD146" i="64" s="1"/>
  <c r="AE146" i="64" s="1"/>
  <c r="W136" i="64"/>
  <c r="X136" i="64" s="1"/>
  <c r="Y136" i="64" s="1"/>
  <c r="Z136" i="64" s="1"/>
  <c r="AA136" i="64" s="1"/>
  <c r="AB136" i="64" s="1"/>
  <c r="AC136" i="64" s="1"/>
  <c r="AD136" i="64" s="1"/>
  <c r="AE136" i="64" s="1"/>
  <c r="W138" i="64"/>
  <c r="X138" i="64" s="1"/>
  <c r="Y138" i="64" s="1"/>
  <c r="Z138" i="64" s="1"/>
  <c r="AA138" i="64" s="1"/>
  <c r="AB138" i="64" s="1"/>
  <c r="AC138" i="64" s="1"/>
  <c r="AD138" i="64" s="1"/>
  <c r="AE138" i="64" s="1"/>
  <c r="M146" i="64"/>
  <c r="N146" i="64" s="1"/>
  <c r="O146" i="64" s="1"/>
  <c r="P146" i="64" s="1"/>
  <c r="Q146" i="64" s="1"/>
  <c r="R146" i="64" s="1"/>
  <c r="S146" i="64" s="1"/>
  <c r="T146" i="64" s="1"/>
  <c r="U146" i="64" s="1"/>
  <c r="M138" i="64"/>
  <c r="N138" i="64" s="1"/>
  <c r="O138" i="64" s="1"/>
  <c r="P138" i="64" s="1"/>
  <c r="Q138" i="64" s="1"/>
  <c r="R138" i="64" s="1"/>
  <c r="S138" i="64" s="1"/>
  <c r="T138" i="64" s="1"/>
  <c r="U138" i="64" s="1"/>
  <c r="M145" i="64"/>
  <c r="N145" i="64" s="1"/>
  <c r="O145" i="64" s="1"/>
  <c r="P145" i="64" s="1"/>
  <c r="Q145" i="64" s="1"/>
  <c r="R145" i="64" s="1"/>
  <c r="S145" i="64" s="1"/>
  <c r="T145" i="64" s="1"/>
  <c r="U145" i="64" s="1"/>
  <c r="M136" i="64"/>
  <c r="N136" i="64" s="1"/>
  <c r="O136" i="64" s="1"/>
  <c r="P136" i="64" s="1"/>
  <c r="Q136" i="64" s="1"/>
  <c r="R136" i="64" s="1"/>
  <c r="S136" i="64" s="1"/>
  <c r="T136" i="64" s="1"/>
  <c r="U136" i="64" s="1"/>
  <c r="C145" i="64"/>
  <c r="D145" i="64" s="1"/>
  <c r="E145" i="64" s="1"/>
  <c r="F145" i="64" s="1"/>
  <c r="G145" i="64" s="1"/>
  <c r="H145" i="64" s="1"/>
  <c r="I145" i="64" s="1"/>
  <c r="J145" i="64" s="1"/>
  <c r="K145" i="64" s="1"/>
  <c r="C136" i="64"/>
  <c r="D136" i="64" s="1"/>
  <c r="E136" i="64" s="1"/>
  <c r="F136" i="64" s="1"/>
  <c r="G136" i="64" s="1"/>
  <c r="H136" i="64" s="1"/>
  <c r="I136" i="64" s="1"/>
  <c r="J136" i="64" s="1"/>
  <c r="K136" i="64" s="1"/>
  <c r="C146" i="64"/>
  <c r="D146" i="64" s="1"/>
  <c r="E146" i="64" s="1"/>
  <c r="F146" i="64" s="1"/>
  <c r="G146" i="64" s="1"/>
  <c r="H146" i="64" s="1"/>
  <c r="I146" i="64" s="1"/>
  <c r="J146" i="64" s="1"/>
  <c r="K146" i="64" s="1"/>
  <c r="C138" i="64"/>
  <c r="D138" i="64" s="1"/>
  <c r="E138" i="64" s="1"/>
  <c r="F138" i="64" s="1"/>
  <c r="G138" i="64" s="1"/>
  <c r="H138" i="64" s="1"/>
  <c r="I138" i="64" s="1"/>
  <c r="J138" i="64" s="1"/>
  <c r="K138" i="64" s="1"/>
  <c r="BT95" i="64"/>
  <c r="I78" i="27"/>
  <c r="AP95" i="64"/>
  <c r="F78" i="27"/>
  <c r="AF95" i="64"/>
  <c r="E78" i="27"/>
  <c r="B95" i="64"/>
  <c r="B78" i="27"/>
  <c r="AZ95" i="64"/>
  <c r="G78" i="27"/>
  <c r="CD95" i="64"/>
  <c r="J78" i="27"/>
  <c r="BJ95" i="64"/>
  <c r="H78" i="27"/>
  <c r="L95" i="64"/>
  <c r="C78" i="27"/>
  <c r="V95" i="64"/>
  <c r="D78" i="27"/>
  <c r="CN95" i="64"/>
  <c r="K78" i="27"/>
  <c r="F81" i="27"/>
  <c r="AP97" i="64"/>
  <c r="C81" i="27"/>
  <c r="L97" i="64"/>
  <c r="K81" i="27"/>
  <c r="CN97" i="64"/>
  <c r="B81" i="27"/>
  <c r="B97" i="64"/>
  <c r="G81" i="27"/>
  <c r="AZ97" i="64"/>
  <c r="D81" i="27"/>
  <c r="V97" i="64"/>
  <c r="E81" i="27"/>
  <c r="AF97" i="64"/>
  <c r="H81" i="27"/>
  <c r="BJ97" i="64"/>
  <c r="I81" i="27"/>
  <c r="BT97" i="64"/>
  <c r="J81" i="27"/>
  <c r="CD97" i="64"/>
  <c r="K48" i="35"/>
  <c r="K30" i="25"/>
  <c r="J15" i="25"/>
  <c r="L30" i="25"/>
  <c r="L29" i="25"/>
  <c r="J18" i="25"/>
  <c r="L5" i="55"/>
  <c r="N5" i="55"/>
  <c r="M3" i="55"/>
  <c r="N2" i="55"/>
  <c r="K4" i="55"/>
  <c r="K2" i="55"/>
  <c r="L5" i="54"/>
  <c r="J11" i="55"/>
  <c r="J5" i="55"/>
  <c r="M3" i="54"/>
  <c r="N4" i="55"/>
  <c r="M11" i="55"/>
  <c r="M2" i="55"/>
  <c r="J4" i="55"/>
  <c r="L4" i="55"/>
  <c r="J2" i="55"/>
  <c r="K11" i="55"/>
  <c r="M5" i="55"/>
  <c r="L3" i="55"/>
  <c r="K3" i="55"/>
  <c r="J3" i="55"/>
  <c r="M4" i="55"/>
  <c r="N3" i="55"/>
  <c r="L11" i="55"/>
  <c r="N11" i="55"/>
  <c r="K5" i="55"/>
  <c r="L2" i="55"/>
  <c r="M30" i="25"/>
  <c r="M4" i="54"/>
  <c r="N3" i="54"/>
  <c r="K5" i="54"/>
  <c r="L2" i="54"/>
  <c r="L3" i="54"/>
  <c r="N5" i="54"/>
  <c r="K3" i="54"/>
  <c r="N2" i="54"/>
  <c r="J3" i="54"/>
  <c r="K2" i="54"/>
  <c r="J5" i="54"/>
  <c r="N4" i="54"/>
  <c r="K4" i="54"/>
  <c r="M2" i="54"/>
  <c r="J4" i="54"/>
  <c r="L4" i="54"/>
  <c r="J2" i="54"/>
  <c r="M5" i="54"/>
  <c r="J31" i="25"/>
  <c r="J28" i="25"/>
  <c r="L16" i="26"/>
  <c r="L29" i="26"/>
  <c r="M16" i="26"/>
  <c r="M29" i="26"/>
  <c r="N15" i="26"/>
  <c r="N28" i="26"/>
  <c r="K29" i="26"/>
  <c r="K16" i="26"/>
  <c r="M17" i="25"/>
  <c r="N30" i="25"/>
  <c r="J29" i="26"/>
  <c r="J16" i="26"/>
  <c r="K15" i="26"/>
  <c r="K28" i="26"/>
  <c r="J31" i="26"/>
  <c r="J18" i="26"/>
  <c r="N17" i="26"/>
  <c r="N30" i="26"/>
  <c r="M24" i="26"/>
  <c r="M37" i="26"/>
  <c r="J37" i="26"/>
  <c r="J24" i="26"/>
  <c r="K17" i="26"/>
  <c r="K30" i="26"/>
  <c r="M28" i="26"/>
  <c r="M15" i="26"/>
  <c r="J17" i="26"/>
  <c r="J30" i="26"/>
  <c r="L30" i="26"/>
  <c r="L17" i="26"/>
  <c r="J15" i="26"/>
  <c r="J28" i="26"/>
  <c r="K37" i="26"/>
  <c r="K24" i="26"/>
  <c r="M18" i="26"/>
  <c r="M31" i="26"/>
  <c r="L18" i="26"/>
  <c r="L31" i="26"/>
  <c r="N31" i="26"/>
  <c r="N18" i="26"/>
  <c r="M30" i="26"/>
  <c r="M17" i="26"/>
  <c r="N29" i="26"/>
  <c r="N16" i="26"/>
  <c r="L24" i="26"/>
  <c r="L37" i="26"/>
  <c r="N37" i="26"/>
  <c r="N24" i="26"/>
  <c r="K31" i="26"/>
  <c r="K18" i="26"/>
  <c r="L28" i="26"/>
  <c r="L15" i="26"/>
  <c r="M30" i="16"/>
  <c r="M17" i="16"/>
  <c r="N31" i="14"/>
  <c r="K16" i="16"/>
  <c r="K29" i="16"/>
  <c r="N17" i="16"/>
  <c r="N30" i="16"/>
  <c r="L16" i="16"/>
  <c r="L29" i="16"/>
  <c r="J24" i="16"/>
  <c r="J37" i="16"/>
  <c r="AZ115" i="87" s="1"/>
  <c r="J17" i="16"/>
  <c r="J30" i="16"/>
  <c r="N24" i="16"/>
  <c r="N37" i="16"/>
  <c r="CN115" i="87" s="1"/>
  <c r="K31" i="16"/>
  <c r="K18" i="16"/>
  <c r="L37" i="16"/>
  <c r="BT115" i="87" s="1"/>
  <c r="L24" i="16"/>
  <c r="M29" i="16"/>
  <c r="M16" i="16"/>
  <c r="K17" i="16"/>
  <c r="K30" i="16"/>
  <c r="M30" i="14"/>
  <c r="N15" i="14"/>
  <c r="N29" i="14"/>
  <c r="J29" i="25"/>
  <c r="M15" i="25"/>
  <c r="K31" i="25"/>
  <c r="J18" i="16"/>
  <c r="J31" i="16"/>
  <c r="M24" i="16"/>
  <c r="M37" i="16"/>
  <c r="CD115" i="87" s="1"/>
  <c r="N18" i="16"/>
  <c r="N31" i="16"/>
  <c r="J29" i="16"/>
  <c r="J16" i="16"/>
  <c r="M15" i="16"/>
  <c r="M28" i="16"/>
  <c r="L31" i="16"/>
  <c r="L18" i="16"/>
  <c r="K37" i="16"/>
  <c r="BJ115" i="87" s="1"/>
  <c r="K24" i="16"/>
  <c r="L18" i="25"/>
  <c r="M18" i="25"/>
  <c r="N18" i="25"/>
  <c r="L30" i="16"/>
  <c r="L17" i="16"/>
  <c r="J28" i="16"/>
  <c r="J15" i="16"/>
  <c r="N28" i="16"/>
  <c r="N15" i="16"/>
  <c r="K28" i="16"/>
  <c r="K15" i="16"/>
  <c r="M18" i="16"/>
  <c r="M31" i="16"/>
  <c r="L15" i="16"/>
  <c r="L28" i="16"/>
  <c r="N29" i="16"/>
  <c r="N16" i="16"/>
  <c r="N16" i="25"/>
  <c r="N29" i="25"/>
  <c r="L31" i="25"/>
  <c r="J30" i="25"/>
  <c r="K29" i="25"/>
  <c r="M31" i="25"/>
  <c r="M28" i="25"/>
  <c r="N31" i="25"/>
  <c r="K18" i="25"/>
  <c r="J16" i="25"/>
  <c r="K15" i="25"/>
  <c r="N28" i="25"/>
  <c r="L15" i="25"/>
  <c r="M29" i="25"/>
  <c r="L16" i="25"/>
  <c r="K16" i="25"/>
  <c r="K28" i="25"/>
  <c r="N15" i="25"/>
  <c r="L28" i="25"/>
  <c r="M16" i="25"/>
  <c r="J31" i="14"/>
  <c r="J30" i="14"/>
  <c r="J28" i="14"/>
  <c r="J29" i="14"/>
  <c r="L30" i="14"/>
  <c r="L16" i="14"/>
  <c r="J18" i="14"/>
  <c r="M31" i="14"/>
  <c r="K31" i="14"/>
  <c r="K17" i="14"/>
  <c r="K13" i="54" s="1"/>
  <c r="L18" i="14"/>
  <c r="M15" i="14"/>
  <c r="L17" i="14"/>
  <c r="L13" i="54" s="1"/>
  <c r="J15" i="14"/>
  <c r="L29" i="14"/>
  <c r="M18" i="14"/>
  <c r="K18" i="14"/>
  <c r="J17" i="14"/>
  <c r="J13" i="54" s="1"/>
  <c r="K30" i="14"/>
  <c r="L31" i="14"/>
  <c r="M28" i="14"/>
  <c r="K29" i="14"/>
  <c r="N30" i="14"/>
  <c r="K15" i="14"/>
  <c r="M29" i="14"/>
  <c r="L28" i="14"/>
  <c r="N16" i="14"/>
  <c r="N18" i="14"/>
  <c r="J16" i="14"/>
  <c r="M17" i="14"/>
  <c r="N28" i="14"/>
  <c r="K16" i="14"/>
  <c r="N17" i="14"/>
  <c r="N13" i="54" s="1"/>
  <c r="K28" i="14"/>
  <c r="M16" i="14"/>
  <c r="L15" i="14"/>
  <c r="F29" i="14"/>
  <c r="I29" i="14"/>
  <c r="H29" i="14"/>
  <c r="G29" i="14"/>
  <c r="J125" i="35"/>
  <c r="F125" i="35"/>
  <c r="K125" i="35"/>
  <c r="I125" i="35"/>
  <c r="G125" i="35"/>
  <c r="H125" i="35"/>
  <c r="R125" i="35"/>
  <c r="P125" i="35"/>
  <c r="T125" i="35"/>
  <c r="Q125" i="35"/>
  <c r="S125" i="35"/>
  <c r="M125" i="35"/>
  <c r="N125" i="35"/>
  <c r="O125" i="35"/>
  <c r="L125" i="35"/>
  <c r="G48" i="35"/>
  <c r="M48" i="35"/>
  <c r="F48" i="35"/>
  <c r="H48" i="35"/>
  <c r="I48" i="35"/>
  <c r="L48" i="35"/>
  <c r="R48" i="35"/>
  <c r="S48" i="35"/>
  <c r="P48" i="35"/>
  <c r="T48" i="35"/>
  <c r="Q48" i="35"/>
  <c r="N48" i="35"/>
  <c r="O48" i="35"/>
  <c r="J48" i="35"/>
  <c r="G30" i="26"/>
  <c r="I30" i="26"/>
  <c r="H29" i="26"/>
  <c r="I31" i="26"/>
  <c r="H30" i="26"/>
  <c r="G29" i="26"/>
  <c r="I37" i="26"/>
  <c r="F31" i="26"/>
  <c r="I29" i="26"/>
  <c r="F30" i="26"/>
  <c r="H37" i="26"/>
  <c r="F37" i="26"/>
  <c r="G31" i="26"/>
  <c r="F29" i="26"/>
  <c r="H31" i="26"/>
  <c r="G37" i="26"/>
  <c r="I37" i="16"/>
  <c r="AP115" i="87" s="1"/>
  <c r="H37" i="16"/>
  <c r="AF115" i="87" s="1"/>
  <c r="G28" i="14"/>
  <c r="H29" i="25"/>
  <c r="I18" i="16"/>
  <c r="I31" i="16"/>
  <c r="G18" i="16"/>
  <c r="G31" i="16"/>
  <c r="H30" i="16"/>
  <c r="I30" i="16"/>
  <c r="H29" i="16"/>
  <c r="F31" i="16"/>
  <c r="G37" i="16"/>
  <c r="V115" i="87" s="1"/>
  <c r="F29" i="16"/>
  <c r="I28" i="16"/>
  <c r="H18" i="16"/>
  <c r="H31" i="16"/>
  <c r="G29" i="16"/>
  <c r="F30" i="16"/>
  <c r="F37" i="16"/>
  <c r="I29" i="16"/>
  <c r="H28" i="16"/>
  <c r="F28" i="16"/>
  <c r="G28" i="16"/>
  <c r="G30" i="16"/>
  <c r="E18" i="16"/>
  <c r="E17" i="16"/>
  <c r="E16" i="16"/>
  <c r="H28" i="25"/>
  <c r="E15" i="16"/>
  <c r="I31" i="14"/>
  <c r="F30" i="14"/>
  <c r="G31" i="14"/>
  <c r="I30" i="14"/>
  <c r="F28" i="14"/>
  <c r="H31" i="14"/>
  <c r="F31" i="14"/>
  <c r="H30" i="14"/>
  <c r="G30" i="14"/>
  <c r="I28" i="14"/>
  <c r="H28" i="14"/>
  <c r="F15" i="16"/>
  <c r="H17" i="16"/>
  <c r="I17" i="16"/>
  <c r="H16" i="16"/>
  <c r="F18" i="16"/>
  <c r="F16" i="16"/>
  <c r="I15" i="16"/>
  <c r="G16" i="16"/>
  <c r="F17" i="16"/>
  <c r="I16" i="16"/>
  <c r="H15" i="16"/>
  <c r="G15" i="16"/>
  <c r="G17" i="16"/>
  <c r="I31" i="25"/>
  <c r="F31" i="25"/>
  <c r="G31" i="25"/>
  <c r="H31" i="25"/>
  <c r="F29" i="25"/>
  <c r="I29" i="25"/>
  <c r="G29" i="25"/>
  <c r="G28" i="25"/>
  <c r="I28" i="25"/>
  <c r="F28" i="25"/>
  <c r="B3" i="28"/>
  <c r="C11" i="28"/>
  <c r="B11" i="28"/>
  <c r="C4" i="28"/>
  <c r="C5" i="28"/>
  <c r="C3" i="28"/>
  <c r="B4" i="28"/>
  <c r="B5" i="28"/>
  <c r="B2" i="28"/>
  <c r="S6" i="22"/>
  <c r="M6" i="22"/>
  <c r="T6" i="22"/>
  <c r="O6" i="22"/>
  <c r="T39" i="35"/>
  <c r="T40" i="35" s="1"/>
  <c r="T115" i="35"/>
  <c r="T116" i="35" s="1"/>
  <c r="P13" i="35"/>
  <c r="P14" i="35" s="1"/>
  <c r="S13" i="35"/>
  <c r="S14" i="35" s="1"/>
  <c r="O13" i="35"/>
  <c r="O14" i="35" s="1"/>
  <c r="Q13" i="35"/>
  <c r="Q14" i="35" s="1"/>
  <c r="R13" i="35"/>
  <c r="R14" i="35" s="1"/>
  <c r="T86" i="35"/>
  <c r="T87" i="35" s="1"/>
  <c r="P86" i="35"/>
  <c r="P87" i="35" s="1"/>
  <c r="R86" i="35"/>
  <c r="R87" i="35" s="1"/>
  <c r="S86" i="35"/>
  <c r="S87" i="35" s="1"/>
  <c r="Q86" i="35"/>
  <c r="Q87" i="35" s="1"/>
  <c r="O86" i="35"/>
  <c r="O87" i="35" s="1"/>
  <c r="T13" i="35"/>
  <c r="T14" i="35" s="1"/>
  <c r="P25" i="35"/>
  <c r="R25" i="35"/>
  <c r="O25" i="35"/>
  <c r="Q98" i="35"/>
  <c r="R98" i="35"/>
  <c r="S98" i="35"/>
  <c r="O115" i="35"/>
  <c r="O116" i="35" s="1"/>
  <c r="O110" i="35"/>
  <c r="O37" i="35"/>
  <c r="O39" i="35"/>
  <c r="O40" i="35" s="1"/>
  <c r="P39" i="35"/>
  <c r="P40" i="35" s="1"/>
  <c r="P37" i="35"/>
  <c r="Q25" i="35"/>
  <c r="N115" i="35"/>
  <c r="N116" i="35" s="1"/>
  <c r="N110" i="35"/>
  <c r="N39" i="35"/>
  <c r="N40" i="35" s="1"/>
  <c r="N37" i="35"/>
  <c r="S115" i="35"/>
  <c r="S116" i="35" s="1"/>
  <c r="S110" i="35"/>
  <c r="S37" i="35"/>
  <c r="S39" i="35"/>
  <c r="S40" i="35" s="1"/>
  <c r="Q37" i="35"/>
  <c r="Q39" i="35"/>
  <c r="Q40" i="35" s="1"/>
  <c r="Q110" i="35"/>
  <c r="Q115" i="35"/>
  <c r="Q116" i="35" s="1"/>
  <c r="P98" i="35"/>
  <c r="T25" i="35"/>
  <c r="S25" i="35"/>
  <c r="T98" i="35"/>
  <c r="O98" i="35"/>
  <c r="R115" i="35"/>
  <c r="R116" i="35" s="1"/>
  <c r="R110" i="35"/>
  <c r="R37" i="35"/>
  <c r="R39" i="35"/>
  <c r="R40" i="35" s="1"/>
  <c r="P115" i="35"/>
  <c r="P116" i="35" s="1"/>
  <c r="P110" i="35"/>
  <c r="AA26" i="90" l="1"/>
  <c r="Z24" i="89"/>
  <c r="AA24" i="89"/>
  <c r="Z26" i="90"/>
  <c r="Z25" i="89"/>
  <c r="AA25" i="89"/>
  <c r="Q28" i="89"/>
  <c r="P19" i="90"/>
  <c r="P26" i="90" s="1"/>
  <c r="M6" i="16"/>
  <c r="CD80" i="87" s="1"/>
  <c r="Q20" i="90"/>
  <c r="Q19" i="90"/>
  <c r="Q26" i="90" s="1"/>
  <c r="N6" i="16"/>
  <c r="CN80" i="87" s="1"/>
  <c r="Q20" i="89"/>
  <c r="Q19" i="89"/>
  <c r="Q26" i="89" s="1"/>
  <c r="P20" i="89"/>
  <c r="P19" i="89"/>
  <c r="P26" i="89" s="1"/>
  <c r="D2" i="28"/>
  <c r="AQ136" i="87"/>
  <c r="AR136" i="87" s="1"/>
  <c r="AS136" i="87" s="1"/>
  <c r="AT136" i="87" s="1"/>
  <c r="AU136" i="87" s="1"/>
  <c r="AV136" i="87" s="1"/>
  <c r="AW136" i="87" s="1"/>
  <c r="AX136" i="87" s="1"/>
  <c r="AY136" i="87" s="1"/>
  <c r="H51" i="87"/>
  <c r="H32" i="87"/>
  <c r="F5" i="87"/>
  <c r="H44" i="87"/>
  <c r="B14" i="87"/>
  <c r="F18" i="87"/>
  <c r="H51" i="64"/>
  <c r="AG145" i="87"/>
  <c r="AH145" i="87" s="1"/>
  <c r="AI145" i="87" s="1"/>
  <c r="AJ145" i="87" s="1"/>
  <c r="AK145" i="87" s="1"/>
  <c r="AL145" i="87" s="1"/>
  <c r="AM145" i="87" s="1"/>
  <c r="AN145" i="87" s="1"/>
  <c r="AO145" i="87" s="1"/>
  <c r="AR76" i="87"/>
  <c r="AS76" i="87" s="1"/>
  <c r="AT76" i="87" s="1"/>
  <c r="AU76" i="87" s="1"/>
  <c r="AV76" i="87" s="1"/>
  <c r="AW76" i="87" s="1"/>
  <c r="AX76" i="87" s="1"/>
  <c r="AY76" i="87" s="1"/>
  <c r="C79" i="87"/>
  <c r="D79" i="87" s="1"/>
  <c r="E79" i="87" s="1"/>
  <c r="F79" i="87" s="1"/>
  <c r="G79" i="87" s="1"/>
  <c r="H79" i="87" s="1"/>
  <c r="I79" i="87" s="1"/>
  <c r="J79" i="87" s="1"/>
  <c r="K79" i="87" s="1"/>
  <c r="C78" i="87"/>
  <c r="D78" i="87" s="1"/>
  <c r="E78" i="87" s="1"/>
  <c r="F78" i="87" s="1"/>
  <c r="G78" i="87" s="1"/>
  <c r="H78" i="87" s="1"/>
  <c r="I78" i="87" s="1"/>
  <c r="J78" i="87" s="1"/>
  <c r="K78" i="87" s="1"/>
  <c r="C115" i="87"/>
  <c r="D115" i="87" s="1"/>
  <c r="E115" i="87" s="1"/>
  <c r="F115" i="87" s="1"/>
  <c r="G115" i="87" s="1"/>
  <c r="H115" i="87" s="1"/>
  <c r="I115" i="87" s="1"/>
  <c r="J115" i="87" s="1"/>
  <c r="K115" i="87" s="1"/>
  <c r="AG136" i="87"/>
  <c r="AH136" i="87" s="1"/>
  <c r="AI136" i="87" s="1"/>
  <c r="AJ136" i="87" s="1"/>
  <c r="AK136" i="87" s="1"/>
  <c r="AL136" i="87" s="1"/>
  <c r="AM136" i="87" s="1"/>
  <c r="AN136" i="87" s="1"/>
  <c r="AO136" i="87" s="1"/>
  <c r="AQ77" i="87"/>
  <c r="AR77" i="87" s="1"/>
  <c r="AS77" i="87" s="1"/>
  <c r="AT77" i="87" s="1"/>
  <c r="AU77" i="87" s="1"/>
  <c r="AV77" i="87" s="1"/>
  <c r="AW77" i="87" s="1"/>
  <c r="AX77" i="87" s="1"/>
  <c r="AY77" i="87" s="1"/>
  <c r="C117" i="87"/>
  <c r="D117" i="87" s="1"/>
  <c r="E117" i="87" s="1"/>
  <c r="F117" i="87" s="1"/>
  <c r="G117" i="87" s="1"/>
  <c r="H117" i="87" s="1"/>
  <c r="I117" i="87" s="1"/>
  <c r="J117" i="87" s="1"/>
  <c r="K117" i="87" s="1"/>
  <c r="AQ78" i="87"/>
  <c r="AR78" i="87" s="1"/>
  <c r="AS78" i="87" s="1"/>
  <c r="AT78" i="87" s="1"/>
  <c r="AU78" i="87" s="1"/>
  <c r="AV78" i="87" s="1"/>
  <c r="AW78" i="87" s="1"/>
  <c r="AX78" i="87" s="1"/>
  <c r="AY78" i="87" s="1"/>
  <c r="C116" i="87"/>
  <c r="D116" i="87" s="1"/>
  <c r="E116" i="87" s="1"/>
  <c r="F116" i="87" s="1"/>
  <c r="G116" i="87" s="1"/>
  <c r="H116" i="87" s="1"/>
  <c r="I116" i="87" s="1"/>
  <c r="J116" i="87" s="1"/>
  <c r="K116" i="87" s="1"/>
  <c r="C76" i="87"/>
  <c r="D76" i="87" s="1"/>
  <c r="E76" i="87" s="1"/>
  <c r="F76" i="87" s="1"/>
  <c r="G76" i="87" s="1"/>
  <c r="H76" i="87" s="1"/>
  <c r="I76" i="87" s="1"/>
  <c r="J76" i="87" s="1"/>
  <c r="K76" i="87" s="1"/>
  <c r="C114" i="87"/>
  <c r="D114" i="87" s="1"/>
  <c r="E114" i="87" s="1"/>
  <c r="F114" i="87" s="1"/>
  <c r="G114" i="87" s="1"/>
  <c r="H114" i="87" s="1"/>
  <c r="I114" i="87" s="1"/>
  <c r="J114" i="87" s="1"/>
  <c r="K114" i="87" s="1"/>
  <c r="AQ79" i="87"/>
  <c r="AR79" i="87" s="1"/>
  <c r="AS79" i="87" s="1"/>
  <c r="AT79" i="87" s="1"/>
  <c r="AU79" i="87" s="1"/>
  <c r="AV79" i="87" s="1"/>
  <c r="AW79" i="87" s="1"/>
  <c r="AX79" i="87" s="1"/>
  <c r="AY79" i="87" s="1"/>
  <c r="M115" i="87"/>
  <c r="N115" i="87" s="1"/>
  <c r="O115" i="87" s="1"/>
  <c r="P115" i="87" s="1"/>
  <c r="Q115" i="87" s="1"/>
  <c r="R115" i="87" s="1"/>
  <c r="S115" i="87" s="1"/>
  <c r="T115" i="87" s="1"/>
  <c r="U115" i="87" s="1"/>
  <c r="C77" i="87"/>
  <c r="D77" i="87" s="1"/>
  <c r="E77" i="87" s="1"/>
  <c r="F77" i="87" s="1"/>
  <c r="G77" i="87" s="1"/>
  <c r="H77" i="87" s="1"/>
  <c r="I77" i="87" s="1"/>
  <c r="J77" i="87" s="1"/>
  <c r="K77" i="87" s="1"/>
  <c r="BK88" i="64"/>
  <c r="BK129" i="64"/>
  <c r="CN101" i="81"/>
  <c r="AZ101" i="81"/>
  <c r="BA88" i="64"/>
  <c r="BJ101" i="81"/>
  <c r="BT101" i="81"/>
  <c r="CD101" i="81"/>
  <c r="AG136" i="64"/>
  <c r="AH136" i="64" s="1"/>
  <c r="AI136" i="64" s="1"/>
  <c r="AJ136" i="64" s="1"/>
  <c r="AK136" i="64" s="1"/>
  <c r="AL136" i="64" s="1"/>
  <c r="AM136" i="64" s="1"/>
  <c r="AN136" i="64" s="1"/>
  <c r="AO136" i="64" s="1"/>
  <c r="BU129" i="64"/>
  <c r="CE88" i="64"/>
  <c r="BA129" i="64"/>
  <c r="BU88" i="64"/>
  <c r="CE129" i="64"/>
  <c r="AQ129" i="64"/>
  <c r="AG145" i="64"/>
  <c r="AH145" i="64" s="1"/>
  <c r="AI145" i="64" s="1"/>
  <c r="AJ145" i="64" s="1"/>
  <c r="AK145" i="64" s="1"/>
  <c r="AL145" i="64" s="1"/>
  <c r="AM145" i="64" s="1"/>
  <c r="AN145" i="64" s="1"/>
  <c r="AO145" i="64" s="1"/>
  <c r="CE78" i="64"/>
  <c r="CF78" i="64" s="1"/>
  <c r="CG78" i="64" s="1"/>
  <c r="CH78" i="64" s="1"/>
  <c r="CI78" i="64" s="1"/>
  <c r="CJ78" i="64" s="1"/>
  <c r="CK78" i="64" s="1"/>
  <c r="CL78" i="64" s="1"/>
  <c r="CM78" i="64" s="1"/>
  <c r="AG78" i="64"/>
  <c r="AH78" i="64" s="1"/>
  <c r="AI78" i="64" s="1"/>
  <c r="AJ78" i="64" s="1"/>
  <c r="AK78" i="64" s="1"/>
  <c r="AL78" i="64" s="1"/>
  <c r="AM78" i="64" s="1"/>
  <c r="AN78" i="64" s="1"/>
  <c r="AO78" i="64" s="1"/>
  <c r="C117" i="64"/>
  <c r="D117" i="64" s="1"/>
  <c r="E117" i="64" s="1"/>
  <c r="F117" i="64" s="1"/>
  <c r="G117" i="64" s="1"/>
  <c r="H117" i="64" s="1"/>
  <c r="I117" i="64" s="1"/>
  <c r="J117" i="64" s="1"/>
  <c r="K117" i="64" s="1"/>
  <c r="M79" i="64"/>
  <c r="N79" i="64" s="1"/>
  <c r="O79" i="64" s="1"/>
  <c r="P79" i="64" s="1"/>
  <c r="Q79" i="64" s="1"/>
  <c r="R79" i="64" s="1"/>
  <c r="S79" i="64" s="1"/>
  <c r="T79" i="64" s="1"/>
  <c r="U79" i="64" s="1"/>
  <c r="CE79" i="64"/>
  <c r="CF79" i="64" s="1"/>
  <c r="CG79" i="64" s="1"/>
  <c r="CH79" i="64" s="1"/>
  <c r="CI79" i="64" s="1"/>
  <c r="CJ79" i="64" s="1"/>
  <c r="CK79" i="64" s="1"/>
  <c r="CL79" i="64" s="1"/>
  <c r="CM79" i="64" s="1"/>
  <c r="M76" i="64"/>
  <c r="N76" i="64" s="1"/>
  <c r="O76" i="64" s="1"/>
  <c r="P76" i="64" s="1"/>
  <c r="Q76" i="64" s="1"/>
  <c r="R76" i="64" s="1"/>
  <c r="S76" i="64" s="1"/>
  <c r="T76" i="64" s="1"/>
  <c r="U76" i="64" s="1"/>
  <c r="W79" i="64"/>
  <c r="X79" i="64" s="1"/>
  <c r="Y79" i="64" s="1"/>
  <c r="Z79" i="64" s="1"/>
  <c r="AA79" i="64" s="1"/>
  <c r="AB79" i="64" s="1"/>
  <c r="AC79" i="64" s="1"/>
  <c r="AD79" i="64" s="1"/>
  <c r="AE79" i="64" s="1"/>
  <c r="BA79" i="64"/>
  <c r="BB79" i="64" s="1"/>
  <c r="BC79" i="64" s="1"/>
  <c r="BD79" i="64" s="1"/>
  <c r="BE79" i="64" s="1"/>
  <c r="BF79" i="64" s="1"/>
  <c r="BG79" i="64" s="1"/>
  <c r="BH79" i="64" s="1"/>
  <c r="BI79" i="64" s="1"/>
  <c r="BA77" i="64"/>
  <c r="BB77" i="64" s="1"/>
  <c r="BC77" i="64" s="1"/>
  <c r="BD77" i="64" s="1"/>
  <c r="BE77" i="64" s="1"/>
  <c r="BF77" i="64" s="1"/>
  <c r="BG77" i="64" s="1"/>
  <c r="BH77" i="64" s="1"/>
  <c r="BI77" i="64" s="1"/>
  <c r="AG77" i="64"/>
  <c r="AH77" i="64" s="1"/>
  <c r="AI77" i="64" s="1"/>
  <c r="AJ77" i="64" s="1"/>
  <c r="AK77" i="64" s="1"/>
  <c r="AL77" i="64" s="1"/>
  <c r="AM77" i="64" s="1"/>
  <c r="AN77" i="64" s="1"/>
  <c r="AO77" i="64" s="1"/>
  <c r="M78" i="64"/>
  <c r="N78" i="64" s="1"/>
  <c r="O78" i="64" s="1"/>
  <c r="P78" i="64" s="1"/>
  <c r="Q78" i="64" s="1"/>
  <c r="R78" i="64" s="1"/>
  <c r="S78" i="64" s="1"/>
  <c r="T78" i="64" s="1"/>
  <c r="U78" i="64" s="1"/>
  <c r="BK76" i="64"/>
  <c r="BL76" i="64" s="1"/>
  <c r="BM76" i="64" s="1"/>
  <c r="BN76" i="64" s="1"/>
  <c r="BO76" i="64" s="1"/>
  <c r="BP76" i="64" s="1"/>
  <c r="BQ76" i="64" s="1"/>
  <c r="BR76" i="64" s="1"/>
  <c r="BS76" i="64" s="1"/>
  <c r="W77" i="64"/>
  <c r="X77" i="64" s="1"/>
  <c r="Y77" i="64" s="1"/>
  <c r="Z77" i="64" s="1"/>
  <c r="AA77" i="64" s="1"/>
  <c r="AB77" i="64" s="1"/>
  <c r="AC77" i="64" s="1"/>
  <c r="AD77" i="64" s="1"/>
  <c r="AE77" i="64" s="1"/>
  <c r="BA78" i="64"/>
  <c r="BB78" i="64" s="1"/>
  <c r="BC78" i="64" s="1"/>
  <c r="BD78" i="64" s="1"/>
  <c r="BE78" i="64" s="1"/>
  <c r="BF78" i="64" s="1"/>
  <c r="BG78" i="64" s="1"/>
  <c r="BH78" i="64" s="1"/>
  <c r="BI78" i="64" s="1"/>
  <c r="AG76" i="64"/>
  <c r="AH76" i="64" s="1"/>
  <c r="AI76" i="64" s="1"/>
  <c r="AJ76" i="64" s="1"/>
  <c r="AK76" i="64" s="1"/>
  <c r="AL76" i="64" s="1"/>
  <c r="AM76" i="64" s="1"/>
  <c r="AN76" i="64" s="1"/>
  <c r="AO76" i="64" s="1"/>
  <c r="BU77" i="64"/>
  <c r="BV77" i="64" s="1"/>
  <c r="BW77" i="64" s="1"/>
  <c r="BX77" i="64" s="1"/>
  <c r="BY77" i="64" s="1"/>
  <c r="BZ77" i="64" s="1"/>
  <c r="CA77" i="64" s="1"/>
  <c r="CB77" i="64" s="1"/>
  <c r="CC77" i="64" s="1"/>
  <c r="BA76" i="64"/>
  <c r="BB76" i="64" s="1"/>
  <c r="BC76" i="64" s="1"/>
  <c r="BD76" i="64" s="1"/>
  <c r="BE76" i="64" s="1"/>
  <c r="BF76" i="64" s="1"/>
  <c r="BG76" i="64" s="1"/>
  <c r="BH76" i="64" s="1"/>
  <c r="BI76" i="64" s="1"/>
  <c r="CE76" i="64"/>
  <c r="CF76" i="64" s="1"/>
  <c r="CG76" i="64" s="1"/>
  <c r="CH76" i="64" s="1"/>
  <c r="CI76" i="64" s="1"/>
  <c r="CJ76" i="64" s="1"/>
  <c r="CK76" i="64" s="1"/>
  <c r="CL76" i="64" s="1"/>
  <c r="CM76" i="64" s="1"/>
  <c r="BU79" i="64"/>
  <c r="BV79" i="64" s="1"/>
  <c r="BW79" i="64" s="1"/>
  <c r="BX79" i="64" s="1"/>
  <c r="BY79" i="64" s="1"/>
  <c r="BZ79" i="64" s="1"/>
  <c r="CA79" i="64" s="1"/>
  <c r="CB79" i="64" s="1"/>
  <c r="CC79" i="64" s="1"/>
  <c r="AQ76" i="64"/>
  <c r="W78" i="64"/>
  <c r="X78" i="64" s="1"/>
  <c r="Y78" i="64" s="1"/>
  <c r="Z78" i="64" s="1"/>
  <c r="AA78" i="64" s="1"/>
  <c r="AB78" i="64" s="1"/>
  <c r="AC78" i="64" s="1"/>
  <c r="AD78" i="64" s="1"/>
  <c r="AE78" i="64" s="1"/>
  <c r="BJ115" i="64"/>
  <c r="W76" i="64"/>
  <c r="X76" i="64" s="1"/>
  <c r="Y76" i="64" s="1"/>
  <c r="Z76" i="64" s="1"/>
  <c r="AA76" i="64" s="1"/>
  <c r="AB76" i="64" s="1"/>
  <c r="AC76" i="64" s="1"/>
  <c r="AD76" i="64" s="1"/>
  <c r="AE76" i="64" s="1"/>
  <c r="AZ115" i="64"/>
  <c r="AF115" i="64"/>
  <c r="CD115" i="64"/>
  <c r="AP115" i="64"/>
  <c r="BT115" i="64"/>
  <c r="V115" i="64"/>
  <c r="M115" i="64" s="1"/>
  <c r="N115" i="64" s="1"/>
  <c r="O115" i="64" s="1"/>
  <c r="P115" i="64" s="1"/>
  <c r="Q115" i="64" s="1"/>
  <c r="R115" i="64" s="1"/>
  <c r="S115" i="64" s="1"/>
  <c r="T115" i="64" s="1"/>
  <c r="U115" i="64" s="1"/>
  <c r="CN115" i="64"/>
  <c r="BU78" i="64"/>
  <c r="BV78" i="64" s="1"/>
  <c r="BW78" i="64" s="1"/>
  <c r="BX78" i="64" s="1"/>
  <c r="BY78" i="64" s="1"/>
  <c r="BZ78" i="64" s="1"/>
  <c r="CA78" i="64" s="1"/>
  <c r="CB78" i="64" s="1"/>
  <c r="CC78" i="64" s="1"/>
  <c r="AG79" i="64"/>
  <c r="AH79" i="64" s="1"/>
  <c r="AI79" i="64" s="1"/>
  <c r="AJ79" i="64" s="1"/>
  <c r="AK79" i="64" s="1"/>
  <c r="AL79" i="64" s="1"/>
  <c r="AM79" i="64" s="1"/>
  <c r="AN79" i="64" s="1"/>
  <c r="AO79" i="64" s="1"/>
  <c r="BK78" i="64"/>
  <c r="BL78" i="64" s="1"/>
  <c r="BM78" i="64" s="1"/>
  <c r="BN78" i="64" s="1"/>
  <c r="BO78" i="64" s="1"/>
  <c r="BP78" i="64" s="1"/>
  <c r="BQ78" i="64" s="1"/>
  <c r="BR78" i="64" s="1"/>
  <c r="BS78" i="64" s="1"/>
  <c r="BU76" i="64"/>
  <c r="BV76" i="64" s="1"/>
  <c r="BW76" i="64" s="1"/>
  <c r="BX76" i="64" s="1"/>
  <c r="BY76" i="64" s="1"/>
  <c r="BZ76" i="64" s="1"/>
  <c r="CA76" i="64" s="1"/>
  <c r="CB76" i="64" s="1"/>
  <c r="CC76" i="64" s="1"/>
  <c r="M77" i="64"/>
  <c r="N77" i="64" s="1"/>
  <c r="O77" i="64" s="1"/>
  <c r="P77" i="64" s="1"/>
  <c r="Q77" i="64" s="1"/>
  <c r="R77" i="64" s="1"/>
  <c r="S77" i="64" s="1"/>
  <c r="T77" i="64" s="1"/>
  <c r="U77" i="64" s="1"/>
  <c r="BK79" i="64"/>
  <c r="BL79" i="64" s="1"/>
  <c r="BM79" i="64" s="1"/>
  <c r="BN79" i="64" s="1"/>
  <c r="BO79" i="64" s="1"/>
  <c r="BP79" i="64" s="1"/>
  <c r="BQ79" i="64" s="1"/>
  <c r="BR79" i="64" s="1"/>
  <c r="BS79" i="64" s="1"/>
  <c r="BK77" i="64"/>
  <c r="BL77" i="64" s="1"/>
  <c r="BM77" i="64" s="1"/>
  <c r="BN77" i="64" s="1"/>
  <c r="BO77" i="64" s="1"/>
  <c r="BP77" i="64" s="1"/>
  <c r="BQ77" i="64" s="1"/>
  <c r="BR77" i="64" s="1"/>
  <c r="BS77" i="64" s="1"/>
  <c r="CE77" i="64"/>
  <c r="CF77" i="64" s="1"/>
  <c r="CG77" i="64" s="1"/>
  <c r="CH77" i="64" s="1"/>
  <c r="CI77" i="64" s="1"/>
  <c r="CJ77" i="64" s="1"/>
  <c r="CK77" i="64" s="1"/>
  <c r="CL77" i="64" s="1"/>
  <c r="CM77" i="64" s="1"/>
  <c r="AF106" i="81"/>
  <c r="CN106" i="81"/>
  <c r="V104" i="81"/>
  <c r="AZ104" i="81"/>
  <c r="BT104" i="81"/>
  <c r="B101" i="81"/>
  <c r="V101" i="81"/>
  <c r="CD106" i="81"/>
  <c r="V106" i="81"/>
  <c r="L106" i="81"/>
  <c r="L104" i="81"/>
  <c r="L119" i="81" s="1"/>
  <c r="B104" i="81"/>
  <c r="CD104" i="81"/>
  <c r="BT106" i="81"/>
  <c r="AZ106" i="81"/>
  <c r="AP106" i="81"/>
  <c r="CN104" i="81"/>
  <c r="AP104" i="81"/>
  <c r="BJ104" i="81"/>
  <c r="AF104" i="81"/>
  <c r="L101" i="81"/>
  <c r="L116" i="81" s="1"/>
  <c r="AF101" i="81"/>
  <c r="BJ106" i="81"/>
  <c r="B106" i="81"/>
  <c r="C76" i="64"/>
  <c r="D76" i="64" s="1"/>
  <c r="E76" i="64" s="1"/>
  <c r="F76" i="64" s="1"/>
  <c r="G76" i="64" s="1"/>
  <c r="H76" i="64" s="1"/>
  <c r="I76" i="64" s="1"/>
  <c r="J76" i="64" s="1"/>
  <c r="K76" i="64" s="1"/>
  <c r="AQ88" i="64"/>
  <c r="AP101" i="81"/>
  <c r="C78" i="64"/>
  <c r="D78" i="64" s="1"/>
  <c r="E78" i="64" s="1"/>
  <c r="F78" i="64" s="1"/>
  <c r="G78" i="64" s="1"/>
  <c r="H78" i="64" s="1"/>
  <c r="I78" i="64" s="1"/>
  <c r="J78" i="64" s="1"/>
  <c r="K78" i="64" s="1"/>
  <c r="C79" i="64"/>
  <c r="D79" i="64" s="1"/>
  <c r="E79" i="64" s="1"/>
  <c r="F79" i="64" s="1"/>
  <c r="G79" i="64" s="1"/>
  <c r="H79" i="64" s="1"/>
  <c r="I79" i="64" s="1"/>
  <c r="J79" i="64" s="1"/>
  <c r="K79" i="64" s="1"/>
  <c r="C77" i="64"/>
  <c r="D77" i="64" s="1"/>
  <c r="E77" i="64" s="1"/>
  <c r="F77" i="64" s="1"/>
  <c r="G77" i="64" s="1"/>
  <c r="H77" i="64" s="1"/>
  <c r="I77" i="64" s="1"/>
  <c r="J77" i="64" s="1"/>
  <c r="K77" i="64" s="1"/>
  <c r="C114" i="64"/>
  <c r="D114" i="64" s="1"/>
  <c r="E114" i="64" s="1"/>
  <c r="F114" i="64" s="1"/>
  <c r="G114" i="64" s="1"/>
  <c r="H114" i="64" s="1"/>
  <c r="I114" i="64" s="1"/>
  <c r="J114" i="64" s="1"/>
  <c r="K114" i="64" s="1"/>
  <c r="C115" i="64"/>
  <c r="D115" i="64" s="1"/>
  <c r="E115" i="64" s="1"/>
  <c r="F115" i="64" s="1"/>
  <c r="G115" i="64" s="1"/>
  <c r="H115" i="64" s="1"/>
  <c r="I115" i="64" s="1"/>
  <c r="J115" i="64" s="1"/>
  <c r="K115" i="64" s="1"/>
  <c r="M129" i="64"/>
  <c r="N129" i="64" s="1"/>
  <c r="O129" i="64" s="1"/>
  <c r="P129" i="64" s="1"/>
  <c r="Q129" i="64" s="1"/>
  <c r="R129" i="64" s="1"/>
  <c r="S129" i="64" s="1"/>
  <c r="T129" i="64" s="1"/>
  <c r="U129" i="64" s="1"/>
  <c r="AG129" i="64"/>
  <c r="W129" i="64"/>
  <c r="C88" i="64"/>
  <c r="W88" i="64"/>
  <c r="M88" i="64"/>
  <c r="AG88" i="64"/>
  <c r="CE97" i="64"/>
  <c r="CE95" i="64"/>
  <c r="BU97" i="64"/>
  <c r="BU95" i="64"/>
  <c r="BK95" i="64"/>
  <c r="BK97" i="64"/>
  <c r="BA97" i="64"/>
  <c r="BA95" i="64"/>
  <c r="AQ97" i="64"/>
  <c r="AQ95" i="64"/>
  <c r="AG95" i="64"/>
  <c r="AG97" i="64"/>
  <c r="W97" i="64"/>
  <c r="W95" i="64"/>
  <c r="M97" i="64"/>
  <c r="M95" i="64"/>
  <c r="C95" i="64"/>
  <c r="C97" i="64"/>
  <c r="J11" i="54"/>
  <c r="J14" i="54"/>
  <c r="N11" i="54"/>
  <c r="K18" i="55"/>
  <c r="K24" i="55"/>
  <c r="L17" i="55"/>
  <c r="M15" i="55"/>
  <c r="M17" i="55"/>
  <c r="J24" i="55"/>
  <c r="L11" i="54"/>
  <c r="N12" i="54"/>
  <c r="M14" i="54"/>
  <c r="L24" i="55"/>
  <c r="L18" i="55"/>
  <c r="N17" i="55"/>
  <c r="K15" i="55"/>
  <c r="M13" i="54"/>
  <c r="N15" i="55"/>
  <c r="L16" i="55"/>
  <c r="M12" i="54"/>
  <c r="L15" i="55"/>
  <c r="N24" i="55"/>
  <c r="N16" i="55"/>
  <c r="N18" i="55"/>
  <c r="J18" i="55"/>
  <c r="J16" i="55"/>
  <c r="K16" i="55"/>
  <c r="M18" i="55"/>
  <c r="J15" i="55"/>
  <c r="J17" i="55"/>
  <c r="K17" i="55"/>
  <c r="M24" i="55"/>
  <c r="M16" i="55"/>
  <c r="K14" i="54"/>
  <c r="K12" i="54"/>
  <c r="L14" i="54"/>
  <c r="L12" i="54"/>
  <c r="K11" i="54"/>
  <c r="J12" i="54"/>
  <c r="N14" i="54"/>
  <c r="M11" i="54"/>
  <c r="N6" i="25"/>
  <c r="N6" i="54" s="1"/>
  <c r="N6" i="26"/>
  <c r="M6" i="25"/>
  <c r="M6" i="54" s="1"/>
  <c r="M6" i="26"/>
  <c r="D3" i="28"/>
  <c r="D4" i="28"/>
  <c r="N178" i="35"/>
  <c r="D5" i="28"/>
  <c r="R15" i="35"/>
  <c r="O15" i="35"/>
  <c r="P15" i="35"/>
  <c r="T15" i="35"/>
  <c r="Q15" i="35"/>
  <c r="S15" i="35"/>
  <c r="S88" i="35"/>
  <c r="P88" i="35"/>
  <c r="R88" i="35"/>
  <c r="Q88" i="35"/>
  <c r="O88" i="35"/>
  <c r="T99" i="35"/>
  <c r="S26" i="35"/>
  <c r="T26" i="35"/>
  <c r="T88" i="35"/>
  <c r="Q26" i="35"/>
  <c r="O99" i="35"/>
  <c r="R99" i="35"/>
  <c r="O26" i="35"/>
  <c r="P26" i="35"/>
  <c r="P99" i="35"/>
  <c r="S99" i="35"/>
  <c r="Q99" i="35"/>
  <c r="R26" i="35"/>
  <c r="AA26" i="89" l="1"/>
  <c r="Z26" i="89"/>
  <c r="Q31" i="90"/>
  <c r="Q31" i="89"/>
  <c r="CD80" i="64"/>
  <c r="CE80" i="87"/>
  <c r="CF80" i="87" s="1"/>
  <c r="CG80" i="87" s="1"/>
  <c r="CH80" i="87" s="1"/>
  <c r="CI80" i="87" s="1"/>
  <c r="CJ80" i="87" s="1"/>
  <c r="CK80" i="87" s="1"/>
  <c r="CL80" i="87" s="1"/>
  <c r="CM80" i="87" s="1"/>
  <c r="M6" i="55"/>
  <c r="CN80" i="64"/>
  <c r="N6" i="55"/>
  <c r="BJ119" i="81"/>
  <c r="CD119" i="81"/>
  <c r="BT119" i="81"/>
  <c r="V116" i="81"/>
  <c r="AF119" i="81"/>
  <c r="AZ119" i="81"/>
  <c r="CD116" i="81"/>
  <c r="BT116" i="81"/>
  <c r="AF116" i="81"/>
  <c r="BJ116" i="81"/>
  <c r="AP116" i="81"/>
  <c r="V119" i="81"/>
  <c r="CN116" i="81"/>
  <c r="AP119" i="81"/>
  <c r="AZ116" i="81"/>
  <c r="CN119" i="81"/>
  <c r="H49" i="87"/>
  <c r="H49" i="64"/>
  <c r="BA101" i="81"/>
  <c r="BA116" i="81" s="1"/>
  <c r="BL129" i="64"/>
  <c r="BM129" i="64" s="1"/>
  <c r="BN129" i="64" s="1"/>
  <c r="BO129" i="64" s="1"/>
  <c r="BP129" i="64" s="1"/>
  <c r="BQ129" i="64" s="1"/>
  <c r="BR129" i="64" s="1"/>
  <c r="BS129" i="64" s="1"/>
  <c r="BL88" i="64"/>
  <c r="BV129" i="64"/>
  <c r="BW129" i="64" s="1"/>
  <c r="BX129" i="64" s="1"/>
  <c r="BY129" i="64" s="1"/>
  <c r="BZ129" i="64" s="1"/>
  <c r="CA129" i="64" s="1"/>
  <c r="CB129" i="64" s="1"/>
  <c r="CC129" i="64" s="1"/>
  <c r="X129" i="64"/>
  <c r="Y129" i="64" s="1"/>
  <c r="Z129" i="64" s="1"/>
  <c r="AA129" i="64" s="1"/>
  <c r="AB129" i="64" s="1"/>
  <c r="AC129" i="64" s="1"/>
  <c r="AD129" i="64" s="1"/>
  <c r="AE129" i="64" s="1"/>
  <c r="AR129" i="64"/>
  <c r="AS129" i="64" s="1"/>
  <c r="AT129" i="64" s="1"/>
  <c r="AU129" i="64" s="1"/>
  <c r="AV129" i="64" s="1"/>
  <c r="AW129" i="64" s="1"/>
  <c r="AX129" i="64" s="1"/>
  <c r="AY129" i="64" s="1"/>
  <c r="CF129" i="64"/>
  <c r="CG129" i="64" s="1"/>
  <c r="CH129" i="64" s="1"/>
  <c r="CI129" i="64" s="1"/>
  <c r="CJ129" i="64" s="1"/>
  <c r="CK129" i="64" s="1"/>
  <c r="CL129" i="64" s="1"/>
  <c r="CM129" i="64" s="1"/>
  <c r="BB129" i="64"/>
  <c r="BC129" i="64" s="1"/>
  <c r="BD129" i="64" s="1"/>
  <c r="BE129" i="64" s="1"/>
  <c r="BF129" i="64" s="1"/>
  <c r="BG129" i="64" s="1"/>
  <c r="BH129" i="64" s="1"/>
  <c r="BI129" i="64" s="1"/>
  <c r="AH129" i="64"/>
  <c r="AI129" i="64" s="1"/>
  <c r="AJ129" i="64" s="1"/>
  <c r="AK129" i="64" s="1"/>
  <c r="AL129" i="64" s="1"/>
  <c r="AM129" i="64" s="1"/>
  <c r="AN129" i="64" s="1"/>
  <c r="AO129" i="64" s="1"/>
  <c r="BK101" i="81"/>
  <c r="BK116" i="81" s="1"/>
  <c r="BB88" i="64"/>
  <c r="CF88" i="64"/>
  <c r="CE101" i="81"/>
  <c r="CE116" i="81" s="1"/>
  <c r="BV88" i="64"/>
  <c r="BU101" i="81"/>
  <c r="BU116" i="81" s="1"/>
  <c r="AQ79" i="64"/>
  <c r="AR79" i="64" s="1"/>
  <c r="AS79" i="64" s="1"/>
  <c r="AT79" i="64" s="1"/>
  <c r="AU79" i="64" s="1"/>
  <c r="AV79" i="64" s="1"/>
  <c r="AW79" i="64" s="1"/>
  <c r="AX79" i="64" s="1"/>
  <c r="AY79" i="64" s="1"/>
  <c r="AQ77" i="64"/>
  <c r="AR77" i="64" s="1"/>
  <c r="AS77" i="64" s="1"/>
  <c r="AT77" i="64" s="1"/>
  <c r="AU77" i="64" s="1"/>
  <c r="AV77" i="64" s="1"/>
  <c r="AW77" i="64" s="1"/>
  <c r="AX77" i="64" s="1"/>
  <c r="AY77" i="64" s="1"/>
  <c r="AQ78" i="64"/>
  <c r="AR78" i="64" s="1"/>
  <c r="AS78" i="64" s="1"/>
  <c r="AT78" i="64" s="1"/>
  <c r="AU78" i="64" s="1"/>
  <c r="AV78" i="64" s="1"/>
  <c r="AW78" i="64" s="1"/>
  <c r="AX78" i="64" s="1"/>
  <c r="AY78" i="64" s="1"/>
  <c r="BV97" i="64"/>
  <c r="BU106" i="81"/>
  <c r="AR95" i="64"/>
  <c r="AQ104" i="81"/>
  <c r="AQ119" i="81" s="1"/>
  <c r="CF95" i="64"/>
  <c r="CE104" i="81"/>
  <c r="CE119" i="81" s="1"/>
  <c r="AR88" i="64"/>
  <c r="AQ101" i="81"/>
  <c r="AQ116" i="81" s="1"/>
  <c r="AR97" i="64"/>
  <c r="AQ106" i="81"/>
  <c r="CF97" i="64"/>
  <c r="CE106" i="81"/>
  <c r="N95" i="64"/>
  <c r="M104" i="81"/>
  <c r="M119" i="81" s="1"/>
  <c r="BB95" i="64"/>
  <c r="BA104" i="81"/>
  <c r="BA119" i="81" s="1"/>
  <c r="BB97" i="64"/>
  <c r="BA106" i="81"/>
  <c r="AH95" i="64"/>
  <c r="AG104" i="81"/>
  <c r="AG119" i="81" s="1"/>
  <c r="X95" i="64"/>
  <c r="W104" i="81"/>
  <c r="W119" i="81" s="1"/>
  <c r="BL97" i="64"/>
  <c r="BK106" i="81"/>
  <c r="AH88" i="64"/>
  <c r="AG101" i="81"/>
  <c r="AG116" i="81" s="1"/>
  <c r="N97" i="64"/>
  <c r="M106" i="81"/>
  <c r="X97" i="64"/>
  <c r="W106" i="81"/>
  <c r="BL95" i="64"/>
  <c r="BK104" i="81"/>
  <c r="BK119" i="81" s="1"/>
  <c r="N88" i="64"/>
  <c r="M101" i="81"/>
  <c r="M116" i="81" s="1"/>
  <c r="AH97" i="64"/>
  <c r="AG106" i="81"/>
  <c r="BV95" i="64"/>
  <c r="BU104" i="81"/>
  <c r="BU119" i="81" s="1"/>
  <c r="X88" i="64"/>
  <c r="W101" i="81"/>
  <c r="W116" i="81" s="1"/>
  <c r="D88" i="64"/>
  <c r="C101" i="81"/>
  <c r="C116" i="81" s="1"/>
  <c r="D97" i="64"/>
  <c r="C106" i="81"/>
  <c r="D95" i="64"/>
  <c r="C104" i="81"/>
  <c r="C119" i="81" s="1"/>
  <c r="P78" i="35"/>
  <c r="P77" i="35" s="1"/>
  <c r="Q78" i="35"/>
  <c r="Q77" i="35" s="1"/>
  <c r="CE80" i="64" l="1"/>
  <c r="CF80" i="64" s="1"/>
  <c r="CG80" i="64" s="1"/>
  <c r="CH80" i="64" s="1"/>
  <c r="CI80" i="64" s="1"/>
  <c r="CJ80" i="64" s="1"/>
  <c r="CK80" i="64" s="1"/>
  <c r="CL80" i="64" s="1"/>
  <c r="CM80" i="64" s="1"/>
  <c r="CF101" i="81"/>
  <c r="CF116" i="81" s="1"/>
  <c r="BM88" i="64"/>
  <c r="BN88" i="64" s="1"/>
  <c r="BW88" i="64"/>
  <c r="B14" i="64"/>
  <c r="H44" i="64"/>
  <c r="F18" i="64"/>
  <c r="BL101" i="81"/>
  <c r="BL116" i="81" s="1"/>
  <c r="BC88" i="64"/>
  <c r="BB101" i="81"/>
  <c r="BB116" i="81" s="1"/>
  <c r="CG88" i="64"/>
  <c r="BV101" i="81"/>
  <c r="BV116" i="81" s="1"/>
  <c r="AI97" i="64"/>
  <c r="AH106" i="81"/>
  <c r="O97" i="64"/>
  <c r="N106" i="81"/>
  <c r="Y95" i="64"/>
  <c r="X104" i="81"/>
  <c r="X119" i="81" s="1"/>
  <c r="BC95" i="64"/>
  <c r="BB104" i="81"/>
  <c r="BB119" i="81" s="1"/>
  <c r="AS88" i="64"/>
  <c r="AR101" i="81"/>
  <c r="AR116" i="81" s="1"/>
  <c r="BM95" i="64"/>
  <c r="BL104" i="81"/>
  <c r="BL119" i="81" s="1"/>
  <c r="O88" i="64"/>
  <c r="N101" i="81"/>
  <c r="N116" i="81" s="1"/>
  <c r="AI95" i="64"/>
  <c r="AH104" i="81"/>
  <c r="AH119" i="81" s="1"/>
  <c r="O95" i="64"/>
  <c r="N104" i="81"/>
  <c r="N119" i="81" s="1"/>
  <c r="CG95" i="64"/>
  <c r="CF104" i="81"/>
  <c r="CF119" i="81" s="1"/>
  <c r="AS95" i="64"/>
  <c r="AR104" i="81"/>
  <c r="AR119" i="81" s="1"/>
  <c r="BC97" i="64"/>
  <c r="BB106" i="81"/>
  <c r="Y88" i="64"/>
  <c r="X101" i="81"/>
  <c r="X116" i="81" s="1"/>
  <c r="AI88" i="64"/>
  <c r="AH101" i="81"/>
  <c r="AH116" i="81" s="1"/>
  <c r="CG97" i="64"/>
  <c r="CF106" i="81"/>
  <c r="BW95" i="64"/>
  <c r="BV104" i="81"/>
  <c r="BV119" i="81" s="1"/>
  <c r="Y97" i="64"/>
  <c r="X106" i="81"/>
  <c r="BM97" i="64"/>
  <c r="BL106" i="81"/>
  <c r="AS97" i="64"/>
  <c r="AR106" i="81"/>
  <c r="BW97" i="64"/>
  <c r="BV106" i="81"/>
  <c r="E97" i="64"/>
  <c r="D106" i="81"/>
  <c r="E95" i="64"/>
  <c r="D104" i="81"/>
  <c r="D119" i="81" s="1"/>
  <c r="E88" i="64"/>
  <c r="D101" i="81"/>
  <c r="D116" i="81" s="1"/>
  <c r="T5" i="35"/>
  <c r="T4" i="35" s="1"/>
  <c r="T78" i="35"/>
  <c r="T77" i="35" s="1"/>
  <c r="T140" i="35" s="1"/>
  <c r="T141" i="35" s="1"/>
  <c r="R78" i="35"/>
  <c r="R77" i="35" s="1"/>
  <c r="O5" i="35"/>
  <c r="O4" i="35" s="1"/>
  <c r="Q140" i="35"/>
  <c r="S78" i="35"/>
  <c r="S77" i="35" s="1"/>
  <c r="R5" i="35"/>
  <c r="R4" i="35" s="1"/>
  <c r="S5" i="35"/>
  <c r="S4" i="35" s="1"/>
  <c r="P140" i="35"/>
  <c r="E2" i="15"/>
  <c r="F2" i="15"/>
  <c r="G2" i="15"/>
  <c r="H2" i="15"/>
  <c r="I2" i="15"/>
  <c r="J2" i="15"/>
  <c r="K2" i="15"/>
  <c r="L2" i="15"/>
  <c r="D2" i="15"/>
  <c r="BD88" i="64" l="1"/>
  <c r="BE88" i="64" s="1"/>
  <c r="BW101" i="81"/>
  <c r="BW116" i="81" s="1"/>
  <c r="BX88" i="64"/>
  <c r="BM101" i="81"/>
  <c r="BM116" i="81" s="1"/>
  <c r="BC101" i="81"/>
  <c r="BC116" i="81" s="1"/>
  <c r="CG101" i="81"/>
  <c r="CG116" i="81" s="1"/>
  <c r="CH88" i="64"/>
  <c r="E101" i="81"/>
  <c r="E116" i="81" s="1"/>
  <c r="P95" i="64"/>
  <c r="O104" i="81"/>
  <c r="O119" i="81" s="1"/>
  <c r="Z95" i="64"/>
  <c r="Y104" i="81"/>
  <c r="Y119" i="81" s="1"/>
  <c r="AT97" i="64"/>
  <c r="AS106" i="81"/>
  <c r="BX95" i="64"/>
  <c r="BW104" i="81"/>
  <c r="BW119" i="81" s="1"/>
  <c r="BD97" i="64"/>
  <c r="BC106" i="81"/>
  <c r="AJ95" i="64"/>
  <c r="AI104" i="81"/>
  <c r="AI119" i="81" s="1"/>
  <c r="BN95" i="64"/>
  <c r="BM104" i="81"/>
  <c r="BM119" i="81" s="1"/>
  <c r="P97" i="64"/>
  <c r="O106" i="81"/>
  <c r="Z97" i="64"/>
  <c r="Y106" i="81"/>
  <c r="Z88" i="64"/>
  <c r="Y101" i="81"/>
  <c r="Y116" i="81" s="1"/>
  <c r="F95" i="64"/>
  <c r="E104" i="81"/>
  <c r="E119" i="81" s="1"/>
  <c r="CH97" i="64"/>
  <c r="CG106" i="81"/>
  <c r="AT88" i="64"/>
  <c r="AS101" i="81"/>
  <c r="AS116" i="81" s="1"/>
  <c r="AJ97" i="64"/>
  <c r="AI106" i="81"/>
  <c r="BX97" i="64"/>
  <c r="BW106" i="81"/>
  <c r="BO88" i="64"/>
  <c r="BN101" i="81"/>
  <c r="BN116" i="81" s="1"/>
  <c r="AT95" i="64"/>
  <c r="AS104" i="81"/>
  <c r="AS119" i="81" s="1"/>
  <c r="F97" i="64"/>
  <c r="E106" i="81"/>
  <c r="BN97" i="64"/>
  <c r="BM106" i="81"/>
  <c r="AJ88" i="64"/>
  <c r="AI101" i="81"/>
  <c r="AI116" i="81" s="1"/>
  <c r="CH95" i="64"/>
  <c r="CG104" i="81"/>
  <c r="CG119" i="81" s="1"/>
  <c r="P88" i="64"/>
  <c r="O101" i="81"/>
  <c r="O116" i="81" s="1"/>
  <c r="BD95" i="64"/>
  <c r="BC104" i="81"/>
  <c r="BC119" i="81" s="1"/>
  <c r="F88" i="64"/>
  <c r="T63" i="35"/>
  <c r="T64" i="35" s="1"/>
  <c r="R140" i="35"/>
  <c r="Q5" i="35"/>
  <c r="Q4" i="35" s="1"/>
  <c r="P5" i="35"/>
  <c r="P4" i="35" s="1"/>
  <c r="O78" i="35"/>
  <c r="O77" i="35" s="1"/>
  <c r="O63" i="35"/>
  <c r="O64" i="35" s="1"/>
  <c r="I17" i="15"/>
  <c r="I18" i="15"/>
  <c r="I19" i="15"/>
  <c r="I20" i="15"/>
  <c r="I21" i="15"/>
  <c r="I22" i="15"/>
  <c r="I23" i="15"/>
  <c r="I24" i="15"/>
  <c r="I25" i="15"/>
  <c r="I26" i="15"/>
  <c r="I27" i="15"/>
  <c r="I28" i="15"/>
  <c r="I29" i="15"/>
  <c r="I30" i="15"/>
  <c r="I31" i="15"/>
  <c r="I16" i="15"/>
  <c r="I3" i="15"/>
  <c r="I4" i="15"/>
  <c r="I5" i="15"/>
  <c r="I6" i="15"/>
  <c r="I7" i="15"/>
  <c r="I8" i="15"/>
  <c r="I9" i="15"/>
  <c r="I10" i="15"/>
  <c r="I11" i="15"/>
  <c r="I12" i="15"/>
  <c r="I13" i="15"/>
  <c r="I14" i="15"/>
  <c r="E20" i="15"/>
  <c r="E24" i="15"/>
  <c r="E26" i="15"/>
  <c r="E19" i="15"/>
  <c r="E23" i="15"/>
  <c r="E18" i="15"/>
  <c r="E22" i="15"/>
  <c r="E25" i="15"/>
  <c r="E27" i="15"/>
  <c r="E28" i="15"/>
  <c r="E29" i="15"/>
  <c r="E30" i="15"/>
  <c r="E31" i="15"/>
  <c r="E17" i="15"/>
  <c r="E21" i="15"/>
  <c r="E16" i="15"/>
  <c r="E3" i="15"/>
  <c r="E4" i="15"/>
  <c r="E5" i="15"/>
  <c r="E6" i="15"/>
  <c r="E7" i="15"/>
  <c r="E8" i="15"/>
  <c r="E9" i="15"/>
  <c r="E10" i="15"/>
  <c r="E11" i="15"/>
  <c r="E12" i="15"/>
  <c r="E13" i="15"/>
  <c r="E14" i="15"/>
  <c r="L17" i="15"/>
  <c r="L18" i="15"/>
  <c r="L19" i="15"/>
  <c r="L20" i="15"/>
  <c r="L21" i="15"/>
  <c r="L22" i="15"/>
  <c r="L23" i="15"/>
  <c r="L24" i="15"/>
  <c r="L25" i="15"/>
  <c r="L26" i="15"/>
  <c r="L27" i="15"/>
  <c r="L28" i="15"/>
  <c r="L29" i="15"/>
  <c r="L30" i="15"/>
  <c r="L31" i="15"/>
  <c r="L16" i="15"/>
  <c r="L3" i="15"/>
  <c r="L4" i="15"/>
  <c r="L5" i="15"/>
  <c r="L6" i="15"/>
  <c r="L7" i="15"/>
  <c r="L8" i="15"/>
  <c r="L9" i="15"/>
  <c r="L10" i="15"/>
  <c r="L11" i="15"/>
  <c r="L12" i="15"/>
  <c r="L13" i="15"/>
  <c r="L14" i="15"/>
  <c r="H17" i="15"/>
  <c r="H18" i="15"/>
  <c r="H19" i="15"/>
  <c r="H20" i="15"/>
  <c r="H21" i="15"/>
  <c r="H22" i="15"/>
  <c r="H23" i="15"/>
  <c r="H24" i="15"/>
  <c r="H26" i="15"/>
  <c r="H28" i="15"/>
  <c r="H29" i="15"/>
  <c r="H30" i="15"/>
  <c r="H31" i="15"/>
  <c r="H25" i="15"/>
  <c r="H27" i="15"/>
  <c r="H16" i="15"/>
  <c r="H3" i="15"/>
  <c r="H4" i="15"/>
  <c r="H5" i="15"/>
  <c r="H6" i="15"/>
  <c r="H7" i="15"/>
  <c r="H8" i="15"/>
  <c r="H9" i="15"/>
  <c r="H10" i="15"/>
  <c r="H11" i="15"/>
  <c r="H12" i="15"/>
  <c r="H13" i="15"/>
  <c r="H14" i="15"/>
  <c r="G17" i="15"/>
  <c r="G18" i="15"/>
  <c r="G19" i="15"/>
  <c r="G20" i="15"/>
  <c r="G21" i="15"/>
  <c r="G22" i="15"/>
  <c r="G23" i="15"/>
  <c r="G24" i="15"/>
  <c r="G25" i="15"/>
  <c r="G26" i="15"/>
  <c r="G27" i="15"/>
  <c r="G28" i="15"/>
  <c r="G29" i="15"/>
  <c r="G30" i="15"/>
  <c r="G4" i="15"/>
  <c r="G5" i="15"/>
  <c r="G6" i="15"/>
  <c r="G7" i="15"/>
  <c r="G8" i="15"/>
  <c r="G9" i="15"/>
  <c r="G10" i="15"/>
  <c r="G11" i="15"/>
  <c r="G12" i="15"/>
  <c r="G13" i="15"/>
  <c r="G14" i="15"/>
  <c r="G31" i="15"/>
  <c r="G16" i="15"/>
  <c r="G3" i="15"/>
  <c r="K17" i="15"/>
  <c r="K18" i="15"/>
  <c r="K19" i="15"/>
  <c r="K20" i="15"/>
  <c r="K21" i="15"/>
  <c r="K22" i="15"/>
  <c r="K23" i="15"/>
  <c r="K24" i="15"/>
  <c r="K25" i="15"/>
  <c r="K26" i="15"/>
  <c r="K27" i="15"/>
  <c r="K28" i="15"/>
  <c r="K29" i="15"/>
  <c r="K30" i="15"/>
  <c r="K4" i="15"/>
  <c r="K5" i="15"/>
  <c r="K6" i="15"/>
  <c r="K7" i="15"/>
  <c r="K8" i="15"/>
  <c r="K9" i="15"/>
  <c r="K10" i="15"/>
  <c r="K11" i="15"/>
  <c r="K12" i="15"/>
  <c r="K13" i="15"/>
  <c r="K14" i="15"/>
  <c r="K31" i="15"/>
  <c r="K16" i="15"/>
  <c r="K3" i="15"/>
  <c r="J17" i="15"/>
  <c r="J21" i="15"/>
  <c r="J25" i="15"/>
  <c r="J27" i="15"/>
  <c r="J20" i="15"/>
  <c r="J19" i="15"/>
  <c r="J23" i="15"/>
  <c r="J24" i="15"/>
  <c r="J26" i="15"/>
  <c r="J18" i="15"/>
  <c r="J22" i="15"/>
  <c r="J28" i="15"/>
  <c r="J29" i="15"/>
  <c r="J30" i="15"/>
  <c r="J31" i="15"/>
  <c r="J16" i="15"/>
  <c r="J3" i="15"/>
  <c r="J4" i="15"/>
  <c r="J5" i="15"/>
  <c r="J6" i="15"/>
  <c r="J7" i="15"/>
  <c r="J8" i="15"/>
  <c r="J9" i="15"/>
  <c r="J10" i="15"/>
  <c r="J11" i="15"/>
  <c r="J12" i="15"/>
  <c r="J13" i="15"/>
  <c r="J14" i="15"/>
  <c r="F17" i="15"/>
  <c r="F18" i="15"/>
  <c r="F19" i="15"/>
  <c r="F20" i="15"/>
  <c r="F21" i="15"/>
  <c r="F22" i="15"/>
  <c r="F23" i="15"/>
  <c r="F24" i="15"/>
  <c r="F25" i="15"/>
  <c r="F26" i="15"/>
  <c r="F27" i="15"/>
  <c r="F28" i="15"/>
  <c r="F29" i="15"/>
  <c r="F30" i="15"/>
  <c r="F31" i="15"/>
  <c r="F16" i="15"/>
  <c r="F3" i="15"/>
  <c r="F4" i="15"/>
  <c r="F5" i="15"/>
  <c r="F6" i="15"/>
  <c r="F7" i="15"/>
  <c r="F8" i="15"/>
  <c r="F9" i="15"/>
  <c r="F10" i="15"/>
  <c r="F11" i="15"/>
  <c r="F12" i="15"/>
  <c r="F13" i="15"/>
  <c r="F14" i="15"/>
  <c r="P141" i="35"/>
  <c r="R63" i="35"/>
  <c r="S140" i="35"/>
  <c r="Q141" i="35"/>
  <c r="S63" i="35"/>
  <c r="AM25" i="31" l="1"/>
  <c r="O25" i="86"/>
  <c r="O24" i="86"/>
  <c r="AH25" i="31"/>
  <c r="G25" i="86"/>
  <c r="G24" i="86"/>
  <c r="AM24" i="31"/>
  <c r="AH24" i="31"/>
  <c r="AS25" i="31"/>
  <c r="AS24" i="31"/>
  <c r="C25" i="86"/>
  <c r="C24" i="86"/>
  <c r="BX101" i="81"/>
  <c r="BX116" i="81" s="1"/>
  <c r="BD101" i="81"/>
  <c r="BD116" i="81" s="1"/>
  <c r="BY88" i="64"/>
  <c r="K25" i="86"/>
  <c r="K24" i="86"/>
  <c r="CI88" i="64"/>
  <c r="C44" i="86"/>
  <c r="C45" i="86"/>
  <c r="G45" i="86"/>
  <c r="G44" i="86"/>
  <c r="CH101" i="81"/>
  <c r="CH116" i="81" s="1"/>
  <c r="Q88" i="64"/>
  <c r="P101" i="81"/>
  <c r="P116" i="81" s="1"/>
  <c r="G97" i="64"/>
  <c r="F106" i="81"/>
  <c r="AK97" i="64"/>
  <c r="AJ106" i="81"/>
  <c r="G95" i="64"/>
  <c r="F104" i="81"/>
  <c r="F119" i="81" s="1"/>
  <c r="BO95" i="64"/>
  <c r="BN104" i="81"/>
  <c r="BN119" i="81" s="1"/>
  <c r="AU97" i="64"/>
  <c r="AT106" i="81"/>
  <c r="G88" i="64"/>
  <c r="F101" i="81"/>
  <c r="F116" i="81" s="1"/>
  <c r="CI95" i="64"/>
  <c r="CH104" i="81"/>
  <c r="CH119" i="81" s="1"/>
  <c r="AU95" i="64"/>
  <c r="AT104" i="81"/>
  <c r="AT119" i="81" s="1"/>
  <c r="AU88" i="64"/>
  <c r="AT101" i="81"/>
  <c r="AT116" i="81" s="1"/>
  <c r="AA88" i="64"/>
  <c r="Z101" i="81"/>
  <c r="Z116" i="81" s="1"/>
  <c r="AK95" i="64"/>
  <c r="AJ104" i="81"/>
  <c r="AJ119" i="81" s="1"/>
  <c r="AA95" i="64"/>
  <c r="Z104" i="81"/>
  <c r="Z119" i="81" s="1"/>
  <c r="AK88" i="64"/>
  <c r="AJ101" i="81"/>
  <c r="AJ116" i="81" s="1"/>
  <c r="BP88" i="64"/>
  <c r="BO101" i="81"/>
  <c r="BO116" i="81" s="1"/>
  <c r="BF88" i="64"/>
  <c r="BE101" i="81"/>
  <c r="BE116" i="81" s="1"/>
  <c r="AA97" i="64"/>
  <c r="Z106" i="81"/>
  <c r="BE97" i="64"/>
  <c r="BD106" i="81"/>
  <c r="BE95" i="64"/>
  <c r="BD104" i="81"/>
  <c r="BD119" i="81" s="1"/>
  <c r="BO97" i="64"/>
  <c r="BN106" i="81"/>
  <c r="BY97" i="64"/>
  <c r="BX106" i="81"/>
  <c r="CI97" i="64"/>
  <c r="CH106" i="81"/>
  <c r="Q97" i="64"/>
  <c r="P106" i="81"/>
  <c r="BY95" i="64"/>
  <c r="BX104" i="81"/>
  <c r="BX119" i="81" s="1"/>
  <c r="Q95" i="64"/>
  <c r="P104" i="81"/>
  <c r="P119" i="81" s="1"/>
  <c r="R141" i="35"/>
  <c r="Q63" i="35"/>
  <c r="Q64" i="35" s="1"/>
  <c r="P63" i="35"/>
  <c r="P64" i="35" s="1"/>
  <c r="O140" i="35"/>
  <c r="R64" i="35"/>
  <c r="S141" i="35"/>
  <c r="S64" i="35"/>
  <c r="I25" i="4"/>
  <c r="O25" i="4"/>
  <c r="O15" i="89" l="1"/>
  <c r="O23" i="89" s="1"/>
  <c r="F3" i="10"/>
  <c r="F6" i="10" s="1"/>
  <c r="F6" i="16" s="1"/>
  <c r="I15" i="89"/>
  <c r="BY101" i="81"/>
  <c r="BY116" i="81" s="1"/>
  <c r="BZ88" i="64"/>
  <c r="CI101" i="81"/>
  <c r="CI116" i="81" s="1"/>
  <c r="CJ88" i="64"/>
  <c r="BF95" i="64"/>
  <c r="BE104" i="81"/>
  <c r="BE119" i="81" s="1"/>
  <c r="BQ88" i="64"/>
  <c r="BP101" i="81"/>
  <c r="BP116" i="81" s="1"/>
  <c r="CJ95" i="64"/>
  <c r="CI104" i="81"/>
  <c r="CI119" i="81" s="1"/>
  <c r="H95" i="64"/>
  <c r="G104" i="81"/>
  <c r="G119" i="81" s="1"/>
  <c r="R97" i="64"/>
  <c r="Q106" i="81"/>
  <c r="BP95" i="64"/>
  <c r="BO104" i="81"/>
  <c r="BO119" i="81" s="1"/>
  <c r="AL95" i="64"/>
  <c r="AK104" i="81"/>
  <c r="AK119" i="81" s="1"/>
  <c r="BG88" i="64"/>
  <c r="BF101" i="81"/>
  <c r="BF116" i="81" s="1"/>
  <c r="AV95" i="64"/>
  <c r="AU104" i="81"/>
  <c r="AU119" i="81" s="1"/>
  <c r="BZ97" i="64"/>
  <c r="BY106" i="81"/>
  <c r="CJ97" i="64"/>
  <c r="CI106" i="81"/>
  <c r="BF97" i="64"/>
  <c r="BE106" i="81"/>
  <c r="AL97" i="64"/>
  <c r="AK106" i="81"/>
  <c r="AB95" i="64"/>
  <c r="AA104" i="81"/>
  <c r="AA119" i="81" s="1"/>
  <c r="AL88" i="64"/>
  <c r="AK101" i="81"/>
  <c r="AK116" i="81" s="1"/>
  <c r="H88" i="64"/>
  <c r="G101" i="81"/>
  <c r="G116" i="81" s="1"/>
  <c r="BZ95" i="64"/>
  <c r="BY104" i="81"/>
  <c r="BY119" i="81" s="1"/>
  <c r="BP97" i="64"/>
  <c r="BO106" i="81"/>
  <c r="AB97" i="64"/>
  <c r="AA106" i="81"/>
  <c r="AV88" i="64"/>
  <c r="AU101" i="81"/>
  <c r="AU116" i="81" s="1"/>
  <c r="AV97" i="64"/>
  <c r="AU106" i="81"/>
  <c r="H97" i="64"/>
  <c r="G106" i="81"/>
  <c r="R95" i="64"/>
  <c r="Q104" i="81"/>
  <c r="Q119" i="81" s="1"/>
  <c r="AB88" i="64"/>
  <c r="AA101" i="81"/>
  <c r="AA116" i="81" s="1"/>
  <c r="R88" i="64"/>
  <c r="Q101" i="81"/>
  <c r="Q116" i="81" s="1"/>
  <c r="L3" i="10"/>
  <c r="L6" i="10" s="1"/>
  <c r="O141" i="35"/>
  <c r="G25" i="5"/>
  <c r="L25" i="4"/>
  <c r="O25" i="5"/>
  <c r="K25" i="5"/>
  <c r="J25" i="4"/>
  <c r="K25" i="4"/>
  <c r="L25" i="5"/>
  <c r="M25" i="5"/>
  <c r="G25" i="4"/>
  <c r="H25" i="5"/>
  <c r="N25" i="5"/>
  <c r="I25" i="5"/>
  <c r="N25" i="4"/>
  <c r="H25" i="4"/>
  <c r="J25" i="5"/>
  <c r="M25" i="4"/>
  <c r="Y23" i="89" l="1"/>
  <c r="Y24" i="89"/>
  <c r="Y25" i="89"/>
  <c r="P28" i="89"/>
  <c r="O18" i="89"/>
  <c r="O20" i="89" s="1"/>
  <c r="O15" i="90"/>
  <c r="O23" i="90" s="1"/>
  <c r="J15" i="90"/>
  <c r="J23" i="90" s="1"/>
  <c r="N15" i="89"/>
  <c r="N23" i="89" s="1"/>
  <c r="L15" i="90"/>
  <c r="L23" i="90" s="1"/>
  <c r="M15" i="90"/>
  <c r="M18" i="90" s="1"/>
  <c r="K15" i="90"/>
  <c r="K23" i="90" s="1"/>
  <c r="G15" i="90"/>
  <c r="G18" i="90" s="1"/>
  <c r="G19" i="90" s="1"/>
  <c r="M15" i="89"/>
  <c r="M23" i="89" s="1"/>
  <c r="I15" i="90"/>
  <c r="I23" i="90" s="1"/>
  <c r="N15" i="90"/>
  <c r="N18" i="90" s="1"/>
  <c r="H15" i="90"/>
  <c r="H18" i="90" s="1"/>
  <c r="H19" i="90" s="1"/>
  <c r="G15" i="89"/>
  <c r="G18" i="89" s="1"/>
  <c r="G20" i="89" s="1"/>
  <c r="I3" i="10"/>
  <c r="I6" i="10" s="1"/>
  <c r="I6" i="16" s="1"/>
  <c r="AP80" i="87" s="1"/>
  <c r="L15" i="89"/>
  <c r="I23" i="89"/>
  <c r="I18" i="89"/>
  <c r="H3" i="10"/>
  <c r="H6" i="10" s="1"/>
  <c r="H6" i="16" s="1"/>
  <c r="AF80" i="87" s="1"/>
  <c r="K15" i="89"/>
  <c r="E3" i="10"/>
  <c r="E6" i="10" s="1"/>
  <c r="E6" i="16" s="1"/>
  <c r="H15" i="89"/>
  <c r="H18" i="89" s="1"/>
  <c r="G3" i="10"/>
  <c r="G6" i="10" s="1"/>
  <c r="G6" i="16" s="1"/>
  <c r="V80" i="87" s="1"/>
  <c r="J15" i="89"/>
  <c r="CA88" i="64"/>
  <c r="CA101" i="81" s="1"/>
  <c r="CA116" i="81" s="1"/>
  <c r="BZ101" i="81"/>
  <c r="BZ116" i="81" s="1"/>
  <c r="L118" i="87"/>
  <c r="M118" i="87" s="1"/>
  <c r="N118" i="87" s="1"/>
  <c r="O118" i="87" s="1"/>
  <c r="P118" i="87" s="1"/>
  <c r="Q118" i="87" s="1"/>
  <c r="R118" i="87" s="1"/>
  <c r="S118" i="87" s="1"/>
  <c r="T118" i="87" s="1"/>
  <c r="U118" i="87" s="1"/>
  <c r="L80" i="87"/>
  <c r="J18" i="20"/>
  <c r="H18" i="20"/>
  <c r="L18" i="20"/>
  <c r="I18" i="20"/>
  <c r="F18" i="20"/>
  <c r="K18" i="20"/>
  <c r="G18" i="20"/>
  <c r="E18" i="20"/>
  <c r="D18" i="20"/>
  <c r="AE25" i="5"/>
  <c r="H41" i="5"/>
  <c r="U41" i="5" s="1"/>
  <c r="CK88" i="64"/>
  <c r="CJ101" i="81"/>
  <c r="CJ116" i="81" s="1"/>
  <c r="G41" i="5"/>
  <c r="X25" i="5"/>
  <c r="Y25" i="5"/>
  <c r="AB25" i="5"/>
  <c r="L41" i="5"/>
  <c r="Z25" i="5"/>
  <c r="AG25" i="5"/>
  <c r="AC25" i="5"/>
  <c r="AD25" i="5"/>
  <c r="AA25" i="5"/>
  <c r="H3" i="22"/>
  <c r="H6" i="22" s="1"/>
  <c r="K41" i="5"/>
  <c r="K3" i="22"/>
  <c r="K6" i="22" s="1"/>
  <c r="K6" i="25" s="1"/>
  <c r="N41" i="5"/>
  <c r="L3" i="22"/>
  <c r="L6" i="22" s="1"/>
  <c r="O41" i="5"/>
  <c r="G3" i="22"/>
  <c r="G6" i="22" s="1"/>
  <c r="J41" i="5"/>
  <c r="F3" i="22"/>
  <c r="F6" i="22" s="1"/>
  <c r="I41" i="5"/>
  <c r="AE41" i="5" s="1"/>
  <c r="J3" i="22"/>
  <c r="J6" i="22" s="1"/>
  <c r="M41" i="5"/>
  <c r="I3" i="22"/>
  <c r="I6" i="22" s="1"/>
  <c r="S25" i="5"/>
  <c r="T25" i="5"/>
  <c r="Q3" i="22" s="1"/>
  <c r="Q6" i="22" s="1"/>
  <c r="E3" i="22"/>
  <c r="E6" i="22" s="1"/>
  <c r="U25" i="5"/>
  <c r="R3" i="22" s="1"/>
  <c r="R6" i="22" s="1"/>
  <c r="L118" i="64"/>
  <c r="M118" i="64" s="1"/>
  <c r="N118" i="64" s="1"/>
  <c r="O118" i="64" s="1"/>
  <c r="P118" i="64" s="1"/>
  <c r="Q118" i="64" s="1"/>
  <c r="R118" i="64" s="1"/>
  <c r="S118" i="64" s="1"/>
  <c r="T118" i="64" s="1"/>
  <c r="U118" i="64" s="1"/>
  <c r="I97" i="64"/>
  <c r="H106" i="81"/>
  <c r="AC97" i="64"/>
  <c r="AB106" i="81"/>
  <c r="AM88" i="64"/>
  <c r="AL101" i="81"/>
  <c r="AL116" i="81" s="1"/>
  <c r="BG97" i="64"/>
  <c r="BF106" i="81"/>
  <c r="BH88" i="64"/>
  <c r="BG101" i="81"/>
  <c r="BG116" i="81" s="1"/>
  <c r="I95" i="64"/>
  <c r="H104" i="81"/>
  <c r="H119" i="81" s="1"/>
  <c r="S88" i="64"/>
  <c r="R101" i="81"/>
  <c r="R116" i="81" s="1"/>
  <c r="AW97" i="64"/>
  <c r="AV106" i="81"/>
  <c r="BQ97" i="64"/>
  <c r="BP106" i="81"/>
  <c r="CK97" i="64"/>
  <c r="CJ106" i="81"/>
  <c r="AM95" i="64"/>
  <c r="AL104" i="81"/>
  <c r="AL119" i="81" s="1"/>
  <c r="CK95" i="64"/>
  <c r="CJ104" i="81"/>
  <c r="CJ119" i="81" s="1"/>
  <c r="AC88" i="64"/>
  <c r="AB101" i="81"/>
  <c r="AB116" i="81" s="1"/>
  <c r="AW88" i="64"/>
  <c r="AV101" i="81"/>
  <c r="AV116" i="81" s="1"/>
  <c r="CA95" i="64"/>
  <c r="BZ104" i="81"/>
  <c r="BZ119" i="81" s="1"/>
  <c r="AC95" i="64"/>
  <c r="AB104" i="81"/>
  <c r="AB119" i="81" s="1"/>
  <c r="CA97" i="64"/>
  <c r="BZ106" i="81"/>
  <c r="BQ95" i="64"/>
  <c r="BP104" i="81"/>
  <c r="BP119" i="81" s="1"/>
  <c r="BR88" i="64"/>
  <c r="BQ101" i="81"/>
  <c r="BQ116" i="81" s="1"/>
  <c r="S95" i="64"/>
  <c r="R104" i="81"/>
  <c r="R119" i="81" s="1"/>
  <c r="I88" i="64"/>
  <c r="H101" i="81"/>
  <c r="H116" i="81" s="1"/>
  <c r="AM97" i="64"/>
  <c r="AL106" i="81"/>
  <c r="AW95" i="64"/>
  <c r="AV104" i="81"/>
  <c r="AV119" i="81" s="1"/>
  <c r="S97" i="64"/>
  <c r="R106" i="81"/>
  <c r="BG95" i="64"/>
  <c r="BF104" i="81"/>
  <c r="BF119" i="81" s="1"/>
  <c r="L80" i="64"/>
  <c r="D3" i="22"/>
  <c r="D6" i="22" s="1"/>
  <c r="L6" i="14"/>
  <c r="L6" i="16"/>
  <c r="BT80" i="87" s="1"/>
  <c r="BU80" i="87" s="1"/>
  <c r="BV80" i="87" s="1"/>
  <c r="BW80" i="87" s="1"/>
  <c r="BX80" i="87" s="1"/>
  <c r="BY80" i="87" s="1"/>
  <c r="BZ80" i="87" s="1"/>
  <c r="CA80" i="87" s="1"/>
  <c r="CB80" i="87" s="1"/>
  <c r="CC80" i="87" s="1"/>
  <c r="D3" i="10"/>
  <c r="D6" i="10" s="1"/>
  <c r="D6" i="16" s="1"/>
  <c r="K3" i="10"/>
  <c r="K6" i="10" s="1"/>
  <c r="J3" i="10"/>
  <c r="J6" i="10" s="1"/>
  <c r="E10" i="5"/>
  <c r="H4" i="30"/>
  <c r="K3" i="36"/>
  <c r="F30" i="5"/>
  <c r="C3" i="20" s="1"/>
  <c r="C6" i="21" s="1"/>
  <c r="F31" i="5"/>
  <c r="F37" i="35"/>
  <c r="G37" i="35"/>
  <c r="H37" i="35"/>
  <c r="D40" i="35"/>
  <c r="E40" i="35"/>
  <c r="F40" i="35"/>
  <c r="G40" i="35"/>
  <c r="H40" i="35"/>
  <c r="I40" i="35"/>
  <c r="J40" i="35"/>
  <c r="K40" i="35"/>
  <c r="I113" i="35"/>
  <c r="F18" i="5"/>
  <c r="F15" i="5"/>
  <c r="C3" i="21" s="1"/>
  <c r="F17" i="5"/>
  <c r="C17" i="21" s="1"/>
  <c r="D1" i="55"/>
  <c r="E1" i="55"/>
  <c r="F1" i="55"/>
  <c r="G1" i="55"/>
  <c r="H1" i="55"/>
  <c r="D1" i="18"/>
  <c r="C2" i="19" s="1"/>
  <c r="E1" i="18"/>
  <c r="D2" i="19" s="1"/>
  <c r="F1" i="18"/>
  <c r="E2" i="19" s="1"/>
  <c r="G1" i="18"/>
  <c r="F2" i="19" s="1"/>
  <c r="H1" i="18"/>
  <c r="G2" i="19" s="1"/>
  <c r="I1" i="18"/>
  <c r="H2" i="19" s="1"/>
  <c r="J1" i="18"/>
  <c r="I2" i="19" s="1"/>
  <c r="I1" i="19"/>
  <c r="G1" i="19"/>
  <c r="H1" i="54"/>
  <c r="G1" i="54"/>
  <c r="F1" i="54"/>
  <c r="L1" i="22"/>
  <c r="K1" i="22"/>
  <c r="J1" i="22"/>
  <c r="I1" i="22"/>
  <c r="H1" i="22"/>
  <c r="G1" i="22"/>
  <c r="F1" i="22"/>
  <c r="C1" i="18"/>
  <c r="B2" i="19" s="1"/>
  <c r="B1" i="18"/>
  <c r="F14" i="5"/>
  <c r="F33" i="5"/>
  <c r="C4" i="20" s="1"/>
  <c r="C10" i="21" s="1"/>
  <c r="F32" i="5"/>
  <c r="F26" i="5"/>
  <c r="F22" i="5"/>
  <c r="F20" i="5"/>
  <c r="F19" i="5"/>
  <c r="F21" i="5"/>
  <c r="C1" i="22"/>
  <c r="D1" i="22"/>
  <c r="E1" i="22"/>
  <c r="F24" i="5"/>
  <c r="F23" i="5"/>
  <c r="C2" i="25" s="1"/>
  <c r="F29" i="5"/>
  <c r="F27" i="5"/>
  <c r="F25" i="5"/>
  <c r="F28" i="5"/>
  <c r="D1" i="54"/>
  <c r="C1" i="54"/>
  <c r="E1" i="54"/>
  <c r="C5" i="25" l="1"/>
  <c r="X23" i="89"/>
  <c r="X25" i="89"/>
  <c r="X24" i="89"/>
  <c r="S23" i="89"/>
  <c r="S25" i="89"/>
  <c r="S24" i="89"/>
  <c r="W23" i="89"/>
  <c r="W24" i="89"/>
  <c r="W25" i="89"/>
  <c r="Y26" i="89"/>
  <c r="U23" i="90"/>
  <c r="U25" i="90"/>
  <c r="U24" i="90"/>
  <c r="V23" i="90"/>
  <c r="V25" i="90"/>
  <c r="V24" i="90"/>
  <c r="Y23" i="90"/>
  <c r="Y24" i="90"/>
  <c r="Y25" i="90"/>
  <c r="S23" i="90"/>
  <c r="S25" i="90"/>
  <c r="S24" i="90"/>
  <c r="T23" i="90"/>
  <c r="T24" i="90"/>
  <c r="T25" i="90"/>
  <c r="K28" i="90"/>
  <c r="N28" i="89"/>
  <c r="O28" i="89"/>
  <c r="L28" i="90"/>
  <c r="P28" i="90"/>
  <c r="J28" i="90"/>
  <c r="O19" i="89"/>
  <c r="O26" i="89" s="1"/>
  <c r="M23" i="90"/>
  <c r="H20" i="90"/>
  <c r="G20" i="90"/>
  <c r="K18" i="90"/>
  <c r="K20" i="90" s="1"/>
  <c r="G19" i="89"/>
  <c r="I18" i="90"/>
  <c r="I20" i="90" s="1"/>
  <c r="M18" i="89"/>
  <c r="M20" i="89" s="1"/>
  <c r="N18" i="89"/>
  <c r="N20" i="89" s="1"/>
  <c r="J18" i="90"/>
  <c r="J20" i="90" s="1"/>
  <c r="O18" i="90"/>
  <c r="O20" i="90" s="1"/>
  <c r="N23" i="90"/>
  <c r="L18" i="90"/>
  <c r="L20" i="90" s="1"/>
  <c r="J23" i="89"/>
  <c r="J18" i="89"/>
  <c r="L18" i="89"/>
  <c r="L23" i="89"/>
  <c r="H20" i="89"/>
  <c r="H19" i="89"/>
  <c r="K18" i="89"/>
  <c r="K23" i="89"/>
  <c r="I20" i="89"/>
  <c r="I19" i="89"/>
  <c r="I26" i="89" s="1"/>
  <c r="M20" i="90"/>
  <c r="M19" i="90"/>
  <c r="M26" i="90" s="1"/>
  <c r="N20" i="90"/>
  <c r="N19" i="90"/>
  <c r="N26" i="90" s="1"/>
  <c r="CB88" i="64"/>
  <c r="CB101" i="81" s="1"/>
  <c r="CB116" i="81" s="1"/>
  <c r="CK101" i="81"/>
  <c r="CK116" i="81" s="1"/>
  <c r="M80" i="87"/>
  <c r="N80" i="87" s="1"/>
  <c r="O80" i="87" s="1"/>
  <c r="P80" i="87" s="1"/>
  <c r="Q80" i="87" s="1"/>
  <c r="R80" i="87" s="1"/>
  <c r="S80" i="87" s="1"/>
  <c r="T80" i="87" s="1"/>
  <c r="U80" i="87" s="1"/>
  <c r="AG80" i="87"/>
  <c r="AH80" i="87" s="1"/>
  <c r="AI80" i="87" s="1"/>
  <c r="AJ80" i="87" s="1"/>
  <c r="AK80" i="87" s="1"/>
  <c r="AL80" i="87" s="1"/>
  <c r="AM80" i="87" s="1"/>
  <c r="AN80" i="87" s="1"/>
  <c r="AO80" i="87" s="1"/>
  <c r="B118" i="87"/>
  <c r="C118" i="87" s="1"/>
  <c r="D118" i="87" s="1"/>
  <c r="E118" i="87" s="1"/>
  <c r="F118" i="87" s="1"/>
  <c r="G118" i="87" s="1"/>
  <c r="H118" i="87" s="1"/>
  <c r="I118" i="87" s="1"/>
  <c r="J118" i="87" s="1"/>
  <c r="K118" i="87" s="1"/>
  <c r="B80" i="87"/>
  <c r="C80" i="87" s="1"/>
  <c r="D80" i="87" s="1"/>
  <c r="E80" i="87" s="1"/>
  <c r="F80" i="87" s="1"/>
  <c r="G80" i="87" s="1"/>
  <c r="H80" i="87" s="1"/>
  <c r="I80" i="87" s="1"/>
  <c r="J80" i="87" s="1"/>
  <c r="K80" i="87" s="1"/>
  <c r="W80" i="87"/>
  <c r="X80" i="87" s="1"/>
  <c r="Y80" i="87" s="1"/>
  <c r="Z80" i="87" s="1"/>
  <c r="AA80" i="87" s="1"/>
  <c r="AB80" i="87" s="1"/>
  <c r="AC80" i="87" s="1"/>
  <c r="AD80" i="87" s="1"/>
  <c r="AE80" i="87" s="1"/>
  <c r="C18" i="20"/>
  <c r="C5" i="22"/>
  <c r="C20" i="20"/>
  <c r="C4" i="22"/>
  <c r="C19" i="20"/>
  <c r="CL88" i="64"/>
  <c r="S41" i="5"/>
  <c r="P3" i="22"/>
  <c r="P6" i="22" s="1"/>
  <c r="T41" i="5"/>
  <c r="AB41" i="5"/>
  <c r="X41" i="5"/>
  <c r="AC41" i="5"/>
  <c r="AD41" i="5"/>
  <c r="AA41" i="5"/>
  <c r="Y41" i="5"/>
  <c r="AG41" i="5"/>
  <c r="Z41" i="5"/>
  <c r="C3" i="22"/>
  <c r="F41" i="5"/>
  <c r="AF80" i="64"/>
  <c r="BT80" i="64"/>
  <c r="BU80" i="64" s="1"/>
  <c r="BV80" i="64" s="1"/>
  <c r="BW80" i="64" s="1"/>
  <c r="BX80" i="64" s="1"/>
  <c r="BY80" i="64" s="1"/>
  <c r="BZ80" i="64" s="1"/>
  <c r="CA80" i="64" s="1"/>
  <c r="CB80" i="64" s="1"/>
  <c r="CC80" i="64" s="1"/>
  <c r="V80" i="64"/>
  <c r="M80" i="64" s="1"/>
  <c r="N80" i="64" s="1"/>
  <c r="O80" i="64" s="1"/>
  <c r="P80" i="64" s="1"/>
  <c r="Q80" i="64" s="1"/>
  <c r="R80" i="64" s="1"/>
  <c r="S80" i="64" s="1"/>
  <c r="T80" i="64" s="1"/>
  <c r="U80" i="64" s="1"/>
  <c r="AP80" i="64"/>
  <c r="BS88" i="64"/>
  <c r="BR101" i="81"/>
  <c r="BR116" i="81" s="1"/>
  <c r="CB95" i="64"/>
  <c r="CA104" i="81"/>
  <c r="CA119" i="81" s="1"/>
  <c r="AN95" i="64"/>
  <c r="AM104" i="81"/>
  <c r="AM119" i="81" s="1"/>
  <c r="AX97" i="64"/>
  <c r="AW106" i="81"/>
  <c r="BH97" i="64"/>
  <c r="BG106" i="81"/>
  <c r="BH95" i="64"/>
  <c r="BG104" i="81"/>
  <c r="BG119" i="81" s="1"/>
  <c r="AN97" i="64"/>
  <c r="AM106" i="81"/>
  <c r="J88" i="64"/>
  <c r="I101" i="81"/>
  <c r="I116" i="81" s="1"/>
  <c r="BR95" i="64"/>
  <c r="BQ104" i="81"/>
  <c r="BQ119" i="81" s="1"/>
  <c r="AX88" i="64"/>
  <c r="AW101" i="81"/>
  <c r="AW116" i="81" s="1"/>
  <c r="CL97" i="64"/>
  <c r="CK106" i="81"/>
  <c r="T88" i="64"/>
  <c r="S101" i="81"/>
  <c r="S116" i="81" s="1"/>
  <c r="AN88" i="64"/>
  <c r="AM101" i="81"/>
  <c r="AM116" i="81" s="1"/>
  <c r="T97" i="64"/>
  <c r="S106" i="81"/>
  <c r="CB97" i="64"/>
  <c r="CA106" i="81"/>
  <c r="AD88" i="64"/>
  <c r="AC101" i="81"/>
  <c r="AC116" i="81" s="1"/>
  <c r="J95" i="64"/>
  <c r="I104" i="81"/>
  <c r="I119" i="81" s="1"/>
  <c r="AD97" i="64"/>
  <c r="AC106" i="81"/>
  <c r="AX95" i="64"/>
  <c r="AW104" i="81"/>
  <c r="AW119" i="81" s="1"/>
  <c r="T95" i="64"/>
  <c r="S104" i="81"/>
  <c r="S119" i="81" s="1"/>
  <c r="AD95" i="64"/>
  <c r="AC104" i="81"/>
  <c r="AC119" i="81" s="1"/>
  <c r="CL95" i="64"/>
  <c r="CK104" i="81"/>
  <c r="CK119" i="81" s="1"/>
  <c r="BR97" i="64"/>
  <c r="BQ106" i="81"/>
  <c r="BI88" i="64"/>
  <c r="BH101" i="81"/>
  <c r="BH116" i="81" s="1"/>
  <c r="J97" i="64"/>
  <c r="I106" i="81"/>
  <c r="B80" i="64"/>
  <c r="C80" i="64" s="1"/>
  <c r="D80" i="64" s="1"/>
  <c r="E80" i="64" s="1"/>
  <c r="F80" i="64" s="1"/>
  <c r="G80" i="64" s="1"/>
  <c r="H80" i="64" s="1"/>
  <c r="I80" i="64" s="1"/>
  <c r="J80" i="64" s="1"/>
  <c r="K80" i="64" s="1"/>
  <c r="B118" i="64"/>
  <c r="C118" i="64" s="1"/>
  <c r="D118" i="64" s="1"/>
  <c r="E118" i="64" s="1"/>
  <c r="F118" i="64" s="1"/>
  <c r="G118" i="64" s="1"/>
  <c r="H118" i="64" s="1"/>
  <c r="I118" i="64" s="1"/>
  <c r="J118" i="64" s="1"/>
  <c r="K118" i="64" s="1"/>
  <c r="M32" i="16"/>
  <c r="D6" i="25"/>
  <c r="K6" i="14"/>
  <c r="K6" i="54" s="1"/>
  <c r="K6" i="16"/>
  <c r="BJ80" i="87" s="1"/>
  <c r="BK80" i="87" s="1"/>
  <c r="BL80" i="87" s="1"/>
  <c r="BM80" i="87" s="1"/>
  <c r="BN80" i="87" s="1"/>
  <c r="BO80" i="87" s="1"/>
  <c r="BP80" i="87" s="1"/>
  <c r="BQ80" i="87" s="1"/>
  <c r="BR80" i="87" s="1"/>
  <c r="BS80" i="87" s="1"/>
  <c r="J6" i="16"/>
  <c r="AZ80" i="87" s="1"/>
  <c r="J6" i="14"/>
  <c r="J6" i="26"/>
  <c r="J6" i="25"/>
  <c r="L6" i="26"/>
  <c r="L6" i="55" s="1"/>
  <c r="L6" i="25"/>
  <c r="L6" i="54" s="1"/>
  <c r="K6" i="26"/>
  <c r="N32" i="16"/>
  <c r="N19" i="16"/>
  <c r="M19" i="16"/>
  <c r="L19" i="16"/>
  <c r="F32" i="16"/>
  <c r="I32" i="16"/>
  <c r="H32" i="16"/>
  <c r="G32" i="16"/>
  <c r="F19" i="16"/>
  <c r="E19" i="16"/>
  <c r="I19" i="16"/>
  <c r="H19" i="16"/>
  <c r="G19" i="16"/>
  <c r="I6" i="26"/>
  <c r="I6" i="25"/>
  <c r="G6" i="26"/>
  <c r="G6" i="25"/>
  <c r="H6" i="25"/>
  <c r="H6" i="26"/>
  <c r="F6" i="26"/>
  <c r="F6" i="25"/>
  <c r="E6" i="26"/>
  <c r="E6" i="25"/>
  <c r="B6" i="28"/>
  <c r="K4" i="36"/>
  <c r="C3" i="36"/>
  <c r="E10" i="4"/>
  <c r="C3" i="25"/>
  <c r="C4" i="25"/>
  <c r="C2" i="22"/>
  <c r="C1" i="55"/>
  <c r="H3" i="30"/>
  <c r="L39" i="35"/>
  <c r="L40" i="35" s="1"/>
  <c r="D112" i="35"/>
  <c r="D113" i="35" s="1"/>
  <c r="J115" i="35"/>
  <c r="J116" i="35" s="1"/>
  <c r="H110" i="35"/>
  <c r="D37" i="35"/>
  <c r="E8" i="5"/>
  <c r="E8" i="4"/>
  <c r="E9" i="5"/>
  <c r="H3" i="31"/>
  <c r="E9" i="4"/>
  <c r="H4" i="31"/>
  <c r="M39" i="35"/>
  <c r="M40" i="35" s="1"/>
  <c r="I118" i="35"/>
  <c r="T118" i="35"/>
  <c r="T119" i="35"/>
  <c r="S118" i="35"/>
  <c r="Q119" i="35"/>
  <c r="O119" i="35"/>
  <c r="Q118" i="35"/>
  <c r="P119" i="35"/>
  <c r="O118" i="35"/>
  <c r="N119" i="35"/>
  <c r="S119" i="35"/>
  <c r="R119" i="35"/>
  <c r="P118" i="35"/>
  <c r="N118" i="35"/>
  <c r="R118" i="35"/>
  <c r="T42" i="35"/>
  <c r="T43" i="35"/>
  <c r="O42" i="35"/>
  <c r="P43" i="35"/>
  <c r="N43" i="35"/>
  <c r="S42" i="35"/>
  <c r="O43" i="35"/>
  <c r="N42" i="35"/>
  <c r="Q43" i="35"/>
  <c r="R42" i="35"/>
  <c r="R43" i="35"/>
  <c r="S43" i="35"/>
  <c r="P42" i="35"/>
  <c r="Q42" i="35"/>
  <c r="E118" i="35"/>
  <c r="S24" i="31"/>
  <c r="K24" i="31"/>
  <c r="C24" i="31"/>
  <c r="S24" i="30"/>
  <c r="K24" i="30"/>
  <c r="W25" i="31"/>
  <c r="O25" i="31"/>
  <c r="G25" i="31"/>
  <c r="C25" i="30"/>
  <c r="W25" i="30"/>
  <c r="O25" i="30"/>
  <c r="G25" i="30"/>
  <c r="W24" i="31"/>
  <c r="O24" i="31"/>
  <c r="G24" i="31"/>
  <c r="W24" i="30"/>
  <c r="O24" i="30"/>
  <c r="G24" i="30"/>
  <c r="S25" i="31"/>
  <c r="K25" i="31"/>
  <c r="C25" i="31"/>
  <c r="S25" i="30"/>
  <c r="K25" i="30"/>
  <c r="C24" i="30"/>
  <c r="C3" i="31"/>
  <c r="C3" i="30"/>
  <c r="H112" i="35"/>
  <c r="H113" i="35" s="1"/>
  <c r="J37" i="35"/>
  <c r="L110" i="35"/>
  <c r="L115" i="35"/>
  <c r="L116" i="35" s="1"/>
  <c r="K115" i="35"/>
  <c r="K116" i="35" s="1"/>
  <c r="K110" i="35"/>
  <c r="K119" i="35"/>
  <c r="L37" i="35"/>
  <c r="J42" i="35"/>
  <c r="F42" i="35"/>
  <c r="F110" i="35"/>
  <c r="F112" i="35"/>
  <c r="F113" i="35" s="1"/>
  <c r="M37" i="35"/>
  <c r="D42" i="35"/>
  <c r="G118" i="35"/>
  <c r="G112" i="35"/>
  <c r="G113" i="35" s="1"/>
  <c r="G110" i="35"/>
  <c r="K42" i="35"/>
  <c r="K37" i="35"/>
  <c r="M110" i="35"/>
  <c r="M119" i="35"/>
  <c r="M115" i="35"/>
  <c r="M116" i="35" s="1"/>
  <c r="J118" i="35"/>
  <c r="J110" i="35"/>
  <c r="J119" i="35"/>
  <c r="G42" i="35"/>
  <c r="M118" i="35"/>
  <c r="D110" i="35"/>
  <c r="D118" i="35"/>
  <c r="I110" i="35"/>
  <c r="I119" i="35"/>
  <c r="I115" i="35"/>
  <c r="I116" i="35" s="1"/>
  <c r="L43" i="35"/>
  <c r="E37" i="35"/>
  <c r="H42" i="35"/>
  <c r="L42" i="35"/>
  <c r="M43" i="35"/>
  <c r="E42" i="35"/>
  <c r="M42" i="35"/>
  <c r="E112" i="35"/>
  <c r="E113" i="35" s="1"/>
  <c r="F118" i="35"/>
  <c r="L119" i="35"/>
  <c r="E110" i="35"/>
  <c r="K118" i="35"/>
  <c r="H118" i="35"/>
  <c r="L118" i="35"/>
  <c r="W26" i="89" l="1"/>
  <c r="V23" i="89"/>
  <c r="V25" i="89"/>
  <c r="V24" i="89"/>
  <c r="T23" i="89"/>
  <c r="T25" i="89"/>
  <c r="T24" i="89"/>
  <c r="U23" i="89"/>
  <c r="U24" i="89"/>
  <c r="U25" i="89"/>
  <c r="S26" i="89"/>
  <c r="X26" i="89"/>
  <c r="T26" i="90"/>
  <c r="S26" i="90"/>
  <c r="W23" i="90"/>
  <c r="W25" i="90"/>
  <c r="W24" i="90"/>
  <c r="X23" i="90"/>
  <c r="X24" i="90"/>
  <c r="X25" i="90"/>
  <c r="V26" i="90"/>
  <c r="Y26" i="90"/>
  <c r="U26" i="90"/>
  <c r="J28" i="89"/>
  <c r="K28" i="89"/>
  <c r="M28" i="90"/>
  <c r="L28" i="89"/>
  <c r="P31" i="89"/>
  <c r="N28" i="90"/>
  <c r="M28" i="89"/>
  <c r="N31" i="90"/>
  <c r="O28" i="90"/>
  <c r="J19" i="90"/>
  <c r="J26" i="90" s="1"/>
  <c r="N19" i="89"/>
  <c r="N26" i="89" s="1"/>
  <c r="I19" i="90"/>
  <c r="I26" i="90" s="1"/>
  <c r="M19" i="89"/>
  <c r="M26" i="89" s="1"/>
  <c r="K19" i="90"/>
  <c r="K26" i="90" s="1"/>
  <c r="O19" i="90"/>
  <c r="O26" i="90" s="1"/>
  <c r="L19" i="90"/>
  <c r="L26" i="90" s="1"/>
  <c r="K20" i="89"/>
  <c r="K19" i="89"/>
  <c r="K26" i="89" s="1"/>
  <c r="L20" i="89"/>
  <c r="L19" i="89"/>
  <c r="L26" i="89" s="1"/>
  <c r="J20" i="89"/>
  <c r="J19" i="89"/>
  <c r="J26" i="89" s="1"/>
  <c r="J31" i="89" s="1"/>
  <c r="CC88" i="64"/>
  <c r="CC101" i="81" s="1"/>
  <c r="CC116" i="81" s="1"/>
  <c r="CM88" i="64"/>
  <c r="CM101" i="81" s="1"/>
  <c r="CM116" i="81" s="1"/>
  <c r="BA80" i="87"/>
  <c r="BB80" i="87" s="1"/>
  <c r="BC80" i="87" s="1"/>
  <c r="BD80" i="87" s="1"/>
  <c r="BE80" i="87" s="1"/>
  <c r="BF80" i="87" s="1"/>
  <c r="BG80" i="87" s="1"/>
  <c r="BH80" i="87" s="1"/>
  <c r="BI80" i="87" s="1"/>
  <c r="CL101" i="81"/>
  <c r="CL116" i="81" s="1"/>
  <c r="AG80" i="64"/>
  <c r="AH80" i="64" s="1"/>
  <c r="AI80" i="64" s="1"/>
  <c r="AJ80" i="64" s="1"/>
  <c r="AK80" i="64" s="1"/>
  <c r="AL80" i="64" s="1"/>
  <c r="AM80" i="64" s="1"/>
  <c r="AN80" i="64" s="1"/>
  <c r="AO80" i="64" s="1"/>
  <c r="W80" i="64"/>
  <c r="X80" i="64" s="1"/>
  <c r="Y80" i="64" s="1"/>
  <c r="Z80" i="64" s="1"/>
  <c r="AA80" i="64" s="1"/>
  <c r="AB80" i="64" s="1"/>
  <c r="AC80" i="64" s="1"/>
  <c r="AD80" i="64" s="1"/>
  <c r="AE80" i="64" s="1"/>
  <c r="BJ80" i="64"/>
  <c r="BK80" i="64" s="1"/>
  <c r="BL80" i="64" s="1"/>
  <c r="BM80" i="64" s="1"/>
  <c r="BN80" i="64" s="1"/>
  <c r="BO80" i="64" s="1"/>
  <c r="BP80" i="64" s="1"/>
  <c r="BQ80" i="64" s="1"/>
  <c r="BR80" i="64" s="1"/>
  <c r="BS80" i="64" s="1"/>
  <c r="BI101" i="81"/>
  <c r="BI116" i="81" s="1"/>
  <c r="BS101" i="81"/>
  <c r="BS116" i="81" s="1"/>
  <c r="CM95" i="64"/>
  <c r="CL104" i="81"/>
  <c r="CL119" i="81" s="1"/>
  <c r="AE97" i="64"/>
  <c r="AD106" i="81"/>
  <c r="CC97" i="64"/>
  <c r="CB106" i="81"/>
  <c r="U88" i="64"/>
  <c r="T101" i="81"/>
  <c r="T116" i="81" s="1"/>
  <c r="K88" i="64"/>
  <c r="J101" i="81"/>
  <c r="J116" i="81" s="1"/>
  <c r="AY97" i="64"/>
  <c r="AX106" i="81"/>
  <c r="K97" i="64"/>
  <c r="J106" i="81"/>
  <c r="AE95" i="64"/>
  <c r="AD104" i="81"/>
  <c r="AD119" i="81" s="1"/>
  <c r="K95" i="64"/>
  <c r="J104" i="81"/>
  <c r="J119" i="81" s="1"/>
  <c r="CM97" i="64"/>
  <c r="CL106" i="81"/>
  <c r="AO97" i="64"/>
  <c r="AN106" i="81"/>
  <c r="AO95" i="64"/>
  <c r="AN104" i="81"/>
  <c r="AN119" i="81" s="1"/>
  <c r="U95" i="64"/>
  <c r="T104" i="81"/>
  <c r="T119" i="81" s="1"/>
  <c r="U97" i="64"/>
  <c r="T106" i="81"/>
  <c r="AY88" i="64"/>
  <c r="AX101" i="81"/>
  <c r="AX116" i="81" s="1"/>
  <c r="BI95" i="64"/>
  <c r="BH104" i="81"/>
  <c r="BH119" i="81" s="1"/>
  <c r="CC95" i="64"/>
  <c r="CB104" i="81"/>
  <c r="CB119" i="81" s="1"/>
  <c r="BS97" i="64"/>
  <c r="BR106" i="81"/>
  <c r="AY95" i="64"/>
  <c r="AX104" i="81"/>
  <c r="AX119" i="81" s="1"/>
  <c r="AE88" i="64"/>
  <c r="AD101" i="81"/>
  <c r="AD116" i="81" s="1"/>
  <c r="AO88" i="64"/>
  <c r="AN101" i="81"/>
  <c r="AN116" i="81" s="1"/>
  <c r="BS95" i="64"/>
  <c r="BR104" i="81"/>
  <c r="BR119" i="81" s="1"/>
  <c r="BI97" i="64"/>
  <c r="BH106" i="81"/>
  <c r="J32" i="16"/>
  <c r="AZ80" i="64"/>
  <c r="J19" i="16"/>
  <c r="K32" i="16"/>
  <c r="L32" i="16"/>
  <c r="K19" i="16"/>
  <c r="J6" i="54"/>
  <c r="K6" i="55"/>
  <c r="J6" i="55"/>
  <c r="L32" i="26"/>
  <c r="J32" i="26"/>
  <c r="L19" i="26"/>
  <c r="L19" i="55" s="1"/>
  <c r="M19" i="26"/>
  <c r="M19" i="55" s="1"/>
  <c r="N19" i="26"/>
  <c r="N19" i="55" s="1"/>
  <c r="N32" i="26"/>
  <c r="J19" i="26"/>
  <c r="K32" i="26"/>
  <c r="M32" i="26"/>
  <c r="K19" i="26"/>
  <c r="N19" i="25"/>
  <c r="N32" i="25"/>
  <c r="M19" i="25"/>
  <c r="J19" i="25"/>
  <c r="L32" i="25"/>
  <c r="L19" i="25"/>
  <c r="K32" i="25"/>
  <c r="M32" i="25"/>
  <c r="K19" i="25"/>
  <c r="J32" i="25"/>
  <c r="H32" i="26"/>
  <c r="F32" i="26"/>
  <c r="G32" i="26"/>
  <c r="I32" i="26"/>
  <c r="F32" i="25"/>
  <c r="G32" i="25"/>
  <c r="I32" i="25"/>
  <c r="H32" i="25"/>
  <c r="C6" i="28"/>
  <c r="D6" i="28" s="1"/>
  <c r="L181" i="35"/>
  <c r="N181" i="35"/>
  <c r="M178" i="35"/>
  <c r="M181" i="35"/>
  <c r="F181" i="35"/>
  <c r="C6" i="22"/>
  <c r="C6" i="25" s="1"/>
  <c r="D181" i="35"/>
  <c r="J181" i="35"/>
  <c r="J178" i="35"/>
  <c r="G178" i="35"/>
  <c r="F178" i="35"/>
  <c r="H178" i="35"/>
  <c r="H181" i="35"/>
  <c r="K181" i="35"/>
  <c r="E181" i="35"/>
  <c r="G181" i="35"/>
  <c r="D178" i="35"/>
  <c r="L178" i="35"/>
  <c r="E178" i="35"/>
  <c r="K178" i="35"/>
  <c r="I42" i="35"/>
  <c r="I181" i="35" s="1"/>
  <c r="I37" i="35"/>
  <c r="I178" i="35" s="1"/>
  <c r="X27" i="89" l="1"/>
  <c r="W26" i="90"/>
  <c r="W27" i="90" s="1"/>
  <c r="V26" i="89"/>
  <c r="V27" i="89" s="1"/>
  <c r="Y27" i="90"/>
  <c r="U27" i="90"/>
  <c r="V27" i="90"/>
  <c r="T26" i="89"/>
  <c r="T27" i="89" s="1"/>
  <c r="S27" i="89"/>
  <c r="AA27" i="89"/>
  <c r="Z27" i="89"/>
  <c r="U26" i="89"/>
  <c r="U27" i="89" s="1"/>
  <c r="Y27" i="89"/>
  <c r="W27" i="89"/>
  <c r="X26" i="90"/>
  <c r="X27" i="90" s="1"/>
  <c r="S27" i="90"/>
  <c r="AA27" i="90"/>
  <c r="Z27" i="90"/>
  <c r="T27" i="90"/>
  <c r="L31" i="90"/>
  <c r="K31" i="89"/>
  <c r="K31" i="90"/>
  <c r="M31" i="89"/>
  <c r="N31" i="89"/>
  <c r="L31" i="89"/>
  <c r="O31" i="89"/>
  <c r="O31" i="90"/>
  <c r="P31" i="90"/>
  <c r="J31" i="90"/>
  <c r="M31" i="90"/>
  <c r="F5" i="64"/>
  <c r="H32" i="64"/>
  <c r="AQ80" i="87"/>
  <c r="AR80" i="87" s="1"/>
  <c r="AS80" i="87" s="1"/>
  <c r="AT80" i="87" s="1"/>
  <c r="AU80" i="87" s="1"/>
  <c r="AV80" i="87" s="1"/>
  <c r="AW80" i="87" s="1"/>
  <c r="AX80" i="87" s="1"/>
  <c r="AY80" i="87" s="1"/>
  <c r="BA80" i="64"/>
  <c r="BB80" i="64" s="1"/>
  <c r="BC80" i="64" s="1"/>
  <c r="BD80" i="64" s="1"/>
  <c r="BE80" i="64" s="1"/>
  <c r="BF80" i="64" s="1"/>
  <c r="BG80" i="64" s="1"/>
  <c r="BH80" i="64" s="1"/>
  <c r="BI80" i="64" s="1"/>
  <c r="AE101" i="81"/>
  <c r="AE116" i="81" s="1"/>
  <c r="BI104" i="81"/>
  <c r="BI119" i="81" s="1"/>
  <c r="AO104" i="81"/>
  <c r="AO119" i="81" s="1"/>
  <c r="AE104" i="81"/>
  <c r="AE119" i="81" s="1"/>
  <c r="U101" i="81"/>
  <c r="U116" i="81" s="1"/>
  <c r="BI106" i="81"/>
  <c r="AY104" i="81"/>
  <c r="AY119" i="81" s="1"/>
  <c r="AY101" i="81"/>
  <c r="AO106" i="81"/>
  <c r="K106" i="81"/>
  <c r="CC106" i="81"/>
  <c r="BS104" i="81"/>
  <c r="BS119" i="81" s="1"/>
  <c r="BS106" i="81"/>
  <c r="U106" i="81"/>
  <c r="CM106" i="81"/>
  <c r="AY106" i="81"/>
  <c r="AE106" i="81"/>
  <c r="AO101" i="81"/>
  <c r="CC104" i="81"/>
  <c r="CC119" i="81" s="1"/>
  <c r="U104" i="81"/>
  <c r="U119" i="81" s="1"/>
  <c r="K104" i="81"/>
  <c r="K119" i="81" s="1"/>
  <c r="K101" i="81"/>
  <c r="K116" i="81" s="1"/>
  <c r="CM104" i="81"/>
  <c r="CM119" i="81" s="1"/>
  <c r="J19" i="55"/>
  <c r="K19" i="55"/>
  <c r="AO116" i="81" l="1"/>
  <c r="B12" i="82" s="1"/>
  <c r="AY116" i="81"/>
  <c r="C12" i="82" s="1"/>
  <c r="AQ80" i="64"/>
  <c r="AR80" i="64" s="1"/>
  <c r="AS80" i="64" s="1"/>
  <c r="AT80" i="64" s="1"/>
  <c r="AU80" i="64" s="1"/>
  <c r="AV80" i="64" s="1"/>
  <c r="AW80" i="64" s="1"/>
  <c r="AX80" i="64" s="1"/>
  <c r="AY80" i="64" s="1"/>
  <c r="K74" i="27"/>
  <c r="CN109" i="87" s="1"/>
  <c r="C15" i="14"/>
  <c r="C17" i="25"/>
  <c r="C18" i="25"/>
  <c r="D12" i="82" l="1"/>
  <c r="CN109" i="64"/>
  <c r="D74" i="27"/>
  <c r="V109" i="87" s="1"/>
  <c r="G74" i="27"/>
  <c r="AZ109" i="87" s="1"/>
  <c r="F74" i="27"/>
  <c r="AP109" i="87" s="1"/>
  <c r="I74" i="27"/>
  <c r="BT109" i="87" s="1"/>
  <c r="E74" i="27"/>
  <c r="AF109" i="87" s="1"/>
  <c r="F15" i="26"/>
  <c r="H15" i="26"/>
  <c r="E15" i="26"/>
  <c r="F16" i="26"/>
  <c r="G17" i="26"/>
  <c r="G15" i="26"/>
  <c r="H16" i="26"/>
  <c r="I17" i="26"/>
  <c r="I15" i="26"/>
  <c r="E16" i="26"/>
  <c r="G4" i="55"/>
  <c r="C16" i="14"/>
  <c r="F2" i="55"/>
  <c r="H2" i="55"/>
  <c r="D15" i="16"/>
  <c r="D2" i="55"/>
  <c r="C15" i="16"/>
  <c r="C15" i="55" s="1"/>
  <c r="E2" i="55"/>
  <c r="E49" i="15"/>
  <c r="F49" i="15" s="1"/>
  <c r="G49" i="15" s="1"/>
  <c r="H49" i="15" s="1"/>
  <c r="I49" i="15" s="1"/>
  <c r="J49" i="15" s="1"/>
  <c r="K49" i="15" s="1"/>
  <c r="L49" i="15" s="1"/>
  <c r="M49" i="15" s="1"/>
  <c r="N49" i="15" s="1"/>
  <c r="O49" i="15" s="1"/>
  <c r="P49" i="15" s="1"/>
  <c r="Q49" i="15" s="1"/>
  <c r="R49" i="15" s="1"/>
  <c r="S49" i="15" s="1"/>
  <c r="T49" i="15" s="1"/>
  <c r="E48" i="15"/>
  <c r="F48" i="15" s="1"/>
  <c r="G48" i="15" s="1"/>
  <c r="H48" i="15" s="1"/>
  <c r="I48" i="15" s="1"/>
  <c r="J48" i="15" s="1"/>
  <c r="K48" i="15" s="1"/>
  <c r="L48" i="15" s="1"/>
  <c r="M48" i="15" s="1"/>
  <c r="N48" i="15" s="1"/>
  <c r="O48" i="15" s="1"/>
  <c r="P48" i="15" s="1"/>
  <c r="Q48" i="15" s="1"/>
  <c r="R48" i="15" s="1"/>
  <c r="S48" i="15" s="1"/>
  <c r="T48" i="15" s="1"/>
  <c r="F3" i="55"/>
  <c r="G2" i="55"/>
  <c r="H3" i="55"/>
  <c r="I4" i="55"/>
  <c r="I2" i="55"/>
  <c r="G18" i="25"/>
  <c r="I17" i="25"/>
  <c r="C15" i="25"/>
  <c r="F18" i="25"/>
  <c r="F17" i="25"/>
  <c r="F15" i="25"/>
  <c r="H18" i="25"/>
  <c r="H17" i="25"/>
  <c r="E15" i="25"/>
  <c r="E17" i="25"/>
  <c r="E18" i="25"/>
  <c r="G17" i="25"/>
  <c r="I18" i="25"/>
  <c r="D17" i="25"/>
  <c r="D18" i="25"/>
  <c r="C18" i="14"/>
  <c r="M5" i="21"/>
  <c r="N5" i="21"/>
  <c r="J5" i="21"/>
  <c r="K5" i="21"/>
  <c r="L5" i="21"/>
  <c r="C5" i="1"/>
  <c r="M5" i="1"/>
  <c r="I5" i="1"/>
  <c r="E5" i="1"/>
  <c r="J5" i="1"/>
  <c r="F5" i="1"/>
  <c r="K5" i="1"/>
  <c r="G5" i="1"/>
  <c r="C7" i="7"/>
  <c r="C18" i="1" s="1"/>
  <c r="C6" i="7"/>
  <c r="N7" i="7"/>
  <c r="N18" i="1" s="1"/>
  <c r="N6" i="7"/>
  <c r="K38" i="27" s="1"/>
  <c r="CN86" i="87" s="1"/>
  <c r="CN85" i="87" s="1"/>
  <c r="J7" i="7"/>
  <c r="J18" i="1" s="1"/>
  <c r="J6" i="7"/>
  <c r="G38" i="27" s="1"/>
  <c r="AZ86" i="87" s="1"/>
  <c r="F7" i="7"/>
  <c r="F18" i="1" s="1"/>
  <c r="F6" i="7"/>
  <c r="C38" i="27" s="1"/>
  <c r="L86" i="87" s="1"/>
  <c r="D7" i="7"/>
  <c r="D18" i="1" s="1"/>
  <c r="D6" i="7"/>
  <c r="K7" i="7"/>
  <c r="K18" i="1" s="1"/>
  <c r="K6" i="7"/>
  <c r="H38" i="27" s="1"/>
  <c r="BJ86" i="87" s="1"/>
  <c r="G7" i="7"/>
  <c r="G18" i="1" s="1"/>
  <c r="G6" i="7"/>
  <c r="D38" i="27" s="1"/>
  <c r="V86" i="87" s="1"/>
  <c r="L7" i="7"/>
  <c r="L18" i="1" s="1"/>
  <c r="L6" i="7"/>
  <c r="I38" i="27" s="1"/>
  <c r="BT86" i="87" s="1"/>
  <c r="H7" i="7"/>
  <c r="H18" i="1" s="1"/>
  <c r="H6" i="7"/>
  <c r="E38" i="27" s="1"/>
  <c r="AF86" i="87" s="1"/>
  <c r="M7" i="7"/>
  <c r="M18" i="1" s="1"/>
  <c r="M6" i="7"/>
  <c r="J38" i="27" s="1"/>
  <c r="CD86" i="87" s="1"/>
  <c r="I7" i="7"/>
  <c r="I18" i="1" s="1"/>
  <c r="I6" i="7"/>
  <c r="F38" i="27" s="1"/>
  <c r="AP86" i="87" s="1"/>
  <c r="E7" i="7"/>
  <c r="E18" i="1" s="1"/>
  <c r="E6" i="7"/>
  <c r="B38" i="27" s="1"/>
  <c r="B86" i="87" s="1"/>
  <c r="E15" i="14"/>
  <c r="C17" i="14"/>
  <c r="F16" i="14"/>
  <c r="G15" i="14"/>
  <c r="H16" i="14"/>
  <c r="I15" i="14"/>
  <c r="D16" i="14"/>
  <c r="E16" i="14"/>
  <c r="D17" i="14"/>
  <c r="D18" i="14"/>
  <c r="E18" i="14"/>
  <c r="F18" i="14"/>
  <c r="G17" i="14"/>
  <c r="H18" i="14"/>
  <c r="I17" i="14"/>
  <c r="F17" i="14"/>
  <c r="F15" i="14"/>
  <c r="G18" i="14"/>
  <c r="G16" i="14"/>
  <c r="H17" i="14"/>
  <c r="H15" i="14"/>
  <c r="I18" i="14"/>
  <c r="I16" i="14"/>
  <c r="D15" i="14"/>
  <c r="E17" i="14"/>
  <c r="C3" i="54"/>
  <c r="D3" i="54"/>
  <c r="D4" i="54"/>
  <c r="AG109" i="87" l="1"/>
  <c r="AH109" i="87" s="1"/>
  <c r="AI109" i="87" s="1"/>
  <c r="AJ109" i="87" s="1"/>
  <c r="AK109" i="87" s="1"/>
  <c r="AL109" i="87" s="1"/>
  <c r="AM109" i="87" s="1"/>
  <c r="AN109" i="87" s="1"/>
  <c r="AO109" i="87" s="1"/>
  <c r="AF85" i="87"/>
  <c r="AG86" i="87"/>
  <c r="C86" i="87"/>
  <c r="B85" i="87"/>
  <c r="BU86" i="87"/>
  <c r="BT85" i="87"/>
  <c r="M86" i="87"/>
  <c r="L85" i="87"/>
  <c r="AQ109" i="87"/>
  <c r="AR109" i="87" s="1"/>
  <c r="AS109" i="87" s="1"/>
  <c r="AT109" i="87" s="1"/>
  <c r="AU109" i="87" s="1"/>
  <c r="AV109" i="87" s="1"/>
  <c r="AW109" i="87" s="1"/>
  <c r="AX109" i="87" s="1"/>
  <c r="AY109" i="87" s="1"/>
  <c r="AQ86" i="87"/>
  <c r="AP85" i="87"/>
  <c r="AZ85" i="87"/>
  <c r="BA86" i="87"/>
  <c r="V85" i="87"/>
  <c r="W86" i="87"/>
  <c r="W109" i="87"/>
  <c r="X109" i="87" s="1"/>
  <c r="Y109" i="87" s="1"/>
  <c r="Z109" i="87" s="1"/>
  <c r="AA109" i="87" s="1"/>
  <c r="AB109" i="87" s="1"/>
  <c r="AC109" i="87" s="1"/>
  <c r="AD109" i="87" s="1"/>
  <c r="AE109" i="87" s="1"/>
  <c r="CE86" i="87"/>
  <c r="CD85" i="87"/>
  <c r="BJ85" i="87"/>
  <c r="BK86" i="87"/>
  <c r="N26" i="20"/>
  <c r="J26" i="20"/>
  <c r="L26" i="20"/>
  <c r="K26" i="20"/>
  <c r="M26" i="20"/>
  <c r="BT86" i="64"/>
  <c r="BT109" i="64"/>
  <c r="AZ109" i="64"/>
  <c r="CD86" i="64"/>
  <c r="BJ86" i="64"/>
  <c r="CN86" i="64"/>
  <c r="AZ86" i="64"/>
  <c r="AF86" i="64"/>
  <c r="AF79" i="75"/>
  <c r="AF109" i="64"/>
  <c r="AF98" i="75"/>
  <c r="V86" i="64"/>
  <c r="V79" i="75"/>
  <c r="AP86" i="64"/>
  <c r="AP79" i="75"/>
  <c r="B86" i="64"/>
  <c r="B79" i="75"/>
  <c r="L86" i="64"/>
  <c r="L79" i="75"/>
  <c r="AP109" i="64"/>
  <c r="AP98" i="75"/>
  <c r="V109" i="64"/>
  <c r="V98" i="75"/>
  <c r="C74" i="27"/>
  <c r="L109" i="87" s="1"/>
  <c r="H74" i="27"/>
  <c r="BJ109" i="87" s="1"/>
  <c r="BK109" i="87" s="1"/>
  <c r="BL109" i="87" s="1"/>
  <c r="BM109" i="87" s="1"/>
  <c r="BN109" i="87" s="1"/>
  <c r="BO109" i="87" s="1"/>
  <c r="BP109" i="87" s="1"/>
  <c r="BQ109" i="87" s="1"/>
  <c r="BR109" i="87" s="1"/>
  <c r="BS109" i="87" s="1"/>
  <c r="J74" i="27"/>
  <c r="CD109" i="87" s="1"/>
  <c r="CE109" i="87" s="1"/>
  <c r="CF109" i="87" s="1"/>
  <c r="CG109" i="87" s="1"/>
  <c r="CH109" i="87" s="1"/>
  <c r="CI109" i="87" s="1"/>
  <c r="CJ109" i="87" s="1"/>
  <c r="CK109" i="87" s="1"/>
  <c r="CL109" i="87" s="1"/>
  <c r="CM109" i="87" s="1"/>
  <c r="B74" i="27"/>
  <c r="B109" i="87" s="1"/>
  <c r="H15" i="55"/>
  <c r="I24" i="26"/>
  <c r="G24" i="26"/>
  <c r="E24" i="26"/>
  <c r="I16" i="26"/>
  <c r="H18" i="26"/>
  <c r="E17" i="26"/>
  <c r="H24" i="26"/>
  <c r="F17" i="26"/>
  <c r="G16" i="26"/>
  <c r="F18" i="26"/>
  <c r="I18" i="26"/>
  <c r="G18" i="26"/>
  <c r="E18" i="26"/>
  <c r="H17" i="26"/>
  <c r="F24" i="26"/>
  <c r="F15" i="55"/>
  <c r="I17" i="55"/>
  <c r="D15" i="55"/>
  <c r="I15" i="55"/>
  <c r="G15" i="55"/>
  <c r="I5" i="55"/>
  <c r="E3" i="55"/>
  <c r="E51" i="15"/>
  <c r="F51" i="15" s="1"/>
  <c r="G51" i="15" s="1"/>
  <c r="H51" i="15" s="1"/>
  <c r="I51" i="15" s="1"/>
  <c r="J51" i="15" s="1"/>
  <c r="K51" i="15" s="1"/>
  <c r="L51" i="15" s="1"/>
  <c r="M51" i="15" s="1"/>
  <c r="N51" i="15" s="1"/>
  <c r="O51" i="15" s="1"/>
  <c r="P51" i="15" s="1"/>
  <c r="Q51" i="15" s="1"/>
  <c r="R51" i="15" s="1"/>
  <c r="S51" i="15" s="1"/>
  <c r="T51" i="15" s="1"/>
  <c r="E50" i="15"/>
  <c r="F50" i="15" s="1"/>
  <c r="G50" i="15" s="1"/>
  <c r="H50" i="15" s="1"/>
  <c r="I50" i="15" s="1"/>
  <c r="J50" i="15" s="1"/>
  <c r="K50" i="15" s="1"/>
  <c r="L50" i="15" s="1"/>
  <c r="M50" i="15" s="1"/>
  <c r="N50" i="15" s="1"/>
  <c r="O50" i="15" s="1"/>
  <c r="P50" i="15" s="1"/>
  <c r="Q50" i="15" s="1"/>
  <c r="R50" i="15" s="1"/>
  <c r="S50" i="15" s="1"/>
  <c r="T50" i="15" s="1"/>
  <c r="H24" i="16"/>
  <c r="H11" i="55"/>
  <c r="F16" i="55"/>
  <c r="C17" i="16"/>
  <c r="C17" i="55" s="1"/>
  <c r="C4" i="55"/>
  <c r="I24" i="16"/>
  <c r="I11" i="55"/>
  <c r="H4" i="55"/>
  <c r="D24" i="16"/>
  <c r="D11" i="55"/>
  <c r="D16" i="16"/>
  <c r="D16" i="55" s="1"/>
  <c r="D3" i="55"/>
  <c r="H5" i="55"/>
  <c r="E4" i="55"/>
  <c r="E52" i="15"/>
  <c r="F52" i="15" s="1"/>
  <c r="G52" i="15" s="1"/>
  <c r="H52" i="15" s="1"/>
  <c r="I52" i="15" s="1"/>
  <c r="J52" i="15" s="1"/>
  <c r="K52" i="15" s="1"/>
  <c r="L52" i="15" s="1"/>
  <c r="M52" i="15" s="1"/>
  <c r="N52" i="15" s="1"/>
  <c r="O52" i="15" s="1"/>
  <c r="P52" i="15" s="1"/>
  <c r="Q52" i="15" s="1"/>
  <c r="R52" i="15" s="1"/>
  <c r="S52" i="15" s="1"/>
  <c r="T52" i="15" s="1"/>
  <c r="E53" i="15"/>
  <c r="F53" i="15" s="1"/>
  <c r="G53" i="15" s="1"/>
  <c r="H53" i="15" s="1"/>
  <c r="I53" i="15" s="1"/>
  <c r="J53" i="15" s="1"/>
  <c r="K53" i="15" s="1"/>
  <c r="L53" i="15" s="1"/>
  <c r="M53" i="15" s="1"/>
  <c r="N53" i="15" s="1"/>
  <c r="O53" i="15" s="1"/>
  <c r="P53" i="15" s="1"/>
  <c r="Q53" i="15" s="1"/>
  <c r="R53" i="15" s="1"/>
  <c r="S53" i="15" s="1"/>
  <c r="T53" i="15" s="1"/>
  <c r="F4" i="55"/>
  <c r="H16" i="55"/>
  <c r="G17" i="55"/>
  <c r="E5" i="55"/>
  <c r="E55" i="15"/>
  <c r="F55" i="15" s="1"/>
  <c r="G55" i="15" s="1"/>
  <c r="H55" i="15" s="1"/>
  <c r="I55" i="15" s="1"/>
  <c r="J55" i="15" s="1"/>
  <c r="K55" i="15" s="1"/>
  <c r="L55" i="15" s="1"/>
  <c r="M55" i="15" s="1"/>
  <c r="N55" i="15" s="1"/>
  <c r="O55" i="15" s="1"/>
  <c r="P55" i="15" s="1"/>
  <c r="Q55" i="15" s="1"/>
  <c r="R55" i="15" s="1"/>
  <c r="S55" i="15" s="1"/>
  <c r="T55" i="15" s="1"/>
  <c r="E54" i="15"/>
  <c r="F54" i="15" s="1"/>
  <c r="G54" i="15" s="1"/>
  <c r="H54" i="15" s="1"/>
  <c r="I54" i="15" s="1"/>
  <c r="J54" i="15" s="1"/>
  <c r="K54" i="15" s="1"/>
  <c r="L54" i="15" s="1"/>
  <c r="M54" i="15" s="1"/>
  <c r="N54" i="15" s="1"/>
  <c r="O54" i="15" s="1"/>
  <c r="P54" i="15" s="1"/>
  <c r="Q54" i="15" s="1"/>
  <c r="R54" i="15" s="1"/>
  <c r="S54" i="15" s="1"/>
  <c r="T54" i="15" s="1"/>
  <c r="C18" i="16"/>
  <c r="C18" i="55" s="1"/>
  <c r="C5" i="55"/>
  <c r="G3" i="55"/>
  <c r="D18" i="16"/>
  <c r="D5" i="55"/>
  <c r="C16" i="16"/>
  <c r="C16" i="55" s="1"/>
  <c r="C3" i="55"/>
  <c r="F24" i="16"/>
  <c r="F11" i="55"/>
  <c r="E79" i="15"/>
  <c r="F79" i="15" s="1"/>
  <c r="G79" i="15" s="1"/>
  <c r="H79" i="15" s="1"/>
  <c r="I79" i="15" s="1"/>
  <c r="J79" i="15" s="1"/>
  <c r="K79" i="15" s="1"/>
  <c r="L79" i="15" s="1"/>
  <c r="M79" i="15" s="1"/>
  <c r="N79" i="15" s="1"/>
  <c r="O79" i="15" s="1"/>
  <c r="P79" i="15" s="1"/>
  <c r="Q79" i="15" s="1"/>
  <c r="R79" i="15" s="1"/>
  <c r="S79" i="15" s="1"/>
  <c r="T79" i="15" s="1"/>
  <c r="E15" i="55"/>
  <c r="E80" i="15"/>
  <c r="F80" i="15" s="1"/>
  <c r="G80" i="15" s="1"/>
  <c r="H80" i="15" s="1"/>
  <c r="I80" i="15" s="1"/>
  <c r="J80" i="15" s="1"/>
  <c r="K80" i="15" s="1"/>
  <c r="L80" i="15" s="1"/>
  <c r="M80" i="15" s="1"/>
  <c r="N80" i="15" s="1"/>
  <c r="O80" i="15" s="1"/>
  <c r="P80" i="15" s="1"/>
  <c r="Q80" i="15" s="1"/>
  <c r="R80" i="15" s="1"/>
  <c r="S80" i="15" s="1"/>
  <c r="T80" i="15" s="1"/>
  <c r="G24" i="16"/>
  <c r="G11" i="55"/>
  <c r="F5" i="55"/>
  <c r="E24" i="16"/>
  <c r="E61" i="15"/>
  <c r="F61" i="15" s="1"/>
  <c r="G61" i="15" s="1"/>
  <c r="H61" i="15" s="1"/>
  <c r="I61" i="15" s="1"/>
  <c r="J61" i="15" s="1"/>
  <c r="K61" i="15" s="1"/>
  <c r="L61" i="15" s="1"/>
  <c r="M61" i="15" s="1"/>
  <c r="N61" i="15" s="1"/>
  <c r="O61" i="15" s="1"/>
  <c r="P61" i="15" s="1"/>
  <c r="Q61" i="15" s="1"/>
  <c r="R61" i="15" s="1"/>
  <c r="S61" i="15" s="1"/>
  <c r="T61" i="15" s="1"/>
  <c r="E60" i="15"/>
  <c r="F60" i="15" s="1"/>
  <c r="G60" i="15" s="1"/>
  <c r="H60" i="15" s="1"/>
  <c r="I60" i="15" s="1"/>
  <c r="J60" i="15" s="1"/>
  <c r="K60" i="15" s="1"/>
  <c r="L60" i="15" s="1"/>
  <c r="M60" i="15" s="1"/>
  <c r="N60" i="15" s="1"/>
  <c r="O60" i="15" s="1"/>
  <c r="P60" i="15" s="1"/>
  <c r="Q60" i="15" s="1"/>
  <c r="R60" i="15" s="1"/>
  <c r="S60" i="15" s="1"/>
  <c r="T60" i="15" s="1"/>
  <c r="E11" i="55"/>
  <c r="C24" i="16"/>
  <c r="C24" i="55" s="1"/>
  <c r="C11" i="55"/>
  <c r="I3" i="55"/>
  <c r="G5" i="55"/>
  <c r="D17" i="16"/>
  <c r="D4" i="55"/>
  <c r="H16" i="25"/>
  <c r="H12" i="54" s="1"/>
  <c r="E16" i="25"/>
  <c r="H15" i="25"/>
  <c r="H11" i="54" s="1"/>
  <c r="C16" i="25"/>
  <c r="C12" i="54" s="1"/>
  <c r="G15" i="25"/>
  <c r="G11" i="54" s="1"/>
  <c r="F16" i="25"/>
  <c r="F12" i="54" s="1"/>
  <c r="D16" i="25"/>
  <c r="D12" i="54" s="1"/>
  <c r="I15" i="25"/>
  <c r="I11" i="54" s="1"/>
  <c r="D15" i="25"/>
  <c r="D11" i="54" s="1"/>
  <c r="I16" i="25"/>
  <c r="I12" i="54" s="1"/>
  <c r="G16" i="25"/>
  <c r="G12" i="54" s="1"/>
  <c r="I6" i="14"/>
  <c r="D6" i="14"/>
  <c r="D6" i="54" s="1"/>
  <c r="H6" i="14"/>
  <c r="G6" i="14"/>
  <c r="E6" i="14"/>
  <c r="F6" i="14"/>
  <c r="C6" i="14"/>
  <c r="K7" i="21"/>
  <c r="F86" i="35"/>
  <c r="F87" i="35" s="1"/>
  <c r="H5" i="21"/>
  <c r="M86" i="35"/>
  <c r="M87" i="35" s="1"/>
  <c r="C5" i="21"/>
  <c r="G5" i="21"/>
  <c r="F5" i="21"/>
  <c r="D11" i="21"/>
  <c r="D12" i="21" s="1"/>
  <c r="D86" i="35"/>
  <c r="D87" i="35" s="1"/>
  <c r="I5" i="21"/>
  <c r="M7" i="21"/>
  <c r="J7" i="21"/>
  <c r="E11" i="21"/>
  <c r="E86" i="35"/>
  <c r="E87" i="35" s="1"/>
  <c r="C11" i="21"/>
  <c r="C12" i="21" s="1"/>
  <c r="H11" i="21"/>
  <c r="H86" i="35"/>
  <c r="H87" i="35" s="1"/>
  <c r="D5" i="21"/>
  <c r="G11" i="21"/>
  <c r="G86" i="35"/>
  <c r="G87" i="35" s="1"/>
  <c r="J11" i="21"/>
  <c r="L7" i="21"/>
  <c r="F11" i="21"/>
  <c r="M11" i="21"/>
  <c r="N7" i="21"/>
  <c r="I11" i="21"/>
  <c r="I86" i="35"/>
  <c r="I87" i="35" s="1"/>
  <c r="L11" i="21"/>
  <c r="L86" i="35"/>
  <c r="L87" i="35" s="1"/>
  <c r="K11" i="21"/>
  <c r="K86" i="35"/>
  <c r="K87" i="35" s="1"/>
  <c r="E5" i="21"/>
  <c r="J86" i="35"/>
  <c r="J87" i="35" s="1"/>
  <c r="N11" i="21"/>
  <c r="N86" i="35"/>
  <c r="N87" i="35" s="1"/>
  <c r="F11" i="1"/>
  <c r="C50" i="27" s="1"/>
  <c r="L96" i="87" s="1"/>
  <c r="L13" i="35"/>
  <c r="L14" i="35" s="1"/>
  <c r="J11" i="1"/>
  <c r="G50" i="27" s="1"/>
  <c r="AZ96" i="87" s="1"/>
  <c r="J13" i="35"/>
  <c r="J14" i="35" s="1"/>
  <c r="I11" i="1"/>
  <c r="F50" i="27" s="1"/>
  <c r="AP96" i="87" s="1"/>
  <c r="I13" i="35"/>
  <c r="I14" i="35" s="1"/>
  <c r="G7" i="1"/>
  <c r="M7" i="1"/>
  <c r="K11" i="1"/>
  <c r="H50" i="27" s="1"/>
  <c r="BJ96" i="87" s="1"/>
  <c r="G11" i="1"/>
  <c r="D50" i="27" s="1"/>
  <c r="V96" i="87" s="1"/>
  <c r="G13" i="35"/>
  <c r="G14" i="35" s="1"/>
  <c r="N5" i="1"/>
  <c r="N7" i="1" s="1"/>
  <c r="I7" i="1"/>
  <c r="N13" i="35"/>
  <c r="N14" i="35" s="1"/>
  <c r="M11" i="1"/>
  <c r="J50" i="27" s="1"/>
  <c r="CD96" i="87" s="1"/>
  <c r="M13" i="35"/>
  <c r="M14" i="35" s="1"/>
  <c r="H11" i="1"/>
  <c r="E50" i="27" s="1"/>
  <c r="AF96" i="87" s="1"/>
  <c r="C7" i="1"/>
  <c r="C19" i="1" s="1"/>
  <c r="K7" i="1"/>
  <c r="K13" i="35"/>
  <c r="K14" i="35" s="1"/>
  <c r="H5" i="1"/>
  <c r="H7" i="1" s="1"/>
  <c r="N11" i="1"/>
  <c r="K50" i="27" s="1"/>
  <c r="CN96" i="87" s="1"/>
  <c r="L11" i="1"/>
  <c r="I50" i="27" s="1"/>
  <c r="BT96" i="87" s="1"/>
  <c r="C11" i="1"/>
  <c r="J7" i="1"/>
  <c r="E7" i="1"/>
  <c r="H13" i="35"/>
  <c r="H14" i="35" s="1"/>
  <c r="D5" i="1"/>
  <c r="F7" i="1"/>
  <c r="D11" i="1"/>
  <c r="D13" i="35"/>
  <c r="D14" i="35" s="1"/>
  <c r="F13" i="35"/>
  <c r="F14" i="35" s="1"/>
  <c r="E11" i="1"/>
  <c r="B50" i="27" s="1"/>
  <c r="B96" i="87" s="1"/>
  <c r="E13" i="35"/>
  <c r="E14" i="35" s="1"/>
  <c r="L5" i="1"/>
  <c r="E7" i="20"/>
  <c r="E18" i="21" s="1"/>
  <c r="E6" i="20"/>
  <c r="B8" i="27" s="1"/>
  <c r="B127" i="87" s="1"/>
  <c r="I7" i="20"/>
  <c r="I18" i="21" s="1"/>
  <c r="I6" i="20"/>
  <c r="F8" i="27" s="1"/>
  <c r="AP127" i="87" s="1"/>
  <c r="M7" i="20"/>
  <c r="M18" i="21" s="1"/>
  <c r="M6" i="20"/>
  <c r="J8" i="27" s="1"/>
  <c r="CD127" i="87" s="1"/>
  <c r="H7" i="20"/>
  <c r="H18" i="21" s="1"/>
  <c r="H6" i="20"/>
  <c r="E8" i="27" s="1"/>
  <c r="AF127" i="87" s="1"/>
  <c r="L7" i="20"/>
  <c r="L18" i="21" s="1"/>
  <c r="L6" i="20"/>
  <c r="I8" i="27" s="1"/>
  <c r="BT127" i="87" s="1"/>
  <c r="C7" i="20"/>
  <c r="C18" i="21" s="1"/>
  <c r="C6" i="20"/>
  <c r="G7" i="20"/>
  <c r="G18" i="21" s="1"/>
  <c r="G6" i="20"/>
  <c r="D8" i="27" s="1"/>
  <c r="V127" i="87" s="1"/>
  <c r="K7" i="20"/>
  <c r="K18" i="21" s="1"/>
  <c r="K6" i="20"/>
  <c r="H8" i="27" s="1"/>
  <c r="BJ127" i="87" s="1"/>
  <c r="D7" i="20"/>
  <c r="D18" i="21" s="1"/>
  <c r="D6" i="20"/>
  <c r="F7" i="20"/>
  <c r="F18" i="21" s="1"/>
  <c r="F6" i="20"/>
  <c r="C8" i="27" s="1"/>
  <c r="L127" i="87" s="1"/>
  <c r="J7" i="20"/>
  <c r="J18" i="21" s="1"/>
  <c r="J6" i="20"/>
  <c r="G8" i="27" s="1"/>
  <c r="AZ127" i="87" s="1"/>
  <c r="N7" i="20"/>
  <c r="N18" i="21" s="1"/>
  <c r="N6" i="20"/>
  <c r="K8" i="27" s="1"/>
  <c r="CN127" i="87" s="1"/>
  <c r="CN126" i="87" s="1"/>
  <c r="CN108" i="87" s="1"/>
  <c r="D13" i="54"/>
  <c r="I13" i="54"/>
  <c r="I4" i="54"/>
  <c r="H14" i="54"/>
  <c r="H5" i="54"/>
  <c r="G13" i="54"/>
  <c r="G4" i="54"/>
  <c r="F14" i="54"/>
  <c r="F5" i="54"/>
  <c r="E5" i="54"/>
  <c r="E41" i="15"/>
  <c r="F41" i="15" s="1"/>
  <c r="G41" i="15" s="1"/>
  <c r="H41" i="15" s="1"/>
  <c r="I41" i="15" s="1"/>
  <c r="J41" i="15" s="1"/>
  <c r="K41" i="15" s="1"/>
  <c r="L41" i="15" s="1"/>
  <c r="M41" i="15" s="1"/>
  <c r="N41" i="15" s="1"/>
  <c r="O41" i="15" s="1"/>
  <c r="P41" i="15" s="1"/>
  <c r="Q41" i="15" s="1"/>
  <c r="R41" i="15" s="1"/>
  <c r="S41" i="15" s="1"/>
  <c r="T41" i="15" s="1"/>
  <c r="E42" i="15"/>
  <c r="F42" i="15" s="1"/>
  <c r="G42" i="15" s="1"/>
  <c r="H42" i="15" s="1"/>
  <c r="I42" i="15" s="1"/>
  <c r="J42" i="15" s="1"/>
  <c r="K42" i="15" s="1"/>
  <c r="L42" i="15" s="1"/>
  <c r="M42" i="15" s="1"/>
  <c r="N42" i="15" s="1"/>
  <c r="O42" i="15" s="1"/>
  <c r="P42" i="15" s="1"/>
  <c r="Q42" i="15" s="1"/>
  <c r="R42" i="15" s="1"/>
  <c r="S42" i="15" s="1"/>
  <c r="T42" i="15" s="1"/>
  <c r="E35" i="15"/>
  <c r="F35" i="15" s="1"/>
  <c r="G35" i="15" s="1"/>
  <c r="H35" i="15" s="1"/>
  <c r="I35" i="15" s="1"/>
  <c r="J35" i="15" s="1"/>
  <c r="K35" i="15" s="1"/>
  <c r="L35" i="15" s="1"/>
  <c r="M35" i="15" s="1"/>
  <c r="N35" i="15" s="1"/>
  <c r="O35" i="15" s="1"/>
  <c r="P35" i="15" s="1"/>
  <c r="Q35" i="15" s="1"/>
  <c r="R35" i="15" s="1"/>
  <c r="S35" i="15" s="1"/>
  <c r="T35" i="15" s="1"/>
  <c r="E36" i="15"/>
  <c r="F36" i="15" s="1"/>
  <c r="G36" i="15" s="1"/>
  <c r="H36" i="15" s="1"/>
  <c r="I36" i="15" s="1"/>
  <c r="J36" i="15" s="1"/>
  <c r="K36" i="15" s="1"/>
  <c r="L36" i="15" s="1"/>
  <c r="M36" i="15" s="1"/>
  <c r="N36" i="15" s="1"/>
  <c r="O36" i="15" s="1"/>
  <c r="P36" i="15" s="1"/>
  <c r="Q36" i="15" s="1"/>
  <c r="R36" i="15" s="1"/>
  <c r="S36" i="15" s="1"/>
  <c r="T36" i="15" s="1"/>
  <c r="E2" i="54"/>
  <c r="C14" i="54"/>
  <c r="C5" i="54"/>
  <c r="I14" i="54"/>
  <c r="I5" i="54"/>
  <c r="G3" i="54"/>
  <c r="F11" i="54"/>
  <c r="F2" i="54"/>
  <c r="H2" i="54"/>
  <c r="D14" i="54"/>
  <c r="D5" i="54"/>
  <c r="E37" i="15"/>
  <c r="F37" i="15" s="1"/>
  <c r="G37" i="15" s="1"/>
  <c r="H37" i="15" s="1"/>
  <c r="I37" i="15" s="1"/>
  <c r="J37" i="15" s="1"/>
  <c r="K37" i="15" s="1"/>
  <c r="L37" i="15" s="1"/>
  <c r="M37" i="15" s="1"/>
  <c r="N37" i="15" s="1"/>
  <c r="O37" i="15" s="1"/>
  <c r="P37" i="15" s="1"/>
  <c r="Q37" i="15" s="1"/>
  <c r="R37" i="15" s="1"/>
  <c r="S37" i="15" s="1"/>
  <c r="T37" i="15" s="1"/>
  <c r="E38" i="15"/>
  <c r="F38" i="15" s="1"/>
  <c r="G38" i="15" s="1"/>
  <c r="H38" i="15" s="1"/>
  <c r="I38" i="15" s="1"/>
  <c r="J38" i="15" s="1"/>
  <c r="K38" i="15" s="1"/>
  <c r="L38" i="15" s="1"/>
  <c r="M38" i="15" s="1"/>
  <c r="N38" i="15" s="1"/>
  <c r="O38" i="15" s="1"/>
  <c r="P38" i="15" s="1"/>
  <c r="Q38" i="15" s="1"/>
  <c r="R38" i="15" s="1"/>
  <c r="S38" i="15" s="1"/>
  <c r="T38" i="15" s="1"/>
  <c r="E3" i="54"/>
  <c r="I2" i="54"/>
  <c r="H3" i="54"/>
  <c r="G2" i="54"/>
  <c r="F3" i="54"/>
  <c r="C13" i="54"/>
  <c r="C4" i="54"/>
  <c r="E4" i="54"/>
  <c r="E39" i="15"/>
  <c r="F39" i="15" s="1"/>
  <c r="G39" i="15" s="1"/>
  <c r="H39" i="15" s="1"/>
  <c r="I39" i="15" s="1"/>
  <c r="J39" i="15" s="1"/>
  <c r="K39" i="15" s="1"/>
  <c r="L39" i="15" s="1"/>
  <c r="M39" i="15" s="1"/>
  <c r="N39" i="15" s="1"/>
  <c r="O39" i="15" s="1"/>
  <c r="P39" i="15" s="1"/>
  <c r="Q39" i="15" s="1"/>
  <c r="R39" i="15" s="1"/>
  <c r="S39" i="15" s="1"/>
  <c r="T39" i="15" s="1"/>
  <c r="E40" i="15"/>
  <c r="F40" i="15" s="1"/>
  <c r="G40" i="15" s="1"/>
  <c r="H40" i="15" s="1"/>
  <c r="I40" i="15" s="1"/>
  <c r="J40" i="15" s="1"/>
  <c r="K40" i="15" s="1"/>
  <c r="L40" i="15" s="1"/>
  <c r="M40" i="15" s="1"/>
  <c r="N40" i="15" s="1"/>
  <c r="O40" i="15" s="1"/>
  <c r="P40" i="15" s="1"/>
  <c r="Q40" i="15" s="1"/>
  <c r="R40" i="15" s="1"/>
  <c r="S40" i="15" s="1"/>
  <c r="T40" i="15" s="1"/>
  <c r="D2" i="54"/>
  <c r="C11" i="54"/>
  <c r="C2" i="54"/>
  <c r="I3" i="54"/>
  <c r="H13" i="54"/>
  <c r="H4" i="54"/>
  <c r="G14" i="54"/>
  <c r="G5" i="54"/>
  <c r="F13" i="54"/>
  <c r="F4" i="54"/>
  <c r="C96" i="87" l="1"/>
  <c r="D96" i="87" s="1"/>
  <c r="E96" i="87" s="1"/>
  <c r="F96" i="87" s="1"/>
  <c r="G96" i="87" s="1"/>
  <c r="H96" i="87" s="1"/>
  <c r="I96" i="87" s="1"/>
  <c r="J96" i="87" s="1"/>
  <c r="K96" i="87" s="1"/>
  <c r="BU96" i="87"/>
  <c r="BV96" i="87" s="1"/>
  <c r="BW96" i="87" s="1"/>
  <c r="BX96" i="87" s="1"/>
  <c r="BY96" i="87" s="1"/>
  <c r="BZ96" i="87" s="1"/>
  <c r="CA96" i="87" s="1"/>
  <c r="CB96" i="87" s="1"/>
  <c r="CC96" i="87" s="1"/>
  <c r="BA96" i="87"/>
  <c r="BB96" i="87" s="1"/>
  <c r="BC96" i="87" s="1"/>
  <c r="BD96" i="87" s="1"/>
  <c r="BE96" i="87" s="1"/>
  <c r="BF96" i="87" s="1"/>
  <c r="BG96" i="87" s="1"/>
  <c r="BH96" i="87" s="1"/>
  <c r="BI96" i="87" s="1"/>
  <c r="W96" i="87"/>
  <c r="X96" i="87" s="1"/>
  <c r="Y96" i="87" s="1"/>
  <c r="Z96" i="87" s="1"/>
  <c r="AA96" i="87" s="1"/>
  <c r="AB96" i="87" s="1"/>
  <c r="AC96" i="87" s="1"/>
  <c r="AD96" i="87" s="1"/>
  <c r="AE96" i="87" s="1"/>
  <c r="BK96" i="87"/>
  <c r="BL96" i="87" s="1"/>
  <c r="BM96" i="87" s="1"/>
  <c r="BN96" i="87" s="1"/>
  <c r="BO96" i="87" s="1"/>
  <c r="BP96" i="87" s="1"/>
  <c r="BQ96" i="87" s="1"/>
  <c r="BR96" i="87" s="1"/>
  <c r="BS96" i="87" s="1"/>
  <c r="AG96" i="87"/>
  <c r="AH96" i="87" s="1"/>
  <c r="AI96" i="87" s="1"/>
  <c r="AJ96" i="87" s="1"/>
  <c r="AK96" i="87" s="1"/>
  <c r="AL96" i="87" s="1"/>
  <c r="AM96" i="87" s="1"/>
  <c r="AN96" i="87" s="1"/>
  <c r="AO96" i="87" s="1"/>
  <c r="CE96" i="87"/>
  <c r="CF96" i="87" s="1"/>
  <c r="CG96" i="87" s="1"/>
  <c r="CH96" i="87" s="1"/>
  <c r="CI96" i="87" s="1"/>
  <c r="CJ96" i="87" s="1"/>
  <c r="CK96" i="87" s="1"/>
  <c r="CL96" i="87" s="1"/>
  <c r="CM96" i="87" s="1"/>
  <c r="BA109" i="87"/>
  <c r="X86" i="87"/>
  <c r="W85" i="87"/>
  <c r="BL86" i="87"/>
  <c r="BK85" i="87"/>
  <c r="BU109" i="87"/>
  <c r="BV109" i="87" s="1"/>
  <c r="BW109" i="87" s="1"/>
  <c r="BX109" i="87" s="1"/>
  <c r="BY109" i="87" s="1"/>
  <c r="BZ109" i="87" s="1"/>
  <c r="CA109" i="87" s="1"/>
  <c r="CB109" i="87" s="1"/>
  <c r="CC109" i="87" s="1"/>
  <c r="D86" i="87"/>
  <c r="C85" i="87"/>
  <c r="BJ126" i="87"/>
  <c r="BJ108" i="87" s="1"/>
  <c r="BK127" i="87"/>
  <c r="BB86" i="87"/>
  <c r="BA85" i="87"/>
  <c r="M109" i="87"/>
  <c r="N109" i="87" s="1"/>
  <c r="O109" i="87" s="1"/>
  <c r="P109" i="87" s="1"/>
  <c r="Q109" i="87" s="1"/>
  <c r="R109" i="87" s="1"/>
  <c r="S109" i="87" s="1"/>
  <c r="T109" i="87" s="1"/>
  <c r="U109" i="87" s="1"/>
  <c r="CE85" i="87"/>
  <c r="CF86" i="87"/>
  <c r="M85" i="87"/>
  <c r="N86" i="87"/>
  <c r="L126" i="87"/>
  <c r="L108" i="87" s="1"/>
  <c r="M127" i="87"/>
  <c r="AQ127" i="87"/>
  <c r="AP126" i="87"/>
  <c r="AP108" i="87" s="1"/>
  <c r="AQ85" i="87"/>
  <c r="AR86" i="87"/>
  <c r="BA127" i="87"/>
  <c r="AZ126" i="87"/>
  <c r="AZ108" i="87" s="1"/>
  <c r="W127" i="87"/>
  <c r="V126" i="87"/>
  <c r="V108" i="87" s="1"/>
  <c r="CD126" i="87"/>
  <c r="CD108" i="87" s="1"/>
  <c r="CE127" i="87"/>
  <c r="BV86" i="87"/>
  <c r="BU85" i="87"/>
  <c r="AH86" i="87"/>
  <c r="AG85" i="87"/>
  <c r="AG127" i="87"/>
  <c r="AF126" i="87"/>
  <c r="AF108" i="87" s="1"/>
  <c r="M96" i="87"/>
  <c r="N96" i="87" s="1"/>
  <c r="O96" i="87" s="1"/>
  <c r="P96" i="87" s="1"/>
  <c r="Q96" i="87" s="1"/>
  <c r="R96" i="87" s="1"/>
  <c r="S96" i="87" s="1"/>
  <c r="T96" i="87" s="1"/>
  <c r="U96" i="87" s="1"/>
  <c r="BT126" i="87"/>
  <c r="BT108" i="87" s="1"/>
  <c r="BU127" i="87"/>
  <c r="C127" i="87"/>
  <c r="B126" i="87"/>
  <c r="B108" i="87" s="1"/>
  <c r="AQ96" i="87"/>
  <c r="AR96" i="87" s="1"/>
  <c r="AS96" i="87" s="1"/>
  <c r="AT96" i="87" s="1"/>
  <c r="AU96" i="87" s="1"/>
  <c r="AV96" i="87" s="1"/>
  <c r="AW96" i="87" s="1"/>
  <c r="AX96" i="87" s="1"/>
  <c r="AY96" i="87" s="1"/>
  <c r="C109" i="87"/>
  <c r="D109" i="87" s="1"/>
  <c r="E109" i="87" s="1"/>
  <c r="F109" i="87" s="1"/>
  <c r="G109" i="87" s="1"/>
  <c r="H109" i="87" s="1"/>
  <c r="I109" i="87" s="1"/>
  <c r="J109" i="87" s="1"/>
  <c r="K109" i="87" s="1"/>
  <c r="F26" i="20"/>
  <c r="C26" i="20"/>
  <c r="E26" i="20"/>
  <c r="G7" i="21"/>
  <c r="D17" i="27" s="1"/>
  <c r="G26" i="20"/>
  <c r="H7" i="21"/>
  <c r="E17" i="27" s="1"/>
  <c r="H26" i="20"/>
  <c r="D7" i="21"/>
  <c r="D8" i="21" s="1"/>
  <c r="D26" i="20"/>
  <c r="I7" i="21"/>
  <c r="I8" i="21" s="1"/>
  <c r="I26" i="20"/>
  <c r="BT85" i="64"/>
  <c r="AZ99" i="81"/>
  <c r="CN85" i="64"/>
  <c r="BJ85" i="64"/>
  <c r="CD99" i="81"/>
  <c r="AQ109" i="64"/>
  <c r="AR109" i="64" s="1"/>
  <c r="AS109" i="64" s="1"/>
  <c r="AT109" i="64" s="1"/>
  <c r="AU109" i="64" s="1"/>
  <c r="AV109" i="64" s="1"/>
  <c r="AW109" i="64" s="1"/>
  <c r="AX109" i="64" s="1"/>
  <c r="AY109" i="64" s="1"/>
  <c r="CN99" i="81"/>
  <c r="BJ99" i="81"/>
  <c r="AQ86" i="64"/>
  <c r="CD85" i="64"/>
  <c r="CE86" i="64"/>
  <c r="AZ85" i="64"/>
  <c r="BA86" i="64"/>
  <c r="CD109" i="64"/>
  <c r="CE109" i="64" s="1"/>
  <c r="CF109" i="64" s="1"/>
  <c r="CG109" i="64" s="1"/>
  <c r="CH109" i="64" s="1"/>
  <c r="CI109" i="64" s="1"/>
  <c r="CJ109" i="64" s="1"/>
  <c r="CK109" i="64" s="1"/>
  <c r="CL109" i="64" s="1"/>
  <c r="CM109" i="64" s="1"/>
  <c r="AF106" i="75"/>
  <c r="AZ96" i="64"/>
  <c r="V106" i="75"/>
  <c r="B85" i="75"/>
  <c r="BJ96" i="64"/>
  <c r="BJ109" i="64"/>
  <c r="BK109" i="64" s="1"/>
  <c r="BL109" i="64" s="1"/>
  <c r="BM109" i="64" s="1"/>
  <c r="BN109" i="64" s="1"/>
  <c r="BO109" i="64" s="1"/>
  <c r="BP109" i="64" s="1"/>
  <c r="BQ109" i="64" s="1"/>
  <c r="BR109" i="64" s="1"/>
  <c r="BS109" i="64" s="1"/>
  <c r="L106" i="75"/>
  <c r="AP106" i="75"/>
  <c r="BT96" i="64"/>
  <c r="CD96" i="64"/>
  <c r="BU86" i="64"/>
  <c r="BT99" i="81"/>
  <c r="CN96" i="64"/>
  <c r="BK86" i="64"/>
  <c r="B99" i="81"/>
  <c r="AP99" i="81"/>
  <c r="AF85" i="64"/>
  <c r="AF99" i="81"/>
  <c r="V85" i="64"/>
  <c r="V99" i="81"/>
  <c r="L85" i="64"/>
  <c r="L99" i="81"/>
  <c r="B85" i="64"/>
  <c r="AG86" i="64"/>
  <c r="W109" i="64"/>
  <c r="X109" i="64" s="1"/>
  <c r="Y109" i="64" s="1"/>
  <c r="Z109" i="64" s="1"/>
  <c r="AA109" i="64" s="1"/>
  <c r="AB109" i="64" s="1"/>
  <c r="AC109" i="64" s="1"/>
  <c r="AD109" i="64" s="1"/>
  <c r="AE109" i="64" s="1"/>
  <c r="AP85" i="64"/>
  <c r="AG109" i="64"/>
  <c r="AH109" i="64" s="1"/>
  <c r="AI109" i="64" s="1"/>
  <c r="AJ109" i="64" s="1"/>
  <c r="AK109" i="64" s="1"/>
  <c r="AL109" i="64" s="1"/>
  <c r="AM109" i="64" s="1"/>
  <c r="AN109" i="64" s="1"/>
  <c r="AO109" i="64" s="1"/>
  <c r="AF96" i="64"/>
  <c r="AF85" i="75"/>
  <c r="L109" i="64"/>
  <c r="L98" i="75"/>
  <c r="V96" i="64"/>
  <c r="V85" i="75"/>
  <c r="L96" i="64"/>
  <c r="L85" i="75"/>
  <c r="C86" i="64"/>
  <c r="W86" i="64"/>
  <c r="B127" i="64"/>
  <c r="B106" i="75"/>
  <c r="AP96" i="64"/>
  <c r="AP85" i="75"/>
  <c r="B109" i="64"/>
  <c r="B98" i="75"/>
  <c r="M86" i="64"/>
  <c r="L127" i="64"/>
  <c r="AP127" i="64"/>
  <c r="AP126" i="64" s="1"/>
  <c r="CD127" i="64"/>
  <c r="CD126" i="64" s="1"/>
  <c r="BT127" i="64"/>
  <c r="BT126" i="64" s="1"/>
  <c r="AZ127" i="64"/>
  <c r="AZ126" i="64" s="1"/>
  <c r="V127" i="64"/>
  <c r="V126" i="64" s="1"/>
  <c r="CN127" i="64"/>
  <c r="CN126" i="64" s="1"/>
  <c r="AF127" i="64"/>
  <c r="AF126" i="64" s="1"/>
  <c r="BJ127" i="64"/>
  <c r="BJ126" i="64" s="1"/>
  <c r="B96" i="64"/>
  <c r="N19" i="1"/>
  <c r="N7" i="16" s="1"/>
  <c r="CN81" i="87" s="1"/>
  <c r="K19" i="1"/>
  <c r="K7" i="16" s="1"/>
  <c r="BJ81" i="87" s="1"/>
  <c r="E19" i="1"/>
  <c r="E7" i="16" s="1"/>
  <c r="B81" i="87" s="1"/>
  <c r="M19" i="1"/>
  <c r="M7" i="16" s="1"/>
  <c r="CD81" i="87" s="1"/>
  <c r="F19" i="1"/>
  <c r="F7" i="16" s="1"/>
  <c r="L81" i="87" s="1"/>
  <c r="H19" i="1"/>
  <c r="H7" i="16" s="1"/>
  <c r="AF81" i="87" s="1"/>
  <c r="I19" i="1"/>
  <c r="I7" i="16" s="1"/>
  <c r="AP81" i="87" s="1"/>
  <c r="J19" i="1"/>
  <c r="J7" i="16" s="1"/>
  <c r="AZ81" i="87" s="1"/>
  <c r="G19" i="1"/>
  <c r="G7" i="16" s="1"/>
  <c r="V81" i="87" s="1"/>
  <c r="J19" i="21"/>
  <c r="J7" i="26" s="1"/>
  <c r="N19" i="21"/>
  <c r="N7" i="26" s="1"/>
  <c r="K19" i="21"/>
  <c r="K7" i="26" s="1"/>
  <c r="L19" i="21"/>
  <c r="L7" i="26" s="1"/>
  <c r="M19" i="21"/>
  <c r="M7" i="26" s="1"/>
  <c r="D47" i="27"/>
  <c r="V94" i="87" s="1"/>
  <c r="B47" i="27"/>
  <c r="B94" i="87" s="1"/>
  <c r="G47" i="27"/>
  <c r="AZ94" i="87" s="1"/>
  <c r="J47" i="27"/>
  <c r="CD94" i="87" s="1"/>
  <c r="K17" i="27"/>
  <c r="H17" i="27"/>
  <c r="G17" i="27"/>
  <c r="N19" i="14"/>
  <c r="N15" i="54" s="1"/>
  <c r="N32" i="14"/>
  <c r="M19" i="14"/>
  <c r="M15" i="54" s="1"/>
  <c r="L19" i="14"/>
  <c r="L15" i="54" s="1"/>
  <c r="M32" i="14"/>
  <c r="K32" i="14"/>
  <c r="K19" i="14"/>
  <c r="K15" i="54" s="1"/>
  <c r="J19" i="14"/>
  <c r="J15" i="54" s="1"/>
  <c r="L32" i="14"/>
  <c r="J32" i="14"/>
  <c r="G94" i="35"/>
  <c r="J94" i="35"/>
  <c r="L94" i="35"/>
  <c r="H94" i="35"/>
  <c r="M94" i="35"/>
  <c r="N94" i="35"/>
  <c r="O94" i="35"/>
  <c r="K94" i="35"/>
  <c r="I94" i="35"/>
  <c r="R94" i="35"/>
  <c r="S94" i="35"/>
  <c r="P94" i="35"/>
  <c r="T94" i="35"/>
  <c r="Q94" i="35"/>
  <c r="F94" i="35"/>
  <c r="F21" i="35"/>
  <c r="K21" i="35"/>
  <c r="M21" i="35"/>
  <c r="J21" i="35"/>
  <c r="H21" i="35"/>
  <c r="G21" i="35"/>
  <c r="R21" i="35"/>
  <c r="S21" i="35"/>
  <c r="P21" i="35"/>
  <c r="T21" i="35"/>
  <c r="Q21" i="35"/>
  <c r="N21" i="35"/>
  <c r="O21" i="35"/>
  <c r="I21" i="35"/>
  <c r="L21" i="35"/>
  <c r="F32" i="14"/>
  <c r="H32" i="14"/>
  <c r="I32" i="14"/>
  <c r="G32" i="14"/>
  <c r="E19" i="14"/>
  <c r="E75" i="15" s="1"/>
  <c r="F75" i="15" s="1"/>
  <c r="G75" i="15" s="1"/>
  <c r="H75" i="15" s="1"/>
  <c r="I75" i="15" s="1"/>
  <c r="J75" i="15" s="1"/>
  <c r="K75" i="15" s="1"/>
  <c r="L75" i="15" s="1"/>
  <c r="M75" i="15" s="1"/>
  <c r="N75" i="15" s="1"/>
  <c r="O75" i="15" s="1"/>
  <c r="P75" i="15" s="1"/>
  <c r="Q75" i="15" s="1"/>
  <c r="R75" i="15" s="1"/>
  <c r="S75" i="15" s="1"/>
  <c r="T75" i="15" s="1"/>
  <c r="F7" i="21"/>
  <c r="E7" i="21"/>
  <c r="F8" i="1"/>
  <c r="C47" i="27"/>
  <c r="L94" i="87" s="1"/>
  <c r="N8" i="1"/>
  <c r="K47" i="27"/>
  <c r="CN94" i="87" s="1"/>
  <c r="N12" i="21"/>
  <c r="K20" i="27"/>
  <c r="K12" i="21"/>
  <c r="H20" i="27"/>
  <c r="I12" i="21"/>
  <c r="F20" i="27"/>
  <c r="M12" i="21"/>
  <c r="J20" i="27"/>
  <c r="H12" i="21"/>
  <c r="E20" i="27"/>
  <c r="H8" i="1"/>
  <c r="E47" i="27"/>
  <c r="AF94" i="87" s="1"/>
  <c r="G12" i="21"/>
  <c r="D20" i="27"/>
  <c r="M8" i="21"/>
  <c r="J17" i="27"/>
  <c r="L12" i="21"/>
  <c r="I20" i="27"/>
  <c r="J12" i="21"/>
  <c r="G20" i="27"/>
  <c r="K8" i="1"/>
  <c r="H47" i="27"/>
  <c r="BJ94" i="87" s="1"/>
  <c r="I8" i="1"/>
  <c r="F47" i="27"/>
  <c r="AP94" i="87" s="1"/>
  <c r="F12" i="21"/>
  <c r="C20" i="27"/>
  <c r="L8" i="21"/>
  <c r="I17" i="27"/>
  <c r="E12" i="21"/>
  <c r="B20" i="27"/>
  <c r="I68" i="27"/>
  <c r="J68" i="27"/>
  <c r="K68" i="27"/>
  <c r="F68" i="27"/>
  <c r="E68" i="27"/>
  <c r="I18" i="55"/>
  <c r="D18" i="55"/>
  <c r="D17" i="55"/>
  <c r="I24" i="55"/>
  <c r="H24" i="55"/>
  <c r="I16" i="55"/>
  <c r="G24" i="55"/>
  <c r="F17" i="55"/>
  <c r="H18" i="55"/>
  <c r="G18" i="55"/>
  <c r="D24" i="55"/>
  <c r="F6" i="55"/>
  <c r="G6" i="55"/>
  <c r="F18" i="55"/>
  <c r="E6" i="55"/>
  <c r="D6" i="55"/>
  <c r="F24" i="55"/>
  <c r="G16" i="55"/>
  <c r="H17" i="55"/>
  <c r="E91" i="15"/>
  <c r="F91" i="15" s="1"/>
  <c r="G91" i="15" s="1"/>
  <c r="H91" i="15" s="1"/>
  <c r="I91" i="15" s="1"/>
  <c r="J91" i="15" s="1"/>
  <c r="K91" i="15" s="1"/>
  <c r="L91" i="15" s="1"/>
  <c r="M91" i="15" s="1"/>
  <c r="N91" i="15" s="1"/>
  <c r="O91" i="15" s="1"/>
  <c r="P91" i="15" s="1"/>
  <c r="Q91" i="15" s="1"/>
  <c r="R91" i="15" s="1"/>
  <c r="S91" i="15" s="1"/>
  <c r="T91" i="15" s="1"/>
  <c r="E92" i="15"/>
  <c r="F92" i="15" s="1"/>
  <c r="G92" i="15" s="1"/>
  <c r="H92" i="15" s="1"/>
  <c r="I92" i="15" s="1"/>
  <c r="J92" i="15" s="1"/>
  <c r="K92" i="15" s="1"/>
  <c r="L92" i="15" s="1"/>
  <c r="M92" i="15" s="1"/>
  <c r="N92" i="15" s="1"/>
  <c r="O92" i="15" s="1"/>
  <c r="P92" i="15" s="1"/>
  <c r="Q92" i="15" s="1"/>
  <c r="R92" i="15" s="1"/>
  <c r="S92" i="15" s="1"/>
  <c r="T92" i="15" s="1"/>
  <c r="E24" i="55"/>
  <c r="E85" i="15"/>
  <c r="F85" i="15" s="1"/>
  <c r="G85" i="15" s="1"/>
  <c r="H85" i="15" s="1"/>
  <c r="I85" i="15" s="1"/>
  <c r="J85" i="15" s="1"/>
  <c r="K85" i="15" s="1"/>
  <c r="L85" i="15" s="1"/>
  <c r="M85" i="15" s="1"/>
  <c r="N85" i="15" s="1"/>
  <c r="O85" i="15" s="1"/>
  <c r="P85" i="15" s="1"/>
  <c r="Q85" i="15" s="1"/>
  <c r="R85" i="15" s="1"/>
  <c r="S85" i="15" s="1"/>
  <c r="T85" i="15" s="1"/>
  <c r="E86" i="15"/>
  <c r="F86" i="15" s="1"/>
  <c r="G86" i="15" s="1"/>
  <c r="H86" i="15" s="1"/>
  <c r="I86" i="15" s="1"/>
  <c r="J86" i="15" s="1"/>
  <c r="K86" i="15" s="1"/>
  <c r="L86" i="15" s="1"/>
  <c r="M86" i="15" s="1"/>
  <c r="N86" i="15" s="1"/>
  <c r="O86" i="15" s="1"/>
  <c r="P86" i="15" s="1"/>
  <c r="Q86" i="15" s="1"/>
  <c r="R86" i="15" s="1"/>
  <c r="S86" i="15" s="1"/>
  <c r="T86" i="15" s="1"/>
  <c r="E18" i="55"/>
  <c r="E17" i="55"/>
  <c r="E84" i="15"/>
  <c r="F84" i="15" s="1"/>
  <c r="G84" i="15" s="1"/>
  <c r="H84" i="15" s="1"/>
  <c r="I84" i="15" s="1"/>
  <c r="J84" i="15" s="1"/>
  <c r="K84" i="15" s="1"/>
  <c r="L84" i="15" s="1"/>
  <c r="M84" i="15" s="1"/>
  <c r="N84" i="15" s="1"/>
  <c r="O84" i="15" s="1"/>
  <c r="P84" i="15" s="1"/>
  <c r="Q84" i="15" s="1"/>
  <c r="R84" i="15" s="1"/>
  <c r="S84" i="15" s="1"/>
  <c r="T84" i="15" s="1"/>
  <c r="E83" i="15"/>
  <c r="F83" i="15" s="1"/>
  <c r="G83" i="15" s="1"/>
  <c r="H83" i="15" s="1"/>
  <c r="I83" i="15" s="1"/>
  <c r="J83" i="15" s="1"/>
  <c r="K83" i="15" s="1"/>
  <c r="L83" i="15" s="1"/>
  <c r="M83" i="15" s="1"/>
  <c r="N83" i="15" s="1"/>
  <c r="O83" i="15" s="1"/>
  <c r="P83" i="15" s="1"/>
  <c r="Q83" i="15" s="1"/>
  <c r="R83" i="15" s="1"/>
  <c r="S83" i="15" s="1"/>
  <c r="T83" i="15" s="1"/>
  <c r="E81" i="15"/>
  <c r="F81" i="15" s="1"/>
  <c r="G81" i="15" s="1"/>
  <c r="H81" i="15" s="1"/>
  <c r="I81" i="15" s="1"/>
  <c r="J81" i="15" s="1"/>
  <c r="K81" i="15" s="1"/>
  <c r="L81" i="15" s="1"/>
  <c r="M81" i="15" s="1"/>
  <c r="N81" i="15" s="1"/>
  <c r="O81" i="15" s="1"/>
  <c r="P81" i="15" s="1"/>
  <c r="Q81" i="15" s="1"/>
  <c r="R81" i="15" s="1"/>
  <c r="S81" i="15" s="1"/>
  <c r="T81" i="15" s="1"/>
  <c r="E16" i="55"/>
  <c r="E82" i="15"/>
  <c r="F82" i="15" s="1"/>
  <c r="G82" i="15" s="1"/>
  <c r="H82" i="15" s="1"/>
  <c r="I82" i="15" s="1"/>
  <c r="J82" i="15" s="1"/>
  <c r="K82" i="15" s="1"/>
  <c r="L82" i="15" s="1"/>
  <c r="M82" i="15" s="1"/>
  <c r="N82" i="15" s="1"/>
  <c r="O82" i="15" s="1"/>
  <c r="P82" i="15" s="1"/>
  <c r="Q82" i="15" s="1"/>
  <c r="R82" i="15" s="1"/>
  <c r="S82" i="15" s="1"/>
  <c r="T82" i="15" s="1"/>
  <c r="H6" i="54"/>
  <c r="H19" i="25"/>
  <c r="I6" i="54"/>
  <c r="H19" i="14"/>
  <c r="D19" i="14"/>
  <c r="C19" i="14"/>
  <c r="E44" i="15"/>
  <c r="F44" i="15" s="1"/>
  <c r="G44" i="15" s="1"/>
  <c r="H44" i="15" s="1"/>
  <c r="I44" i="15" s="1"/>
  <c r="J44" i="15" s="1"/>
  <c r="K44" i="15" s="1"/>
  <c r="L44" i="15" s="1"/>
  <c r="M44" i="15" s="1"/>
  <c r="N44" i="15" s="1"/>
  <c r="O44" i="15" s="1"/>
  <c r="P44" i="15" s="1"/>
  <c r="Q44" i="15" s="1"/>
  <c r="R44" i="15" s="1"/>
  <c r="S44" i="15" s="1"/>
  <c r="T44" i="15" s="1"/>
  <c r="I19" i="14"/>
  <c r="E6" i="54"/>
  <c r="E43" i="15"/>
  <c r="F43" i="15" s="1"/>
  <c r="G43" i="15" s="1"/>
  <c r="H43" i="15" s="1"/>
  <c r="I43" i="15" s="1"/>
  <c r="J43" i="15" s="1"/>
  <c r="K43" i="15" s="1"/>
  <c r="L43" i="15" s="1"/>
  <c r="M43" i="15" s="1"/>
  <c r="N43" i="15" s="1"/>
  <c r="O43" i="15" s="1"/>
  <c r="P43" i="15" s="1"/>
  <c r="Q43" i="15" s="1"/>
  <c r="R43" i="15" s="1"/>
  <c r="S43" i="15" s="1"/>
  <c r="T43" i="15" s="1"/>
  <c r="C6" i="55"/>
  <c r="E56" i="15"/>
  <c r="F56" i="15" s="1"/>
  <c r="G56" i="15" s="1"/>
  <c r="H56" i="15" s="1"/>
  <c r="I56" i="15" s="1"/>
  <c r="J56" i="15" s="1"/>
  <c r="K56" i="15" s="1"/>
  <c r="L56" i="15" s="1"/>
  <c r="M56" i="15" s="1"/>
  <c r="N56" i="15" s="1"/>
  <c r="O56" i="15" s="1"/>
  <c r="P56" i="15" s="1"/>
  <c r="Q56" i="15" s="1"/>
  <c r="R56" i="15" s="1"/>
  <c r="S56" i="15" s="1"/>
  <c r="T56" i="15" s="1"/>
  <c r="E57" i="15"/>
  <c r="F57" i="15" s="1"/>
  <c r="G57" i="15" s="1"/>
  <c r="H57" i="15" s="1"/>
  <c r="I57" i="15" s="1"/>
  <c r="J57" i="15" s="1"/>
  <c r="K57" i="15" s="1"/>
  <c r="L57" i="15" s="1"/>
  <c r="M57" i="15" s="1"/>
  <c r="N57" i="15" s="1"/>
  <c r="O57" i="15" s="1"/>
  <c r="P57" i="15" s="1"/>
  <c r="Q57" i="15" s="1"/>
  <c r="R57" i="15" s="1"/>
  <c r="S57" i="15" s="1"/>
  <c r="T57" i="15" s="1"/>
  <c r="J8" i="21"/>
  <c r="N8" i="21"/>
  <c r="K8" i="21"/>
  <c r="I88" i="35"/>
  <c r="I90" i="35"/>
  <c r="L88" i="35"/>
  <c r="H88" i="35"/>
  <c r="H90" i="35"/>
  <c r="C7" i="21"/>
  <c r="C19" i="21" s="1"/>
  <c r="N88" i="35"/>
  <c r="N90" i="35"/>
  <c r="J88" i="35"/>
  <c r="J90" i="35"/>
  <c r="L90" i="35"/>
  <c r="Q90" i="35"/>
  <c r="R90" i="35"/>
  <c r="O90" i="35"/>
  <c r="P90" i="35"/>
  <c r="E90" i="35"/>
  <c r="T90" i="35"/>
  <c r="E88" i="35"/>
  <c r="S90" i="35"/>
  <c r="M88" i="35"/>
  <c r="M90" i="35"/>
  <c r="F88" i="35"/>
  <c r="F90" i="35"/>
  <c r="K88" i="35"/>
  <c r="K90" i="35"/>
  <c r="G88" i="35"/>
  <c r="G90" i="35"/>
  <c r="D88" i="35"/>
  <c r="D90" i="35"/>
  <c r="E8" i="1"/>
  <c r="M8" i="1"/>
  <c r="J8" i="1"/>
  <c r="G8" i="1"/>
  <c r="R17" i="35"/>
  <c r="O17" i="35"/>
  <c r="T17" i="35"/>
  <c r="E15" i="35"/>
  <c r="Q17" i="35"/>
  <c r="P17" i="35"/>
  <c r="S17" i="35"/>
  <c r="E17" i="35"/>
  <c r="F17" i="35"/>
  <c r="F15" i="35"/>
  <c r="H15" i="35"/>
  <c r="H17" i="35"/>
  <c r="M15" i="35"/>
  <c r="M17" i="35"/>
  <c r="L17" i="35"/>
  <c r="L15" i="35"/>
  <c r="N15" i="35"/>
  <c r="N17" i="35"/>
  <c r="L7" i="1"/>
  <c r="L19" i="1" s="1"/>
  <c r="K15" i="35"/>
  <c r="K17" i="35"/>
  <c r="D17" i="35"/>
  <c r="D15" i="35"/>
  <c r="D7" i="1"/>
  <c r="D19" i="1" s="1"/>
  <c r="G17" i="35"/>
  <c r="G15" i="35"/>
  <c r="I15" i="35"/>
  <c r="I17" i="35"/>
  <c r="J17" i="35"/>
  <c r="J15" i="35"/>
  <c r="N98" i="35"/>
  <c r="F98" i="35"/>
  <c r="D98" i="35"/>
  <c r="G98" i="35"/>
  <c r="H98" i="35"/>
  <c r="M98" i="35"/>
  <c r="E98" i="35"/>
  <c r="J98" i="35"/>
  <c r="K98" i="35"/>
  <c r="L98" i="35"/>
  <c r="I98" i="35"/>
  <c r="N25" i="35"/>
  <c r="F25" i="35"/>
  <c r="K25" i="35"/>
  <c r="L25" i="35"/>
  <c r="M25" i="35"/>
  <c r="E25" i="35"/>
  <c r="J25" i="35"/>
  <c r="D25" i="35"/>
  <c r="G25" i="35"/>
  <c r="H25" i="35"/>
  <c r="I25" i="35"/>
  <c r="G19" i="14"/>
  <c r="F19" i="14"/>
  <c r="E71" i="15"/>
  <c r="F71" i="15" s="1"/>
  <c r="G71" i="15" s="1"/>
  <c r="H71" i="15" s="1"/>
  <c r="I71" i="15" s="1"/>
  <c r="J71" i="15" s="1"/>
  <c r="K71" i="15" s="1"/>
  <c r="L71" i="15" s="1"/>
  <c r="M71" i="15" s="1"/>
  <c r="N71" i="15" s="1"/>
  <c r="O71" i="15" s="1"/>
  <c r="P71" i="15" s="1"/>
  <c r="Q71" i="15" s="1"/>
  <c r="R71" i="15" s="1"/>
  <c r="S71" i="15" s="1"/>
  <c r="T71" i="15" s="1"/>
  <c r="E13" i="54"/>
  <c r="E70" i="15"/>
  <c r="F70" i="15" s="1"/>
  <c r="G70" i="15" s="1"/>
  <c r="H70" i="15" s="1"/>
  <c r="I70" i="15" s="1"/>
  <c r="J70" i="15" s="1"/>
  <c r="K70" i="15" s="1"/>
  <c r="L70" i="15" s="1"/>
  <c r="M70" i="15" s="1"/>
  <c r="N70" i="15" s="1"/>
  <c r="O70" i="15" s="1"/>
  <c r="P70" i="15" s="1"/>
  <c r="Q70" i="15" s="1"/>
  <c r="R70" i="15" s="1"/>
  <c r="S70" i="15" s="1"/>
  <c r="T70" i="15" s="1"/>
  <c r="E72" i="15"/>
  <c r="F72" i="15" s="1"/>
  <c r="G72" i="15" s="1"/>
  <c r="H72" i="15" s="1"/>
  <c r="I72" i="15" s="1"/>
  <c r="J72" i="15" s="1"/>
  <c r="K72" i="15" s="1"/>
  <c r="L72" i="15" s="1"/>
  <c r="M72" i="15" s="1"/>
  <c r="N72" i="15" s="1"/>
  <c r="O72" i="15" s="1"/>
  <c r="P72" i="15" s="1"/>
  <c r="Q72" i="15" s="1"/>
  <c r="R72" i="15" s="1"/>
  <c r="S72" i="15" s="1"/>
  <c r="T72" i="15" s="1"/>
  <c r="E73" i="15"/>
  <c r="F73" i="15" s="1"/>
  <c r="G73" i="15" s="1"/>
  <c r="H73" i="15" s="1"/>
  <c r="I73" i="15" s="1"/>
  <c r="J73" i="15" s="1"/>
  <c r="K73" i="15" s="1"/>
  <c r="L73" i="15" s="1"/>
  <c r="M73" i="15" s="1"/>
  <c r="N73" i="15" s="1"/>
  <c r="O73" i="15" s="1"/>
  <c r="P73" i="15" s="1"/>
  <c r="Q73" i="15" s="1"/>
  <c r="R73" i="15" s="1"/>
  <c r="S73" i="15" s="1"/>
  <c r="T73" i="15" s="1"/>
  <c r="E14" i="54"/>
  <c r="E68" i="15"/>
  <c r="F68" i="15" s="1"/>
  <c r="G68" i="15" s="1"/>
  <c r="H68" i="15" s="1"/>
  <c r="I68" i="15" s="1"/>
  <c r="J68" i="15" s="1"/>
  <c r="K68" i="15" s="1"/>
  <c r="L68" i="15" s="1"/>
  <c r="M68" i="15" s="1"/>
  <c r="N68" i="15" s="1"/>
  <c r="O68" i="15" s="1"/>
  <c r="P68" i="15" s="1"/>
  <c r="Q68" i="15" s="1"/>
  <c r="R68" i="15" s="1"/>
  <c r="S68" i="15" s="1"/>
  <c r="T68" i="15" s="1"/>
  <c r="E12" i="54"/>
  <c r="E69" i="15"/>
  <c r="F69" i="15" s="1"/>
  <c r="G69" i="15" s="1"/>
  <c r="H69" i="15" s="1"/>
  <c r="I69" i="15" s="1"/>
  <c r="J69" i="15" s="1"/>
  <c r="K69" i="15" s="1"/>
  <c r="L69" i="15" s="1"/>
  <c r="M69" i="15" s="1"/>
  <c r="N69" i="15" s="1"/>
  <c r="O69" i="15" s="1"/>
  <c r="P69" i="15" s="1"/>
  <c r="Q69" i="15" s="1"/>
  <c r="R69" i="15" s="1"/>
  <c r="S69" i="15" s="1"/>
  <c r="T69" i="15" s="1"/>
  <c r="E67" i="15"/>
  <c r="F67" i="15" s="1"/>
  <c r="G67" i="15" s="1"/>
  <c r="H67" i="15" s="1"/>
  <c r="I67" i="15" s="1"/>
  <c r="J67" i="15" s="1"/>
  <c r="K67" i="15" s="1"/>
  <c r="L67" i="15" s="1"/>
  <c r="M67" i="15" s="1"/>
  <c r="N67" i="15" s="1"/>
  <c r="O67" i="15" s="1"/>
  <c r="P67" i="15" s="1"/>
  <c r="Q67" i="15" s="1"/>
  <c r="R67" i="15" s="1"/>
  <c r="S67" i="15" s="1"/>
  <c r="T67" i="15" s="1"/>
  <c r="E66" i="15"/>
  <c r="F66" i="15" s="1"/>
  <c r="G66" i="15" s="1"/>
  <c r="H66" i="15" s="1"/>
  <c r="I66" i="15" s="1"/>
  <c r="J66" i="15" s="1"/>
  <c r="K66" i="15" s="1"/>
  <c r="L66" i="15" s="1"/>
  <c r="M66" i="15" s="1"/>
  <c r="N66" i="15" s="1"/>
  <c r="O66" i="15" s="1"/>
  <c r="P66" i="15" s="1"/>
  <c r="Q66" i="15" s="1"/>
  <c r="R66" i="15" s="1"/>
  <c r="S66" i="15" s="1"/>
  <c r="T66" i="15" s="1"/>
  <c r="E11" i="54"/>
  <c r="CN98" i="81" l="1"/>
  <c r="BB109" i="87"/>
  <c r="BC109" i="87" s="1"/>
  <c r="BD109" i="87" s="1"/>
  <c r="BE109" i="87" s="1"/>
  <c r="BF109" i="87" s="1"/>
  <c r="BG109" i="87" s="1"/>
  <c r="BH109" i="87" s="1"/>
  <c r="BI109" i="87" s="1"/>
  <c r="L126" i="64"/>
  <c r="L108" i="64" s="1"/>
  <c r="AG94" i="87"/>
  <c r="AH94" i="87" s="1"/>
  <c r="AI94" i="87" s="1"/>
  <c r="AJ94" i="87" s="1"/>
  <c r="AK94" i="87" s="1"/>
  <c r="AL94" i="87" s="1"/>
  <c r="AM94" i="87" s="1"/>
  <c r="AN94" i="87" s="1"/>
  <c r="AO94" i="87" s="1"/>
  <c r="W81" i="87"/>
  <c r="X81" i="87" s="1"/>
  <c r="Y81" i="87" s="1"/>
  <c r="Z81" i="87" s="1"/>
  <c r="AA81" i="87" s="1"/>
  <c r="AB81" i="87" s="1"/>
  <c r="AC81" i="87" s="1"/>
  <c r="AD81" i="87" s="1"/>
  <c r="AE81" i="87" s="1"/>
  <c r="BA94" i="87"/>
  <c r="BB94" i="87" s="1"/>
  <c r="BC94" i="87" s="1"/>
  <c r="BD94" i="87" s="1"/>
  <c r="BE94" i="87" s="1"/>
  <c r="BF94" i="87" s="1"/>
  <c r="BG94" i="87" s="1"/>
  <c r="BH94" i="87" s="1"/>
  <c r="BI94" i="87" s="1"/>
  <c r="M94" i="87"/>
  <c r="N94" i="87" s="1"/>
  <c r="O94" i="87" s="1"/>
  <c r="P94" i="87" s="1"/>
  <c r="Q94" i="87" s="1"/>
  <c r="R94" i="87" s="1"/>
  <c r="S94" i="87" s="1"/>
  <c r="T94" i="87" s="1"/>
  <c r="U94" i="87" s="1"/>
  <c r="CE94" i="87"/>
  <c r="CF94" i="87" s="1"/>
  <c r="CG94" i="87" s="1"/>
  <c r="CH94" i="87" s="1"/>
  <c r="CI94" i="87" s="1"/>
  <c r="CJ94" i="87" s="1"/>
  <c r="CK94" i="87" s="1"/>
  <c r="CL94" i="87" s="1"/>
  <c r="CM94" i="87" s="1"/>
  <c r="AP144" i="87"/>
  <c r="AP137" i="87"/>
  <c r="V143" i="87"/>
  <c r="V135" i="87"/>
  <c r="AR127" i="87"/>
  <c r="AQ126" i="87"/>
  <c r="AQ108" i="87" s="1"/>
  <c r="E86" i="87"/>
  <c r="D85" i="87"/>
  <c r="BJ144" i="87"/>
  <c r="BJ137" i="87"/>
  <c r="C94" i="87"/>
  <c r="D94" i="87" s="1"/>
  <c r="E94" i="87" s="1"/>
  <c r="F94" i="87" s="1"/>
  <c r="G94" i="87" s="1"/>
  <c r="H94" i="87" s="1"/>
  <c r="I94" i="87" s="1"/>
  <c r="J94" i="87" s="1"/>
  <c r="K94" i="87" s="1"/>
  <c r="BA81" i="87"/>
  <c r="BB81" i="87" s="1"/>
  <c r="BC81" i="87" s="1"/>
  <c r="BD81" i="87" s="1"/>
  <c r="BE81" i="87" s="1"/>
  <c r="BF81" i="87" s="1"/>
  <c r="BG81" i="87" s="1"/>
  <c r="BH81" i="87" s="1"/>
  <c r="BI81" i="87" s="1"/>
  <c r="AH127" i="87"/>
  <c r="AG126" i="87"/>
  <c r="AG108" i="87" s="1"/>
  <c r="X127" i="87"/>
  <c r="W126" i="87"/>
  <c r="W108" i="87" s="1"/>
  <c r="M126" i="87"/>
  <c r="M108" i="87" s="1"/>
  <c r="N127" i="87"/>
  <c r="L137" i="87"/>
  <c r="L144" i="87"/>
  <c r="BT144" i="87"/>
  <c r="BT137" i="87"/>
  <c r="W94" i="87"/>
  <c r="X94" i="87" s="1"/>
  <c r="Y94" i="87" s="1"/>
  <c r="Z94" i="87" s="1"/>
  <c r="AA94" i="87" s="1"/>
  <c r="AB94" i="87" s="1"/>
  <c r="AC94" i="87" s="1"/>
  <c r="AD94" i="87" s="1"/>
  <c r="AE94" i="87" s="1"/>
  <c r="AF144" i="87"/>
  <c r="AF137" i="87"/>
  <c r="CN144" i="87"/>
  <c r="CN137" i="87"/>
  <c r="AG81" i="87"/>
  <c r="AH81" i="87" s="1"/>
  <c r="AI81" i="87" s="1"/>
  <c r="AJ81" i="87" s="1"/>
  <c r="AK81" i="87" s="1"/>
  <c r="AL81" i="87" s="1"/>
  <c r="AM81" i="87" s="1"/>
  <c r="AN81" i="87" s="1"/>
  <c r="AO81" i="87" s="1"/>
  <c r="AI86" i="87"/>
  <c r="AH85" i="87"/>
  <c r="BB127" i="87"/>
  <c r="BA126" i="87"/>
  <c r="BA108" i="87" s="1"/>
  <c r="N85" i="87"/>
  <c r="O86" i="87"/>
  <c r="BM86" i="87"/>
  <c r="BL85" i="87"/>
  <c r="AQ94" i="87"/>
  <c r="AR94" i="87" s="1"/>
  <c r="AS94" i="87" s="1"/>
  <c r="AT94" i="87" s="1"/>
  <c r="AU94" i="87" s="1"/>
  <c r="AV94" i="87" s="1"/>
  <c r="AW94" i="87" s="1"/>
  <c r="AX94" i="87" s="1"/>
  <c r="AY94" i="87" s="1"/>
  <c r="CD143" i="87"/>
  <c r="CD135" i="87"/>
  <c r="AZ143" i="87"/>
  <c r="AZ135" i="87"/>
  <c r="M81" i="87"/>
  <c r="N81" i="87" s="1"/>
  <c r="O81" i="87" s="1"/>
  <c r="P81" i="87" s="1"/>
  <c r="Q81" i="87" s="1"/>
  <c r="R81" i="87" s="1"/>
  <c r="S81" i="87" s="1"/>
  <c r="T81" i="87" s="1"/>
  <c r="U81" i="87" s="1"/>
  <c r="C126" i="87"/>
  <c r="C108" i="87" s="1"/>
  <c r="D127" i="87"/>
  <c r="CD144" i="87"/>
  <c r="CD137" i="87"/>
  <c r="BJ135" i="87"/>
  <c r="BJ143" i="87"/>
  <c r="CE81" i="87"/>
  <c r="CF81" i="87" s="1"/>
  <c r="CG81" i="87" s="1"/>
  <c r="CH81" i="87" s="1"/>
  <c r="CI81" i="87" s="1"/>
  <c r="CJ81" i="87" s="1"/>
  <c r="CK81" i="87" s="1"/>
  <c r="CL81" i="87" s="1"/>
  <c r="CM81" i="87" s="1"/>
  <c r="BV127" i="87"/>
  <c r="BU126" i="87"/>
  <c r="BU108" i="87" s="1"/>
  <c r="BW86" i="87"/>
  <c r="BV85" i="87"/>
  <c r="AR85" i="87"/>
  <c r="AS86" i="87"/>
  <c r="CF85" i="87"/>
  <c r="CG86" i="87"/>
  <c r="BK126" i="87"/>
  <c r="BK108" i="87" s="1"/>
  <c r="BL127" i="87"/>
  <c r="BT143" i="87"/>
  <c r="BT135" i="87"/>
  <c r="AZ144" i="87"/>
  <c r="AZ137" i="87"/>
  <c r="B144" i="87"/>
  <c r="B137" i="87"/>
  <c r="V144" i="87"/>
  <c r="V137" i="87"/>
  <c r="CN143" i="87"/>
  <c r="CN135" i="87"/>
  <c r="C81" i="87"/>
  <c r="D81" i="87" s="1"/>
  <c r="E81" i="87" s="1"/>
  <c r="F81" i="87" s="1"/>
  <c r="G81" i="87" s="1"/>
  <c r="H81" i="87" s="1"/>
  <c r="I81" i="87" s="1"/>
  <c r="J81" i="87" s="1"/>
  <c r="K81" i="87" s="1"/>
  <c r="AF143" i="87"/>
  <c r="AF135" i="87"/>
  <c r="CE126" i="87"/>
  <c r="CE108" i="87" s="1"/>
  <c r="CF127" i="87"/>
  <c r="BB85" i="87"/>
  <c r="BC86" i="87"/>
  <c r="Y86" i="87"/>
  <c r="X85" i="87"/>
  <c r="H8" i="21"/>
  <c r="G19" i="21"/>
  <c r="G7" i="26" s="1"/>
  <c r="G8" i="21"/>
  <c r="D19" i="21"/>
  <c r="D20" i="21" s="1"/>
  <c r="H19" i="21"/>
  <c r="H7" i="26" s="1"/>
  <c r="I19" i="21"/>
  <c r="I7" i="26" s="1"/>
  <c r="F17" i="27"/>
  <c r="BJ98" i="81"/>
  <c r="F19" i="21"/>
  <c r="F7" i="26" s="1"/>
  <c r="BT98" i="81"/>
  <c r="M109" i="64"/>
  <c r="N109" i="64" s="1"/>
  <c r="O109" i="64" s="1"/>
  <c r="P109" i="64" s="1"/>
  <c r="Q109" i="64" s="1"/>
  <c r="R109" i="64" s="1"/>
  <c r="S109" i="64" s="1"/>
  <c r="T109" i="64" s="1"/>
  <c r="U109" i="64" s="1"/>
  <c r="BA109" i="64"/>
  <c r="BB109" i="64" s="1"/>
  <c r="BC109" i="64" s="1"/>
  <c r="BD109" i="64" s="1"/>
  <c r="BE109" i="64" s="1"/>
  <c r="BF109" i="64" s="1"/>
  <c r="BG109" i="64" s="1"/>
  <c r="BH109" i="64" s="1"/>
  <c r="BI109" i="64" s="1"/>
  <c r="CD98" i="81"/>
  <c r="BA96" i="64"/>
  <c r="BT105" i="81"/>
  <c r="AZ105" i="81"/>
  <c r="AQ99" i="81"/>
  <c r="BK99" i="81"/>
  <c r="CE99" i="81"/>
  <c r="CD105" i="81"/>
  <c r="CN105" i="81"/>
  <c r="BB86" i="64"/>
  <c r="AQ85" i="64"/>
  <c r="BV86" i="64"/>
  <c r="BJ105" i="81"/>
  <c r="AZ98" i="81"/>
  <c r="BU99" i="81"/>
  <c r="AR86" i="64"/>
  <c r="BL86" i="64"/>
  <c r="BU85" i="64"/>
  <c r="CE85" i="64"/>
  <c r="CF86" i="64"/>
  <c r="BK85" i="64"/>
  <c r="BU96" i="64"/>
  <c r="CE96" i="64"/>
  <c r="BU109" i="64"/>
  <c r="BV109" i="64" s="1"/>
  <c r="BW109" i="64" s="1"/>
  <c r="BX109" i="64" s="1"/>
  <c r="BY109" i="64" s="1"/>
  <c r="BZ109" i="64" s="1"/>
  <c r="CA109" i="64" s="1"/>
  <c r="CB109" i="64" s="1"/>
  <c r="CC109" i="64" s="1"/>
  <c r="BA99" i="81"/>
  <c r="CD94" i="64"/>
  <c r="BK96" i="64"/>
  <c r="AZ144" i="64"/>
  <c r="BJ144" i="64"/>
  <c r="AZ94" i="64"/>
  <c r="BT144" i="64"/>
  <c r="CN144" i="64"/>
  <c r="BJ94" i="64"/>
  <c r="CD144" i="64"/>
  <c r="CN94" i="64"/>
  <c r="P7" i="26"/>
  <c r="BA85" i="64"/>
  <c r="V81" i="64"/>
  <c r="BJ81" i="64"/>
  <c r="AZ81" i="64"/>
  <c r="CN81" i="64"/>
  <c r="AP81" i="64"/>
  <c r="AF81" i="64"/>
  <c r="L81" i="64"/>
  <c r="CD81" i="64"/>
  <c r="B81" i="64"/>
  <c r="B105" i="81"/>
  <c r="V105" i="81"/>
  <c r="AP98" i="81"/>
  <c r="V98" i="81"/>
  <c r="L105" i="81"/>
  <c r="L120" i="81" s="1"/>
  <c r="B98" i="81"/>
  <c r="AF98" i="81"/>
  <c r="AF105" i="81"/>
  <c r="L98" i="81"/>
  <c r="L113" i="81" s="1"/>
  <c r="AQ96" i="64"/>
  <c r="AP105" i="81"/>
  <c r="N86" i="64"/>
  <c r="M99" i="81"/>
  <c r="AH86" i="64"/>
  <c r="AG99" i="81"/>
  <c r="W85" i="64"/>
  <c r="W99" i="81"/>
  <c r="D86" i="64"/>
  <c r="C99" i="81"/>
  <c r="AG85" i="64"/>
  <c r="W96" i="64"/>
  <c r="M96" i="64"/>
  <c r="X86" i="64"/>
  <c r="C109" i="64"/>
  <c r="D109" i="64" s="1"/>
  <c r="E109" i="64" s="1"/>
  <c r="F109" i="64" s="1"/>
  <c r="G109" i="64" s="1"/>
  <c r="H109" i="64" s="1"/>
  <c r="I109" i="64" s="1"/>
  <c r="J109" i="64" s="1"/>
  <c r="K109" i="64" s="1"/>
  <c r="AP144" i="64"/>
  <c r="AP119" i="75"/>
  <c r="AP112" i="75"/>
  <c r="L112" i="75"/>
  <c r="L119" i="75"/>
  <c r="AF94" i="64"/>
  <c r="AF83" i="75"/>
  <c r="C85" i="64"/>
  <c r="AG96" i="64"/>
  <c r="V118" i="75"/>
  <c r="V110" i="75"/>
  <c r="AP94" i="64"/>
  <c r="AP83" i="75"/>
  <c r="B94" i="64"/>
  <c r="B83" i="75"/>
  <c r="AF144" i="64"/>
  <c r="AF112" i="75"/>
  <c r="AF119" i="75"/>
  <c r="V94" i="64"/>
  <c r="V83" i="75"/>
  <c r="L94" i="64"/>
  <c r="L83" i="75"/>
  <c r="B112" i="75"/>
  <c r="B119" i="75"/>
  <c r="M85" i="64"/>
  <c r="AF110" i="75"/>
  <c r="AF118" i="75"/>
  <c r="V144" i="64"/>
  <c r="V112" i="75"/>
  <c r="V119" i="75"/>
  <c r="C96" i="64"/>
  <c r="BJ108" i="64"/>
  <c r="AP108" i="64"/>
  <c r="CD108" i="64"/>
  <c r="AF108" i="64"/>
  <c r="CN108" i="64"/>
  <c r="V108" i="64"/>
  <c r="AZ108" i="64"/>
  <c r="BT108" i="64"/>
  <c r="CE127" i="64"/>
  <c r="BU127" i="64"/>
  <c r="W127" i="64"/>
  <c r="BK127" i="64"/>
  <c r="BA127" i="64"/>
  <c r="AQ127" i="64"/>
  <c r="AG127" i="64"/>
  <c r="M127" i="64"/>
  <c r="BT135" i="64"/>
  <c r="BT143" i="64"/>
  <c r="AF135" i="64"/>
  <c r="AF143" i="64"/>
  <c r="CD135" i="64"/>
  <c r="CD143" i="64"/>
  <c r="AZ135" i="64"/>
  <c r="AZ143" i="64"/>
  <c r="BJ135" i="64"/>
  <c r="BJ143" i="64"/>
  <c r="V135" i="64"/>
  <c r="V143" i="64"/>
  <c r="L137" i="64"/>
  <c r="L144" i="64"/>
  <c r="CN135" i="64"/>
  <c r="CN143" i="64"/>
  <c r="B137" i="64"/>
  <c r="B144" i="64"/>
  <c r="G80" i="27"/>
  <c r="AZ137" i="64"/>
  <c r="H80" i="27"/>
  <c r="BJ137" i="64"/>
  <c r="I80" i="27"/>
  <c r="BT137" i="64"/>
  <c r="E80" i="27"/>
  <c r="AF137" i="64"/>
  <c r="K80" i="27"/>
  <c r="CN137" i="64"/>
  <c r="J80" i="27"/>
  <c r="CD137" i="64"/>
  <c r="D80" i="27"/>
  <c r="V137" i="64"/>
  <c r="F80" i="27"/>
  <c r="AP137" i="64"/>
  <c r="E19" i="21"/>
  <c r="E7" i="26" s="1"/>
  <c r="I47" i="27"/>
  <c r="BT94" i="87" s="1"/>
  <c r="BU94" i="87" s="1"/>
  <c r="BV94" i="87" s="1"/>
  <c r="BW94" i="87" s="1"/>
  <c r="BX94" i="87" s="1"/>
  <c r="BY94" i="87" s="1"/>
  <c r="BZ94" i="87" s="1"/>
  <c r="CA94" i="87" s="1"/>
  <c r="CB94" i="87" s="1"/>
  <c r="CC94" i="87" s="1"/>
  <c r="L7" i="16"/>
  <c r="BT81" i="87" s="1"/>
  <c r="BU81" i="87" s="1"/>
  <c r="BV81" i="87" s="1"/>
  <c r="BW81" i="87" s="1"/>
  <c r="BX81" i="87" s="1"/>
  <c r="BY81" i="87" s="1"/>
  <c r="BZ81" i="87" s="1"/>
  <c r="CA81" i="87" s="1"/>
  <c r="CB81" i="87" s="1"/>
  <c r="CC81" i="87" s="1"/>
  <c r="D8" i="1"/>
  <c r="D7" i="16"/>
  <c r="B17" i="27"/>
  <c r="C17" i="27"/>
  <c r="N7" i="25"/>
  <c r="N12" i="26"/>
  <c r="M7" i="25"/>
  <c r="M12" i="26"/>
  <c r="K7" i="25"/>
  <c r="K12" i="26"/>
  <c r="J7" i="25"/>
  <c r="J12" i="26"/>
  <c r="L7" i="25"/>
  <c r="L12" i="26"/>
  <c r="K7" i="14"/>
  <c r="K12" i="16"/>
  <c r="N7" i="14"/>
  <c r="N12" i="16"/>
  <c r="M7" i="14"/>
  <c r="M12" i="16"/>
  <c r="J7" i="14"/>
  <c r="J12" i="16"/>
  <c r="E74" i="15"/>
  <c r="F74" i="15" s="1"/>
  <c r="G74" i="15" s="1"/>
  <c r="H74" i="15" s="1"/>
  <c r="I74" i="15" s="1"/>
  <c r="J74" i="15" s="1"/>
  <c r="K74" i="15" s="1"/>
  <c r="L74" i="15" s="1"/>
  <c r="M74" i="15" s="1"/>
  <c r="N74" i="15" s="1"/>
  <c r="O74" i="15" s="1"/>
  <c r="P74" i="15" s="1"/>
  <c r="Q74" i="15" s="1"/>
  <c r="R74" i="15" s="1"/>
  <c r="S74" i="15" s="1"/>
  <c r="T74" i="15" s="1"/>
  <c r="L105" i="35"/>
  <c r="I105" i="35"/>
  <c r="F105" i="35"/>
  <c r="M105" i="35"/>
  <c r="K105" i="35"/>
  <c r="H105" i="35"/>
  <c r="N105" i="35"/>
  <c r="O105" i="35"/>
  <c r="J105" i="35"/>
  <c r="G105" i="35"/>
  <c r="R105" i="35"/>
  <c r="S105" i="35"/>
  <c r="P105" i="35"/>
  <c r="T105" i="35"/>
  <c r="Q105" i="35"/>
  <c r="O95" i="35"/>
  <c r="F95" i="35"/>
  <c r="R95" i="35"/>
  <c r="L95" i="35"/>
  <c r="K95" i="35"/>
  <c r="G95" i="35"/>
  <c r="T95" i="35"/>
  <c r="N95" i="35"/>
  <c r="I95" i="35"/>
  <c r="P95" i="35"/>
  <c r="S95" i="35"/>
  <c r="M95" i="35"/>
  <c r="J95" i="35"/>
  <c r="H95" i="35"/>
  <c r="Q95" i="35"/>
  <c r="G32" i="35"/>
  <c r="M32" i="35"/>
  <c r="L32" i="35"/>
  <c r="N32" i="35"/>
  <c r="O32" i="35"/>
  <c r="I32" i="35"/>
  <c r="J32" i="35"/>
  <c r="K32" i="35"/>
  <c r="H32" i="35"/>
  <c r="R32" i="35"/>
  <c r="S32" i="35"/>
  <c r="P32" i="35"/>
  <c r="T32" i="35"/>
  <c r="Q32" i="35"/>
  <c r="F32" i="35"/>
  <c r="D11" i="28"/>
  <c r="F8" i="21"/>
  <c r="B80" i="27"/>
  <c r="C80" i="27"/>
  <c r="E8" i="21"/>
  <c r="C20" i="1"/>
  <c r="C7" i="16"/>
  <c r="C7" i="55" s="1"/>
  <c r="C12" i="16"/>
  <c r="M162" i="35"/>
  <c r="M159" i="35"/>
  <c r="N162" i="35"/>
  <c r="N159" i="35"/>
  <c r="D68" i="27"/>
  <c r="G68" i="27"/>
  <c r="H77" i="27"/>
  <c r="H68" i="27"/>
  <c r="B68" i="27"/>
  <c r="K77" i="27"/>
  <c r="D77" i="27"/>
  <c r="G77" i="27"/>
  <c r="C68" i="27"/>
  <c r="E19" i="26"/>
  <c r="G19" i="26"/>
  <c r="I19" i="26"/>
  <c r="F19" i="26"/>
  <c r="H19" i="26"/>
  <c r="I20" i="1"/>
  <c r="I12" i="16"/>
  <c r="J20" i="1"/>
  <c r="K20" i="1"/>
  <c r="M20" i="1"/>
  <c r="N20" i="1"/>
  <c r="H20" i="1"/>
  <c r="H12" i="16"/>
  <c r="G20" i="1"/>
  <c r="G12" i="16"/>
  <c r="F20" i="1"/>
  <c r="F12" i="16"/>
  <c r="E20" i="1"/>
  <c r="E12" i="16"/>
  <c r="H15" i="54"/>
  <c r="E87" i="15"/>
  <c r="F87" i="15" s="1"/>
  <c r="G87" i="15" s="1"/>
  <c r="H87" i="15" s="1"/>
  <c r="I87" i="15" s="1"/>
  <c r="J87" i="15" s="1"/>
  <c r="K87" i="15" s="1"/>
  <c r="L87" i="15" s="1"/>
  <c r="M87" i="15" s="1"/>
  <c r="N87" i="15" s="1"/>
  <c r="O87" i="15" s="1"/>
  <c r="P87" i="15" s="1"/>
  <c r="Q87" i="15" s="1"/>
  <c r="R87" i="15" s="1"/>
  <c r="S87" i="15" s="1"/>
  <c r="T87" i="15" s="1"/>
  <c r="I6" i="55"/>
  <c r="H6" i="55"/>
  <c r="D19" i="16"/>
  <c r="C19" i="16"/>
  <c r="C19" i="55" s="1"/>
  <c r="J20" i="21"/>
  <c r="J8" i="26" s="1"/>
  <c r="C20" i="21"/>
  <c r="C8" i="25" s="1"/>
  <c r="C7" i="25"/>
  <c r="M20" i="21"/>
  <c r="M8" i="26" s="1"/>
  <c r="L20" i="21"/>
  <c r="L8" i="26" s="1"/>
  <c r="N20" i="21"/>
  <c r="N8" i="26" s="1"/>
  <c r="K20" i="21"/>
  <c r="K8" i="26" s="1"/>
  <c r="E19" i="25"/>
  <c r="E15" i="54" s="1"/>
  <c r="D19" i="25"/>
  <c r="D15" i="54" s="1"/>
  <c r="I19" i="25"/>
  <c r="I15" i="54" s="1"/>
  <c r="C19" i="25"/>
  <c r="C15" i="54" s="1"/>
  <c r="F19" i="25"/>
  <c r="F15" i="54" s="1"/>
  <c r="G19" i="25"/>
  <c r="G15" i="54" s="1"/>
  <c r="J162" i="35"/>
  <c r="D159" i="35"/>
  <c r="J159" i="35"/>
  <c r="I159" i="35"/>
  <c r="G162" i="35"/>
  <c r="L162" i="35"/>
  <c r="H162" i="35"/>
  <c r="G159" i="35"/>
  <c r="F162" i="35"/>
  <c r="H159" i="35"/>
  <c r="E162" i="35"/>
  <c r="F159" i="35"/>
  <c r="L159" i="35"/>
  <c r="K159" i="35"/>
  <c r="E159" i="35"/>
  <c r="I162" i="35"/>
  <c r="D162" i="35"/>
  <c r="K162" i="35"/>
  <c r="L8" i="1"/>
  <c r="L99" i="35"/>
  <c r="L101" i="35"/>
  <c r="J101" i="35"/>
  <c r="J99" i="35"/>
  <c r="H101" i="35"/>
  <c r="H99" i="35"/>
  <c r="G101" i="35"/>
  <c r="G99" i="35"/>
  <c r="S101" i="35"/>
  <c r="O101" i="35"/>
  <c r="T101" i="35"/>
  <c r="Q101" i="35"/>
  <c r="E99" i="35"/>
  <c r="P101" i="35"/>
  <c r="E101" i="35"/>
  <c r="R101" i="35"/>
  <c r="F99" i="35"/>
  <c r="F101" i="35"/>
  <c r="I101" i="35"/>
  <c r="I99" i="35"/>
  <c r="K99" i="35"/>
  <c r="K101" i="35"/>
  <c r="M101" i="35"/>
  <c r="M99" i="35"/>
  <c r="D99" i="35"/>
  <c r="D101" i="35"/>
  <c r="N99" i="35"/>
  <c r="N101" i="35"/>
  <c r="D26" i="35"/>
  <c r="D28" i="35"/>
  <c r="P28" i="35"/>
  <c r="Q28" i="35"/>
  <c r="E26" i="35"/>
  <c r="O28" i="35"/>
  <c r="T28" i="35"/>
  <c r="S28" i="35"/>
  <c r="R28" i="35"/>
  <c r="E28" i="35"/>
  <c r="L28" i="35"/>
  <c r="L26" i="35"/>
  <c r="F26" i="35"/>
  <c r="F28" i="35"/>
  <c r="I26" i="35"/>
  <c r="I28" i="35"/>
  <c r="C7" i="14"/>
  <c r="G28" i="35"/>
  <c r="G26" i="35"/>
  <c r="M28" i="35"/>
  <c r="M26" i="35"/>
  <c r="K28" i="35"/>
  <c r="K26" i="35"/>
  <c r="N26" i="35"/>
  <c r="N28" i="35"/>
  <c r="H26" i="35"/>
  <c r="H28" i="35"/>
  <c r="J26" i="35"/>
  <c r="J28" i="35"/>
  <c r="C6" i="54"/>
  <c r="G6" i="54"/>
  <c r="F6" i="54"/>
  <c r="BM86" i="64" l="1"/>
  <c r="BM99" i="81" s="1"/>
  <c r="BW86" i="64"/>
  <c r="BW99" i="81" s="1"/>
  <c r="BB96" i="64"/>
  <c r="BC96" i="64" s="1"/>
  <c r="BU135" i="87"/>
  <c r="BV135" i="87" s="1"/>
  <c r="BW135" i="87" s="1"/>
  <c r="BX135" i="87" s="1"/>
  <c r="BY135" i="87" s="1"/>
  <c r="BZ135" i="87" s="1"/>
  <c r="CA135" i="87" s="1"/>
  <c r="CB135" i="87" s="1"/>
  <c r="CC135" i="87" s="1"/>
  <c r="AP120" i="81"/>
  <c r="AP113" i="81"/>
  <c r="AZ120" i="81"/>
  <c r="BT120" i="81"/>
  <c r="AF120" i="81"/>
  <c r="V113" i="81"/>
  <c r="V120" i="81"/>
  <c r="CN120" i="81"/>
  <c r="BT113" i="81"/>
  <c r="BJ113" i="81"/>
  <c r="AZ113" i="81"/>
  <c r="CD120" i="81"/>
  <c r="CD113" i="81"/>
  <c r="AF113" i="81"/>
  <c r="BJ120" i="81"/>
  <c r="CN113" i="81"/>
  <c r="F54" i="87"/>
  <c r="F54" i="64"/>
  <c r="B43" i="64" s="1"/>
  <c r="BA137" i="87"/>
  <c r="BB137" i="87" s="1"/>
  <c r="BC137" i="87" s="1"/>
  <c r="BD137" i="87" s="1"/>
  <c r="BE137" i="87" s="1"/>
  <c r="BF137" i="87" s="1"/>
  <c r="BG137" i="87" s="1"/>
  <c r="BH137" i="87" s="1"/>
  <c r="BI137" i="87" s="1"/>
  <c r="W144" i="87"/>
  <c r="X144" i="87" s="1"/>
  <c r="Y144" i="87" s="1"/>
  <c r="Z144" i="87" s="1"/>
  <c r="AA144" i="87" s="1"/>
  <c r="AB144" i="87" s="1"/>
  <c r="AC144" i="87" s="1"/>
  <c r="AD144" i="87" s="1"/>
  <c r="AE144" i="87" s="1"/>
  <c r="CE137" i="87"/>
  <c r="CF137" i="87" s="1"/>
  <c r="CG137" i="87" s="1"/>
  <c r="CH137" i="87" s="1"/>
  <c r="CI137" i="87" s="1"/>
  <c r="CJ137" i="87" s="1"/>
  <c r="CK137" i="87" s="1"/>
  <c r="CL137" i="87" s="1"/>
  <c r="CM137" i="87" s="1"/>
  <c r="BU143" i="87"/>
  <c r="BV143" i="87" s="1"/>
  <c r="BW143" i="87" s="1"/>
  <c r="BX143" i="87" s="1"/>
  <c r="BY143" i="87" s="1"/>
  <c r="BZ143" i="87" s="1"/>
  <c r="CA143" i="87" s="1"/>
  <c r="CB143" i="87" s="1"/>
  <c r="CC143" i="87" s="1"/>
  <c r="CE144" i="87"/>
  <c r="CF144" i="87" s="1"/>
  <c r="CG144" i="87" s="1"/>
  <c r="CH144" i="87" s="1"/>
  <c r="CI144" i="87" s="1"/>
  <c r="CJ144" i="87" s="1"/>
  <c r="CK144" i="87" s="1"/>
  <c r="CL144" i="87" s="1"/>
  <c r="CM144" i="87" s="1"/>
  <c r="C137" i="87"/>
  <c r="D137" i="87" s="1"/>
  <c r="E137" i="87" s="1"/>
  <c r="F137" i="87" s="1"/>
  <c r="G137" i="87" s="1"/>
  <c r="H137" i="87" s="1"/>
  <c r="I137" i="87" s="1"/>
  <c r="J137" i="87" s="1"/>
  <c r="K137" i="87" s="1"/>
  <c r="AQ81" i="87"/>
  <c r="AR81" i="87" s="1"/>
  <c r="AS81" i="87" s="1"/>
  <c r="AT81" i="87" s="1"/>
  <c r="AU81" i="87" s="1"/>
  <c r="AV81" i="87" s="1"/>
  <c r="AW81" i="87" s="1"/>
  <c r="AX81" i="87" s="1"/>
  <c r="AY81" i="87" s="1"/>
  <c r="BA144" i="87"/>
  <c r="BB144" i="87" s="1"/>
  <c r="BC144" i="87" s="1"/>
  <c r="BD144" i="87" s="1"/>
  <c r="BE144" i="87" s="1"/>
  <c r="BF144" i="87" s="1"/>
  <c r="BG144" i="87" s="1"/>
  <c r="BH144" i="87" s="1"/>
  <c r="BI144" i="87" s="1"/>
  <c r="BK135" i="87"/>
  <c r="BL135" i="87" s="1"/>
  <c r="BM135" i="87" s="1"/>
  <c r="BN135" i="87" s="1"/>
  <c r="BO135" i="87" s="1"/>
  <c r="BP135" i="87" s="1"/>
  <c r="BQ135" i="87" s="1"/>
  <c r="BR135" i="87" s="1"/>
  <c r="BS135" i="87" s="1"/>
  <c r="BA143" i="87"/>
  <c r="BB143" i="87" s="1"/>
  <c r="BC143" i="87" s="1"/>
  <c r="BD143" i="87" s="1"/>
  <c r="BE143" i="87" s="1"/>
  <c r="BF143" i="87" s="1"/>
  <c r="BG143" i="87" s="1"/>
  <c r="BH143" i="87" s="1"/>
  <c r="BI143" i="87" s="1"/>
  <c r="CE135" i="87"/>
  <c r="CF135" i="87" s="1"/>
  <c r="CG135" i="87" s="1"/>
  <c r="CH135" i="87" s="1"/>
  <c r="CI135" i="87" s="1"/>
  <c r="CJ135" i="87" s="1"/>
  <c r="CK135" i="87" s="1"/>
  <c r="CL135" i="87" s="1"/>
  <c r="CM135" i="87" s="1"/>
  <c r="AG137" i="87"/>
  <c r="AH137" i="87" s="1"/>
  <c r="AI137" i="87" s="1"/>
  <c r="AJ137" i="87" s="1"/>
  <c r="AK137" i="87" s="1"/>
  <c r="AL137" i="87" s="1"/>
  <c r="AM137" i="87" s="1"/>
  <c r="AN137" i="87" s="1"/>
  <c r="AO137" i="87" s="1"/>
  <c r="W137" i="87"/>
  <c r="X137" i="87" s="1"/>
  <c r="Y137" i="87" s="1"/>
  <c r="Z137" i="87" s="1"/>
  <c r="AA137" i="87" s="1"/>
  <c r="AB137" i="87" s="1"/>
  <c r="AC137" i="87" s="1"/>
  <c r="AD137" i="87" s="1"/>
  <c r="AE137" i="87" s="1"/>
  <c r="AG144" i="87"/>
  <c r="AH144" i="87" s="1"/>
  <c r="AI144" i="87" s="1"/>
  <c r="AJ144" i="87" s="1"/>
  <c r="AK144" i="87" s="1"/>
  <c r="AL144" i="87" s="1"/>
  <c r="AM144" i="87" s="1"/>
  <c r="AN144" i="87" s="1"/>
  <c r="AO144" i="87" s="1"/>
  <c r="BD86" i="87"/>
  <c r="BC85" i="87"/>
  <c r="AS85" i="87"/>
  <c r="AT86" i="87"/>
  <c r="BK143" i="87"/>
  <c r="BL143" i="87" s="1"/>
  <c r="BM143" i="87" s="1"/>
  <c r="BN143" i="87" s="1"/>
  <c r="BO143" i="87" s="1"/>
  <c r="BP143" i="87" s="1"/>
  <c r="BQ143" i="87" s="1"/>
  <c r="BR143" i="87" s="1"/>
  <c r="BS143" i="87" s="1"/>
  <c r="BN86" i="87"/>
  <c r="BM85" i="87"/>
  <c r="AJ86" i="87"/>
  <c r="AI85" i="87"/>
  <c r="O127" i="87"/>
  <c r="N126" i="87"/>
  <c r="N108" i="87" s="1"/>
  <c r="AS127" i="87"/>
  <c r="AR126" i="87"/>
  <c r="AR108" i="87" s="1"/>
  <c r="L143" i="87"/>
  <c r="M143" i="87" s="1"/>
  <c r="N143" i="87" s="1"/>
  <c r="O143" i="87" s="1"/>
  <c r="P143" i="87" s="1"/>
  <c r="Q143" i="87" s="1"/>
  <c r="R143" i="87" s="1"/>
  <c r="S143" i="87" s="1"/>
  <c r="T143" i="87" s="1"/>
  <c r="U143" i="87" s="1"/>
  <c r="L135" i="87"/>
  <c r="CF126" i="87"/>
  <c r="CF108" i="87" s="1"/>
  <c r="CG127" i="87"/>
  <c r="BA135" i="87"/>
  <c r="BB135" i="87" s="1"/>
  <c r="BC135" i="87" s="1"/>
  <c r="BD135" i="87" s="1"/>
  <c r="BE135" i="87" s="1"/>
  <c r="BF135" i="87" s="1"/>
  <c r="BG135" i="87" s="1"/>
  <c r="BH135" i="87" s="1"/>
  <c r="BI135" i="87" s="1"/>
  <c r="BK137" i="87"/>
  <c r="BL137" i="87" s="1"/>
  <c r="BM137" i="87" s="1"/>
  <c r="BN137" i="87" s="1"/>
  <c r="BO137" i="87" s="1"/>
  <c r="BP137" i="87" s="1"/>
  <c r="BQ137" i="87" s="1"/>
  <c r="BR137" i="87" s="1"/>
  <c r="BS137" i="87" s="1"/>
  <c r="W135" i="87"/>
  <c r="X135" i="87" s="1"/>
  <c r="Y135" i="87" s="1"/>
  <c r="Z135" i="87" s="1"/>
  <c r="AA135" i="87" s="1"/>
  <c r="AB135" i="87" s="1"/>
  <c r="AC135" i="87" s="1"/>
  <c r="AD135" i="87" s="1"/>
  <c r="AE135" i="87" s="1"/>
  <c r="BW85" i="87"/>
  <c r="BX86" i="87"/>
  <c r="P86" i="87"/>
  <c r="O85" i="87"/>
  <c r="BU137" i="87"/>
  <c r="BV137" i="87" s="1"/>
  <c r="BW137" i="87" s="1"/>
  <c r="BX137" i="87" s="1"/>
  <c r="BY137" i="87" s="1"/>
  <c r="BZ137" i="87" s="1"/>
  <c r="CA137" i="87" s="1"/>
  <c r="CB137" i="87" s="1"/>
  <c r="CC137" i="87" s="1"/>
  <c r="Y127" i="87"/>
  <c r="X126" i="87"/>
  <c r="X108" i="87" s="1"/>
  <c r="BK144" i="87"/>
  <c r="BL144" i="87" s="1"/>
  <c r="BM144" i="87" s="1"/>
  <c r="BN144" i="87" s="1"/>
  <c r="BO144" i="87" s="1"/>
  <c r="BP144" i="87" s="1"/>
  <c r="BQ144" i="87" s="1"/>
  <c r="BR144" i="87" s="1"/>
  <c r="BS144" i="87" s="1"/>
  <c r="W143" i="87"/>
  <c r="X143" i="87" s="1"/>
  <c r="Y143" i="87" s="1"/>
  <c r="Z143" i="87" s="1"/>
  <c r="AA143" i="87" s="1"/>
  <c r="AB143" i="87" s="1"/>
  <c r="AC143" i="87" s="1"/>
  <c r="AD143" i="87" s="1"/>
  <c r="AE143" i="87" s="1"/>
  <c r="BU144" i="87"/>
  <c r="BV144" i="87" s="1"/>
  <c r="BW144" i="87" s="1"/>
  <c r="BX144" i="87" s="1"/>
  <c r="BY144" i="87" s="1"/>
  <c r="BZ144" i="87" s="1"/>
  <c r="CA144" i="87" s="1"/>
  <c r="CB144" i="87" s="1"/>
  <c r="CC144" i="87" s="1"/>
  <c r="BK81" i="87"/>
  <c r="BL81" i="87" s="1"/>
  <c r="BM81" i="87" s="1"/>
  <c r="BN81" i="87" s="1"/>
  <c r="BO81" i="87" s="1"/>
  <c r="BP81" i="87" s="1"/>
  <c r="BQ81" i="87" s="1"/>
  <c r="BR81" i="87" s="1"/>
  <c r="BS81" i="87" s="1"/>
  <c r="BK94" i="87"/>
  <c r="BL94" i="87" s="1"/>
  <c r="BM94" i="87" s="1"/>
  <c r="BN94" i="87" s="1"/>
  <c r="BO94" i="87" s="1"/>
  <c r="BP94" i="87" s="1"/>
  <c r="BQ94" i="87" s="1"/>
  <c r="BR94" i="87" s="1"/>
  <c r="BS94" i="87" s="1"/>
  <c r="BV126" i="87"/>
  <c r="BV108" i="87" s="1"/>
  <c r="BW127" i="87"/>
  <c r="CE143" i="87"/>
  <c r="CF143" i="87" s="1"/>
  <c r="CG143" i="87" s="1"/>
  <c r="CH143" i="87" s="1"/>
  <c r="CI143" i="87" s="1"/>
  <c r="CJ143" i="87" s="1"/>
  <c r="CK143" i="87" s="1"/>
  <c r="CL143" i="87" s="1"/>
  <c r="CM143" i="87" s="1"/>
  <c r="M144" i="87"/>
  <c r="N144" i="87" s="1"/>
  <c r="O144" i="87" s="1"/>
  <c r="P144" i="87" s="1"/>
  <c r="Q144" i="87" s="1"/>
  <c r="R144" i="87" s="1"/>
  <c r="S144" i="87" s="1"/>
  <c r="T144" i="87" s="1"/>
  <c r="U144" i="87" s="1"/>
  <c r="AI127" i="87"/>
  <c r="AH126" i="87"/>
  <c r="AH108" i="87" s="1"/>
  <c r="AQ137" i="87"/>
  <c r="AR137" i="87" s="1"/>
  <c r="AS137" i="87" s="1"/>
  <c r="AT137" i="87" s="1"/>
  <c r="AU137" i="87" s="1"/>
  <c r="AV137" i="87" s="1"/>
  <c r="AW137" i="87" s="1"/>
  <c r="AX137" i="87" s="1"/>
  <c r="AY137" i="87" s="1"/>
  <c r="BL126" i="87"/>
  <c r="BL108" i="87" s="1"/>
  <c r="BM127" i="87"/>
  <c r="CG85" i="87"/>
  <c r="CH86" i="87"/>
  <c r="BB126" i="87"/>
  <c r="BB108" i="87" s="1"/>
  <c r="BC127" i="87"/>
  <c r="M137" i="87"/>
  <c r="N137" i="87" s="1"/>
  <c r="O137" i="87" s="1"/>
  <c r="P137" i="87" s="1"/>
  <c r="Q137" i="87" s="1"/>
  <c r="R137" i="87" s="1"/>
  <c r="S137" i="87" s="1"/>
  <c r="T137" i="87" s="1"/>
  <c r="U137" i="87" s="1"/>
  <c r="E85" i="87"/>
  <c r="F86" i="87"/>
  <c r="AQ144" i="87"/>
  <c r="AR144" i="87" s="1"/>
  <c r="AS144" i="87" s="1"/>
  <c r="AT144" i="87" s="1"/>
  <c r="AU144" i="87" s="1"/>
  <c r="AV144" i="87" s="1"/>
  <c r="AW144" i="87" s="1"/>
  <c r="AX144" i="87" s="1"/>
  <c r="AY144" i="87" s="1"/>
  <c r="B143" i="87"/>
  <c r="B135" i="87"/>
  <c r="F77" i="27"/>
  <c r="AP143" i="87"/>
  <c r="AQ143" i="87" s="1"/>
  <c r="AR143" i="87" s="1"/>
  <c r="AS143" i="87" s="1"/>
  <c r="AT143" i="87" s="1"/>
  <c r="AU143" i="87" s="1"/>
  <c r="AV143" i="87" s="1"/>
  <c r="AW143" i="87" s="1"/>
  <c r="AX143" i="87" s="1"/>
  <c r="AY143" i="87" s="1"/>
  <c r="AP135" i="87"/>
  <c r="Z86" i="87"/>
  <c r="Y85" i="87"/>
  <c r="C144" i="87"/>
  <c r="D144" i="87" s="1"/>
  <c r="E144" i="87" s="1"/>
  <c r="F144" i="87" s="1"/>
  <c r="G144" i="87" s="1"/>
  <c r="H144" i="87" s="1"/>
  <c r="I144" i="87" s="1"/>
  <c r="J144" i="87" s="1"/>
  <c r="K144" i="87" s="1"/>
  <c r="D126" i="87"/>
  <c r="D108" i="87" s="1"/>
  <c r="E127" i="87"/>
  <c r="G7" i="25"/>
  <c r="G20" i="21"/>
  <c r="G21" i="21" s="1"/>
  <c r="G12" i="26"/>
  <c r="G12" i="55" s="1"/>
  <c r="D7" i="25"/>
  <c r="H20" i="21"/>
  <c r="H21" i="21" s="1"/>
  <c r="AP143" i="64"/>
  <c r="AQ143" i="64" s="1"/>
  <c r="AR143" i="64" s="1"/>
  <c r="AS143" i="64" s="1"/>
  <c r="AT143" i="64" s="1"/>
  <c r="AU143" i="64" s="1"/>
  <c r="AV143" i="64" s="1"/>
  <c r="AW143" i="64" s="1"/>
  <c r="AX143" i="64" s="1"/>
  <c r="AY143" i="64" s="1"/>
  <c r="AP110" i="75"/>
  <c r="AP135" i="64"/>
  <c r="AQ135" i="64" s="1"/>
  <c r="AP118" i="75"/>
  <c r="I12" i="26"/>
  <c r="I7" i="25"/>
  <c r="I20" i="21"/>
  <c r="I21" i="21" s="1"/>
  <c r="H7" i="25"/>
  <c r="H12" i="26"/>
  <c r="BA105" i="81"/>
  <c r="BA120" i="81" s="1"/>
  <c r="BV99" i="81"/>
  <c r="BV85" i="64"/>
  <c r="BL85" i="64"/>
  <c r="BL99" i="81"/>
  <c r="BU98" i="81"/>
  <c r="BU113" i="81" s="1"/>
  <c r="BB85" i="64"/>
  <c r="BC86" i="64"/>
  <c r="BK105" i="81"/>
  <c r="BK120" i="81" s="1"/>
  <c r="BL96" i="64"/>
  <c r="CG86" i="64"/>
  <c r="BB99" i="81"/>
  <c r="CE105" i="81"/>
  <c r="CE120" i="81" s="1"/>
  <c r="CF96" i="64"/>
  <c r="CF85" i="64"/>
  <c r="AQ98" i="81"/>
  <c r="AQ113" i="81" s="1"/>
  <c r="BA98" i="81"/>
  <c r="BA113" i="81" s="1"/>
  <c r="BV96" i="64"/>
  <c r="AR99" i="81"/>
  <c r="CN103" i="81"/>
  <c r="CF99" i="81"/>
  <c r="AR85" i="64"/>
  <c r="AZ103" i="81"/>
  <c r="CE98" i="81"/>
  <c r="CE113" i="81" s="1"/>
  <c r="AS86" i="64"/>
  <c r="CD103" i="81"/>
  <c r="BK98" i="81"/>
  <c r="BK113" i="81" s="1"/>
  <c r="BJ103" i="81"/>
  <c r="BK144" i="64"/>
  <c r="BL144" i="64" s="1"/>
  <c r="BM144" i="64" s="1"/>
  <c r="BN144" i="64" s="1"/>
  <c r="BO144" i="64" s="1"/>
  <c r="BP144" i="64" s="1"/>
  <c r="BQ144" i="64" s="1"/>
  <c r="BR144" i="64" s="1"/>
  <c r="BS144" i="64" s="1"/>
  <c r="CE144" i="64"/>
  <c r="CF144" i="64" s="1"/>
  <c r="CG144" i="64" s="1"/>
  <c r="CH144" i="64" s="1"/>
  <c r="CI144" i="64" s="1"/>
  <c r="CJ144" i="64" s="1"/>
  <c r="CK144" i="64" s="1"/>
  <c r="CL144" i="64" s="1"/>
  <c r="CM144" i="64" s="1"/>
  <c r="BA144" i="64"/>
  <c r="BB144" i="64" s="1"/>
  <c r="BC144" i="64" s="1"/>
  <c r="BD144" i="64" s="1"/>
  <c r="BE144" i="64" s="1"/>
  <c r="BF144" i="64" s="1"/>
  <c r="BG144" i="64" s="1"/>
  <c r="BH144" i="64" s="1"/>
  <c r="BI144" i="64" s="1"/>
  <c r="BA94" i="64"/>
  <c r="BU105" i="81"/>
  <c r="BU120" i="81" s="1"/>
  <c r="CE94" i="64"/>
  <c r="AQ144" i="64"/>
  <c r="AR144" i="64" s="1"/>
  <c r="AS144" i="64" s="1"/>
  <c r="AT144" i="64" s="1"/>
  <c r="AU144" i="64" s="1"/>
  <c r="AV144" i="64" s="1"/>
  <c r="AW144" i="64" s="1"/>
  <c r="AX144" i="64" s="1"/>
  <c r="AY144" i="64" s="1"/>
  <c r="BU144" i="64"/>
  <c r="BV144" i="64" s="1"/>
  <c r="BW144" i="64" s="1"/>
  <c r="BX144" i="64" s="1"/>
  <c r="BY144" i="64" s="1"/>
  <c r="BZ144" i="64" s="1"/>
  <c r="CA144" i="64" s="1"/>
  <c r="CB144" i="64" s="1"/>
  <c r="CC144" i="64" s="1"/>
  <c r="BA81" i="64"/>
  <c r="BB81" i="64" s="1"/>
  <c r="BC81" i="64" s="1"/>
  <c r="BD81" i="64" s="1"/>
  <c r="BE81" i="64" s="1"/>
  <c r="BF81" i="64" s="1"/>
  <c r="BG81" i="64" s="1"/>
  <c r="BH81" i="64" s="1"/>
  <c r="BI81" i="64" s="1"/>
  <c r="CE81" i="64"/>
  <c r="CF81" i="64" s="1"/>
  <c r="CG81" i="64" s="1"/>
  <c r="CH81" i="64" s="1"/>
  <c r="CI81" i="64" s="1"/>
  <c r="CJ81" i="64" s="1"/>
  <c r="CK81" i="64" s="1"/>
  <c r="CL81" i="64" s="1"/>
  <c r="CM81" i="64" s="1"/>
  <c r="M81" i="64"/>
  <c r="N81" i="64" s="1"/>
  <c r="O81" i="64" s="1"/>
  <c r="P81" i="64" s="1"/>
  <c r="Q81" i="64" s="1"/>
  <c r="R81" i="64" s="1"/>
  <c r="S81" i="64" s="1"/>
  <c r="T81" i="64" s="1"/>
  <c r="U81" i="64" s="1"/>
  <c r="C81" i="64"/>
  <c r="D81" i="64" s="1"/>
  <c r="E81" i="64" s="1"/>
  <c r="F81" i="64" s="1"/>
  <c r="G81" i="64" s="1"/>
  <c r="H81" i="64" s="1"/>
  <c r="I81" i="64" s="1"/>
  <c r="J81" i="64" s="1"/>
  <c r="K81" i="64" s="1"/>
  <c r="W81" i="64"/>
  <c r="X81" i="64" s="1"/>
  <c r="Y81" i="64" s="1"/>
  <c r="Z81" i="64" s="1"/>
  <c r="AA81" i="64" s="1"/>
  <c r="AB81" i="64" s="1"/>
  <c r="AC81" i="64" s="1"/>
  <c r="AD81" i="64" s="1"/>
  <c r="AE81" i="64" s="1"/>
  <c r="AG81" i="64"/>
  <c r="AH81" i="64" s="1"/>
  <c r="AI81" i="64" s="1"/>
  <c r="AJ81" i="64" s="1"/>
  <c r="AK81" i="64" s="1"/>
  <c r="AL81" i="64" s="1"/>
  <c r="AM81" i="64" s="1"/>
  <c r="AN81" i="64" s="1"/>
  <c r="AO81" i="64" s="1"/>
  <c r="BT81" i="64"/>
  <c r="BU81" i="64" s="1"/>
  <c r="BV81" i="64" s="1"/>
  <c r="BW81" i="64" s="1"/>
  <c r="BX81" i="64" s="1"/>
  <c r="BY81" i="64" s="1"/>
  <c r="BZ81" i="64" s="1"/>
  <c r="CA81" i="64" s="1"/>
  <c r="CB81" i="64" s="1"/>
  <c r="CC81" i="64" s="1"/>
  <c r="L103" i="81"/>
  <c r="L118" i="81" s="1"/>
  <c r="AF103" i="81"/>
  <c r="V103" i="81"/>
  <c r="W98" i="81"/>
  <c r="W113" i="81" s="1"/>
  <c r="AH99" i="81"/>
  <c r="C98" i="81"/>
  <c r="C113" i="81" s="1"/>
  <c r="M98" i="81"/>
  <c r="M113" i="81" s="1"/>
  <c r="AG98" i="81"/>
  <c r="AG113" i="81" s="1"/>
  <c r="D99" i="81"/>
  <c r="N99" i="81"/>
  <c r="B103" i="81"/>
  <c r="E86" i="64"/>
  <c r="D85" i="64"/>
  <c r="AH96" i="64"/>
  <c r="AG105" i="81"/>
  <c r="AG120" i="81" s="1"/>
  <c r="N96" i="64"/>
  <c r="M105" i="81"/>
  <c r="M120" i="81" s="1"/>
  <c r="AH85" i="64"/>
  <c r="AQ94" i="64"/>
  <c r="AP103" i="81"/>
  <c r="X96" i="64"/>
  <c r="W105" i="81"/>
  <c r="W120" i="81" s="1"/>
  <c r="AI86" i="64"/>
  <c r="N85" i="64"/>
  <c r="O86" i="64"/>
  <c r="Y86" i="64"/>
  <c r="X99" i="81"/>
  <c r="AR96" i="64"/>
  <c r="AQ105" i="81"/>
  <c r="AQ120" i="81" s="1"/>
  <c r="D96" i="64"/>
  <c r="C105" i="81"/>
  <c r="C120" i="81" s="1"/>
  <c r="K5" i="81"/>
  <c r="K6" i="81"/>
  <c r="K8" i="81"/>
  <c r="K10" i="81"/>
  <c r="K7" i="81"/>
  <c r="K9" i="81"/>
  <c r="H5" i="81"/>
  <c r="H9" i="81"/>
  <c r="H7" i="81"/>
  <c r="H8" i="81"/>
  <c r="H10" i="81"/>
  <c r="H6" i="81"/>
  <c r="X85" i="64"/>
  <c r="AG144" i="64"/>
  <c r="AH144" i="64" s="1"/>
  <c r="AI144" i="64" s="1"/>
  <c r="AJ144" i="64" s="1"/>
  <c r="AK144" i="64" s="1"/>
  <c r="AL144" i="64" s="1"/>
  <c r="AM144" i="64" s="1"/>
  <c r="AN144" i="64" s="1"/>
  <c r="AO144" i="64" s="1"/>
  <c r="AG94" i="64"/>
  <c r="C94" i="64"/>
  <c r="M94" i="64"/>
  <c r="W144" i="64"/>
  <c r="X144" i="64" s="1"/>
  <c r="Y144" i="64" s="1"/>
  <c r="Z144" i="64" s="1"/>
  <c r="AA144" i="64" s="1"/>
  <c r="AB144" i="64" s="1"/>
  <c r="AC144" i="64" s="1"/>
  <c r="AD144" i="64" s="1"/>
  <c r="AE144" i="64" s="1"/>
  <c r="W94" i="64"/>
  <c r="L143" i="64"/>
  <c r="M143" i="64" s="1"/>
  <c r="N143" i="64" s="1"/>
  <c r="O143" i="64" s="1"/>
  <c r="P143" i="64" s="1"/>
  <c r="Q143" i="64" s="1"/>
  <c r="R143" i="64" s="1"/>
  <c r="S143" i="64" s="1"/>
  <c r="T143" i="64" s="1"/>
  <c r="U143" i="64" s="1"/>
  <c r="L118" i="75"/>
  <c r="L110" i="75"/>
  <c r="B110" i="75"/>
  <c r="B118" i="75"/>
  <c r="AR127" i="64"/>
  <c r="AQ126" i="64"/>
  <c r="BB127" i="64"/>
  <c r="BA126" i="64"/>
  <c r="CF127" i="64"/>
  <c r="CE126" i="64"/>
  <c r="BL127" i="64"/>
  <c r="BK126" i="64"/>
  <c r="X127" i="64"/>
  <c r="W126" i="64"/>
  <c r="N127" i="64"/>
  <c r="M126" i="64"/>
  <c r="AH127" i="64"/>
  <c r="AG126" i="64"/>
  <c r="BV127" i="64"/>
  <c r="BU126" i="64"/>
  <c r="CE143" i="64"/>
  <c r="CF143" i="64" s="1"/>
  <c r="CG143" i="64" s="1"/>
  <c r="CH143" i="64" s="1"/>
  <c r="CI143" i="64" s="1"/>
  <c r="CJ143" i="64" s="1"/>
  <c r="CK143" i="64" s="1"/>
  <c r="CL143" i="64" s="1"/>
  <c r="CM143" i="64" s="1"/>
  <c r="CE137" i="64"/>
  <c r="CE135" i="64"/>
  <c r="BU137" i="64"/>
  <c r="BU143" i="64"/>
  <c r="BV143" i="64" s="1"/>
  <c r="BW143" i="64" s="1"/>
  <c r="BX143" i="64" s="1"/>
  <c r="BY143" i="64" s="1"/>
  <c r="BZ143" i="64" s="1"/>
  <c r="CA143" i="64" s="1"/>
  <c r="CB143" i="64" s="1"/>
  <c r="CC143" i="64" s="1"/>
  <c r="BU135" i="64"/>
  <c r="BK143" i="64"/>
  <c r="BL143" i="64" s="1"/>
  <c r="BM143" i="64" s="1"/>
  <c r="BN143" i="64" s="1"/>
  <c r="BO143" i="64" s="1"/>
  <c r="BP143" i="64" s="1"/>
  <c r="BQ143" i="64" s="1"/>
  <c r="BR143" i="64" s="1"/>
  <c r="BS143" i="64" s="1"/>
  <c r="BK135" i="64"/>
  <c r="BK137" i="64"/>
  <c r="BA137" i="64"/>
  <c r="BA143" i="64"/>
  <c r="BB143" i="64" s="1"/>
  <c r="BC143" i="64" s="1"/>
  <c r="BD143" i="64" s="1"/>
  <c r="BE143" i="64" s="1"/>
  <c r="BF143" i="64" s="1"/>
  <c r="BG143" i="64" s="1"/>
  <c r="BH143" i="64" s="1"/>
  <c r="BI143" i="64" s="1"/>
  <c r="BA135" i="64"/>
  <c r="AQ137" i="64"/>
  <c r="AG137" i="64"/>
  <c r="W143" i="64"/>
  <c r="X143" i="64" s="1"/>
  <c r="Y143" i="64" s="1"/>
  <c r="Z143" i="64" s="1"/>
  <c r="AA143" i="64" s="1"/>
  <c r="AB143" i="64" s="1"/>
  <c r="AC143" i="64" s="1"/>
  <c r="AD143" i="64" s="1"/>
  <c r="AE143" i="64" s="1"/>
  <c r="W135" i="64"/>
  <c r="W137" i="64"/>
  <c r="M144" i="64"/>
  <c r="N144" i="64" s="1"/>
  <c r="O144" i="64" s="1"/>
  <c r="P144" i="64" s="1"/>
  <c r="Q144" i="64" s="1"/>
  <c r="R144" i="64" s="1"/>
  <c r="S144" i="64" s="1"/>
  <c r="T144" i="64" s="1"/>
  <c r="U144" i="64" s="1"/>
  <c r="M137" i="64"/>
  <c r="N137" i="64" s="1"/>
  <c r="O137" i="64" s="1"/>
  <c r="P137" i="64" s="1"/>
  <c r="Q137" i="64" s="1"/>
  <c r="R137" i="64" s="1"/>
  <c r="S137" i="64" s="1"/>
  <c r="T137" i="64" s="1"/>
  <c r="U137" i="64" s="1"/>
  <c r="C144" i="64"/>
  <c r="D144" i="64" s="1"/>
  <c r="E144" i="64" s="1"/>
  <c r="F144" i="64" s="1"/>
  <c r="G144" i="64" s="1"/>
  <c r="H144" i="64" s="1"/>
  <c r="I144" i="64" s="1"/>
  <c r="J144" i="64" s="1"/>
  <c r="K144" i="64" s="1"/>
  <c r="C137" i="64"/>
  <c r="D137" i="64" s="1"/>
  <c r="E137" i="64" s="1"/>
  <c r="F137" i="64" s="1"/>
  <c r="G137" i="64" s="1"/>
  <c r="H137" i="64" s="1"/>
  <c r="I137" i="64" s="1"/>
  <c r="J137" i="64" s="1"/>
  <c r="K137" i="64" s="1"/>
  <c r="B135" i="64"/>
  <c r="B143" i="64"/>
  <c r="C77" i="27"/>
  <c r="L135" i="64"/>
  <c r="B77" i="27"/>
  <c r="I77" i="27"/>
  <c r="BT94" i="64"/>
  <c r="J7" i="54"/>
  <c r="M7" i="55"/>
  <c r="N7" i="55"/>
  <c r="J12" i="55"/>
  <c r="K7" i="55"/>
  <c r="J7" i="55"/>
  <c r="N12" i="55"/>
  <c r="K12" i="55"/>
  <c r="M12" i="55"/>
  <c r="M7" i="54"/>
  <c r="K7" i="54"/>
  <c r="N7" i="54"/>
  <c r="K33" i="26"/>
  <c r="K20" i="26"/>
  <c r="L20" i="26"/>
  <c r="L33" i="26"/>
  <c r="J33" i="26"/>
  <c r="J20" i="26"/>
  <c r="M20" i="26"/>
  <c r="M33" i="26"/>
  <c r="N33" i="26"/>
  <c r="N20" i="26"/>
  <c r="K8" i="14"/>
  <c r="H34" i="27" s="1"/>
  <c r="BJ84" i="87" s="1"/>
  <c r="K8" i="16"/>
  <c r="K8" i="55" s="1"/>
  <c r="J25" i="16"/>
  <c r="J38" i="16"/>
  <c r="AZ116" i="87" s="1"/>
  <c r="K20" i="16"/>
  <c r="K33" i="16"/>
  <c r="J8" i="14"/>
  <c r="G34" i="27" s="1"/>
  <c r="AZ84" i="87" s="1"/>
  <c r="J8" i="16"/>
  <c r="J8" i="55" s="1"/>
  <c r="N33" i="16"/>
  <c r="N20" i="16"/>
  <c r="K38" i="16"/>
  <c r="BJ116" i="87" s="1"/>
  <c r="K25" i="16"/>
  <c r="L7" i="14"/>
  <c r="M33" i="16"/>
  <c r="L12" i="16"/>
  <c r="L12" i="55" s="1"/>
  <c r="N8" i="14"/>
  <c r="N8" i="16"/>
  <c r="N8" i="55" s="1"/>
  <c r="M20" i="16"/>
  <c r="N38" i="16"/>
  <c r="CN116" i="87" s="1"/>
  <c r="N25" i="16"/>
  <c r="M8" i="14"/>
  <c r="J34" i="27" s="1"/>
  <c r="CD84" i="87" s="1"/>
  <c r="M8" i="16"/>
  <c r="M8" i="55" s="1"/>
  <c r="J33" i="16"/>
  <c r="J20" i="16"/>
  <c r="M25" i="16"/>
  <c r="N21" i="21"/>
  <c r="N8" i="25"/>
  <c r="M21" i="21"/>
  <c r="M8" i="25"/>
  <c r="K21" i="21"/>
  <c r="K8" i="25"/>
  <c r="H5" i="27" s="1"/>
  <c r="BJ125" i="87" s="1"/>
  <c r="L21" i="21"/>
  <c r="L8" i="25"/>
  <c r="J21" i="21"/>
  <c r="J8" i="25"/>
  <c r="G5" i="27" s="1"/>
  <c r="AZ125" i="87" s="1"/>
  <c r="H33" i="26"/>
  <c r="I33" i="26"/>
  <c r="G33" i="16"/>
  <c r="H38" i="16"/>
  <c r="AF116" i="87" s="1"/>
  <c r="F33" i="16"/>
  <c r="G38" i="16"/>
  <c r="V116" i="87" s="1"/>
  <c r="M116" i="87" s="1"/>
  <c r="N116" i="87" s="1"/>
  <c r="O116" i="87" s="1"/>
  <c r="P116" i="87" s="1"/>
  <c r="Q116" i="87" s="1"/>
  <c r="R116" i="87" s="1"/>
  <c r="S116" i="87" s="1"/>
  <c r="T116" i="87" s="1"/>
  <c r="U116" i="87" s="1"/>
  <c r="F38" i="16"/>
  <c r="I33" i="16"/>
  <c r="H33" i="16"/>
  <c r="I38" i="16"/>
  <c r="AP116" i="87" s="1"/>
  <c r="E20" i="16"/>
  <c r="G20" i="16"/>
  <c r="F20" i="16"/>
  <c r="I20" i="16"/>
  <c r="H20" i="16"/>
  <c r="B12" i="28"/>
  <c r="F20" i="21"/>
  <c r="F21" i="21" s="1"/>
  <c r="F7" i="25"/>
  <c r="F12" i="26"/>
  <c r="E7" i="25"/>
  <c r="E20" i="21"/>
  <c r="E21" i="21" s="1"/>
  <c r="E12" i="26"/>
  <c r="C8" i="14"/>
  <c r="C8" i="16"/>
  <c r="C8" i="55" s="1"/>
  <c r="N23" i="21"/>
  <c r="L23" i="21"/>
  <c r="M23" i="21"/>
  <c r="K23" i="21"/>
  <c r="J23" i="21"/>
  <c r="N169" i="35"/>
  <c r="M169" i="35"/>
  <c r="M172" i="35"/>
  <c r="N172" i="35"/>
  <c r="E77" i="27"/>
  <c r="J77" i="27"/>
  <c r="C7" i="28"/>
  <c r="B7" i="28"/>
  <c r="H19" i="55"/>
  <c r="G19" i="55"/>
  <c r="E20" i="26"/>
  <c r="D19" i="55"/>
  <c r="F19" i="55"/>
  <c r="I19" i="55"/>
  <c r="E19" i="55"/>
  <c r="D8" i="25"/>
  <c r="L20" i="1"/>
  <c r="I21" i="1"/>
  <c r="I8" i="16"/>
  <c r="F21" i="1"/>
  <c r="F8" i="16"/>
  <c r="M21" i="1"/>
  <c r="K21" i="1"/>
  <c r="G21" i="1"/>
  <c r="G8" i="16"/>
  <c r="N21" i="1"/>
  <c r="D20" i="1"/>
  <c r="D8" i="14" s="1"/>
  <c r="D5" i="35" s="1"/>
  <c r="D12" i="16"/>
  <c r="E21" i="1"/>
  <c r="E8" i="16"/>
  <c r="H21" i="1"/>
  <c r="H8" i="16"/>
  <c r="J21" i="1"/>
  <c r="C12" i="55"/>
  <c r="E88" i="15"/>
  <c r="F88" i="15" s="1"/>
  <c r="G88" i="15" s="1"/>
  <c r="H88" i="15" s="1"/>
  <c r="I88" i="15" s="1"/>
  <c r="J88" i="15" s="1"/>
  <c r="K88" i="15" s="1"/>
  <c r="L88" i="15" s="1"/>
  <c r="M88" i="15" s="1"/>
  <c r="N88" i="15" s="1"/>
  <c r="O88" i="15" s="1"/>
  <c r="P88" i="15" s="1"/>
  <c r="Q88" i="15" s="1"/>
  <c r="R88" i="15" s="1"/>
  <c r="S88" i="15" s="1"/>
  <c r="T88" i="15" s="1"/>
  <c r="I25" i="16"/>
  <c r="H25" i="16"/>
  <c r="F25" i="16"/>
  <c r="C7" i="54"/>
  <c r="J172" i="35"/>
  <c r="E172" i="35"/>
  <c r="L169" i="35"/>
  <c r="G172" i="35"/>
  <c r="H169" i="35"/>
  <c r="K169" i="35"/>
  <c r="D172" i="35"/>
  <c r="J169" i="35"/>
  <c r="H172" i="35"/>
  <c r="G169" i="35"/>
  <c r="I169" i="35"/>
  <c r="F169" i="35"/>
  <c r="E169" i="35"/>
  <c r="K172" i="35"/>
  <c r="I172" i="35"/>
  <c r="F172" i="35"/>
  <c r="L172" i="35"/>
  <c r="D169" i="35"/>
  <c r="G8" i="14"/>
  <c r="G7" i="14"/>
  <c r="E62" i="15"/>
  <c r="F62" i="15" s="1"/>
  <c r="G62" i="15" s="1"/>
  <c r="H62" i="15" s="1"/>
  <c r="I62" i="15" s="1"/>
  <c r="J62" i="15" s="1"/>
  <c r="K62" i="15" s="1"/>
  <c r="L62" i="15" s="1"/>
  <c r="M62" i="15" s="1"/>
  <c r="N62" i="15" s="1"/>
  <c r="O62" i="15" s="1"/>
  <c r="P62" i="15" s="1"/>
  <c r="Q62" i="15" s="1"/>
  <c r="R62" i="15" s="1"/>
  <c r="S62" i="15" s="1"/>
  <c r="T62" i="15" s="1"/>
  <c r="E63" i="15"/>
  <c r="F63" i="15" s="1"/>
  <c r="G63" i="15" s="1"/>
  <c r="H63" i="15" s="1"/>
  <c r="I63" i="15" s="1"/>
  <c r="J63" i="15" s="1"/>
  <c r="K63" i="15" s="1"/>
  <c r="L63" i="15" s="1"/>
  <c r="M63" i="15" s="1"/>
  <c r="N63" i="15" s="1"/>
  <c r="O63" i="15" s="1"/>
  <c r="P63" i="15" s="1"/>
  <c r="Q63" i="15" s="1"/>
  <c r="R63" i="15" s="1"/>
  <c r="S63" i="15" s="1"/>
  <c r="T63" i="15" s="1"/>
  <c r="E59" i="15"/>
  <c r="F59" i="15" s="1"/>
  <c r="G59" i="15" s="1"/>
  <c r="H59" i="15" s="1"/>
  <c r="I59" i="15" s="1"/>
  <c r="J59" i="15" s="1"/>
  <c r="K59" i="15" s="1"/>
  <c r="L59" i="15" s="1"/>
  <c r="M59" i="15" s="1"/>
  <c r="N59" i="15" s="1"/>
  <c r="O59" i="15" s="1"/>
  <c r="P59" i="15" s="1"/>
  <c r="Q59" i="15" s="1"/>
  <c r="R59" i="15" s="1"/>
  <c r="S59" i="15" s="1"/>
  <c r="T59" i="15" s="1"/>
  <c r="E7" i="55"/>
  <c r="E8" i="14"/>
  <c r="E7" i="14"/>
  <c r="I7" i="55"/>
  <c r="I8" i="14"/>
  <c r="I7" i="14"/>
  <c r="F8" i="14"/>
  <c r="F7" i="14"/>
  <c r="D7" i="14"/>
  <c r="H8" i="14"/>
  <c r="H7" i="14"/>
  <c r="BB105" i="81" l="1"/>
  <c r="BB120" i="81" s="1"/>
  <c r="BX86" i="64"/>
  <c r="BX85" i="64" s="1"/>
  <c r="BN86" i="64"/>
  <c r="BO86" i="64" s="1"/>
  <c r="BM85" i="64"/>
  <c r="BL98" i="81"/>
  <c r="BL113" i="81" s="1"/>
  <c r="AS99" i="81"/>
  <c r="BV98" i="81"/>
  <c r="BV113" i="81" s="1"/>
  <c r="BA103" i="81"/>
  <c r="BA118" i="81" s="1"/>
  <c r="BM96" i="64"/>
  <c r="BC99" i="81"/>
  <c r="BB98" i="81"/>
  <c r="BB113" i="81" s="1"/>
  <c r="BW85" i="64"/>
  <c r="CG99" i="81"/>
  <c r="V118" i="81"/>
  <c r="CD118" i="81"/>
  <c r="AF118" i="81"/>
  <c r="AP118" i="81"/>
  <c r="AZ118" i="81"/>
  <c r="BJ118" i="81"/>
  <c r="CN118" i="81"/>
  <c r="B43" i="87"/>
  <c r="C17" i="88"/>
  <c r="H46" i="87"/>
  <c r="F20" i="87"/>
  <c r="H50" i="87"/>
  <c r="B16" i="87"/>
  <c r="F58" i="87"/>
  <c r="B47" i="87" s="1"/>
  <c r="H46" i="64"/>
  <c r="H50" i="64"/>
  <c r="F20" i="64"/>
  <c r="B16" i="64"/>
  <c r="AQ135" i="87"/>
  <c r="AR135" i="87" s="1"/>
  <c r="AS135" i="87" s="1"/>
  <c r="AT135" i="87" s="1"/>
  <c r="AU135" i="87" s="1"/>
  <c r="AV135" i="87" s="1"/>
  <c r="AW135" i="87" s="1"/>
  <c r="AX135" i="87" s="1"/>
  <c r="AY135" i="87" s="1"/>
  <c r="C17" i="74"/>
  <c r="C143" i="87"/>
  <c r="D143" i="87" s="1"/>
  <c r="E143" i="87" s="1"/>
  <c r="F143" i="87" s="1"/>
  <c r="G143" i="87" s="1"/>
  <c r="H143" i="87" s="1"/>
  <c r="I143" i="87" s="1"/>
  <c r="J143" i="87" s="1"/>
  <c r="K143" i="87" s="1"/>
  <c r="BO86" i="87"/>
  <c r="BN85" i="87"/>
  <c r="CD83" i="87"/>
  <c r="BJ83" i="87"/>
  <c r="CH85" i="87"/>
  <c r="CI86" i="87"/>
  <c r="BX85" i="87"/>
  <c r="BY86" i="87"/>
  <c r="F85" i="87"/>
  <c r="G86" i="87"/>
  <c r="BN127" i="87"/>
  <c r="BM126" i="87"/>
  <c r="BM108" i="87" s="1"/>
  <c r="AS126" i="87"/>
  <c r="AS108" i="87" s="1"/>
  <c r="AT127" i="87"/>
  <c r="AT85" i="87"/>
  <c r="AU86" i="87"/>
  <c r="BA125" i="87"/>
  <c r="AZ124" i="87"/>
  <c r="F127" i="87"/>
  <c r="E126" i="87"/>
  <c r="E108" i="87" s="1"/>
  <c r="AA86" i="87"/>
  <c r="Z85" i="87"/>
  <c r="BX127" i="87"/>
  <c r="BW126" i="87"/>
  <c r="BW108" i="87" s="1"/>
  <c r="AG135" i="87"/>
  <c r="AH135" i="87" s="1"/>
  <c r="AI135" i="87" s="1"/>
  <c r="AJ135" i="87" s="1"/>
  <c r="AK135" i="87" s="1"/>
  <c r="AL135" i="87" s="1"/>
  <c r="AM135" i="87" s="1"/>
  <c r="AN135" i="87" s="1"/>
  <c r="AO135" i="87" s="1"/>
  <c r="Z127" i="87"/>
  <c r="Y126" i="87"/>
  <c r="Y108" i="87" s="1"/>
  <c r="P127" i="87"/>
  <c r="O126" i="87"/>
  <c r="O108" i="87" s="1"/>
  <c r="CG126" i="87"/>
  <c r="CG108" i="87" s="1"/>
  <c r="CH127" i="87"/>
  <c r="BE86" i="87"/>
  <c r="BD85" i="87"/>
  <c r="BC126" i="87"/>
  <c r="BC108" i="87" s="1"/>
  <c r="BD127" i="87"/>
  <c r="AG143" i="87"/>
  <c r="AH143" i="87" s="1"/>
  <c r="AI143" i="87" s="1"/>
  <c r="AJ143" i="87" s="1"/>
  <c r="AK143" i="87" s="1"/>
  <c r="AL143" i="87" s="1"/>
  <c r="AM143" i="87" s="1"/>
  <c r="AN143" i="87" s="1"/>
  <c r="AO143" i="87" s="1"/>
  <c r="AK86" i="87"/>
  <c r="AJ85" i="87"/>
  <c r="BJ124" i="87"/>
  <c r="AZ83" i="87"/>
  <c r="BA84" i="87"/>
  <c r="C135" i="87"/>
  <c r="D135" i="87" s="1"/>
  <c r="E135" i="87" s="1"/>
  <c r="F135" i="87" s="1"/>
  <c r="G135" i="87" s="1"/>
  <c r="H135" i="87" s="1"/>
  <c r="I135" i="87" s="1"/>
  <c r="J135" i="87" s="1"/>
  <c r="K135" i="87" s="1"/>
  <c r="AJ127" i="87"/>
  <c r="AI126" i="87"/>
  <c r="AI108" i="87" s="1"/>
  <c r="P85" i="87"/>
  <c r="Q86" i="87"/>
  <c r="M135" i="87"/>
  <c r="N135" i="87" s="1"/>
  <c r="O135" i="87" s="1"/>
  <c r="P135" i="87" s="1"/>
  <c r="Q135" i="87" s="1"/>
  <c r="R135" i="87" s="1"/>
  <c r="S135" i="87" s="1"/>
  <c r="T135" i="87" s="1"/>
  <c r="U135" i="87" s="1"/>
  <c r="G8" i="25"/>
  <c r="D5" i="27" s="1"/>
  <c r="V125" i="87" s="1"/>
  <c r="G23" i="21"/>
  <c r="H8" i="25"/>
  <c r="H8" i="54" s="1"/>
  <c r="G8" i="26"/>
  <c r="G8" i="55" s="1"/>
  <c r="H23" i="21"/>
  <c r="H8" i="26"/>
  <c r="H8" i="55" s="1"/>
  <c r="AG143" i="64"/>
  <c r="AH143" i="64" s="1"/>
  <c r="AI143" i="64" s="1"/>
  <c r="AJ143" i="64" s="1"/>
  <c r="AK143" i="64" s="1"/>
  <c r="AL143" i="64" s="1"/>
  <c r="AM143" i="64" s="1"/>
  <c r="AN143" i="64" s="1"/>
  <c r="AO143" i="64" s="1"/>
  <c r="AG135" i="64"/>
  <c r="AH135" i="64" s="1"/>
  <c r="AI135" i="64" s="1"/>
  <c r="AJ135" i="64" s="1"/>
  <c r="AK135" i="64" s="1"/>
  <c r="AL135" i="64" s="1"/>
  <c r="AM135" i="64" s="1"/>
  <c r="AN135" i="64" s="1"/>
  <c r="AO135" i="64" s="1"/>
  <c r="I23" i="21"/>
  <c r="I8" i="25"/>
  <c r="I14" i="21" s="1"/>
  <c r="I8" i="26"/>
  <c r="I8" i="55" s="1"/>
  <c r="AR135" i="64"/>
  <c r="AS135" i="64" s="1"/>
  <c r="AT135" i="64" s="1"/>
  <c r="AU135" i="64" s="1"/>
  <c r="AV135" i="64" s="1"/>
  <c r="AW135" i="64" s="1"/>
  <c r="AX135" i="64" s="1"/>
  <c r="AY135" i="64" s="1"/>
  <c r="BB135" i="64"/>
  <c r="BC135" i="64" s="1"/>
  <c r="BD135" i="64" s="1"/>
  <c r="BE135" i="64" s="1"/>
  <c r="BF135" i="64" s="1"/>
  <c r="BG135" i="64" s="1"/>
  <c r="BH135" i="64" s="1"/>
  <c r="BI135" i="64" s="1"/>
  <c r="AH137" i="64"/>
  <c r="AI137" i="64" s="1"/>
  <c r="AJ137" i="64" s="1"/>
  <c r="AK137" i="64" s="1"/>
  <c r="AL137" i="64" s="1"/>
  <c r="AM137" i="64" s="1"/>
  <c r="AN137" i="64" s="1"/>
  <c r="AO137" i="64" s="1"/>
  <c r="AR137" i="64"/>
  <c r="AS137" i="64" s="1"/>
  <c r="AT137" i="64" s="1"/>
  <c r="AU137" i="64" s="1"/>
  <c r="AV137" i="64" s="1"/>
  <c r="AW137" i="64" s="1"/>
  <c r="AX137" i="64" s="1"/>
  <c r="AY137" i="64" s="1"/>
  <c r="BB137" i="64"/>
  <c r="BC137" i="64" s="1"/>
  <c r="BD137" i="64" s="1"/>
  <c r="BE137" i="64" s="1"/>
  <c r="BF137" i="64" s="1"/>
  <c r="BG137" i="64" s="1"/>
  <c r="BH137" i="64" s="1"/>
  <c r="BI137" i="64" s="1"/>
  <c r="BL137" i="64"/>
  <c r="BM137" i="64" s="1"/>
  <c r="BN137" i="64" s="1"/>
  <c r="BO137" i="64" s="1"/>
  <c r="BP137" i="64" s="1"/>
  <c r="BQ137" i="64" s="1"/>
  <c r="BR137" i="64" s="1"/>
  <c r="BS137" i="64" s="1"/>
  <c r="BL135" i="64"/>
  <c r="BM135" i="64" s="1"/>
  <c r="BN135" i="64" s="1"/>
  <c r="BO135" i="64" s="1"/>
  <c r="BP135" i="64" s="1"/>
  <c r="BQ135" i="64" s="1"/>
  <c r="BR135" i="64" s="1"/>
  <c r="BS135" i="64" s="1"/>
  <c r="CF135" i="64"/>
  <c r="CG135" i="64" s="1"/>
  <c r="CH135" i="64" s="1"/>
  <c r="CI135" i="64" s="1"/>
  <c r="CJ135" i="64" s="1"/>
  <c r="CK135" i="64" s="1"/>
  <c r="CL135" i="64" s="1"/>
  <c r="CM135" i="64" s="1"/>
  <c r="CF137" i="64"/>
  <c r="CG137" i="64" s="1"/>
  <c r="CH137" i="64" s="1"/>
  <c r="CI137" i="64" s="1"/>
  <c r="CJ137" i="64" s="1"/>
  <c r="CK137" i="64" s="1"/>
  <c r="CL137" i="64" s="1"/>
  <c r="CM137" i="64" s="1"/>
  <c r="BV135" i="64"/>
  <c r="BW135" i="64" s="1"/>
  <c r="BX135" i="64" s="1"/>
  <c r="BY135" i="64" s="1"/>
  <c r="BZ135" i="64" s="1"/>
  <c r="CA135" i="64" s="1"/>
  <c r="CB135" i="64" s="1"/>
  <c r="CC135" i="64" s="1"/>
  <c r="X137" i="64"/>
  <c r="Y137" i="64" s="1"/>
  <c r="Z137" i="64" s="1"/>
  <c r="AA137" i="64" s="1"/>
  <c r="AB137" i="64" s="1"/>
  <c r="AC137" i="64" s="1"/>
  <c r="AD137" i="64" s="1"/>
  <c r="AE137" i="64" s="1"/>
  <c r="X135" i="64"/>
  <c r="Y135" i="64" s="1"/>
  <c r="Z135" i="64" s="1"/>
  <c r="AA135" i="64" s="1"/>
  <c r="AB135" i="64" s="1"/>
  <c r="AC135" i="64" s="1"/>
  <c r="AD135" i="64" s="1"/>
  <c r="AE135" i="64" s="1"/>
  <c r="BV137" i="64"/>
  <c r="BW137" i="64" s="1"/>
  <c r="BX137" i="64" s="1"/>
  <c r="BY137" i="64" s="1"/>
  <c r="BZ137" i="64" s="1"/>
  <c r="CA137" i="64" s="1"/>
  <c r="CB137" i="64" s="1"/>
  <c r="CC137" i="64" s="1"/>
  <c r="CF98" i="81"/>
  <c r="CF113" i="81" s="1"/>
  <c r="AT86" i="64"/>
  <c r="AS85" i="64"/>
  <c r="CG85" i="64"/>
  <c r="CH86" i="64"/>
  <c r="BC85" i="64"/>
  <c r="BD86" i="64"/>
  <c r="CF105" i="81"/>
  <c r="CF120" i="81" s="1"/>
  <c r="CG96" i="64"/>
  <c r="BV105" i="81"/>
  <c r="BV120" i="81" s="1"/>
  <c r="BL105" i="81"/>
  <c r="BL120" i="81" s="1"/>
  <c r="BW96" i="64"/>
  <c r="BB94" i="64"/>
  <c r="CF94" i="64"/>
  <c r="AR98" i="81"/>
  <c r="AR113" i="81" s="1"/>
  <c r="CE103" i="81"/>
  <c r="CE118" i="81" s="1"/>
  <c r="AQ81" i="64"/>
  <c r="AR81" i="64" s="1"/>
  <c r="AS81" i="64" s="1"/>
  <c r="AT81" i="64" s="1"/>
  <c r="AU81" i="64" s="1"/>
  <c r="AV81" i="64" s="1"/>
  <c r="AW81" i="64" s="1"/>
  <c r="AX81" i="64" s="1"/>
  <c r="AY81" i="64" s="1"/>
  <c r="BK81" i="64"/>
  <c r="BL81" i="64" s="1"/>
  <c r="BM81" i="64" s="1"/>
  <c r="BN81" i="64" s="1"/>
  <c r="BO81" i="64" s="1"/>
  <c r="BP81" i="64" s="1"/>
  <c r="BQ81" i="64" s="1"/>
  <c r="BR81" i="64" s="1"/>
  <c r="BS81" i="64" s="1"/>
  <c r="V116" i="64"/>
  <c r="M116" i="64" s="1"/>
  <c r="N116" i="64" s="1"/>
  <c r="O116" i="64" s="1"/>
  <c r="P116" i="64" s="1"/>
  <c r="Q116" i="64" s="1"/>
  <c r="R116" i="64" s="1"/>
  <c r="S116" i="64" s="1"/>
  <c r="T116" i="64" s="1"/>
  <c r="U116" i="64" s="1"/>
  <c r="AZ116" i="64"/>
  <c r="CN116" i="64"/>
  <c r="BJ116" i="64"/>
  <c r="AF116" i="64"/>
  <c r="AP116" i="64"/>
  <c r="Y99" i="81"/>
  <c r="O99" i="81"/>
  <c r="AH98" i="81"/>
  <c r="AH113" i="81" s="1"/>
  <c r="BT103" i="81"/>
  <c r="BT118" i="81" s="1"/>
  <c r="X98" i="81"/>
  <c r="X113" i="81" s="1"/>
  <c r="D98" i="81"/>
  <c r="D113" i="81" s="1"/>
  <c r="N98" i="81"/>
  <c r="N113" i="81" s="1"/>
  <c r="E99" i="81"/>
  <c r="G8" i="81"/>
  <c r="G16" i="81" s="1"/>
  <c r="AI99" i="81"/>
  <c r="F86" i="64"/>
  <c r="E85" i="64"/>
  <c r="Y85" i="64"/>
  <c r="B10" i="73"/>
  <c r="P86" i="64"/>
  <c r="Z86" i="64"/>
  <c r="AJ86" i="64"/>
  <c r="O85" i="64"/>
  <c r="AI85" i="64"/>
  <c r="N94" i="64"/>
  <c r="M103" i="81"/>
  <c r="M118" i="81" s="1"/>
  <c r="O96" i="64"/>
  <c r="N105" i="81"/>
  <c r="N120" i="81" s="1"/>
  <c r="X94" i="64"/>
  <c r="W103" i="81"/>
  <c r="W118" i="81" s="1"/>
  <c r="Y96" i="64"/>
  <c r="X105" i="81"/>
  <c r="X120" i="81" s="1"/>
  <c r="AH94" i="64"/>
  <c r="AG103" i="81"/>
  <c r="AG118" i="81" s="1"/>
  <c r="AS96" i="64"/>
  <c r="AR105" i="81"/>
  <c r="AR120" i="81" s="1"/>
  <c r="AI96" i="64"/>
  <c r="AH105" i="81"/>
  <c r="AH120" i="81" s="1"/>
  <c r="AR94" i="64"/>
  <c r="AQ103" i="81"/>
  <c r="AQ118" i="81" s="1"/>
  <c r="BD96" i="64"/>
  <c r="BC105" i="81"/>
  <c r="BC120" i="81" s="1"/>
  <c r="D94" i="64"/>
  <c r="C103" i="81"/>
  <c r="C118" i="81" s="1"/>
  <c r="E96" i="64"/>
  <c r="D105" i="81"/>
  <c r="D120" i="81" s="1"/>
  <c r="D2" i="81"/>
  <c r="C116" i="64"/>
  <c r="D116" i="64" s="1"/>
  <c r="E116" i="64" s="1"/>
  <c r="F116" i="64" s="1"/>
  <c r="G116" i="64" s="1"/>
  <c r="H116" i="64" s="1"/>
  <c r="I116" i="64" s="1"/>
  <c r="J116" i="64" s="1"/>
  <c r="K116" i="64" s="1"/>
  <c r="D5" i="81"/>
  <c r="D9" i="81"/>
  <c r="D17" i="81" s="1"/>
  <c r="D10" i="81"/>
  <c r="D18" i="81" s="1"/>
  <c r="D6" i="81"/>
  <c r="D14" i="81" s="1"/>
  <c r="D7" i="81"/>
  <c r="D15" i="81" s="1"/>
  <c r="D8" i="81"/>
  <c r="D16" i="81" s="1"/>
  <c r="G7" i="81"/>
  <c r="G15" i="81" s="1"/>
  <c r="F7" i="81"/>
  <c r="F15" i="81" s="1"/>
  <c r="F8" i="81"/>
  <c r="F16" i="81" s="1"/>
  <c r="F9" i="81"/>
  <c r="F17" i="81" s="1"/>
  <c r="F6" i="81"/>
  <c r="F14" i="81" s="1"/>
  <c r="F10" i="81"/>
  <c r="F18" i="81" s="1"/>
  <c r="I8" i="81"/>
  <c r="I16" i="81" s="1"/>
  <c r="I10" i="81"/>
  <c r="I18" i="81" s="1"/>
  <c r="I9" i="81"/>
  <c r="I17" i="81" s="1"/>
  <c r="I6" i="81"/>
  <c r="I14" i="81" s="1"/>
  <c r="I7" i="81"/>
  <c r="I15" i="81" s="1"/>
  <c r="J9" i="81"/>
  <c r="J17" i="81" s="1"/>
  <c r="G6" i="81"/>
  <c r="G14" i="81" s="1"/>
  <c r="J8" i="81"/>
  <c r="J16" i="81" s="1"/>
  <c r="G10" i="81"/>
  <c r="G18" i="81" s="1"/>
  <c r="E5" i="81"/>
  <c r="E13" i="81" s="1"/>
  <c r="E7" i="81"/>
  <c r="E15" i="81" s="1"/>
  <c r="E8" i="81"/>
  <c r="E16" i="81" s="1"/>
  <c r="E9" i="81"/>
  <c r="E17" i="81" s="1"/>
  <c r="E10" i="81"/>
  <c r="E18" i="81" s="1"/>
  <c r="E6" i="81"/>
  <c r="E14" i="81" s="1"/>
  <c r="C6" i="81"/>
  <c r="C8" i="81"/>
  <c r="C16" i="81" s="1"/>
  <c r="C9" i="81"/>
  <c r="C17" i="81" s="1"/>
  <c r="C7" i="81"/>
  <c r="C10" i="81"/>
  <c r="C18" i="81" s="1"/>
  <c r="J6" i="81"/>
  <c r="J14" i="81" s="1"/>
  <c r="J10" i="81"/>
  <c r="J18" i="81" s="1"/>
  <c r="J7" i="81"/>
  <c r="J15" i="81" s="1"/>
  <c r="G9" i="81"/>
  <c r="G17" i="81" s="1"/>
  <c r="I5" i="81"/>
  <c r="I13" i="81" s="1"/>
  <c r="F5" i="81"/>
  <c r="F13" i="81" s="1"/>
  <c r="J5" i="81"/>
  <c r="G5" i="81"/>
  <c r="C5" i="81"/>
  <c r="H17" i="81"/>
  <c r="K15" i="81"/>
  <c r="H16" i="81"/>
  <c r="K14" i="81"/>
  <c r="H18" i="81"/>
  <c r="H15" i="81"/>
  <c r="K18" i="81"/>
  <c r="H14" i="81"/>
  <c r="K17" i="81"/>
  <c r="K16" i="81"/>
  <c r="H13" i="81"/>
  <c r="K13" i="81"/>
  <c r="G45" i="18"/>
  <c r="G46" i="18" s="1"/>
  <c r="L7" i="54"/>
  <c r="B5" i="18"/>
  <c r="B6" i="18" s="1"/>
  <c r="H55" i="27"/>
  <c r="BJ84" i="64"/>
  <c r="BJ83" i="64" s="1"/>
  <c r="G55" i="27"/>
  <c r="AZ84" i="64"/>
  <c r="AZ83" i="64" s="1"/>
  <c r="J55" i="27"/>
  <c r="CD84" i="64"/>
  <c r="CD83" i="64" s="1"/>
  <c r="G25" i="27"/>
  <c r="AZ125" i="64"/>
  <c r="AZ124" i="64" s="1"/>
  <c r="H25" i="27"/>
  <c r="BJ125" i="64"/>
  <c r="BJ124" i="64" s="1"/>
  <c r="AG108" i="64"/>
  <c r="CE108" i="64"/>
  <c r="M108" i="64"/>
  <c r="BA108" i="64"/>
  <c r="W108" i="64"/>
  <c r="AQ108" i="64"/>
  <c r="BU108" i="64"/>
  <c r="BK108" i="64"/>
  <c r="BW127" i="64"/>
  <c r="BV126" i="64"/>
  <c r="BM127" i="64"/>
  <c r="BL126" i="64"/>
  <c r="AI127" i="64"/>
  <c r="AH126" i="64"/>
  <c r="CG127" i="64"/>
  <c r="CF126" i="64"/>
  <c r="O127" i="64"/>
  <c r="N126" i="64"/>
  <c r="BC127" i="64"/>
  <c r="BB126" i="64"/>
  <c r="Y127" i="64"/>
  <c r="X126" i="64"/>
  <c r="AS127" i="64"/>
  <c r="AR126" i="64"/>
  <c r="M135" i="64"/>
  <c r="N135" i="64" s="1"/>
  <c r="O135" i="64" s="1"/>
  <c r="P135" i="64" s="1"/>
  <c r="Q135" i="64" s="1"/>
  <c r="R135" i="64" s="1"/>
  <c r="S135" i="64" s="1"/>
  <c r="T135" i="64" s="1"/>
  <c r="U135" i="64" s="1"/>
  <c r="C143" i="64"/>
  <c r="D143" i="64" s="1"/>
  <c r="E143" i="64" s="1"/>
  <c r="F143" i="64" s="1"/>
  <c r="G143" i="64" s="1"/>
  <c r="H143" i="64" s="1"/>
  <c r="I143" i="64" s="1"/>
  <c r="J143" i="64" s="1"/>
  <c r="K143" i="64" s="1"/>
  <c r="C135" i="64"/>
  <c r="D135" i="64" s="1"/>
  <c r="E135" i="64" s="1"/>
  <c r="BK94" i="64"/>
  <c r="BU94" i="64"/>
  <c r="M8" i="54"/>
  <c r="N8" i="54"/>
  <c r="K34" i="14"/>
  <c r="M38" i="16"/>
  <c r="CD116" i="87" s="1"/>
  <c r="J8" i="54"/>
  <c r="M20" i="55"/>
  <c r="K8" i="54"/>
  <c r="N20" i="55"/>
  <c r="J20" i="55"/>
  <c r="K20" i="55"/>
  <c r="L7" i="55"/>
  <c r="J5" i="27"/>
  <c r="CD125" i="87" s="1"/>
  <c r="I5" i="27"/>
  <c r="BT125" i="87" s="1"/>
  <c r="BK125" i="87" s="1"/>
  <c r="M38" i="26"/>
  <c r="L38" i="26"/>
  <c r="K38" i="26"/>
  <c r="K25" i="26"/>
  <c r="K25" i="55" s="1"/>
  <c r="N38" i="26"/>
  <c r="J38" i="26"/>
  <c r="M25" i="26"/>
  <c r="M25" i="55" s="1"/>
  <c r="L25" i="26"/>
  <c r="N25" i="26"/>
  <c r="N25" i="55" s="1"/>
  <c r="J25" i="26"/>
  <c r="J25" i="55" s="1"/>
  <c r="J21" i="16"/>
  <c r="J34" i="16"/>
  <c r="M21" i="16"/>
  <c r="L25" i="16"/>
  <c r="L38" i="16"/>
  <c r="BT116" i="87" s="1"/>
  <c r="L8" i="14"/>
  <c r="L34" i="14" s="1"/>
  <c r="L8" i="16"/>
  <c r="L20" i="16"/>
  <c r="L20" i="55" s="1"/>
  <c r="L33" i="16"/>
  <c r="K21" i="16"/>
  <c r="K34" i="16"/>
  <c r="N21" i="16"/>
  <c r="N34" i="16"/>
  <c r="N33" i="25"/>
  <c r="M20" i="25"/>
  <c r="L33" i="25"/>
  <c r="N20" i="25"/>
  <c r="M33" i="25"/>
  <c r="L20" i="25"/>
  <c r="K33" i="25"/>
  <c r="K20" i="25"/>
  <c r="J20" i="25"/>
  <c r="J33" i="25"/>
  <c r="J33" i="14"/>
  <c r="J34" i="14"/>
  <c r="K20" i="14"/>
  <c r="M20" i="14"/>
  <c r="N33" i="14"/>
  <c r="N20" i="14"/>
  <c r="J20" i="14"/>
  <c r="K33" i="14"/>
  <c r="L33" i="14"/>
  <c r="J21" i="14"/>
  <c r="N34" i="14"/>
  <c r="M21" i="14"/>
  <c r="K21" i="14"/>
  <c r="N21" i="14"/>
  <c r="L20" i="14"/>
  <c r="M33" i="14"/>
  <c r="G55" i="18"/>
  <c r="G56" i="18" s="1"/>
  <c r="G35" i="18"/>
  <c r="G36" i="18" s="1"/>
  <c r="G25" i="18"/>
  <c r="G26" i="18" s="1"/>
  <c r="G15" i="18"/>
  <c r="G16" i="18" s="1"/>
  <c r="G5" i="18"/>
  <c r="G6" i="18" s="1"/>
  <c r="F8" i="26"/>
  <c r="E8" i="26"/>
  <c r="F7" i="55"/>
  <c r="F33" i="26"/>
  <c r="I38" i="26"/>
  <c r="H38" i="26"/>
  <c r="F12" i="55"/>
  <c r="F38" i="26"/>
  <c r="G38" i="26"/>
  <c r="G33" i="26"/>
  <c r="D12" i="55"/>
  <c r="H34" i="16"/>
  <c r="D7" i="55"/>
  <c r="G34" i="16"/>
  <c r="F34" i="16"/>
  <c r="I34" i="16"/>
  <c r="H34" i="14"/>
  <c r="E21" i="16"/>
  <c r="I33" i="14"/>
  <c r="H21" i="16"/>
  <c r="G21" i="16"/>
  <c r="F21" i="16"/>
  <c r="F33" i="14"/>
  <c r="H33" i="14"/>
  <c r="F34" i="14"/>
  <c r="I34" i="14"/>
  <c r="G33" i="14"/>
  <c r="G34" i="14"/>
  <c r="I21" i="16"/>
  <c r="D34" i="27"/>
  <c r="V84" i="87" s="1"/>
  <c r="E34" i="27"/>
  <c r="AF84" i="87" s="1"/>
  <c r="F33" i="25"/>
  <c r="I33" i="25"/>
  <c r="G33" i="25"/>
  <c r="H33" i="25"/>
  <c r="H10" i="54"/>
  <c r="I10" i="54"/>
  <c r="K34" i="27"/>
  <c r="CN84" i="87" s="1"/>
  <c r="CN83" i="87" s="1"/>
  <c r="F8" i="25"/>
  <c r="F14" i="21" s="1"/>
  <c r="F23" i="21"/>
  <c r="E8" i="25"/>
  <c r="C20" i="25"/>
  <c r="E20" i="25"/>
  <c r="D20" i="25"/>
  <c r="E23" i="21"/>
  <c r="E25" i="26"/>
  <c r="C12" i="28"/>
  <c r="D12" i="28" s="1"/>
  <c r="E12" i="55"/>
  <c r="C34" i="27"/>
  <c r="L84" i="87" s="1"/>
  <c r="B34" i="27"/>
  <c r="B84" i="87" s="1"/>
  <c r="C20" i="14"/>
  <c r="K5" i="27"/>
  <c r="CN125" i="87" s="1"/>
  <c r="CN124" i="87" s="1"/>
  <c r="I5" i="35"/>
  <c r="I4" i="35" s="1"/>
  <c r="F34" i="27"/>
  <c r="AP84" i="87" s="1"/>
  <c r="D7" i="28"/>
  <c r="B14" i="28"/>
  <c r="B8" i="28"/>
  <c r="I25" i="26"/>
  <c r="I25" i="55" s="1"/>
  <c r="H25" i="26"/>
  <c r="H25" i="55" s="1"/>
  <c r="G20" i="26"/>
  <c r="H12" i="55"/>
  <c r="I12" i="55"/>
  <c r="F20" i="26"/>
  <c r="G25" i="26"/>
  <c r="F25" i="26"/>
  <c r="F25" i="55" s="1"/>
  <c r="I20" i="26"/>
  <c r="I20" i="55" s="1"/>
  <c r="H20" i="26"/>
  <c r="H20" i="55" s="1"/>
  <c r="H7" i="55"/>
  <c r="G7" i="55"/>
  <c r="D21" i="1"/>
  <c r="D8" i="16"/>
  <c r="L21" i="1"/>
  <c r="C20" i="16"/>
  <c r="C20" i="55" s="1"/>
  <c r="G25" i="16"/>
  <c r="E90" i="15"/>
  <c r="F90" i="15" s="1"/>
  <c r="G90" i="15" s="1"/>
  <c r="H90" i="15" s="1"/>
  <c r="I90" i="15" s="1"/>
  <c r="J90" i="15" s="1"/>
  <c r="K90" i="15" s="1"/>
  <c r="L90" i="15" s="1"/>
  <c r="M90" i="15" s="1"/>
  <c r="N90" i="15" s="1"/>
  <c r="O90" i="15" s="1"/>
  <c r="P90" i="15" s="1"/>
  <c r="Q90" i="15" s="1"/>
  <c r="R90" i="15" s="1"/>
  <c r="S90" i="15" s="1"/>
  <c r="T90" i="15" s="1"/>
  <c r="D20" i="16"/>
  <c r="D20" i="55" s="1"/>
  <c r="E25" i="16"/>
  <c r="E93" i="15" s="1"/>
  <c r="F93" i="15" s="1"/>
  <c r="G93" i="15" s="1"/>
  <c r="H93" i="15" s="1"/>
  <c r="I93" i="15" s="1"/>
  <c r="J93" i="15" s="1"/>
  <c r="K93" i="15" s="1"/>
  <c r="L93" i="15" s="1"/>
  <c r="M93" i="15" s="1"/>
  <c r="N93" i="15" s="1"/>
  <c r="O93" i="15" s="1"/>
  <c r="P93" i="15" s="1"/>
  <c r="Q93" i="15" s="1"/>
  <c r="R93" i="15" s="1"/>
  <c r="S93" i="15" s="1"/>
  <c r="T93" i="15" s="1"/>
  <c r="E58" i="15"/>
  <c r="F58" i="15" s="1"/>
  <c r="G58" i="15" s="1"/>
  <c r="H58" i="15" s="1"/>
  <c r="I58" i="15" s="1"/>
  <c r="J58" i="15" s="1"/>
  <c r="K58" i="15" s="1"/>
  <c r="L58" i="15" s="1"/>
  <c r="M58" i="15" s="1"/>
  <c r="N58" i="15" s="1"/>
  <c r="O58" i="15" s="1"/>
  <c r="P58" i="15" s="1"/>
  <c r="Q58" i="15" s="1"/>
  <c r="R58" i="15" s="1"/>
  <c r="S58" i="15" s="1"/>
  <c r="T58" i="15" s="1"/>
  <c r="D25" i="16"/>
  <c r="C25" i="16"/>
  <c r="C25" i="55" s="1"/>
  <c r="G20" i="25"/>
  <c r="F20" i="25"/>
  <c r="I20" i="25"/>
  <c r="H20" i="25"/>
  <c r="N14" i="21"/>
  <c r="K14" i="21"/>
  <c r="D14" i="21"/>
  <c r="L14" i="21"/>
  <c r="J14" i="21"/>
  <c r="M14" i="21"/>
  <c r="J78" i="35"/>
  <c r="J77" i="35" s="1"/>
  <c r="K78" i="35"/>
  <c r="K77" i="35" s="1"/>
  <c r="M78" i="35"/>
  <c r="D78" i="35"/>
  <c r="D77" i="35" s="1"/>
  <c r="N78" i="35"/>
  <c r="L78" i="35"/>
  <c r="L77" i="35" s="1"/>
  <c r="N5" i="35"/>
  <c r="N4" i="35" s="1"/>
  <c r="M5" i="35"/>
  <c r="M4" i="35" s="1"/>
  <c r="E5" i="35"/>
  <c r="K19" i="35" s="1"/>
  <c r="K5" i="35"/>
  <c r="K4" i="35" s="1"/>
  <c r="G5" i="35"/>
  <c r="G4" i="35" s="1"/>
  <c r="D8" i="54"/>
  <c r="I45" i="18"/>
  <c r="I46" i="18" s="1"/>
  <c r="I55" i="18"/>
  <c r="I56" i="18" s="1"/>
  <c r="I25" i="18"/>
  <c r="I26" i="18" s="1"/>
  <c r="I15" i="18"/>
  <c r="I16" i="18" s="1"/>
  <c r="I35" i="18"/>
  <c r="I36" i="18" s="1"/>
  <c r="I5" i="18"/>
  <c r="I6" i="18" s="1"/>
  <c r="J5" i="35"/>
  <c r="H20" i="14"/>
  <c r="H7" i="54"/>
  <c r="F35" i="18"/>
  <c r="F36" i="18" s="1"/>
  <c r="F55" i="18"/>
  <c r="F56" i="18" s="1"/>
  <c r="F25" i="18"/>
  <c r="F26" i="18" s="1"/>
  <c r="F45" i="18"/>
  <c r="F46" i="18" s="1"/>
  <c r="F15" i="18"/>
  <c r="F16" i="18" s="1"/>
  <c r="F5" i="18"/>
  <c r="F6" i="18" s="1"/>
  <c r="D21" i="14"/>
  <c r="I20" i="14"/>
  <c r="I7" i="54"/>
  <c r="E5" i="18"/>
  <c r="E6" i="18" s="1"/>
  <c r="E45" i="18"/>
  <c r="E46" i="18" s="1"/>
  <c r="E15" i="18"/>
  <c r="E16" i="18" s="1"/>
  <c r="E55" i="18"/>
  <c r="E56" i="18" s="1"/>
  <c r="G20" i="14"/>
  <c r="G7" i="54"/>
  <c r="E35" i="18"/>
  <c r="E36" i="18" s="1"/>
  <c r="E25" i="18"/>
  <c r="E26" i="18" s="1"/>
  <c r="H5" i="35"/>
  <c r="H21" i="14"/>
  <c r="B35" i="18"/>
  <c r="B36" i="18" s="1"/>
  <c r="B38" i="18" s="1"/>
  <c r="D7" i="54"/>
  <c r="D20" i="14"/>
  <c r="B55" i="18"/>
  <c r="B56" i="18" s="1"/>
  <c r="B58" i="18" s="1"/>
  <c r="B25" i="18"/>
  <c r="B26" i="18" s="1"/>
  <c r="B28" i="18" s="1"/>
  <c r="B45" i="18"/>
  <c r="B46" i="18" s="1"/>
  <c r="B48" i="18" s="1"/>
  <c r="B15" i="18"/>
  <c r="B16" i="18" s="1"/>
  <c r="B18" i="18" s="1"/>
  <c r="D15" i="18"/>
  <c r="D16" i="18" s="1"/>
  <c r="D55" i="18"/>
  <c r="D56" i="18" s="1"/>
  <c r="D35" i="18"/>
  <c r="D36" i="18" s="1"/>
  <c r="D5" i="18"/>
  <c r="D6" i="18" s="1"/>
  <c r="F7" i="54"/>
  <c r="D45" i="18"/>
  <c r="D46" i="18" s="1"/>
  <c r="F20" i="14"/>
  <c r="D25" i="18"/>
  <c r="D26" i="18" s="1"/>
  <c r="I21" i="14"/>
  <c r="E20" i="14"/>
  <c r="E46" i="15"/>
  <c r="F46" i="15" s="1"/>
  <c r="G46" i="15" s="1"/>
  <c r="H46" i="15" s="1"/>
  <c r="I46" i="15" s="1"/>
  <c r="J46" i="15" s="1"/>
  <c r="K46" i="15" s="1"/>
  <c r="L46" i="15" s="1"/>
  <c r="M46" i="15" s="1"/>
  <c r="N46" i="15" s="1"/>
  <c r="O46" i="15" s="1"/>
  <c r="P46" i="15" s="1"/>
  <c r="Q46" i="15" s="1"/>
  <c r="R46" i="15" s="1"/>
  <c r="S46" i="15" s="1"/>
  <c r="T46" i="15" s="1"/>
  <c r="C55" i="18"/>
  <c r="C56" i="18" s="1"/>
  <c r="C25" i="18"/>
  <c r="C26" i="18" s="1"/>
  <c r="E7" i="54"/>
  <c r="C5" i="18"/>
  <c r="C6" i="18" s="1"/>
  <c r="C15" i="18"/>
  <c r="C16" i="18" s="1"/>
  <c r="E45" i="15"/>
  <c r="F45" i="15" s="1"/>
  <c r="G45" i="15" s="1"/>
  <c r="H45" i="15" s="1"/>
  <c r="I45" i="15" s="1"/>
  <c r="J45" i="15" s="1"/>
  <c r="K45" i="15" s="1"/>
  <c r="L45" i="15" s="1"/>
  <c r="M45" i="15" s="1"/>
  <c r="N45" i="15" s="1"/>
  <c r="O45" i="15" s="1"/>
  <c r="P45" i="15" s="1"/>
  <c r="Q45" i="15" s="1"/>
  <c r="R45" i="15" s="1"/>
  <c r="S45" i="15" s="1"/>
  <c r="T45" i="15" s="1"/>
  <c r="C45" i="18"/>
  <c r="C46" i="18" s="1"/>
  <c r="C35" i="18"/>
  <c r="C36" i="18" s="1"/>
  <c r="G21" i="14"/>
  <c r="K45" i="18"/>
  <c r="K46" i="18" s="1"/>
  <c r="K15" i="18"/>
  <c r="K16" i="18" s="1"/>
  <c r="K55" i="18"/>
  <c r="K56" i="18" s="1"/>
  <c r="K5" i="18"/>
  <c r="K6" i="18" s="1"/>
  <c r="K25" i="18"/>
  <c r="K26" i="18" s="1"/>
  <c r="K35" i="18"/>
  <c r="K36" i="18" s="1"/>
  <c r="F21" i="14"/>
  <c r="F5" i="35"/>
  <c r="L45" i="18"/>
  <c r="L46" i="18" s="1"/>
  <c r="L35" i="18"/>
  <c r="L36" i="18" s="1"/>
  <c r="L5" i="18"/>
  <c r="L6" i="18" s="1"/>
  <c r="L55" i="18"/>
  <c r="L56" i="18" s="1"/>
  <c r="L15" i="18"/>
  <c r="L16" i="18" s="1"/>
  <c r="L25" i="18"/>
  <c r="L26" i="18" s="1"/>
  <c r="C21" i="14"/>
  <c r="E21" i="14"/>
  <c r="J35" i="18"/>
  <c r="J36" i="18" s="1"/>
  <c r="J45" i="18"/>
  <c r="J46" i="18" s="1"/>
  <c r="J55" i="18"/>
  <c r="J56" i="18" s="1"/>
  <c r="J5" i="18"/>
  <c r="J6" i="18" s="1"/>
  <c r="J25" i="18"/>
  <c r="J26" i="18" s="1"/>
  <c r="J15" i="18"/>
  <c r="J16" i="18" s="1"/>
  <c r="H45" i="18"/>
  <c r="H46" i="18" s="1"/>
  <c r="H5" i="18"/>
  <c r="H6" i="18" s="1"/>
  <c r="H55" i="18"/>
  <c r="H56" i="18" s="1"/>
  <c r="H15" i="18"/>
  <c r="H16" i="18" s="1"/>
  <c r="H35" i="18"/>
  <c r="H36" i="18" s="1"/>
  <c r="H25" i="18"/>
  <c r="H26" i="18" s="1"/>
  <c r="D4" i="35"/>
  <c r="BN85" i="64" l="1"/>
  <c r="BN98" i="81" s="1"/>
  <c r="BN113" i="81" s="1"/>
  <c r="BY86" i="64"/>
  <c r="BY99" i="81" s="1"/>
  <c r="BX99" i="81"/>
  <c r="BM98" i="81"/>
  <c r="BM113" i="81" s="1"/>
  <c r="BN99" i="81"/>
  <c r="BM105" i="81"/>
  <c r="BM120" i="81" s="1"/>
  <c r="BN96" i="64"/>
  <c r="BW98" i="81"/>
  <c r="BW113" i="81" s="1"/>
  <c r="CH96" i="64"/>
  <c r="CG94" i="64"/>
  <c r="BD85" i="64"/>
  <c r="BX96" i="64"/>
  <c r="CH99" i="81"/>
  <c r="CG98" i="81"/>
  <c r="CG113" i="81" s="1"/>
  <c r="AU86" i="64"/>
  <c r="C21" i="88"/>
  <c r="F57" i="87"/>
  <c r="B46" i="87" s="1"/>
  <c r="H48" i="87"/>
  <c r="B11" i="87"/>
  <c r="H41" i="87"/>
  <c r="F15" i="87"/>
  <c r="F57" i="64"/>
  <c r="B46" i="64" s="1"/>
  <c r="H41" i="64"/>
  <c r="F15" i="64"/>
  <c r="H48" i="64"/>
  <c r="B11" i="64"/>
  <c r="F58" i="64"/>
  <c r="B47" i="64" s="1"/>
  <c r="BK124" i="87"/>
  <c r="BL125" i="87"/>
  <c r="B83" i="87"/>
  <c r="C84" i="87"/>
  <c r="V124" i="87"/>
  <c r="AA127" i="87"/>
  <c r="Z126" i="87"/>
  <c r="Z108" i="87" s="1"/>
  <c r="CJ86" i="87"/>
  <c r="CI85" i="87"/>
  <c r="BF86" i="87"/>
  <c r="BE85" i="87"/>
  <c r="BT124" i="87"/>
  <c r="BU125" i="87"/>
  <c r="CH126" i="87"/>
  <c r="CH108" i="87" s="1"/>
  <c r="CI127" i="87"/>
  <c r="G127" i="87"/>
  <c r="F126" i="87"/>
  <c r="F108" i="87" s="1"/>
  <c r="BO127" i="87"/>
  <c r="BN126" i="87"/>
  <c r="BN108" i="87" s="1"/>
  <c r="AK85" i="87"/>
  <c r="AL86" i="87"/>
  <c r="R86" i="87"/>
  <c r="Q85" i="87"/>
  <c r="BY127" i="87"/>
  <c r="BX126" i="87"/>
  <c r="BX108" i="87" s="1"/>
  <c r="BB125" i="87"/>
  <c r="BA124" i="87"/>
  <c r="H86" i="87"/>
  <c r="G85" i="87"/>
  <c r="AF83" i="87"/>
  <c r="AG84" i="87"/>
  <c r="BD126" i="87"/>
  <c r="BD108" i="87" s="1"/>
  <c r="BE127" i="87"/>
  <c r="AV86" i="87"/>
  <c r="AU85" i="87"/>
  <c r="CE84" i="87"/>
  <c r="CD124" i="87"/>
  <c r="CE125" i="87"/>
  <c r="W84" i="87"/>
  <c r="V83" i="87"/>
  <c r="BB84" i="87"/>
  <c r="BA83" i="87"/>
  <c r="Q127" i="87"/>
  <c r="P126" i="87"/>
  <c r="P108" i="87" s="1"/>
  <c r="AA85" i="87"/>
  <c r="AB86" i="87"/>
  <c r="BZ86" i="87"/>
  <c r="BY85" i="87"/>
  <c r="L83" i="87"/>
  <c r="M84" i="87"/>
  <c r="AP83" i="87"/>
  <c r="AQ84" i="87"/>
  <c r="AJ126" i="87"/>
  <c r="AJ108" i="87" s="1"/>
  <c r="AK127" i="87"/>
  <c r="AT126" i="87"/>
  <c r="AT108" i="87" s="1"/>
  <c r="AU127" i="87"/>
  <c r="BO85" i="87"/>
  <c r="BP86" i="87"/>
  <c r="G8" i="54"/>
  <c r="G14" i="21"/>
  <c r="G78" i="35"/>
  <c r="G153" i="35" s="1"/>
  <c r="H14" i="21"/>
  <c r="H78" i="35"/>
  <c r="H77" i="35" s="1"/>
  <c r="E5" i="27"/>
  <c r="I8" i="54"/>
  <c r="I78" i="35"/>
  <c r="I77" i="35" s="1"/>
  <c r="F5" i="27"/>
  <c r="BC98" i="81"/>
  <c r="BC113" i="81" s="1"/>
  <c r="AS98" i="81"/>
  <c r="AS113" i="81" s="1"/>
  <c r="AT85" i="64"/>
  <c r="AT99" i="81"/>
  <c r="CI86" i="64"/>
  <c r="BD99" i="81"/>
  <c r="CF103" i="81"/>
  <c r="CF118" i="81" s="1"/>
  <c r="BW105" i="81"/>
  <c r="BW120" i="81" s="1"/>
  <c r="BE86" i="64"/>
  <c r="CH85" i="64"/>
  <c r="CG105" i="81"/>
  <c r="CG120" i="81" s="1"/>
  <c r="BB103" i="81"/>
  <c r="BB118" i="81" s="1"/>
  <c r="BC94" i="64"/>
  <c r="AF77" i="75"/>
  <c r="V77" i="75"/>
  <c r="B77" i="75"/>
  <c r="L77" i="75"/>
  <c r="BT125" i="64"/>
  <c r="BT124" i="64" s="1"/>
  <c r="AP77" i="75"/>
  <c r="Q86" i="64"/>
  <c r="AJ85" i="64"/>
  <c r="AA86" i="64"/>
  <c r="BT116" i="64"/>
  <c r="CD116" i="64"/>
  <c r="AK86" i="64"/>
  <c r="Z85" i="64"/>
  <c r="P85" i="64"/>
  <c r="AJ99" i="81"/>
  <c r="O98" i="81"/>
  <c r="O113" i="81" s="1"/>
  <c r="Z99" i="81"/>
  <c r="P99" i="81"/>
  <c r="BX98" i="81"/>
  <c r="BX113" i="81" s="1"/>
  <c r="BO99" i="81"/>
  <c r="Y98" i="81"/>
  <c r="Y113" i="81" s="1"/>
  <c r="E98" i="81"/>
  <c r="E113" i="81" s="1"/>
  <c r="AI98" i="81"/>
  <c r="AI113" i="81" s="1"/>
  <c r="F99" i="81"/>
  <c r="F85" i="64"/>
  <c r="G86" i="64"/>
  <c r="BL94" i="64"/>
  <c r="BK103" i="81"/>
  <c r="BK118" i="81" s="1"/>
  <c r="AS94" i="64"/>
  <c r="AR103" i="81"/>
  <c r="AR118" i="81" s="1"/>
  <c r="AT96" i="64"/>
  <c r="AS105" i="81"/>
  <c r="AS120" i="81" s="1"/>
  <c r="Y94" i="64"/>
  <c r="X103" i="81"/>
  <c r="X118" i="81" s="1"/>
  <c r="AJ96" i="64"/>
  <c r="AI105" i="81"/>
  <c r="AI120" i="81" s="1"/>
  <c r="AI94" i="64"/>
  <c r="AH103" i="81"/>
  <c r="AH118" i="81" s="1"/>
  <c r="P96" i="64"/>
  <c r="O105" i="81"/>
  <c r="O120" i="81" s="1"/>
  <c r="O94" i="64"/>
  <c r="N103" i="81"/>
  <c r="N118" i="81" s="1"/>
  <c r="BV94" i="64"/>
  <c r="BU103" i="81"/>
  <c r="BU118" i="81" s="1"/>
  <c r="F96" i="64"/>
  <c r="E105" i="81"/>
  <c r="E120" i="81" s="1"/>
  <c r="BE96" i="64"/>
  <c r="BD105" i="81"/>
  <c r="BD120" i="81" s="1"/>
  <c r="Z96" i="64"/>
  <c r="Y105" i="81"/>
  <c r="Y120" i="81" s="1"/>
  <c r="E94" i="64"/>
  <c r="D103" i="81"/>
  <c r="D118" i="81" s="1"/>
  <c r="C2" i="81"/>
  <c r="E36" i="81"/>
  <c r="H36" i="81"/>
  <c r="H37" i="81"/>
  <c r="H22" i="81" s="1"/>
  <c r="G13" i="81"/>
  <c r="G36" i="81"/>
  <c r="K37" i="81"/>
  <c r="K21" i="81" s="1"/>
  <c r="J13" i="81"/>
  <c r="J36" i="81"/>
  <c r="F37" i="81"/>
  <c r="I37" i="81"/>
  <c r="I24" i="81" s="1"/>
  <c r="F36" i="81"/>
  <c r="I36" i="81"/>
  <c r="D36" i="81"/>
  <c r="D13" i="81"/>
  <c r="K36" i="81"/>
  <c r="E37" i="81"/>
  <c r="C15" i="81"/>
  <c r="C14" i="81"/>
  <c r="C13" i="81"/>
  <c r="C36" i="81"/>
  <c r="D7" i="19"/>
  <c r="V106" i="87" s="1"/>
  <c r="I3" i="19"/>
  <c r="BT103" i="87" s="1"/>
  <c r="E8" i="19"/>
  <c r="AF107" i="87" s="1"/>
  <c r="I7" i="19"/>
  <c r="BT106" i="87" s="1"/>
  <c r="K3" i="19"/>
  <c r="CN103" i="87" s="1"/>
  <c r="J7" i="19"/>
  <c r="CD106" i="87" s="1"/>
  <c r="B3" i="19"/>
  <c r="B103" i="87" s="1"/>
  <c r="D8" i="19"/>
  <c r="V107" i="87" s="1"/>
  <c r="H3" i="19"/>
  <c r="BJ103" i="87" s="1"/>
  <c r="J3" i="19"/>
  <c r="CD103" i="87" s="1"/>
  <c r="I8" i="19"/>
  <c r="BT107" i="87" s="1"/>
  <c r="C8" i="19"/>
  <c r="L107" i="87" s="1"/>
  <c r="D3" i="19"/>
  <c r="V103" i="87" s="1"/>
  <c r="E7" i="19"/>
  <c r="AF106" i="87" s="1"/>
  <c r="F7" i="19"/>
  <c r="AP106" i="87" s="1"/>
  <c r="E3" i="19"/>
  <c r="AF103" i="87" s="1"/>
  <c r="F3" i="19"/>
  <c r="AP103" i="87" s="1"/>
  <c r="K7" i="19"/>
  <c r="CN106" i="87" s="1"/>
  <c r="G7" i="19"/>
  <c r="AZ106" i="87" s="1"/>
  <c r="K8" i="19"/>
  <c r="CN107" i="87" s="1"/>
  <c r="F8" i="19"/>
  <c r="AP107" i="87" s="1"/>
  <c r="G8" i="19"/>
  <c r="AZ107" i="87" s="1"/>
  <c r="C7" i="19"/>
  <c r="L106" i="87" s="1"/>
  <c r="H8" i="19"/>
  <c r="BJ107" i="87" s="1"/>
  <c r="J8" i="19"/>
  <c r="CD107" i="87" s="1"/>
  <c r="G3" i="19"/>
  <c r="AZ103" i="87" s="1"/>
  <c r="C3" i="19"/>
  <c r="L103" i="87" s="1"/>
  <c r="H7" i="19"/>
  <c r="BJ106" i="87" s="1"/>
  <c r="V125" i="64"/>
  <c r="V124" i="64" s="1"/>
  <c r="V104" i="75"/>
  <c r="C58" i="18"/>
  <c r="B7" i="19"/>
  <c r="B106" i="87" s="1"/>
  <c r="C38" i="18"/>
  <c r="B6" i="19"/>
  <c r="B91" i="75" s="1"/>
  <c r="C48" i="18"/>
  <c r="B8" i="19"/>
  <c r="B107" i="87" s="1"/>
  <c r="C28" i="18"/>
  <c r="B5" i="19"/>
  <c r="B105" i="87" s="1"/>
  <c r="C18" i="18"/>
  <c r="B4" i="19"/>
  <c r="B104" i="87" s="1"/>
  <c r="BA84" i="64"/>
  <c r="E55" i="27"/>
  <c r="AF84" i="64"/>
  <c r="AF83" i="64" s="1"/>
  <c r="F55" i="27"/>
  <c r="AP84" i="64"/>
  <c r="D55" i="27"/>
  <c r="V84" i="64"/>
  <c r="B55" i="27"/>
  <c r="B84" i="64"/>
  <c r="B83" i="64" s="1"/>
  <c r="K55" i="27"/>
  <c r="CN84" i="64"/>
  <c r="CN83" i="64" s="1"/>
  <c r="C55" i="27"/>
  <c r="L84" i="64"/>
  <c r="L83" i="64" s="1"/>
  <c r="K25" i="27"/>
  <c r="CN125" i="64"/>
  <c r="CN124" i="64" s="1"/>
  <c r="J25" i="27"/>
  <c r="CD125" i="64"/>
  <c r="BA125" i="64"/>
  <c r="X108" i="64"/>
  <c r="AH108" i="64"/>
  <c r="BB108" i="64"/>
  <c r="BL108" i="64"/>
  <c r="N108" i="64"/>
  <c r="BV108" i="64"/>
  <c r="AR108" i="64"/>
  <c r="CF108" i="64"/>
  <c r="I25" i="27"/>
  <c r="D25" i="27"/>
  <c r="F135" i="64"/>
  <c r="G135" i="64" s="1"/>
  <c r="H135" i="64" s="1"/>
  <c r="I135" i="64" s="1"/>
  <c r="J135" i="64" s="1"/>
  <c r="K135" i="64" s="1"/>
  <c r="AT127" i="64"/>
  <c r="AS126" i="64"/>
  <c r="CH127" i="64"/>
  <c r="CG126" i="64"/>
  <c r="Z127" i="64"/>
  <c r="Y126" i="64"/>
  <c r="AJ127" i="64"/>
  <c r="AI126" i="64"/>
  <c r="BD127" i="64"/>
  <c r="BC126" i="64"/>
  <c r="BN127" i="64"/>
  <c r="BM126" i="64"/>
  <c r="P127" i="64"/>
  <c r="O126" i="64"/>
  <c r="BX127" i="64"/>
  <c r="BW126" i="64"/>
  <c r="BP86" i="64"/>
  <c r="BO85" i="64"/>
  <c r="M34" i="14"/>
  <c r="E14" i="21"/>
  <c r="K16" i="54"/>
  <c r="M34" i="16"/>
  <c r="L8" i="55"/>
  <c r="L25" i="55"/>
  <c r="L16" i="54"/>
  <c r="M16" i="54"/>
  <c r="J16" i="54"/>
  <c r="N16" i="54"/>
  <c r="L8" i="54"/>
  <c r="M34" i="26"/>
  <c r="L34" i="26"/>
  <c r="N34" i="26"/>
  <c r="M21" i="26"/>
  <c r="M21" i="55" s="1"/>
  <c r="L21" i="26"/>
  <c r="K21" i="26"/>
  <c r="K21" i="55" s="1"/>
  <c r="J21" i="26"/>
  <c r="J21" i="55" s="1"/>
  <c r="N21" i="26"/>
  <c r="N21" i="55" s="1"/>
  <c r="K34" i="26"/>
  <c r="J34" i="26"/>
  <c r="L5" i="35"/>
  <c r="L4" i="35" s="1"/>
  <c r="L21" i="14"/>
  <c r="L21" i="16"/>
  <c r="L34" i="16"/>
  <c r="K21" i="25"/>
  <c r="K17" i="54" s="1"/>
  <c r="I34" i="27"/>
  <c r="BT84" i="87" s="1"/>
  <c r="L21" i="25"/>
  <c r="M21" i="25"/>
  <c r="M17" i="54" s="1"/>
  <c r="K34" i="25"/>
  <c r="M34" i="25"/>
  <c r="N21" i="25"/>
  <c r="N17" i="54" s="1"/>
  <c r="J21" i="25"/>
  <c r="J17" i="54" s="1"/>
  <c r="L34" i="25"/>
  <c r="N34" i="25"/>
  <c r="J34" i="25"/>
  <c r="G34" i="26"/>
  <c r="H34" i="26"/>
  <c r="F8" i="55"/>
  <c r="F34" i="26"/>
  <c r="I34" i="26"/>
  <c r="E21" i="26"/>
  <c r="E21" i="55" s="1"/>
  <c r="D8" i="55"/>
  <c r="I34" i="25"/>
  <c r="G34" i="25"/>
  <c r="F34" i="25"/>
  <c r="H34" i="25"/>
  <c r="F10" i="54"/>
  <c r="G10" i="54"/>
  <c r="C5" i="27"/>
  <c r="L125" i="87" s="1"/>
  <c r="K13" i="21"/>
  <c r="N13" i="21"/>
  <c r="F8" i="54"/>
  <c r="F78" i="35"/>
  <c r="E78" i="35"/>
  <c r="L13" i="21"/>
  <c r="E21" i="25"/>
  <c r="E17" i="54" s="1"/>
  <c r="F21" i="25"/>
  <c r="F17" i="54" s="1"/>
  <c r="G21" i="25"/>
  <c r="G17" i="54" s="1"/>
  <c r="D21" i="25"/>
  <c r="D17" i="54" s="1"/>
  <c r="H21" i="26"/>
  <c r="C14" i="28"/>
  <c r="D14" i="28" s="1"/>
  <c r="B5" i="27"/>
  <c r="B125" i="87" s="1"/>
  <c r="D16" i="54"/>
  <c r="E8" i="54"/>
  <c r="H21" i="25"/>
  <c r="H17" i="54" s="1"/>
  <c r="E13" i="21"/>
  <c r="J13" i="21"/>
  <c r="C13" i="21"/>
  <c r="I13" i="21"/>
  <c r="D13" i="21"/>
  <c r="G13" i="21"/>
  <c r="F13" i="21"/>
  <c r="H13" i="21"/>
  <c r="C16" i="54"/>
  <c r="M13" i="21"/>
  <c r="I21" i="26"/>
  <c r="E8" i="55"/>
  <c r="G21" i="26"/>
  <c r="F21" i="26"/>
  <c r="C8" i="28"/>
  <c r="D8" i="28" s="1"/>
  <c r="D25" i="55"/>
  <c r="G20" i="55"/>
  <c r="M77" i="35"/>
  <c r="M153" i="35"/>
  <c r="N77" i="35"/>
  <c r="N153" i="35"/>
  <c r="H103" i="35"/>
  <c r="J64" i="27"/>
  <c r="E89" i="15"/>
  <c r="F89" i="15" s="1"/>
  <c r="G89" i="15" s="1"/>
  <c r="H89" i="15" s="1"/>
  <c r="I89" i="15" s="1"/>
  <c r="J89" i="15" s="1"/>
  <c r="K89" i="15" s="1"/>
  <c r="L89" i="15" s="1"/>
  <c r="M89" i="15" s="1"/>
  <c r="N89" i="15" s="1"/>
  <c r="O89" i="15" s="1"/>
  <c r="P89" i="15" s="1"/>
  <c r="Q89" i="15" s="1"/>
  <c r="R89" i="15" s="1"/>
  <c r="S89" i="15" s="1"/>
  <c r="T89" i="15" s="1"/>
  <c r="G25" i="55"/>
  <c r="E94" i="15"/>
  <c r="F94" i="15" s="1"/>
  <c r="G94" i="15" s="1"/>
  <c r="H94" i="15" s="1"/>
  <c r="I94" i="15" s="1"/>
  <c r="J94" i="15" s="1"/>
  <c r="K94" i="15" s="1"/>
  <c r="L94" i="15" s="1"/>
  <c r="M94" i="15" s="1"/>
  <c r="N94" i="15" s="1"/>
  <c r="O94" i="15" s="1"/>
  <c r="P94" i="15" s="1"/>
  <c r="Q94" i="15" s="1"/>
  <c r="R94" i="15" s="1"/>
  <c r="S94" i="15" s="1"/>
  <c r="T94" i="15" s="1"/>
  <c r="G16" i="54"/>
  <c r="E25" i="55"/>
  <c r="T46" i="35"/>
  <c r="F20" i="55"/>
  <c r="E20" i="55"/>
  <c r="F16" i="54"/>
  <c r="H16" i="54"/>
  <c r="C21" i="16"/>
  <c r="C21" i="55" s="1"/>
  <c r="D21" i="16"/>
  <c r="I21" i="25"/>
  <c r="I17" i="54" s="1"/>
  <c r="I16" i="54"/>
  <c r="C21" i="25"/>
  <c r="C17" i="54" s="1"/>
  <c r="C14" i="21"/>
  <c r="C8" i="54"/>
  <c r="O68" i="35"/>
  <c r="E121" i="35"/>
  <c r="K153" i="35"/>
  <c r="M103" i="35"/>
  <c r="H92" i="35"/>
  <c r="Q57" i="35"/>
  <c r="R103" i="35"/>
  <c r="H19" i="35"/>
  <c r="D92" i="35"/>
  <c r="Q92" i="35"/>
  <c r="G19" i="35"/>
  <c r="R68" i="35"/>
  <c r="G92" i="35"/>
  <c r="T145" i="35"/>
  <c r="R30" i="35"/>
  <c r="S92" i="35"/>
  <c r="S45" i="35"/>
  <c r="M92" i="35"/>
  <c r="I19" i="35"/>
  <c r="I122" i="35"/>
  <c r="L92" i="35"/>
  <c r="M121" i="35"/>
  <c r="R45" i="35"/>
  <c r="P121" i="35"/>
  <c r="E45" i="35"/>
  <c r="S30" i="35"/>
  <c r="N30" i="35"/>
  <c r="D153" i="35"/>
  <c r="K103" i="35"/>
  <c r="D103" i="35"/>
  <c r="M122" i="35"/>
  <c r="T45" i="35"/>
  <c r="M30" i="35"/>
  <c r="P46" i="35"/>
  <c r="S57" i="35"/>
  <c r="F19" i="35"/>
  <c r="L121" i="35"/>
  <c r="R121" i="35"/>
  <c r="F30" i="35"/>
  <c r="Q46" i="35"/>
  <c r="S134" i="35"/>
  <c r="P19" i="35"/>
  <c r="P92" i="35"/>
  <c r="N122" i="35"/>
  <c r="G45" i="35"/>
  <c r="O134" i="35"/>
  <c r="H30" i="35"/>
  <c r="L19" i="35"/>
  <c r="G121" i="35"/>
  <c r="O121" i="35"/>
  <c r="K46" i="35"/>
  <c r="T57" i="35"/>
  <c r="T134" i="35"/>
  <c r="Q19" i="35"/>
  <c r="L103" i="35"/>
  <c r="G103" i="35"/>
  <c r="I121" i="35"/>
  <c r="O122" i="35"/>
  <c r="T30" i="35"/>
  <c r="Q45" i="35"/>
  <c r="K30" i="35"/>
  <c r="I30" i="35"/>
  <c r="R19" i="35"/>
  <c r="L122" i="35"/>
  <c r="N121" i="35"/>
  <c r="I45" i="35"/>
  <c r="T103" i="35"/>
  <c r="Q134" i="35"/>
  <c r="O46" i="35"/>
  <c r="L30" i="35"/>
  <c r="S19" i="35"/>
  <c r="J122" i="35"/>
  <c r="O57" i="35"/>
  <c r="J45" i="35"/>
  <c r="Q103" i="35"/>
  <c r="S145" i="35"/>
  <c r="R46" i="35"/>
  <c r="J19" i="35"/>
  <c r="K122" i="35"/>
  <c r="Q121" i="35"/>
  <c r="E4" i="35"/>
  <c r="T92" i="35"/>
  <c r="R134" i="35"/>
  <c r="P30" i="35"/>
  <c r="N19" i="35"/>
  <c r="I103" i="35"/>
  <c r="E103" i="35"/>
  <c r="J121" i="35"/>
  <c r="Q122" i="35"/>
  <c r="L45" i="35"/>
  <c r="P134" i="35"/>
  <c r="P68" i="35"/>
  <c r="T68" i="35"/>
  <c r="O92" i="35"/>
  <c r="E92" i="35"/>
  <c r="K92" i="35"/>
  <c r="K165" i="35" s="1"/>
  <c r="S103" i="35"/>
  <c r="O145" i="35"/>
  <c r="P45" i="35"/>
  <c r="J92" i="35"/>
  <c r="S122" i="35"/>
  <c r="N46" i="35"/>
  <c r="D45" i="35"/>
  <c r="R145" i="35"/>
  <c r="T19" i="35"/>
  <c r="H122" i="35"/>
  <c r="T121" i="35"/>
  <c r="H45" i="35"/>
  <c r="N103" i="35"/>
  <c r="G30" i="35"/>
  <c r="J30" i="35"/>
  <c r="J103" i="35"/>
  <c r="F103" i="35"/>
  <c r="D121" i="35"/>
  <c r="I92" i="35"/>
  <c r="R122" i="35"/>
  <c r="E30" i="35"/>
  <c r="F92" i="35"/>
  <c r="O103" i="35"/>
  <c r="K45" i="35"/>
  <c r="S68" i="35"/>
  <c r="D19" i="35"/>
  <c r="O19" i="35"/>
  <c r="H121" i="35"/>
  <c r="S121" i="35"/>
  <c r="O45" i="35"/>
  <c r="Q68" i="35"/>
  <c r="L46" i="35"/>
  <c r="P145" i="35"/>
  <c r="M46" i="35"/>
  <c r="S46" i="35"/>
  <c r="M19" i="35"/>
  <c r="K121" i="35"/>
  <c r="R92" i="35"/>
  <c r="T122" i="35"/>
  <c r="F45" i="35"/>
  <c r="R57" i="35"/>
  <c r="P103" i="35"/>
  <c r="N45" i="35"/>
  <c r="D30" i="35"/>
  <c r="E19" i="35"/>
  <c r="F121" i="35"/>
  <c r="P122" i="35"/>
  <c r="P57" i="35"/>
  <c r="M45" i="35"/>
  <c r="Q30" i="35"/>
  <c r="Q145" i="35"/>
  <c r="O30" i="35"/>
  <c r="N92" i="35"/>
  <c r="G6" i="19"/>
  <c r="AZ102" i="87" s="1"/>
  <c r="H38" i="18"/>
  <c r="H48" i="18"/>
  <c r="J48" i="18"/>
  <c r="F4" i="35"/>
  <c r="J6" i="19"/>
  <c r="CD102" i="87" s="1"/>
  <c r="K38" i="18"/>
  <c r="K65" i="18"/>
  <c r="K8" i="18"/>
  <c r="K58" i="18"/>
  <c r="C8" i="18"/>
  <c r="C65" i="18"/>
  <c r="D48" i="18"/>
  <c r="D65" i="18"/>
  <c r="D8" i="18"/>
  <c r="B65" i="18"/>
  <c r="B8" i="18"/>
  <c r="E4" i="19"/>
  <c r="AF104" i="87" s="1"/>
  <c r="F18" i="18"/>
  <c r="H6" i="19"/>
  <c r="BJ102" i="87" s="1"/>
  <c r="I38" i="18"/>
  <c r="I28" i="18"/>
  <c r="H5" i="19"/>
  <c r="BJ105" i="87" s="1"/>
  <c r="H18" i="18"/>
  <c r="G4" i="19"/>
  <c r="AZ104" i="87" s="1"/>
  <c r="J8" i="18"/>
  <c r="J65" i="18"/>
  <c r="K4" i="19"/>
  <c r="CN104" i="87" s="1"/>
  <c r="L18" i="18"/>
  <c r="K28" i="18"/>
  <c r="J5" i="19"/>
  <c r="CD105" i="87" s="1"/>
  <c r="D28" i="18"/>
  <c r="C5" i="19"/>
  <c r="L105" i="87" s="1"/>
  <c r="D58" i="18"/>
  <c r="E28" i="18"/>
  <c r="D5" i="19"/>
  <c r="V105" i="87" s="1"/>
  <c r="E8" i="18"/>
  <c r="E65" i="18"/>
  <c r="F6" i="19"/>
  <c r="AP102" i="87" s="1"/>
  <c r="G38" i="18"/>
  <c r="G28" i="18"/>
  <c r="F5" i="19"/>
  <c r="AP105" i="87" s="1"/>
  <c r="G48" i="18"/>
  <c r="G65" i="18"/>
  <c r="G8" i="18"/>
  <c r="F48" i="18"/>
  <c r="F58" i="18"/>
  <c r="I58" i="18"/>
  <c r="H58" i="18"/>
  <c r="J18" i="18"/>
  <c r="I4" i="19"/>
  <c r="BT104" i="87" s="1"/>
  <c r="I6" i="19"/>
  <c r="BT102" i="87" s="1"/>
  <c r="J38" i="18"/>
  <c r="K5" i="19"/>
  <c r="CN105" i="87" s="1"/>
  <c r="L28" i="18"/>
  <c r="L58" i="18"/>
  <c r="L48" i="18"/>
  <c r="K18" i="18"/>
  <c r="J4" i="19"/>
  <c r="CD104" i="87" s="1"/>
  <c r="E16" i="54"/>
  <c r="E76" i="15"/>
  <c r="F76" i="15" s="1"/>
  <c r="G76" i="15" s="1"/>
  <c r="H76" i="15" s="1"/>
  <c r="I76" i="15" s="1"/>
  <c r="J76" i="15" s="1"/>
  <c r="K76" i="15" s="1"/>
  <c r="L76" i="15" s="1"/>
  <c r="M76" i="15" s="1"/>
  <c r="N76" i="15" s="1"/>
  <c r="O76" i="15" s="1"/>
  <c r="P76" i="15" s="1"/>
  <c r="Q76" i="15" s="1"/>
  <c r="R76" i="15" s="1"/>
  <c r="S76" i="15" s="1"/>
  <c r="T76" i="15" s="1"/>
  <c r="E77" i="15"/>
  <c r="F77" i="15" s="1"/>
  <c r="G77" i="15" s="1"/>
  <c r="H77" i="15" s="1"/>
  <c r="I77" i="15" s="1"/>
  <c r="J77" i="15" s="1"/>
  <c r="K77" i="15" s="1"/>
  <c r="L77" i="15" s="1"/>
  <c r="M77" i="15" s="1"/>
  <c r="N77" i="15" s="1"/>
  <c r="O77" i="15" s="1"/>
  <c r="P77" i="15" s="1"/>
  <c r="Q77" i="15" s="1"/>
  <c r="R77" i="15" s="1"/>
  <c r="S77" i="15" s="1"/>
  <c r="T77" i="15" s="1"/>
  <c r="D38" i="18"/>
  <c r="C6" i="19"/>
  <c r="L102" i="87" s="1"/>
  <c r="D18" i="18"/>
  <c r="C4" i="19"/>
  <c r="L104" i="87" s="1"/>
  <c r="H4" i="35"/>
  <c r="D4" i="19"/>
  <c r="V104" i="87" s="1"/>
  <c r="E18" i="18"/>
  <c r="F4" i="19"/>
  <c r="AP104" i="87" s="1"/>
  <c r="G18" i="18"/>
  <c r="G58" i="18"/>
  <c r="J4" i="35"/>
  <c r="J153" i="35"/>
  <c r="I65" i="18"/>
  <c r="I8" i="18"/>
  <c r="I18" i="18"/>
  <c r="H4" i="19"/>
  <c r="BJ104" i="87" s="1"/>
  <c r="H28" i="18"/>
  <c r="G5" i="19"/>
  <c r="AZ105" i="87" s="1"/>
  <c r="H65" i="18"/>
  <c r="H8" i="18"/>
  <c r="I5" i="19"/>
  <c r="BT105" i="87" s="1"/>
  <c r="J28" i="18"/>
  <c r="J58" i="18"/>
  <c r="L65" i="18"/>
  <c r="L8" i="18"/>
  <c r="K6" i="19"/>
  <c r="CN102" i="87" s="1"/>
  <c r="L38" i="18"/>
  <c r="K48" i="18"/>
  <c r="D6" i="19"/>
  <c r="V102" i="87" s="1"/>
  <c r="E38" i="18"/>
  <c r="E58" i="18"/>
  <c r="E48" i="18"/>
  <c r="F65" i="18"/>
  <c r="F8" i="18"/>
  <c r="F28" i="18"/>
  <c r="E5" i="19"/>
  <c r="AF105" i="87" s="1"/>
  <c r="F38" i="18"/>
  <c r="E6" i="19"/>
  <c r="AF102" i="87" s="1"/>
  <c r="I48" i="18"/>
  <c r="BZ86" i="64" l="1"/>
  <c r="BZ85" i="64" s="1"/>
  <c r="BY85" i="64"/>
  <c r="BO96" i="64"/>
  <c r="BP96" i="64" s="1"/>
  <c r="BX105" i="81"/>
  <c r="BX120" i="81" s="1"/>
  <c r="BY96" i="64"/>
  <c r="BZ96" i="64" s="1"/>
  <c r="AU85" i="64"/>
  <c r="AU98" i="81" s="1"/>
  <c r="AU113" i="81" s="1"/>
  <c r="AV86" i="64"/>
  <c r="BN105" i="81"/>
  <c r="BN120" i="81" s="1"/>
  <c r="CH94" i="64"/>
  <c r="BD98" i="81"/>
  <c r="BD113" i="81" s="1"/>
  <c r="CI96" i="64"/>
  <c r="CG103" i="81"/>
  <c r="CG118" i="81" s="1"/>
  <c r="CH98" i="81"/>
  <c r="CH113" i="81" s="1"/>
  <c r="AT98" i="81"/>
  <c r="AT113" i="81" s="1"/>
  <c r="BE99" i="81"/>
  <c r="AU99" i="81"/>
  <c r="CJ86" i="64"/>
  <c r="CD49" i="81"/>
  <c r="CD57" i="81" s="1"/>
  <c r="CH105" i="81"/>
  <c r="CH120" i="81" s="1"/>
  <c r="CN46" i="81"/>
  <c r="CN47" i="81"/>
  <c r="CN55" i="81" s="1"/>
  <c r="CN48" i="81"/>
  <c r="CN56" i="81" s="1"/>
  <c r="CN49" i="81"/>
  <c r="CN57" i="81" s="1"/>
  <c r="CN50" i="81"/>
  <c r="CN58" i="81" s="1"/>
  <c r="CN51" i="81"/>
  <c r="CN59" i="81" s="1"/>
  <c r="AF50" i="81"/>
  <c r="AF58" i="81" s="1"/>
  <c r="AF51" i="81"/>
  <c r="AF59" i="81" s="1"/>
  <c r="AF46" i="81"/>
  <c r="AF48" i="81"/>
  <c r="AF56" i="81" s="1"/>
  <c r="AF47" i="81"/>
  <c r="AF55" i="81" s="1"/>
  <c r="AF49" i="81"/>
  <c r="AF57" i="81" s="1"/>
  <c r="BJ49" i="81"/>
  <c r="BJ57" i="81" s="1"/>
  <c r="AZ47" i="81"/>
  <c r="AZ55" i="81" s="1"/>
  <c r="BJ47" i="81"/>
  <c r="BJ55" i="81" s="1"/>
  <c r="AZ46" i="81"/>
  <c r="BJ48" i="81"/>
  <c r="BJ56" i="81" s="1"/>
  <c r="CD47" i="81"/>
  <c r="CD55" i="81" s="1"/>
  <c r="BJ46" i="81"/>
  <c r="CD46" i="81"/>
  <c r="AZ51" i="81"/>
  <c r="AZ59" i="81" s="1"/>
  <c r="CD50" i="81"/>
  <c r="CD58" i="81" s="1"/>
  <c r="AZ50" i="81"/>
  <c r="AZ58" i="81" s="1"/>
  <c r="L46" i="81"/>
  <c r="L47" i="81"/>
  <c r="L48" i="81"/>
  <c r="L49" i="81"/>
  <c r="L50" i="81"/>
  <c r="L51" i="81"/>
  <c r="BJ51" i="81"/>
  <c r="BJ59" i="81" s="1"/>
  <c r="AZ49" i="81"/>
  <c r="AZ57" i="81" s="1"/>
  <c r="CD51" i="81"/>
  <c r="CD59" i="81" s="1"/>
  <c r="BJ50" i="81"/>
  <c r="BJ58" i="81" s="1"/>
  <c r="AZ48" i="81"/>
  <c r="AZ56" i="81" s="1"/>
  <c r="CD48" i="81"/>
  <c r="CD56" i="81" s="1"/>
  <c r="C20" i="88"/>
  <c r="AG105" i="87"/>
  <c r="AH105" i="87" s="1"/>
  <c r="AI105" i="87" s="1"/>
  <c r="AJ105" i="87" s="1"/>
  <c r="AK105" i="87" s="1"/>
  <c r="AL105" i="87" s="1"/>
  <c r="AM105" i="87" s="1"/>
  <c r="AN105" i="87" s="1"/>
  <c r="AO105" i="87" s="1"/>
  <c r="BK106" i="87"/>
  <c r="BL106" i="87" s="1"/>
  <c r="BM106" i="87" s="1"/>
  <c r="BN106" i="87" s="1"/>
  <c r="BO106" i="87" s="1"/>
  <c r="BP106" i="87" s="1"/>
  <c r="BQ106" i="87" s="1"/>
  <c r="BR106" i="87" s="1"/>
  <c r="BS106" i="87" s="1"/>
  <c r="BA103" i="87"/>
  <c r="BB103" i="87" s="1"/>
  <c r="BC103" i="87" s="1"/>
  <c r="BD103" i="87" s="1"/>
  <c r="BE103" i="87" s="1"/>
  <c r="BF103" i="87" s="1"/>
  <c r="BG103" i="87" s="1"/>
  <c r="BH103" i="87" s="1"/>
  <c r="BI103" i="87" s="1"/>
  <c r="BU105" i="87"/>
  <c r="BV105" i="87" s="1"/>
  <c r="BW105" i="87" s="1"/>
  <c r="BX105" i="87" s="1"/>
  <c r="BY105" i="87" s="1"/>
  <c r="BZ105" i="87" s="1"/>
  <c r="CA105" i="87" s="1"/>
  <c r="CB105" i="87" s="1"/>
  <c r="CC105" i="87" s="1"/>
  <c r="BA107" i="87"/>
  <c r="BB107" i="87" s="1"/>
  <c r="BC107" i="87" s="1"/>
  <c r="BD107" i="87" s="1"/>
  <c r="BE107" i="87" s="1"/>
  <c r="BF107" i="87" s="1"/>
  <c r="BG107" i="87" s="1"/>
  <c r="BH107" i="87" s="1"/>
  <c r="BI107" i="87" s="1"/>
  <c r="W103" i="87"/>
  <c r="X103" i="87" s="1"/>
  <c r="Y103" i="87" s="1"/>
  <c r="Z103" i="87" s="1"/>
  <c r="AA103" i="87" s="1"/>
  <c r="AB103" i="87" s="1"/>
  <c r="AC103" i="87" s="1"/>
  <c r="AD103" i="87" s="1"/>
  <c r="AE103" i="87" s="1"/>
  <c r="C21" i="74"/>
  <c r="AQ106" i="87"/>
  <c r="AR106" i="87" s="1"/>
  <c r="AS106" i="87" s="1"/>
  <c r="AT106" i="87" s="1"/>
  <c r="AU106" i="87" s="1"/>
  <c r="AV106" i="87" s="1"/>
  <c r="AW106" i="87" s="1"/>
  <c r="AX106" i="87" s="1"/>
  <c r="AY106" i="87" s="1"/>
  <c r="BA105" i="87"/>
  <c r="BB105" i="87" s="1"/>
  <c r="BC105" i="87" s="1"/>
  <c r="BD105" i="87" s="1"/>
  <c r="BE105" i="87" s="1"/>
  <c r="BF105" i="87" s="1"/>
  <c r="BG105" i="87" s="1"/>
  <c r="BH105" i="87" s="1"/>
  <c r="BI105" i="87" s="1"/>
  <c r="AQ105" i="87"/>
  <c r="AR105" i="87" s="1"/>
  <c r="AS105" i="87" s="1"/>
  <c r="AT105" i="87" s="1"/>
  <c r="AU105" i="87" s="1"/>
  <c r="AV105" i="87" s="1"/>
  <c r="AW105" i="87" s="1"/>
  <c r="AX105" i="87" s="1"/>
  <c r="AY105" i="87" s="1"/>
  <c r="AG106" i="87"/>
  <c r="AH106" i="87" s="1"/>
  <c r="AI106" i="87" s="1"/>
  <c r="AJ106" i="87" s="1"/>
  <c r="AK106" i="87" s="1"/>
  <c r="AL106" i="87" s="1"/>
  <c r="AM106" i="87" s="1"/>
  <c r="AN106" i="87" s="1"/>
  <c r="AO106" i="87" s="1"/>
  <c r="CE106" i="87"/>
  <c r="CF106" i="87" s="1"/>
  <c r="CG106" i="87" s="1"/>
  <c r="CH106" i="87" s="1"/>
  <c r="CI106" i="87" s="1"/>
  <c r="CJ106" i="87" s="1"/>
  <c r="CK106" i="87" s="1"/>
  <c r="CL106" i="87" s="1"/>
  <c r="CM106" i="87" s="1"/>
  <c r="AQ107" i="87"/>
  <c r="AR107" i="87" s="1"/>
  <c r="AS107" i="87" s="1"/>
  <c r="AT107" i="87" s="1"/>
  <c r="AU107" i="87" s="1"/>
  <c r="AV107" i="87" s="1"/>
  <c r="AW107" i="87" s="1"/>
  <c r="AX107" i="87" s="1"/>
  <c r="AY107" i="87" s="1"/>
  <c r="AQ104" i="87"/>
  <c r="AR104" i="87" s="1"/>
  <c r="AS104" i="87" s="1"/>
  <c r="AT104" i="87" s="1"/>
  <c r="AU104" i="87" s="1"/>
  <c r="AV104" i="87" s="1"/>
  <c r="AW104" i="87" s="1"/>
  <c r="AX104" i="87" s="1"/>
  <c r="AY104" i="87" s="1"/>
  <c r="BK104" i="87"/>
  <c r="BL104" i="87" s="1"/>
  <c r="BM104" i="87" s="1"/>
  <c r="BN104" i="87" s="1"/>
  <c r="BO104" i="87" s="1"/>
  <c r="BP104" i="87" s="1"/>
  <c r="BQ104" i="87" s="1"/>
  <c r="BR104" i="87" s="1"/>
  <c r="BS104" i="87" s="1"/>
  <c r="CE102" i="87"/>
  <c r="CF102" i="87" s="1"/>
  <c r="CG102" i="87" s="1"/>
  <c r="CH102" i="87" s="1"/>
  <c r="CI102" i="87" s="1"/>
  <c r="CJ102" i="87" s="1"/>
  <c r="CK102" i="87" s="1"/>
  <c r="CL102" i="87" s="1"/>
  <c r="CM102" i="87" s="1"/>
  <c r="AG102" i="87"/>
  <c r="AH102" i="87" s="1"/>
  <c r="AI102" i="87" s="1"/>
  <c r="AJ102" i="87" s="1"/>
  <c r="AK102" i="87" s="1"/>
  <c r="AL102" i="87" s="1"/>
  <c r="AM102" i="87" s="1"/>
  <c r="AN102" i="87" s="1"/>
  <c r="AO102" i="87" s="1"/>
  <c r="W104" i="87"/>
  <c r="X104" i="87" s="1"/>
  <c r="Y104" i="87" s="1"/>
  <c r="Z104" i="87" s="1"/>
  <c r="AA104" i="87" s="1"/>
  <c r="AB104" i="87" s="1"/>
  <c r="AC104" i="87" s="1"/>
  <c r="AD104" i="87" s="1"/>
  <c r="AE104" i="87" s="1"/>
  <c r="W105" i="87"/>
  <c r="X105" i="87" s="1"/>
  <c r="Y105" i="87" s="1"/>
  <c r="Z105" i="87" s="1"/>
  <c r="AA105" i="87" s="1"/>
  <c r="AB105" i="87" s="1"/>
  <c r="AC105" i="87" s="1"/>
  <c r="AD105" i="87" s="1"/>
  <c r="AE105" i="87" s="1"/>
  <c r="BK107" i="87"/>
  <c r="BL107" i="87" s="1"/>
  <c r="BM107" i="87" s="1"/>
  <c r="BN107" i="87" s="1"/>
  <c r="BO107" i="87" s="1"/>
  <c r="BP107" i="87" s="1"/>
  <c r="BQ107" i="87" s="1"/>
  <c r="BR107" i="87" s="1"/>
  <c r="BS107" i="87" s="1"/>
  <c r="AG103" i="87"/>
  <c r="AH103" i="87" s="1"/>
  <c r="AI103" i="87" s="1"/>
  <c r="AJ103" i="87" s="1"/>
  <c r="AK103" i="87" s="1"/>
  <c r="AL103" i="87" s="1"/>
  <c r="AM103" i="87" s="1"/>
  <c r="AN103" i="87" s="1"/>
  <c r="AO103" i="87" s="1"/>
  <c r="W107" i="87"/>
  <c r="X107" i="87" s="1"/>
  <c r="Y107" i="87" s="1"/>
  <c r="Z107" i="87" s="1"/>
  <c r="AA107" i="87" s="1"/>
  <c r="AB107" i="87" s="1"/>
  <c r="AC107" i="87" s="1"/>
  <c r="AD107" i="87" s="1"/>
  <c r="AE107" i="87" s="1"/>
  <c r="C104" i="87"/>
  <c r="D104" i="87" s="1"/>
  <c r="E104" i="87" s="1"/>
  <c r="F104" i="87" s="1"/>
  <c r="G104" i="87" s="1"/>
  <c r="H104" i="87" s="1"/>
  <c r="I104" i="87" s="1"/>
  <c r="J104" i="87" s="1"/>
  <c r="K104" i="87" s="1"/>
  <c r="C106" i="87"/>
  <c r="D106" i="87" s="1"/>
  <c r="E106" i="87" s="1"/>
  <c r="F106" i="87" s="1"/>
  <c r="G106" i="87" s="1"/>
  <c r="H106" i="87" s="1"/>
  <c r="I106" i="87" s="1"/>
  <c r="J106" i="87" s="1"/>
  <c r="K106" i="87" s="1"/>
  <c r="CE103" i="87"/>
  <c r="CF103" i="87" s="1"/>
  <c r="CG103" i="87" s="1"/>
  <c r="CH103" i="87" s="1"/>
  <c r="CI103" i="87" s="1"/>
  <c r="CJ103" i="87" s="1"/>
  <c r="CK103" i="87" s="1"/>
  <c r="CL103" i="87" s="1"/>
  <c r="CM103" i="87" s="1"/>
  <c r="BU103" i="87"/>
  <c r="BV103" i="87" s="1"/>
  <c r="BW103" i="87" s="1"/>
  <c r="BX103" i="87" s="1"/>
  <c r="BY103" i="87" s="1"/>
  <c r="BZ103" i="87" s="1"/>
  <c r="CA103" i="87" s="1"/>
  <c r="CB103" i="87" s="1"/>
  <c r="CC103" i="87" s="1"/>
  <c r="AL127" i="87"/>
  <c r="AK126" i="87"/>
  <c r="AK108" i="87" s="1"/>
  <c r="AB85" i="87"/>
  <c r="AC86" i="87"/>
  <c r="CE124" i="87"/>
  <c r="CF125" i="87"/>
  <c r="AG83" i="87"/>
  <c r="AH84" i="87"/>
  <c r="BO126" i="87"/>
  <c r="BO108" i="87" s="1"/>
  <c r="BP127" i="87"/>
  <c r="BU124" i="87"/>
  <c r="BV125" i="87"/>
  <c r="CE107" i="87"/>
  <c r="CF107" i="87" s="1"/>
  <c r="CG107" i="87" s="1"/>
  <c r="CH107" i="87" s="1"/>
  <c r="CI107" i="87" s="1"/>
  <c r="CJ107" i="87" s="1"/>
  <c r="CK107" i="87" s="1"/>
  <c r="CL107" i="87" s="1"/>
  <c r="CM107" i="87" s="1"/>
  <c r="AQ103" i="87"/>
  <c r="AR103" i="87" s="1"/>
  <c r="AS103" i="87" s="1"/>
  <c r="AT103" i="87" s="1"/>
  <c r="AU103" i="87" s="1"/>
  <c r="AV103" i="87" s="1"/>
  <c r="AW103" i="87" s="1"/>
  <c r="AX103" i="87" s="1"/>
  <c r="AY103" i="87" s="1"/>
  <c r="BK103" i="87"/>
  <c r="BL103" i="87" s="1"/>
  <c r="BM103" i="87" s="1"/>
  <c r="BN103" i="87" s="1"/>
  <c r="BO103" i="87" s="1"/>
  <c r="BP103" i="87" s="1"/>
  <c r="BQ103" i="87" s="1"/>
  <c r="BR103" i="87" s="1"/>
  <c r="BS103" i="87" s="1"/>
  <c r="W106" i="87"/>
  <c r="X106" i="87" s="1"/>
  <c r="Y106" i="87" s="1"/>
  <c r="Z106" i="87" s="1"/>
  <c r="AA106" i="87" s="1"/>
  <c r="AB106" i="87" s="1"/>
  <c r="AC106" i="87" s="1"/>
  <c r="AD106" i="87" s="1"/>
  <c r="AE106" i="87" s="1"/>
  <c r="R85" i="87"/>
  <c r="S86" i="87"/>
  <c r="C125" i="87"/>
  <c r="B124" i="87"/>
  <c r="C105" i="87"/>
  <c r="D105" i="87" s="1"/>
  <c r="E105" i="87" s="1"/>
  <c r="F105" i="87" s="1"/>
  <c r="G105" i="87" s="1"/>
  <c r="H105" i="87" s="1"/>
  <c r="I105" i="87" s="1"/>
  <c r="J105" i="87" s="1"/>
  <c r="K105" i="87" s="1"/>
  <c r="AP125" i="64"/>
  <c r="AQ125" i="64" s="1"/>
  <c r="AP125" i="87"/>
  <c r="AQ83" i="87"/>
  <c r="AR84" i="87"/>
  <c r="CE83" i="87"/>
  <c r="CF84" i="87"/>
  <c r="AL85" i="87"/>
  <c r="AM86" i="87"/>
  <c r="M106" i="87"/>
  <c r="N106" i="87" s="1"/>
  <c r="O106" i="87" s="1"/>
  <c r="P106" i="87" s="1"/>
  <c r="Q106" i="87" s="1"/>
  <c r="R106" i="87" s="1"/>
  <c r="S106" i="87" s="1"/>
  <c r="T106" i="87" s="1"/>
  <c r="U106" i="87" s="1"/>
  <c r="C103" i="87"/>
  <c r="D103" i="87" s="1"/>
  <c r="E103" i="87" s="1"/>
  <c r="F103" i="87" s="1"/>
  <c r="G103" i="87" s="1"/>
  <c r="H103" i="87" s="1"/>
  <c r="I103" i="87" s="1"/>
  <c r="J103" i="87" s="1"/>
  <c r="K103" i="87" s="1"/>
  <c r="BP85" i="87"/>
  <c r="BQ86" i="87"/>
  <c r="R127" i="87"/>
  <c r="Q126" i="87"/>
  <c r="Q108" i="87" s="1"/>
  <c r="I86" i="87"/>
  <c r="H85" i="87"/>
  <c r="H127" i="87"/>
  <c r="G126" i="87"/>
  <c r="G108" i="87" s="1"/>
  <c r="BG86" i="87"/>
  <c r="BF85" i="87"/>
  <c r="D84" i="87"/>
  <c r="C83" i="87"/>
  <c r="C107" i="87"/>
  <c r="D107" i="87" s="1"/>
  <c r="E107" i="87" s="1"/>
  <c r="F107" i="87" s="1"/>
  <c r="G107" i="87" s="1"/>
  <c r="H107" i="87" s="1"/>
  <c r="I107" i="87" s="1"/>
  <c r="J107" i="87" s="1"/>
  <c r="K107" i="87" s="1"/>
  <c r="N84" i="87"/>
  <c r="M83" i="87"/>
  <c r="AW86" i="87"/>
  <c r="AV85" i="87"/>
  <c r="CJ127" i="87"/>
  <c r="CI126" i="87"/>
  <c r="CI108" i="87" s="1"/>
  <c r="W102" i="87"/>
  <c r="X102" i="87" s="1"/>
  <c r="Y102" i="87" s="1"/>
  <c r="Z102" i="87" s="1"/>
  <c r="AA102" i="87" s="1"/>
  <c r="AB102" i="87" s="1"/>
  <c r="AC102" i="87" s="1"/>
  <c r="AD102" i="87" s="1"/>
  <c r="AE102" i="87" s="1"/>
  <c r="CE104" i="87"/>
  <c r="CF104" i="87" s="1"/>
  <c r="CG104" i="87" s="1"/>
  <c r="CH104" i="87" s="1"/>
  <c r="CI104" i="87" s="1"/>
  <c r="CJ104" i="87" s="1"/>
  <c r="CK104" i="87" s="1"/>
  <c r="CL104" i="87" s="1"/>
  <c r="CM104" i="87" s="1"/>
  <c r="M105" i="87"/>
  <c r="N105" i="87" s="1"/>
  <c r="O105" i="87" s="1"/>
  <c r="P105" i="87" s="1"/>
  <c r="Q105" i="87" s="1"/>
  <c r="R105" i="87" s="1"/>
  <c r="S105" i="87" s="1"/>
  <c r="T105" i="87" s="1"/>
  <c r="U105" i="87" s="1"/>
  <c r="BA102" i="87"/>
  <c r="BB102" i="87" s="1"/>
  <c r="BC102" i="87" s="1"/>
  <c r="BD102" i="87" s="1"/>
  <c r="BE102" i="87" s="1"/>
  <c r="BF102" i="87" s="1"/>
  <c r="BG102" i="87" s="1"/>
  <c r="BH102" i="87" s="1"/>
  <c r="BI102" i="87" s="1"/>
  <c r="E25" i="27"/>
  <c r="AF125" i="87"/>
  <c r="AV127" i="87"/>
  <c r="AU126" i="87"/>
  <c r="AU108" i="87" s="1"/>
  <c r="BC84" i="87"/>
  <c r="BB83" i="87"/>
  <c r="BC125" i="87"/>
  <c r="BB124" i="87"/>
  <c r="CK86" i="87"/>
  <c r="CJ85" i="87"/>
  <c r="BU102" i="87"/>
  <c r="BV102" i="87" s="1"/>
  <c r="BW102" i="87" s="1"/>
  <c r="BX102" i="87" s="1"/>
  <c r="BY102" i="87" s="1"/>
  <c r="BZ102" i="87" s="1"/>
  <c r="CA102" i="87" s="1"/>
  <c r="CB102" i="87" s="1"/>
  <c r="CC102" i="87" s="1"/>
  <c r="BK102" i="87"/>
  <c r="BL102" i="87" s="1"/>
  <c r="BM102" i="87" s="1"/>
  <c r="BN102" i="87" s="1"/>
  <c r="BO102" i="87" s="1"/>
  <c r="BP102" i="87" s="1"/>
  <c r="BQ102" i="87" s="1"/>
  <c r="BR102" i="87" s="1"/>
  <c r="BS102" i="87" s="1"/>
  <c r="BU104" i="87"/>
  <c r="BV104" i="87" s="1"/>
  <c r="BW104" i="87" s="1"/>
  <c r="BX104" i="87" s="1"/>
  <c r="BY104" i="87" s="1"/>
  <c r="BZ104" i="87" s="1"/>
  <c r="CA104" i="87" s="1"/>
  <c r="CB104" i="87" s="1"/>
  <c r="CC104" i="87" s="1"/>
  <c r="M104" i="87"/>
  <c r="N104" i="87" s="1"/>
  <c r="O104" i="87" s="1"/>
  <c r="P104" i="87" s="1"/>
  <c r="Q104" i="87" s="1"/>
  <c r="R104" i="87" s="1"/>
  <c r="S104" i="87" s="1"/>
  <c r="T104" i="87" s="1"/>
  <c r="U104" i="87" s="1"/>
  <c r="BU106" i="87"/>
  <c r="BV106" i="87" s="1"/>
  <c r="BW106" i="87" s="1"/>
  <c r="BX106" i="87" s="1"/>
  <c r="BY106" i="87" s="1"/>
  <c r="BZ106" i="87" s="1"/>
  <c r="CA106" i="87" s="1"/>
  <c r="CB106" i="87" s="1"/>
  <c r="CC106" i="87" s="1"/>
  <c r="AG104" i="87"/>
  <c r="AH104" i="87" s="1"/>
  <c r="AI104" i="87" s="1"/>
  <c r="AJ104" i="87" s="1"/>
  <c r="AK104" i="87" s="1"/>
  <c r="AL104" i="87" s="1"/>
  <c r="AM104" i="87" s="1"/>
  <c r="AN104" i="87" s="1"/>
  <c r="AO104" i="87" s="1"/>
  <c r="BA104" i="87"/>
  <c r="BB104" i="87" s="1"/>
  <c r="BC104" i="87" s="1"/>
  <c r="BD104" i="87" s="1"/>
  <c r="BE104" i="87" s="1"/>
  <c r="BF104" i="87" s="1"/>
  <c r="BG104" i="87" s="1"/>
  <c r="BH104" i="87" s="1"/>
  <c r="BI104" i="87" s="1"/>
  <c r="M102" i="87"/>
  <c r="N102" i="87" s="1"/>
  <c r="O102" i="87" s="1"/>
  <c r="P102" i="87" s="1"/>
  <c r="Q102" i="87" s="1"/>
  <c r="R102" i="87" s="1"/>
  <c r="S102" i="87" s="1"/>
  <c r="T102" i="87" s="1"/>
  <c r="U102" i="87" s="1"/>
  <c r="M107" i="87"/>
  <c r="N107" i="87" s="1"/>
  <c r="O107" i="87" s="1"/>
  <c r="P107" i="87" s="1"/>
  <c r="Q107" i="87" s="1"/>
  <c r="R107" i="87" s="1"/>
  <c r="S107" i="87" s="1"/>
  <c r="T107" i="87" s="1"/>
  <c r="U107" i="87" s="1"/>
  <c r="BF127" i="87"/>
  <c r="BE126" i="87"/>
  <c r="BE108" i="87" s="1"/>
  <c r="BM125" i="87"/>
  <c r="BL124" i="87"/>
  <c r="AQ102" i="87"/>
  <c r="AR102" i="87" s="1"/>
  <c r="AS102" i="87" s="1"/>
  <c r="AT102" i="87" s="1"/>
  <c r="AU102" i="87" s="1"/>
  <c r="AV102" i="87" s="1"/>
  <c r="AW102" i="87" s="1"/>
  <c r="AX102" i="87" s="1"/>
  <c r="AY102" i="87" s="1"/>
  <c r="CE105" i="87"/>
  <c r="CF105" i="87" s="1"/>
  <c r="CG105" i="87" s="1"/>
  <c r="CH105" i="87" s="1"/>
  <c r="CI105" i="87" s="1"/>
  <c r="CJ105" i="87" s="1"/>
  <c r="CK105" i="87" s="1"/>
  <c r="CL105" i="87" s="1"/>
  <c r="CM105" i="87" s="1"/>
  <c r="BK105" i="87"/>
  <c r="BL105" i="87" s="1"/>
  <c r="BM105" i="87" s="1"/>
  <c r="BN105" i="87" s="1"/>
  <c r="BO105" i="87" s="1"/>
  <c r="BP105" i="87" s="1"/>
  <c r="BQ105" i="87" s="1"/>
  <c r="BR105" i="87" s="1"/>
  <c r="BS105" i="87" s="1"/>
  <c r="M125" i="87"/>
  <c r="L124" i="87"/>
  <c r="L112" i="87" s="1"/>
  <c r="BU84" i="87"/>
  <c r="BT83" i="87"/>
  <c r="BK84" i="87"/>
  <c r="M103" i="87"/>
  <c r="N103" i="87" s="1"/>
  <c r="O103" i="87" s="1"/>
  <c r="P103" i="87" s="1"/>
  <c r="Q103" i="87" s="1"/>
  <c r="R103" i="87" s="1"/>
  <c r="S103" i="87" s="1"/>
  <c r="T103" i="87" s="1"/>
  <c r="U103" i="87" s="1"/>
  <c r="BA106" i="87"/>
  <c r="BB106" i="87" s="1"/>
  <c r="BC106" i="87" s="1"/>
  <c r="BD106" i="87" s="1"/>
  <c r="BE106" i="87" s="1"/>
  <c r="BF106" i="87" s="1"/>
  <c r="BG106" i="87" s="1"/>
  <c r="BH106" i="87" s="1"/>
  <c r="BI106" i="87" s="1"/>
  <c r="BU107" i="87"/>
  <c r="BV107" i="87" s="1"/>
  <c r="BW107" i="87" s="1"/>
  <c r="BX107" i="87" s="1"/>
  <c r="BY107" i="87" s="1"/>
  <c r="BZ107" i="87" s="1"/>
  <c r="CA107" i="87" s="1"/>
  <c r="CB107" i="87" s="1"/>
  <c r="CC107" i="87" s="1"/>
  <c r="AG107" i="87"/>
  <c r="AH107" i="87" s="1"/>
  <c r="AI107" i="87" s="1"/>
  <c r="AJ107" i="87" s="1"/>
  <c r="AK107" i="87" s="1"/>
  <c r="AL107" i="87" s="1"/>
  <c r="AM107" i="87" s="1"/>
  <c r="AN107" i="87" s="1"/>
  <c r="AO107" i="87" s="1"/>
  <c r="BZ85" i="87"/>
  <c r="CA86" i="87"/>
  <c r="X84" i="87"/>
  <c r="W83" i="87"/>
  <c r="BZ127" i="87"/>
  <c r="BY126" i="87"/>
  <c r="BY108" i="87" s="1"/>
  <c r="AA126" i="87"/>
  <c r="AA108" i="87" s="1"/>
  <c r="AB127" i="87"/>
  <c r="G77" i="35"/>
  <c r="H153" i="35"/>
  <c r="AF125" i="64"/>
  <c r="AF124" i="64" s="1"/>
  <c r="AF104" i="75"/>
  <c r="I153" i="35"/>
  <c r="I82" i="35"/>
  <c r="F64" i="27"/>
  <c r="AP104" i="75"/>
  <c r="F25" i="27"/>
  <c r="B13" i="73"/>
  <c r="C39" i="71"/>
  <c r="CI85" i="64"/>
  <c r="CI99" i="81"/>
  <c r="BF86" i="64"/>
  <c r="BE85" i="64"/>
  <c r="BK125" i="64"/>
  <c r="BL125" i="64" s="1"/>
  <c r="BC103" i="81"/>
  <c r="BC118" i="81" s="1"/>
  <c r="BD94" i="64"/>
  <c r="L91" i="75"/>
  <c r="V92" i="75"/>
  <c r="BJ104" i="64"/>
  <c r="CD105" i="64"/>
  <c r="BJ105" i="64"/>
  <c r="BJ106" i="64"/>
  <c r="CN107" i="64"/>
  <c r="L107" i="64"/>
  <c r="BT106" i="64"/>
  <c r="L92" i="75"/>
  <c r="AZ106" i="64"/>
  <c r="BT107" i="64"/>
  <c r="AF107" i="64"/>
  <c r="AZ103" i="64"/>
  <c r="CN106" i="64"/>
  <c r="CD103" i="64"/>
  <c r="BT103" i="64"/>
  <c r="AP96" i="75"/>
  <c r="CN103" i="64"/>
  <c r="BT105" i="64"/>
  <c r="BT102" i="64"/>
  <c r="CN104" i="64"/>
  <c r="BJ102" i="64"/>
  <c r="L104" i="75"/>
  <c r="CD107" i="64"/>
  <c r="AP92" i="75"/>
  <c r="BJ103" i="64"/>
  <c r="V95" i="75"/>
  <c r="CD102" i="64"/>
  <c r="CD104" i="64"/>
  <c r="BT104" i="64"/>
  <c r="BJ107" i="64"/>
  <c r="AF103" i="64"/>
  <c r="V96" i="75"/>
  <c r="CN105" i="64"/>
  <c r="L106" i="64"/>
  <c r="AP106" i="64"/>
  <c r="B103" i="64"/>
  <c r="CN102" i="64"/>
  <c r="AZ105" i="64"/>
  <c r="AZ104" i="64"/>
  <c r="AZ102" i="64"/>
  <c r="AZ107" i="64"/>
  <c r="AF106" i="64"/>
  <c r="CD106" i="64"/>
  <c r="AJ98" i="81"/>
  <c r="AJ113" i="81" s="1"/>
  <c r="AA85" i="64"/>
  <c r="AB86" i="64"/>
  <c r="Q85" i="64"/>
  <c r="R86" i="64"/>
  <c r="Q99" i="81"/>
  <c r="P98" i="81"/>
  <c r="P113" i="81" s="1"/>
  <c r="AA99" i="81"/>
  <c r="Z98" i="81"/>
  <c r="Z113" i="81" s="1"/>
  <c r="AK99" i="81"/>
  <c r="H9" i="35"/>
  <c r="AK85" i="64"/>
  <c r="AL86" i="64"/>
  <c r="BO98" i="81"/>
  <c r="BO113" i="81" s="1"/>
  <c r="BP99" i="81"/>
  <c r="G99" i="81"/>
  <c r="BY98" i="81"/>
  <c r="BY113" i="81" s="1"/>
  <c r="F98" i="81"/>
  <c r="F113" i="81" s="1"/>
  <c r="G85" i="64"/>
  <c r="H86" i="64"/>
  <c r="F94" i="64"/>
  <c r="E103" i="81"/>
  <c r="E118" i="81" s="1"/>
  <c r="G96" i="64"/>
  <c r="F105" i="81"/>
  <c r="F120" i="81" s="1"/>
  <c r="Q96" i="64"/>
  <c r="P105" i="81"/>
  <c r="P120" i="81" s="1"/>
  <c r="AT94" i="64"/>
  <c r="AS103" i="81"/>
  <c r="AS118" i="81" s="1"/>
  <c r="AA96" i="64"/>
  <c r="Z105" i="81"/>
  <c r="Z120" i="81" s="1"/>
  <c r="BW94" i="64"/>
  <c r="BV103" i="81"/>
  <c r="BV118" i="81" s="1"/>
  <c r="AJ94" i="64"/>
  <c r="AI103" i="81"/>
  <c r="AI118" i="81" s="1"/>
  <c r="AK96" i="64"/>
  <c r="AJ105" i="81"/>
  <c r="AJ120" i="81" s="1"/>
  <c r="Z94" i="64"/>
  <c r="Y103" i="81"/>
  <c r="Y118" i="81" s="1"/>
  <c r="BM94" i="64"/>
  <c r="BL103" i="81"/>
  <c r="BL118" i="81" s="1"/>
  <c r="BF96" i="64"/>
  <c r="BE105" i="81"/>
  <c r="BE120" i="81" s="1"/>
  <c r="P94" i="64"/>
  <c r="O103" i="81"/>
  <c r="O118" i="81" s="1"/>
  <c r="AU96" i="64"/>
  <c r="AT105" i="81"/>
  <c r="AT120" i="81" s="1"/>
  <c r="C89" i="81"/>
  <c r="K24" i="81"/>
  <c r="K22" i="81"/>
  <c r="H24" i="81"/>
  <c r="H26" i="81"/>
  <c r="E38" i="81"/>
  <c r="F38" i="81"/>
  <c r="H38" i="81"/>
  <c r="H30" i="81" s="1"/>
  <c r="H23" i="81"/>
  <c r="H25" i="81"/>
  <c r="E21" i="81"/>
  <c r="F22" i="81"/>
  <c r="F24" i="81"/>
  <c r="G37" i="81"/>
  <c r="E26" i="81"/>
  <c r="F26" i="81"/>
  <c r="K38" i="81"/>
  <c r="K29" i="81" s="1"/>
  <c r="F23" i="81"/>
  <c r="D37" i="81"/>
  <c r="E23" i="81"/>
  <c r="I38" i="81"/>
  <c r="I32" i="81" s="1"/>
  <c r="J37" i="81"/>
  <c r="J21" i="81" s="1"/>
  <c r="E22" i="81"/>
  <c r="I23" i="81"/>
  <c r="H21" i="81"/>
  <c r="E24" i="81"/>
  <c r="F25" i="81"/>
  <c r="I25" i="81"/>
  <c r="I22" i="81"/>
  <c r="E25" i="81"/>
  <c r="K26" i="81"/>
  <c r="I21" i="81"/>
  <c r="F21" i="81"/>
  <c r="K25" i="81"/>
  <c r="I26" i="81"/>
  <c r="K23" i="81"/>
  <c r="C37" i="81"/>
  <c r="C21" i="81" s="1"/>
  <c r="AP107" i="64"/>
  <c r="V103" i="64"/>
  <c r="V106" i="64"/>
  <c r="AP103" i="64"/>
  <c r="B92" i="75"/>
  <c r="L95" i="75"/>
  <c r="AF96" i="75"/>
  <c r="AP95" i="75"/>
  <c r="L103" i="64"/>
  <c r="AF95" i="75"/>
  <c r="AF92" i="75"/>
  <c r="L96" i="75"/>
  <c r="V107" i="64"/>
  <c r="G9" i="19"/>
  <c r="E9" i="19"/>
  <c r="J9" i="19"/>
  <c r="K9" i="19"/>
  <c r="I9" i="19"/>
  <c r="C9" i="19"/>
  <c r="D9" i="19"/>
  <c r="H9" i="19"/>
  <c r="F9" i="19"/>
  <c r="B9" i="19"/>
  <c r="V102" i="64"/>
  <c r="V91" i="75"/>
  <c r="V105" i="64"/>
  <c r="V94" i="75"/>
  <c r="B107" i="64"/>
  <c r="B96" i="75"/>
  <c r="L104" i="64"/>
  <c r="L93" i="75"/>
  <c r="AF104" i="64"/>
  <c r="AF93" i="75"/>
  <c r="L105" i="64"/>
  <c r="L94" i="75"/>
  <c r="B125" i="64"/>
  <c r="B124" i="64" s="1"/>
  <c r="B102" i="64" s="1"/>
  <c r="B104" i="75"/>
  <c r="AP105" i="64"/>
  <c r="AP94" i="75"/>
  <c r="AF102" i="64"/>
  <c r="AF91" i="75"/>
  <c r="V104" i="64"/>
  <c r="V93" i="75"/>
  <c r="B105" i="64"/>
  <c r="B94" i="75"/>
  <c r="AF105" i="64"/>
  <c r="AF94" i="75"/>
  <c r="AP104" i="64"/>
  <c r="AP93" i="75"/>
  <c r="AP102" i="64"/>
  <c r="AP91" i="75"/>
  <c r="B104" i="64"/>
  <c r="B93" i="75"/>
  <c r="B106" i="64"/>
  <c r="B95" i="75"/>
  <c r="C67" i="18"/>
  <c r="C10" i="18" s="1"/>
  <c r="L102" i="64"/>
  <c r="CE84" i="64"/>
  <c r="CF84" i="64" s="1"/>
  <c r="BB125" i="64"/>
  <c r="BA124" i="64"/>
  <c r="BU125" i="64"/>
  <c r="CD124" i="64"/>
  <c r="W84" i="64"/>
  <c r="V83" i="64"/>
  <c r="AQ84" i="64"/>
  <c r="AP83" i="64"/>
  <c r="BB84" i="64"/>
  <c r="BA83" i="64"/>
  <c r="M84" i="64"/>
  <c r="I55" i="27"/>
  <c r="I83" i="27" s="1"/>
  <c r="BT84" i="64"/>
  <c r="BT83" i="64" s="1"/>
  <c r="AG84" i="64"/>
  <c r="C84" i="64"/>
  <c r="C25" i="27"/>
  <c r="L125" i="64"/>
  <c r="CE125" i="64"/>
  <c r="BC108" i="64"/>
  <c r="AS108" i="64"/>
  <c r="BW108" i="64"/>
  <c r="AI108" i="64"/>
  <c r="O108" i="64"/>
  <c r="Y108" i="64"/>
  <c r="BM108" i="64"/>
  <c r="CG108" i="64"/>
  <c r="B25" i="27"/>
  <c r="C20" i="74"/>
  <c r="BY127" i="64"/>
  <c r="BX126" i="64"/>
  <c r="AK127" i="64"/>
  <c r="AJ126" i="64"/>
  <c r="Q127" i="64"/>
  <c r="P126" i="64"/>
  <c r="AA127" i="64"/>
  <c r="Z126" i="64"/>
  <c r="BO127" i="64"/>
  <c r="BN126" i="64"/>
  <c r="CI127" i="64"/>
  <c r="CH126" i="64"/>
  <c r="BE127" i="64"/>
  <c r="BD126" i="64"/>
  <c r="AU127" i="64"/>
  <c r="AT126" i="64"/>
  <c r="BQ86" i="64"/>
  <c r="BP85" i="64"/>
  <c r="C35" i="71"/>
  <c r="F9" i="35"/>
  <c r="Q9" i="35"/>
  <c r="S9" i="35"/>
  <c r="P9" i="35"/>
  <c r="R9" i="35"/>
  <c r="T9" i="35"/>
  <c r="J9" i="35"/>
  <c r="G9" i="35"/>
  <c r="I9" i="35"/>
  <c r="N9" i="35"/>
  <c r="L9" i="35"/>
  <c r="O9" i="35"/>
  <c r="K9" i="35"/>
  <c r="M9" i="35"/>
  <c r="L17" i="54"/>
  <c r="L21" i="55"/>
  <c r="L153" i="35"/>
  <c r="I64" i="27"/>
  <c r="F77" i="35"/>
  <c r="F82" i="35"/>
  <c r="G82" i="35"/>
  <c r="J82" i="35"/>
  <c r="K82" i="35"/>
  <c r="O82" i="35"/>
  <c r="S82" i="35"/>
  <c r="L82" i="35"/>
  <c r="P82" i="35"/>
  <c r="T82" i="35"/>
  <c r="M82" i="35"/>
  <c r="Q82" i="35"/>
  <c r="N82" i="35"/>
  <c r="R82" i="35"/>
  <c r="H82" i="35"/>
  <c r="E77" i="35"/>
  <c r="D80" i="35" s="1"/>
  <c r="J184" i="35"/>
  <c r="F15" i="21"/>
  <c r="E153" i="35"/>
  <c r="F153" i="35"/>
  <c r="D15" i="21"/>
  <c r="L15" i="21"/>
  <c r="H15" i="21"/>
  <c r="K15" i="21"/>
  <c r="M15" i="21"/>
  <c r="E15" i="21"/>
  <c r="C15" i="21"/>
  <c r="J15" i="21"/>
  <c r="I15" i="21"/>
  <c r="N15" i="21"/>
  <c r="G15" i="21"/>
  <c r="F21" i="55"/>
  <c r="H21" i="55"/>
  <c r="I21" i="55"/>
  <c r="D21" i="55"/>
  <c r="G21" i="55"/>
  <c r="H175" i="35"/>
  <c r="N184" i="35"/>
  <c r="M175" i="35"/>
  <c r="M165" i="35"/>
  <c r="N165" i="35"/>
  <c r="M184" i="35"/>
  <c r="N175" i="35"/>
  <c r="B64" i="27"/>
  <c r="E64" i="27"/>
  <c r="C64" i="27"/>
  <c r="G64" i="27"/>
  <c r="D64" i="27"/>
  <c r="K64" i="27"/>
  <c r="J83" i="27"/>
  <c r="H64" i="27"/>
  <c r="I7" i="35"/>
  <c r="E184" i="35"/>
  <c r="H165" i="35"/>
  <c r="D165" i="35"/>
  <c r="O7" i="35"/>
  <c r="I165" i="35"/>
  <c r="G165" i="35"/>
  <c r="G7" i="35"/>
  <c r="N7" i="35"/>
  <c r="E7" i="35"/>
  <c r="D175" i="35"/>
  <c r="P7" i="35"/>
  <c r="R7" i="35"/>
  <c r="J165" i="35"/>
  <c r="F165" i="35"/>
  <c r="L165" i="35"/>
  <c r="L184" i="35"/>
  <c r="D184" i="35"/>
  <c r="I184" i="35"/>
  <c r="I175" i="35"/>
  <c r="L175" i="35"/>
  <c r="E175" i="35"/>
  <c r="M7" i="35"/>
  <c r="Q7" i="35"/>
  <c r="S7" i="35"/>
  <c r="D7" i="35"/>
  <c r="L7" i="35"/>
  <c r="K7" i="35"/>
  <c r="T7" i="35"/>
  <c r="E165" i="35"/>
  <c r="G184" i="35"/>
  <c r="G175" i="35"/>
  <c r="K175" i="35"/>
  <c r="H184" i="35"/>
  <c r="F175" i="35"/>
  <c r="J175" i="35"/>
  <c r="K184" i="35"/>
  <c r="F184" i="35"/>
  <c r="F7" i="35"/>
  <c r="L67" i="18"/>
  <c r="L68" i="18" s="1"/>
  <c r="J7" i="35"/>
  <c r="F67" i="18"/>
  <c r="F68" i="18" s="1"/>
  <c r="J67" i="18"/>
  <c r="J68" i="18" s="1"/>
  <c r="K67" i="18"/>
  <c r="K68" i="18" s="1"/>
  <c r="E67" i="18"/>
  <c r="E20" i="18" s="1"/>
  <c r="H67" i="18"/>
  <c r="H68" i="18" s="1"/>
  <c r="I67" i="18"/>
  <c r="G67" i="18"/>
  <c r="G10" i="18" s="1"/>
  <c r="H7" i="35"/>
  <c r="B67" i="18"/>
  <c r="B10" i="18" s="1"/>
  <c r="D67" i="18"/>
  <c r="D40" i="18" s="1"/>
  <c r="CA86" i="64" l="1"/>
  <c r="CB86" i="64" s="1"/>
  <c r="BZ99" i="81"/>
  <c r="BO105" i="81"/>
  <c r="BO120" i="81" s="1"/>
  <c r="BY105" i="81"/>
  <c r="BY120" i="81" s="1"/>
  <c r="AV85" i="64"/>
  <c r="AV98" i="81" s="1"/>
  <c r="AV113" i="81" s="1"/>
  <c r="AV99" i="81"/>
  <c r="AW86" i="64"/>
  <c r="AW85" i="64" s="1"/>
  <c r="CH103" i="81"/>
  <c r="CH118" i="81" s="1"/>
  <c r="CJ85" i="64"/>
  <c r="CJ98" i="81" s="1"/>
  <c r="CJ113" i="81" s="1"/>
  <c r="CI94" i="64"/>
  <c r="CK86" i="64"/>
  <c r="CK99" i="81" s="1"/>
  <c r="CI105" i="81"/>
  <c r="CI120" i="81" s="1"/>
  <c r="CJ96" i="64"/>
  <c r="CJ105" i="81" s="1"/>
  <c r="CJ120" i="81" s="1"/>
  <c r="CJ99" i="81"/>
  <c r="BF99" i="81"/>
  <c r="BE94" i="64"/>
  <c r="V48" i="81"/>
  <c r="V56" i="81" s="1"/>
  <c r="V46" i="81"/>
  <c r="V47" i="81"/>
  <c r="V55" i="81" s="1"/>
  <c r="V49" i="81"/>
  <c r="V57" i="81" s="1"/>
  <c r="V50" i="81"/>
  <c r="V58" i="81" s="1"/>
  <c r="V51" i="81"/>
  <c r="V59" i="81" s="1"/>
  <c r="AP48" i="81"/>
  <c r="AP49" i="81"/>
  <c r="AP50" i="81"/>
  <c r="AP51" i="81"/>
  <c r="AP46" i="81"/>
  <c r="AP47" i="81"/>
  <c r="BT50" i="81"/>
  <c r="BT58" i="81" s="1"/>
  <c r="BT46" i="81"/>
  <c r="BT51" i="81"/>
  <c r="BT59" i="81" s="1"/>
  <c r="BT47" i="81"/>
  <c r="BT55" i="81" s="1"/>
  <c r="BT49" i="81"/>
  <c r="BT57" i="81" s="1"/>
  <c r="BT48" i="81"/>
  <c r="BT56" i="81" s="1"/>
  <c r="BA46" i="81"/>
  <c r="BA47" i="81"/>
  <c r="BA55" i="81" s="1"/>
  <c r="BA48" i="81"/>
  <c r="BA56" i="81" s="1"/>
  <c r="BA49" i="81"/>
  <c r="BA57" i="81" s="1"/>
  <c r="BA51" i="81"/>
  <c r="BA59" i="81" s="1"/>
  <c r="BA50" i="81"/>
  <c r="BA58" i="81" s="1"/>
  <c r="F13" i="87"/>
  <c r="B29" i="87"/>
  <c r="F36" i="87"/>
  <c r="B38" i="87" s="1"/>
  <c r="F11" i="87"/>
  <c r="B26" i="87"/>
  <c r="B6" i="87"/>
  <c r="B28" i="87"/>
  <c r="B5" i="87"/>
  <c r="F10" i="87"/>
  <c r="B7" i="87"/>
  <c r="F9" i="87"/>
  <c r="B4" i="87"/>
  <c r="F37" i="87"/>
  <c r="B39" i="87" s="1"/>
  <c r="F35" i="87"/>
  <c r="B37" i="87" s="1"/>
  <c r="F8" i="87"/>
  <c r="B9" i="87"/>
  <c r="F12" i="87"/>
  <c r="F34" i="87"/>
  <c r="B36" i="87" s="1"/>
  <c r="F39" i="87"/>
  <c r="B41" i="87" s="1"/>
  <c r="B8" i="87"/>
  <c r="B25" i="87"/>
  <c r="B30" i="87"/>
  <c r="F38" i="87"/>
  <c r="B40" i="87" s="1"/>
  <c r="B27" i="87"/>
  <c r="E83" i="27"/>
  <c r="AP124" i="64"/>
  <c r="R126" i="87"/>
  <c r="R108" i="87" s="1"/>
  <c r="S127" i="87"/>
  <c r="B112" i="87"/>
  <c r="BV124" i="87"/>
  <c r="BW125" i="87"/>
  <c r="AD86" i="87"/>
  <c r="AC85" i="87"/>
  <c r="X83" i="87"/>
  <c r="Y84" i="87"/>
  <c r="BD125" i="87"/>
  <c r="BC124" i="87"/>
  <c r="B102" i="87"/>
  <c r="BG85" i="87"/>
  <c r="BH86" i="87"/>
  <c r="BR86" i="87"/>
  <c r="BQ85" i="87"/>
  <c r="AN86" i="87"/>
  <c r="AM85" i="87"/>
  <c r="C124" i="87"/>
  <c r="C112" i="87" s="1"/>
  <c r="D125" i="87"/>
  <c r="CB86" i="87"/>
  <c r="CA85" i="87"/>
  <c r="BL84" i="87"/>
  <c r="BK83" i="87"/>
  <c r="S85" i="87"/>
  <c r="T86" i="87"/>
  <c r="BP126" i="87"/>
  <c r="BP108" i="87" s="1"/>
  <c r="BQ127" i="87"/>
  <c r="BD84" i="87"/>
  <c r="BC83" i="87"/>
  <c r="CK127" i="87"/>
  <c r="CJ126" i="87"/>
  <c r="CJ108" i="87" s="1"/>
  <c r="I127" i="87"/>
  <c r="H126" i="87"/>
  <c r="H108" i="87" s="1"/>
  <c r="CF83" i="87"/>
  <c r="CG84" i="87"/>
  <c r="AL126" i="87"/>
  <c r="AL108" i="87" s="1"/>
  <c r="AM127" i="87"/>
  <c r="AB126" i="87"/>
  <c r="AB108" i="87" s="1"/>
  <c r="AC127" i="87"/>
  <c r="BV84" i="87"/>
  <c r="BU83" i="87"/>
  <c r="AI84" i="87"/>
  <c r="AH83" i="87"/>
  <c r="BN125" i="87"/>
  <c r="BM124" i="87"/>
  <c r="CL86" i="87"/>
  <c r="CK85" i="87"/>
  <c r="AV126" i="87"/>
  <c r="AV108" i="87" s="1"/>
  <c r="AW127" i="87"/>
  <c r="AX86" i="87"/>
  <c r="AW85" i="87"/>
  <c r="AR83" i="87"/>
  <c r="AS84" i="87"/>
  <c r="N125" i="87"/>
  <c r="M124" i="87"/>
  <c r="AF124" i="87"/>
  <c r="AG125" i="87"/>
  <c r="W125" i="87"/>
  <c r="J86" i="87"/>
  <c r="I85" i="87"/>
  <c r="CF124" i="87"/>
  <c r="CG125" i="87"/>
  <c r="BZ126" i="87"/>
  <c r="BZ108" i="87" s="1"/>
  <c r="CA127" i="87"/>
  <c r="BG127" i="87"/>
  <c r="BF126" i="87"/>
  <c r="BF108" i="87" s="1"/>
  <c r="O84" i="87"/>
  <c r="N83" i="87"/>
  <c r="D83" i="87"/>
  <c r="E84" i="87"/>
  <c r="AP124" i="87"/>
  <c r="AQ125" i="87"/>
  <c r="AG125" i="64"/>
  <c r="AH125" i="64" s="1"/>
  <c r="W125" i="64"/>
  <c r="X125" i="64" s="1"/>
  <c r="F83" i="27"/>
  <c r="BE98" i="81"/>
  <c r="BE113" i="81" s="1"/>
  <c r="CI98" i="81"/>
  <c r="CI113" i="81" s="1"/>
  <c r="L59" i="81"/>
  <c r="L58" i="81"/>
  <c r="L57" i="81"/>
  <c r="L56" i="81"/>
  <c r="L55" i="81"/>
  <c r="BU105" i="64"/>
  <c r="BV105" i="64" s="1"/>
  <c r="BW105" i="64" s="1"/>
  <c r="BX105" i="64" s="1"/>
  <c r="BY105" i="64" s="1"/>
  <c r="BZ105" i="64" s="1"/>
  <c r="CA105" i="64" s="1"/>
  <c r="CB105" i="64" s="1"/>
  <c r="CC105" i="64" s="1"/>
  <c r="BF85" i="64"/>
  <c r="BG86" i="64"/>
  <c r="BK124" i="64"/>
  <c r="AG103" i="64"/>
  <c r="AH103" i="64" s="1"/>
  <c r="AI103" i="64" s="1"/>
  <c r="AJ103" i="64" s="1"/>
  <c r="AK103" i="64" s="1"/>
  <c r="AL103" i="64" s="1"/>
  <c r="AM103" i="64" s="1"/>
  <c r="AN103" i="64" s="1"/>
  <c r="AO103" i="64" s="1"/>
  <c r="AQ107" i="64"/>
  <c r="AR107" i="64" s="1"/>
  <c r="AS107" i="64" s="1"/>
  <c r="AT107" i="64" s="1"/>
  <c r="AU107" i="64" s="1"/>
  <c r="AV107" i="64" s="1"/>
  <c r="AW107" i="64" s="1"/>
  <c r="AX107" i="64" s="1"/>
  <c r="AY107" i="64" s="1"/>
  <c r="C103" i="64"/>
  <c r="D103" i="64" s="1"/>
  <c r="E103" i="64" s="1"/>
  <c r="F103" i="64" s="1"/>
  <c r="G103" i="64" s="1"/>
  <c r="H103" i="64" s="1"/>
  <c r="I103" i="64" s="1"/>
  <c r="J103" i="64" s="1"/>
  <c r="K103" i="64" s="1"/>
  <c r="BA103" i="64"/>
  <c r="BB103" i="64" s="1"/>
  <c r="BC103" i="64" s="1"/>
  <c r="BD103" i="64" s="1"/>
  <c r="BE103" i="64" s="1"/>
  <c r="BF103" i="64" s="1"/>
  <c r="BG103" i="64" s="1"/>
  <c r="BH103" i="64" s="1"/>
  <c r="BI103" i="64" s="1"/>
  <c r="BA106" i="64"/>
  <c r="BB106" i="64" s="1"/>
  <c r="BC106" i="64" s="1"/>
  <c r="BD106" i="64" s="1"/>
  <c r="BE106" i="64" s="1"/>
  <c r="BF106" i="64" s="1"/>
  <c r="BG106" i="64" s="1"/>
  <c r="BH106" i="64" s="1"/>
  <c r="BI106" i="64" s="1"/>
  <c r="BD103" i="81"/>
  <c r="BD118" i="81" s="1"/>
  <c r="C106" i="64"/>
  <c r="D106" i="64" s="1"/>
  <c r="E106" i="64" s="1"/>
  <c r="F106" i="64" s="1"/>
  <c r="G106" i="64" s="1"/>
  <c r="H106" i="64" s="1"/>
  <c r="I106" i="64" s="1"/>
  <c r="J106" i="64" s="1"/>
  <c r="K106" i="64" s="1"/>
  <c r="BK104" i="64"/>
  <c r="BL104" i="64" s="1"/>
  <c r="BM104" i="64" s="1"/>
  <c r="BN104" i="64" s="1"/>
  <c r="BO104" i="64" s="1"/>
  <c r="BP104" i="64" s="1"/>
  <c r="BQ104" i="64" s="1"/>
  <c r="BR104" i="64" s="1"/>
  <c r="BS104" i="64" s="1"/>
  <c r="BA104" i="64"/>
  <c r="BB104" i="64" s="1"/>
  <c r="BC104" i="64" s="1"/>
  <c r="BD104" i="64" s="1"/>
  <c r="BE104" i="64" s="1"/>
  <c r="BF104" i="64" s="1"/>
  <c r="BG104" i="64" s="1"/>
  <c r="BH104" i="64" s="1"/>
  <c r="BI104" i="64" s="1"/>
  <c r="CE105" i="64"/>
  <c r="CF105" i="64" s="1"/>
  <c r="CG105" i="64" s="1"/>
  <c r="CH105" i="64" s="1"/>
  <c r="CI105" i="64" s="1"/>
  <c r="CJ105" i="64" s="1"/>
  <c r="CK105" i="64" s="1"/>
  <c r="CL105" i="64" s="1"/>
  <c r="CM105" i="64" s="1"/>
  <c r="BK106" i="64"/>
  <c r="BL106" i="64" s="1"/>
  <c r="BM106" i="64" s="1"/>
  <c r="BN106" i="64" s="1"/>
  <c r="BO106" i="64" s="1"/>
  <c r="BP106" i="64" s="1"/>
  <c r="BQ106" i="64" s="1"/>
  <c r="BR106" i="64" s="1"/>
  <c r="BS106" i="64" s="1"/>
  <c r="W103" i="64"/>
  <c r="X103" i="64" s="1"/>
  <c r="Y103" i="64" s="1"/>
  <c r="Z103" i="64" s="1"/>
  <c r="AA103" i="64" s="1"/>
  <c r="AB103" i="64" s="1"/>
  <c r="AC103" i="64" s="1"/>
  <c r="AD103" i="64" s="1"/>
  <c r="AE103" i="64" s="1"/>
  <c r="W106" i="64"/>
  <c r="X106" i="64" s="1"/>
  <c r="Y106" i="64" s="1"/>
  <c r="Z106" i="64" s="1"/>
  <c r="AA106" i="64" s="1"/>
  <c r="AB106" i="64" s="1"/>
  <c r="AC106" i="64" s="1"/>
  <c r="AD106" i="64" s="1"/>
  <c r="AE106" i="64" s="1"/>
  <c r="BU106" i="64"/>
  <c r="BV106" i="64" s="1"/>
  <c r="BW106" i="64" s="1"/>
  <c r="BX106" i="64" s="1"/>
  <c r="BY106" i="64" s="1"/>
  <c r="BZ106" i="64" s="1"/>
  <c r="CA106" i="64" s="1"/>
  <c r="CB106" i="64" s="1"/>
  <c r="CC106" i="64" s="1"/>
  <c r="AG106" i="64"/>
  <c r="AH106" i="64" s="1"/>
  <c r="AI106" i="64" s="1"/>
  <c r="AJ106" i="64" s="1"/>
  <c r="AK106" i="64" s="1"/>
  <c r="AL106" i="64" s="1"/>
  <c r="AM106" i="64" s="1"/>
  <c r="AN106" i="64" s="1"/>
  <c r="AO106" i="64" s="1"/>
  <c r="CE102" i="64"/>
  <c r="CF102" i="64" s="1"/>
  <c r="CG102" i="64" s="1"/>
  <c r="CH102" i="64" s="1"/>
  <c r="CI102" i="64" s="1"/>
  <c r="CJ102" i="64" s="1"/>
  <c r="CK102" i="64" s="1"/>
  <c r="CL102" i="64" s="1"/>
  <c r="CM102" i="64" s="1"/>
  <c r="BU102" i="64"/>
  <c r="BV102" i="64" s="1"/>
  <c r="BW102" i="64" s="1"/>
  <c r="BX102" i="64" s="1"/>
  <c r="BY102" i="64" s="1"/>
  <c r="BZ102" i="64" s="1"/>
  <c r="CA102" i="64" s="1"/>
  <c r="CB102" i="64" s="1"/>
  <c r="CC102" i="64" s="1"/>
  <c r="BA102" i="64"/>
  <c r="BB102" i="64" s="1"/>
  <c r="BC102" i="64" s="1"/>
  <c r="BD102" i="64" s="1"/>
  <c r="BE102" i="64" s="1"/>
  <c r="BF102" i="64" s="1"/>
  <c r="BG102" i="64" s="1"/>
  <c r="BH102" i="64" s="1"/>
  <c r="BI102" i="64" s="1"/>
  <c r="AQ106" i="64"/>
  <c r="AR106" i="64" s="1"/>
  <c r="AS106" i="64" s="1"/>
  <c r="AT106" i="64" s="1"/>
  <c r="AU106" i="64" s="1"/>
  <c r="AV106" i="64" s="1"/>
  <c r="AW106" i="64" s="1"/>
  <c r="AX106" i="64" s="1"/>
  <c r="AY106" i="64" s="1"/>
  <c r="BK102" i="64"/>
  <c r="BL102" i="64" s="1"/>
  <c r="BM102" i="64" s="1"/>
  <c r="BN102" i="64" s="1"/>
  <c r="BO102" i="64" s="1"/>
  <c r="BP102" i="64" s="1"/>
  <c r="BQ102" i="64" s="1"/>
  <c r="BR102" i="64" s="1"/>
  <c r="BS102" i="64" s="1"/>
  <c r="CE106" i="64"/>
  <c r="CF106" i="64" s="1"/>
  <c r="CG106" i="64" s="1"/>
  <c r="CH106" i="64" s="1"/>
  <c r="CI106" i="64" s="1"/>
  <c r="CJ106" i="64" s="1"/>
  <c r="CK106" i="64" s="1"/>
  <c r="CL106" i="64" s="1"/>
  <c r="CM106" i="64" s="1"/>
  <c r="BA105" i="64"/>
  <c r="BB105" i="64" s="1"/>
  <c r="BC105" i="64" s="1"/>
  <c r="BD105" i="64" s="1"/>
  <c r="BE105" i="64" s="1"/>
  <c r="BF105" i="64" s="1"/>
  <c r="BG105" i="64" s="1"/>
  <c r="BH105" i="64" s="1"/>
  <c r="BI105" i="64" s="1"/>
  <c r="BA107" i="64"/>
  <c r="BB107" i="64" s="1"/>
  <c r="BC107" i="64" s="1"/>
  <c r="BD107" i="64" s="1"/>
  <c r="BE107" i="64" s="1"/>
  <c r="BF107" i="64" s="1"/>
  <c r="BG107" i="64" s="1"/>
  <c r="BH107" i="64" s="1"/>
  <c r="BI107" i="64" s="1"/>
  <c r="CE103" i="64"/>
  <c r="CF103" i="64" s="1"/>
  <c r="CG103" i="64" s="1"/>
  <c r="CH103" i="64" s="1"/>
  <c r="CI103" i="64" s="1"/>
  <c r="CJ103" i="64" s="1"/>
  <c r="CK103" i="64" s="1"/>
  <c r="CL103" i="64" s="1"/>
  <c r="CM103" i="64" s="1"/>
  <c r="AQ102" i="64"/>
  <c r="AR102" i="64" s="1"/>
  <c r="AS102" i="64" s="1"/>
  <c r="AT102" i="64" s="1"/>
  <c r="AU102" i="64" s="1"/>
  <c r="AV102" i="64" s="1"/>
  <c r="AW102" i="64" s="1"/>
  <c r="AX102" i="64" s="1"/>
  <c r="AY102" i="64" s="1"/>
  <c r="AQ105" i="64"/>
  <c r="AR105" i="64" s="1"/>
  <c r="AS105" i="64" s="1"/>
  <c r="AT105" i="64" s="1"/>
  <c r="AU105" i="64" s="1"/>
  <c r="AV105" i="64" s="1"/>
  <c r="AW105" i="64" s="1"/>
  <c r="AX105" i="64" s="1"/>
  <c r="AY105" i="64" s="1"/>
  <c r="C107" i="64"/>
  <c r="D107" i="64" s="1"/>
  <c r="E107" i="64" s="1"/>
  <c r="F107" i="64" s="1"/>
  <c r="G107" i="64" s="1"/>
  <c r="H107" i="64" s="1"/>
  <c r="I107" i="64" s="1"/>
  <c r="J107" i="64" s="1"/>
  <c r="K107" i="64" s="1"/>
  <c r="BK107" i="64"/>
  <c r="BL107" i="64" s="1"/>
  <c r="BM107" i="64" s="1"/>
  <c r="BN107" i="64" s="1"/>
  <c r="BO107" i="64" s="1"/>
  <c r="BP107" i="64" s="1"/>
  <c r="BQ107" i="64" s="1"/>
  <c r="BR107" i="64" s="1"/>
  <c r="BS107" i="64" s="1"/>
  <c r="M107" i="64"/>
  <c r="N107" i="64" s="1"/>
  <c r="O107" i="64" s="1"/>
  <c r="P107" i="64" s="1"/>
  <c r="Q107" i="64" s="1"/>
  <c r="R107" i="64" s="1"/>
  <c r="S107" i="64" s="1"/>
  <c r="T107" i="64" s="1"/>
  <c r="U107" i="64" s="1"/>
  <c r="CE107" i="64"/>
  <c r="CF107" i="64" s="1"/>
  <c r="CG107" i="64" s="1"/>
  <c r="CH107" i="64" s="1"/>
  <c r="CI107" i="64" s="1"/>
  <c r="CJ107" i="64" s="1"/>
  <c r="CK107" i="64" s="1"/>
  <c r="CL107" i="64" s="1"/>
  <c r="CM107" i="64" s="1"/>
  <c r="BK103" i="64"/>
  <c r="BL103" i="64" s="1"/>
  <c r="BM103" i="64" s="1"/>
  <c r="BN103" i="64" s="1"/>
  <c r="BO103" i="64" s="1"/>
  <c r="BP103" i="64" s="1"/>
  <c r="BQ103" i="64" s="1"/>
  <c r="BR103" i="64" s="1"/>
  <c r="BS103" i="64" s="1"/>
  <c r="BK105" i="64"/>
  <c r="BL105" i="64" s="1"/>
  <c r="BM105" i="64" s="1"/>
  <c r="BN105" i="64" s="1"/>
  <c r="BO105" i="64" s="1"/>
  <c r="BP105" i="64" s="1"/>
  <c r="BQ105" i="64" s="1"/>
  <c r="BR105" i="64" s="1"/>
  <c r="BS105" i="64" s="1"/>
  <c r="BU103" i="64"/>
  <c r="BV103" i="64" s="1"/>
  <c r="BW103" i="64" s="1"/>
  <c r="BX103" i="64" s="1"/>
  <c r="BY103" i="64" s="1"/>
  <c r="BZ103" i="64" s="1"/>
  <c r="CA103" i="64" s="1"/>
  <c r="CB103" i="64" s="1"/>
  <c r="CC103" i="64" s="1"/>
  <c r="BU104" i="64"/>
  <c r="BV104" i="64" s="1"/>
  <c r="BW104" i="64" s="1"/>
  <c r="BX104" i="64" s="1"/>
  <c r="BY104" i="64" s="1"/>
  <c r="BZ104" i="64" s="1"/>
  <c r="CA104" i="64" s="1"/>
  <c r="CB104" i="64" s="1"/>
  <c r="CC104" i="64" s="1"/>
  <c r="CE104" i="64"/>
  <c r="CF104" i="64" s="1"/>
  <c r="CG104" i="64" s="1"/>
  <c r="CH104" i="64" s="1"/>
  <c r="CI104" i="64" s="1"/>
  <c r="CJ104" i="64" s="1"/>
  <c r="CK104" i="64" s="1"/>
  <c r="CL104" i="64" s="1"/>
  <c r="CM104" i="64" s="1"/>
  <c r="BU107" i="64"/>
  <c r="BV107" i="64" s="1"/>
  <c r="BW107" i="64" s="1"/>
  <c r="BX107" i="64" s="1"/>
  <c r="BY107" i="64" s="1"/>
  <c r="BZ107" i="64" s="1"/>
  <c r="CA107" i="64" s="1"/>
  <c r="CB107" i="64" s="1"/>
  <c r="CC107" i="64" s="1"/>
  <c r="AQ104" i="64"/>
  <c r="AR104" i="64" s="1"/>
  <c r="AS104" i="64" s="1"/>
  <c r="AT104" i="64" s="1"/>
  <c r="AU104" i="64" s="1"/>
  <c r="AV104" i="64" s="1"/>
  <c r="AW104" i="64" s="1"/>
  <c r="AX104" i="64" s="1"/>
  <c r="AY104" i="64" s="1"/>
  <c r="AC86" i="64"/>
  <c r="AB85" i="64"/>
  <c r="E33" i="81"/>
  <c r="Q98" i="81"/>
  <c r="Q113" i="81" s="1"/>
  <c r="AB99" i="81"/>
  <c r="AA98" i="81"/>
  <c r="AA113" i="81" s="1"/>
  <c r="R85" i="64"/>
  <c r="S86" i="64"/>
  <c r="R99" i="81"/>
  <c r="AL99" i="81"/>
  <c r="AK98" i="81"/>
  <c r="AK113" i="81" s="1"/>
  <c r="AM86" i="64"/>
  <c r="AL85" i="64"/>
  <c r="H99" i="81"/>
  <c r="G98" i="81"/>
  <c r="G113" i="81" s="1"/>
  <c r="BP98" i="81"/>
  <c r="BP113" i="81" s="1"/>
  <c r="BQ99" i="81"/>
  <c r="BZ98" i="81"/>
  <c r="BZ113" i="81" s="1"/>
  <c r="H85" i="64"/>
  <c r="I86" i="64"/>
  <c r="R96" i="64"/>
  <c r="Q105" i="81"/>
  <c r="Q120" i="81" s="1"/>
  <c r="Q94" i="64"/>
  <c r="P103" i="81"/>
  <c r="P118" i="81" s="1"/>
  <c r="BN94" i="64"/>
  <c r="BM103" i="81"/>
  <c r="BM118" i="81" s="1"/>
  <c r="H96" i="64"/>
  <c r="G105" i="81"/>
  <c r="G120" i="81" s="1"/>
  <c r="BG96" i="64"/>
  <c r="BF105" i="81"/>
  <c r="BF120" i="81" s="1"/>
  <c r="AA94" i="64"/>
  <c r="Z103" i="81"/>
  <c r="Z118" i="81" s="1"/>
  <c r="AK94" i="64"/>
  <c r="AJ103" i="81"/>
  <c r="AJ118" i="81" s="1"/>
  <c r="AU94" i="64"/>
  <c r="AT103" i="81"/>
  <c r="AT118" i="81" s="1"/>
  <c r="AV96" i="64"/>
  <c r="AU105" i="81"/>
  <c r="AU120" i="81" s="1"/>
  <c r="BQ96" i="64"/>
  <c r="BP105" i="81"/>
  <c r="BP120" i="81" s="1"/>
  <c r="AL96" i="64"/>
  <c r="AK105" i="81"/>
  <c r="AK120" i="81" s="1"/>
  <c r="BX94" i="64"/>
  <c r="BW103" i="81"/>
  <c r="BW118" i="81" s="1"/>
  <c r="CA96" i="64"/>
  <c r="BZ105" i="81"/>
  <c r="BZ120" i="81" s="1"/>
  <c r="G94" i="64"/>
  <c r="F103" i="81"/>
  <c r="F118" i="81" s="1"/>
  <c r="AB96" i="64"/>
  <c r="AA105" i="81"/>
  <c r="AA120" i="81" s="1"/>
  <c r="AF54" i="81"/>
  <c r="AF77" i="81"/>
  <c r="CN54" i="81"/>
  <c r="CN77" i="81"/>
  <c r="L54" i="81"/>
  <c r="L77" i="81"/>
  <c r="CD54" i="81"/>
  <c r="CD77" i="81"/>
  <c r="BJ54" i="81"/>
  <c r="BJ77" i="81"/>
  <c r="AZ54" i="81"/>
  <c r="AZ77" i="81"/>
  <c r="CN85" i="81"/>
  <c r="CD85" i="81"/>
  <c r="BA87" i="81"/>
  <c r="M105" i="64"/>
  <c r="N105" i="64" s="1"/>
  <c r="O105" i="64" s="1"/>
  <c r="P105" i="64" s="1"/>
  <c r="Q105" i="64" s="1"/>
  <c r="R105" i="64" s="1"/>
  <c r="S105" i="64" s="1"/>
  <c r="T105" i="64" s="1"/>
  <c r="U105" i="64" s="1"/>
  <c r="F29" i="81"/>
  <c r="E30" i="81"/>
  <c r="E29" i="81"/>
  <c r="H29" i="81"/>
  <c r="H31" i="81"/>
  <c r="E34" i="81"/>
  <c r="E31" i="81"/>
  <c r="E32" i="81"/>
  <c r="F33" i="81"/>
  <c r="F31" i="81"/>
  <c r="H33" i="81"/>
  <c r="K34" i="81"/>
  <c r="H32" i="81"/>
  <c r="F32" i="81"/>
  <c r="F30" i="81"/>
  <c r="I34" i="81"/>
  <c r="I29" i="81"/>
  <c r="F34" i="81"/>
  <c r="H34" i="81"/>
  <c r="K33" i="81"/>
  <c r="D38" i="81"/>
  <c r="D23" i="81"/>
  <c r="D24" i="81"/>
  <c r="D22" i="81"/>
  <c r="D26" i="81"/>
  <c r="D25" i="81"/>
  <c r="G38" i="81"/>
  <c r="G24" i="81"/>
  <c r="G23" i="81"/>
  <c r="G22" i="81"/>
  <c r="G26" i="81"/>
  <c r="G25" i="81"/>
  <c r="K30" i="81"/>
  <c r="I31" i="81"/>
  <c r="D21" i="81"/>
  <c r="G21" i="81"/>
  <c r="K32" i="81"/>
  <c r="I30" i="81"/>
  <c r="K31" i="81"/>
  <c r="I33" i="81"/>
  <c r="J38" i="81"/>
  <c r="J29" i="81" s="1"/>
  <c r="J25" i="81"/>
  <c r="J23" i="81"/>
  <c r="J24" i="81"/>
  <c r="J26" i="81"/>
  <c r="J22" i="81"/>
  <c r="C38" i="81"/>
  <c r="C29" i="81" s="1"/>
  <c r="C23" i="81"/>
  <c r="C25" i="81"/>
  <c r="C24" i="81"/>
  <c r="C22" i="81"/>
  <c r="C26" i="81"/>
  <c r="AG107" i="64"/>
  <c r="AH107" i="64" s="1"/>
  <c r="AI107" i="64" s="1"/>
  <c r="AJ107" i="64" s="1"/>
  <c r="AK107" i="64" s="1"/>
  <c r="AL107" i="64" s="1"/>
  <c r="AM107" i="64" s="1"/>
  <c r="AN107" i="64" s="1"/>
  <c r="AO107" i="64" s="1"/>
  <c r="M106" i="64"/>
  <c r="N106" i="64" s="1"/>
  <c r="O106" i="64" s="1"/>
  <c r="P106" i="64" s="1"/>
  <c r="Q106" i="64" s="1"/>
  <c r="R106" i="64" s="1"/>
  <c r="S106" i="64" s="1"/>
  <c r="T106" i="64" s="1"/>
  <c r="U106" i="64" s="1"/>
  <c r="AQ103" i="64"/>
  <c r="AR103" i="64" s="1"/>
  <c r="AS103" i="64" s="1"/>
  <c r="AT103" i="64" s="1"/>
  <c r="AU103" i="64" s="1"/>
  <c r="AV103" i="64" s="1"/>
  <c r="AW103" i="64" s="1"/>
  <c r="AX103" i="64" s="1"/>
  <c r="AY103" i="64" s="1"/>
  <c r="M103" i="64"/>
  <c r="N103" i="64" s="1"/>
  <c r="O103" i="64" s="1"/>
  <c r="P103" i="64" s="1"/>
  <c r="Q103" i="64" s="1"/>
  <c r="R103" i="64" s="1"/>
  <c r="S103" i="64" s="1"/>
  <c r="T103" i="64" s="1"/>
  <c r="U103" i="64" s="1"/>
  <c r="W107" i="64"/>
  <c r="X107" i="64" s="1"/>
  <c r="Y107" i="64" s="1"/>
  <c r="Z107" i="64" s="1"/>
  <c r="AA107" i="64" s="1"/>
  <c r="AB107" i="64" s="1"/>
  <c r="AC107" i="64" s="1"/>
  <c r="AD107" i="64" s="1"/>
  <c r="AE107" i="64" s="1"/>
  <c r="AG105" i="64"/>
  <c r="AH105" i="64" s="1"/>
  <c r="AI105" i="64" s="1"/>
  <c r="AJ105" i="64" s="1"/>
  <c r="AK105" i="64" s="1"/>
  <c r="AL105" i="64" s="1"/>
  <c r="AM105" i="64" s="1"/>
  <c r="AN105" i="64" s="1"/>
  <c r="AO105" i="64" s="1"/>
  <c r="M104" i="64"/>
  <c r="N104" i="64" s="1"/>
  <c r="O104" i="64" s="1"/>
  <c r="P104" i="64" s="1"/>
  <c r="Q104" i="64" s="1"/>
  <c r="R104" i="64" s="1"/>
  <c r="S104" i="64" s="1"/>
  <c r="T104" i="64" s="1"/>
  <c r="U104" i="64" s="1"/>
  <c r="C104" i="64"/>
  <c r="D104" i="64" s="1"/>
  <c r="E104" i="64" s="1"/>
  <c r="F104" i="64" s="1"/>
  <c r="G104" i="64" s="1"/>
  <c r="H104" i="64" s="1"/>
  <c r="I104" i="64" s="1"/>
  <c r="J104" i="64" s="1"/>
  <c r="K104" i="64" s="1"/>
  <c r="C105" i="64"/>
  <c r="D105" i="64" s="1"/>
  <c r="E105" i="64" s="1"/>
  <c r="F105" i="64" s="1"/>
  <c r="G105" i="64" s="1"/>
  <c r="H105" i="64" s="1"/>
  <c r="I105" i="64" s="1"/>
  <c r="J105" i="64" s="1"/>
  <c r="K105" i="64" s="1"/>
  <c r="W102" i="64"/>
  <c r="X102" i="64" s="1"/>
  <c r="Y102" i="64" s="1"/>
  <c r="Z102" i="64" s="1"/>
  <c r="AA102" i="64" s="1"/>
  <c r="AB102" i="64" s="1"/>
  <c r="AC102" i="64" s="1"/>
  <c r="AD102" i="64" s="1"/>
  <c r="AE102" i="64" s="1"/>
  <c r="W105" i="64"/>
  <c r="X105" i="64" s="1"/>
  <c r="Y105" i="64" s="1"/>
  <c r="Z105" i="64" s="1"/>
  <c r="AA105" i="64" s="1"/>
  <c r="AB105" i="64" s="1"/>
  <c r="AC105" i="64" s="1"/>
  <c r="AD105" i="64" s="1"/>
  <c r="AE105" i="64" s="1"/>
  <c r="AG102" i="64"/>
  <c r="AH102" i="64" s="1"/>
  <c r="AI102" i="64" s="1"/>
  <c r="AJ102" i="64" s="1"/>
  <c r="AK102" i="64" s="1"/>
  <c r="AL102" i="64" s="1"/>
  <c r="AM102" i="64" s="1"/>
  <c r="AN102" i="64" s="1"/>
  <c r="AO102" i="64" s="1"/>
  <c r="W104" i="64"/>
  <c r="X104" i="64" s="1"/>
  <c r="Y104" i="64" s="1"/>
  <c r="Z104" i="64" s="1"/>
  <c r="AA104" i="64" s="1"/>
  <c r="AB104" i="64" s="1"/>
  <c r="AC104" i="64" s="1"/>
  <c r="AD104" i="64" s="1"/>
  <c r="AE104" i="64" s="1"/>
  <c r="AG104" i="64"/>
  <c r="AH104" i="64" s="1"/>
  <c r="AI104" i="64" s="1"/>
  <c r="AJ104" i="64" s="1"/>
  <c r="AK104" i="64" s="1"/>
  <c r="AL104" i="64" s="1"/>
  <c r="AM104" i="64" s="1"/>
  <c r="AN104" i="64" s="1"/>
  <c r="AO104" i="64" s="1"/>
  <c r="M102" i="64"/>
  <c r="N102" i="64" s="1"/>
  <c r="O102" i="64" s="1"/>
  <c r="C38" i="71"/>
  <c r="C40" i="18"/>
  <c r="C30" i="18"/>
  <c r="C20" i="18"/>
  <c r="C68" i="18"/>
  <c r="C12" i="18" s="1"/>
  <c r="C50" i="18"/>
  <c r="C60" i="18"/>
  <c r="C83" i="27"/>
  <c r="B112" i="64"/>
  <c r="CE83" i="64"/>
  <c r="AR125" i="64"/>
  <c r="AQ124" i="64"/>
  <c r="BV125" i="64"/>
  <c r="BU124" i="64"/>
  <c r="M125" i="64"/>
  <c r="L124" i="64"/>
  <c r="BC125" i="64"/>
  <c r="BB124" i="64"/>
  <c r="CF125" i="64"/>
  <c r="CE124" i="64"/>
  <c r="BM125" i="64"/>
  <c r="BL124" i="64"/>
  <c r="BC84" i="64"/>
  <c r="BB83" i="64"/>
  <c r="D84" i="64"/>
  <c r="C83" i="64"/>
  <c r="AR84" i="64"/>
  <c r="AQ83" i="64"/>
  <c r="AH84" i="64"/>
  <c r="AG83" i="64"/>
  <c r="X84" i="64"/>
  <c r="W83" i="64"/>
  <c r="N84" i="64"/>
  <c r="M83" i="64"/>
  <c r="CG84" i="64"/>
  <c r="CF83" i="64"/>
  <c r="L25" i="27"/>
  <c r="BU84" i="64"/>
  <c r="BK84" i="64"/>
  <c r="C125" i="64"/>
  <c r="P108" i="64"/>
  <c r="CH108" i="64"/>
  <c r="AJ108" i="64"/>
  <c r="BN108" i="64"/>
  <c r="BX108" i="64"/>
  <c r="AT108" i="64"/>
  <c r="Z108" i="64"/>
  <c r="BD108" i="64"/>
  <c r="AV127" i="64"/>
  <c r="AU126" i="64"/>
  <c r="AB127" i="64"/>
  <c r="AA126" i="64"/>
  <c r="BF127" i="64"/>
  <c r="BE126" i="64"/>
  <c r="R127" i="64"/>
  <c r="Q126" i="64"/>
  <c r="CJ127" i="64"/>
  <c r="CI126" i="64"/>
  <c r="AL127" i="64"/>
  <c r="AK126" i="64"/>
  <c r="BP127" i="64"/>
  <c r="BO126" i="64"/>
  <c r="BZ127" i="64"/>
  <c r="BY126" i="64"/>
  <c r="C129" i="64"/>
  <c r="BR86" i="64"/>
  <c r="BQ85" i="64"/>
  <c r="G30" i="18"/>
  <c r="G20" i="18"/>
  <c r="G50" i="18"/>
  <c r="G40" i="18"/>
  <c r="G60" i="18"/>
  <c r="D156" i="35"/>
  <c r="H80" i="35"/>
  <c r="H156" i="35" s="1"/>
  <c r="F80" i="35"/>
  <c r="F156" i="35" s="1"/>
  <c r="L80" i="35"/>
  <c r="L156" i="35" s="1"/>
  <c r="R80" i="35"/>
  <c r="N80" i="35"/>
  <c r="N156" i="35" s="1"/>
  <c r="P80" i="35"/>
  <c r="O80" i="35"/>
  <c r="S80" i="35"/>
  <c r="I80" i="35"/>
  <c r="I156" i="35" s="1"/>
  <c r="Q80" i="35"/>
  <c r="T80" i="35"/>
  <c r="K80" i="35"/>
  <c r="K156" i="35" s="1"/>
  <c r="G80" i="35"/>
  <c r="G156" i="35" s="1"/>
  <c r="M80" i="35"/>
  <c r="M156" i="35" s="1"/>
  <c r="E80" i="35"/>
  <c r="E156" i="35" s="1"/>
  <c r="J80" i="35"/>
  <c r="J156" i="35" s="1"/>
  <c r="D83" i="27"/>
  <c r="K83" i="27"/>
  <c r="H83" i="27"/>
  <c r="G83" i="27"/>
  <c r="B83" i="27"/>
  <c r="F30" i="18"/>
  <c r="F32" i="18" s="1"/>
  <c r="L20" i="18"/>
  <c r="L22" i="18" s="1"/>
  <c r="F40" i="18"/>
  <c r="F42" i="18" s="1"/>
  <c r="L40" i="18"/>
  <c r="L42" i="18" s="1"/>
  <c r="K40" i="18"/>
  <c r="K42" i="18" s="1"/>
  <c r="K20" i="18"/>
  <c r="K22" i="18" s="1"/>
  <c r="K30" i="18"/>
  <c r="K32" i="18" s="1"/>
  <c r="L50" i="18"/>
  <c r="L52" i="18" s="1"/>
  <c r="F20" i="18"/>
  <c r="F22" i="18" s="1"/>
  <c r="F50" i="18"/>
  <c r="F52" i="18" s="1"/>
  <c r="J60" i="18"/>
  <c r="J62" i="18" s="1"/>
  <c r="L60" i="18"/>
  <c r="L62" i="18" s="1"/>
  <c r="L10" i="18"/>
  <c r="L12" i="18" s="1"/>
  <c r="L30" i="18"/>
  <c r="L32" i="18" s="1"/>
  <c r="J50" i="18"/>
  <c r="J52" i="18" s="1"/>
  <c r="H50" i="18"/>
  <c r="H52" i="18" s="1"/>
  <c r="J40" i="18"/>
  <c r="J42" i="18" s="1"/>
  <c r="E40" i="18"/>
  <c r="J20" i="18"/>
  <c r="J22" i="18" s="1"/>
  <c r="H40" i="18"/>
  <c r="H42" i="18" s="1"/>
  <c r="J30" i="18"/>
  <c r="J32" i="18" s="1"/>
  <c r="H20" i="18"/>
  <c r="H22" i="18" s="1"/>
  <c r="K60" i="18"/>
  <c r="K62" i="18" s="1"/>
  <c r="E30" i="18"/>
  <c r="K10" i="18"/>
  <c r="K12" i="18" s="1"/>
  <c r="H10" i="18"/>
  <c r="H12" i="18" s="1"/>
  <c r="K50" i="18"/>
  <c r="K52" i="18" s="1"/>
  <c r="F60" i="18"/>
  <c r="F62" i="18" s="1"/>
  <c r="E10" i="18"/>
  <c r="F10" i="18"/>
  <c r="F12" i="18" s="1"/>
  <c r="J10" i="18"/>
  <c r="J12" i="18" s="1"/>
  <c r="H30" i="18"/>
  <c r="H32" i="18" s="1"/>
  <c r="I20" i="18"/>
  <c r="I68" i="18"/>
  <c r="I40" i="18"/>
  <c r="I60" i="18"/>
  <c r="I10" i="18"/>
  <c r="I30" i="18"/>
  <c r="I50" i="18"/>
  <c r="B50" i="18"/>
  <c r="B68" i="18"/>
  <c r="B12" i="18" s="1"/>
  <c r="B20" i="18"/>
  <c r="B30" i="18"/>
  <c r="B60" i="18"/>
  <c r="B40" i="18"/>
  <c r="G68" i="18"/>
  <c r="H60" i="18"/>
  <c r="H62" i="18" s="1"/>
  <c r="E50" i="18"/>
  <c r="E68" i="18"/>
  <c r="E22" i="18" s="1"/>
  <c r="D10" i="18"/>
  <c r="D68" i="18"/>
  <c r="D42" i="18" s="1"/>
  <c r="D20" i="18"/>
  <c r="D50" i="18"/>
  <c r="D30" i="18"/>
  <c r="D60" i="18"/>
  <c r="E60" i="18"/>
  <c r="CA99" i="81" l="1"/>
  <c r="CA85" i="64"/>
  <c r="CA98" i="81" s="1"/>
  <c r="CA113" i="81" s="1"/>
  <c r="AX86" i="64"/>
  <c r="AX99" i="81" s="1"/>
  <c r="AW99" i="81"/>
  <c r="CK96" i="64"/>
  <c r="CL96" i="64" s="1"/>
  <c r="CK85" i="64"/>
  <c r="CK98" i="81" s="1"/>
  <c r="CK113" i="81" s="1"/>
  <c r="CJ94" i="64"/>
  <c r="CJ103" i="81" s="1"/>
  <c r="CJ118" i="81" s="1"/>
  <c r="CL86" i="64"/>
  <c r="CM86" i="64" s="1"/>
  <c r="CI103" i="81"/>
  <c r="CI118" i="81" s="1"/>
  <c r="BF94" i="64"/>
  <c r="BG94" i="64" s="1"/>
  <c r="BE103" i="81"/>
  <c r="BE118" i="81" s="1"/>
  <c r="BG99" i="81"/>
  <c r="BF98" i="81"/>
  <c r="BF113" i="81" s="1"/>
  <c r="AQ47" i="81"/>
  <c r="AQ55" i="81" s="1"/>
  <c r="AQ48" i="81"/>
  <c r="AQ56" i="81" s="1"/>
  <c r="AQ49" i="81"/>
  <c r="AQ57" i="81" s="1"/>
  <c r="AQ50" i="81"/>
  <c r="AQ58" i="81" s="1"/>
  <c r="AQ51" i="81"/>
  <c r="AQ59" i="81" s="1"/>
  <c r="AQ46" i="81"/>
  <c r="W51" i="81"/>
  <c r="W59" i="81" s="1"/>
  <c r="W47" i="81"/>
  <c r="W55" i="81" s="1"/>
  <c r="W46" i="81"/>
  <c r="W48" i="81"/>
  <c r="W56" i="81" s="1"/>
  <c r="W49" i="81"/>
  <c r="W57" i="81" s="1"/>
  <c r="W50" i="81"/>
  <c r="W58" i="81" s="1"/>
  <c r="BB48" i="81"/>
  <c r="BB56" i="81" s="1"/>
  <c r="BB46" i="81"/>
  <c r="BB47" i="81"/>
  <c r="BB55" i="81" s="1"/>
  <c r="BB51" i="81"/>
  <c r="BB59" i="81" s="1"/>
  <c r="BB49" i="81"/>
  <c r="BB57" i="81" s="1"/>
  <c r="BB50" i="81"/>
  <c r="BB58" i="81" s="1"/>
  <c r="M46" i="81"/>
  <c r="M47" i="81"/>
  <c r="M49" i="81"/>
  <c r="M48" i="81"/>
  <c r="M50" i="81"/>
  <c r="M51" i="81"/>
  <c r="CF46" i="81"/>
  <c r="CF49" i="81"/>
  <c r="CF57" i="81" s="1"/>
  <c r="CF47" i="81"/>
  <c r="CF55" i="81" s="1"/>
  <c r="CF48" i="81"/>
  <c r="CF56" i="81" s="1"/>
  <c r="CF51" i="81"/>
  <c r="CF59" i="81" s="1"/>
  <c r="CF50" i="81"/>
  <c r="CF58" i="81" s="1"/>
  <c r="AG49" i="81"/>
  <c r="AG57" i="81" s="1"/>
  <c r="AG50" i="81"/>
  <c r="AG58" i="81" s="1"/>
  <c r="AG51" i="81"/>
  <c r="AG59" i="81" s="1"/>
  <c r="AG46" i="81"/>
  <c r="AG47" i="81"/>
  <c r="AG55" i="81" s="1"/>
  <c r="AG48" i="81"/>
  <c r="AG56" i="81" s="1"/>
  <c r="CE47" i="81"/>
  <c r="CE55" i="81" s="1"/>
  <c r="CE48" i="81"/>
  <c r="CE56" i="81" s="1"/>
  <c r="CE50" i="81"/>
  <c r="CE58" i="81" s="1"/>
  <c r="CE49" i="81"/>
  <c r="CE57" i="81" s="1"/>
  <c r="CE51" i="81"/>
  <c r="CE59" i="81" s="1"/>
  <c r="CE46" i="81"/>
  <c r="C50" i="81"/>
  <c r="C51" i="81"/>
  <c r="C48" i="81"/>
  <c r="C49" i="81"/>
  <c r="C46" i="81"/>
  <c r="C47" i="81"/>
  <c r="C14" i="88"/>
  <c r="C11" i="88"/>
  <c r="C13" i="88"/>
  <c r="C10" i="88"/>
  <c r="C12" i="88"/>
  <c r="C15" i="88"/>
  <c r="F12" i="64"/>
  <c r="B30" i="64"/>
  <c r="B29" i="64"/>
  <c r="B9" i="64"/>
  <c r="F11" i="64"/>
  <c r="F9" i="64"/>
  <c r="B28" i="64"/>
  <c r="B26" i="64"/>
  <c r="F36" i="64"/>
  <c r="B38" i="64" s="1"/>
  <c r="F37" i="64"/>
  <c r="B39" i="64" s="1"/>
  <c r="B5" i="64"/>
  <c r="B6" i="64"/>
  <c r="B7" i="64"/>
  <c r="F35" i="64"/>
  <c r="B37" i="64" s="1"/>
  <c r="F10" i="64"/>
  <c r="B8" i="64"/>
  <c r="F39" i="64"/>
  <c r="B41" i="64" s="1"/>
  <c r="B27" i="64"/>
  <c r="F38" i="64"/>
  <c r="B40" i="64" s="1"/>
  <c r="F13" i="64"/>
  <c r="O125" i="87"/>
  <c r="N124" i="87"/>
  <c r="AX127" i="87"/>
  <c r="AW126" i="87"/>
  <c r="AW108" i="87" s="1"/>
  <c r="AJ84" i="87"/>
  <c r="AI83" i="87"/>
  <c r="J127" i="87"/>
  <c r="I126" i="87"/>
  <c r="I108" i="87" s="1"/>
  <c r="J85" i="87"/>
  <c r="K86" i="87"/>
  <c r="K85" i="87" s="1"/>
  <c r="AM126" i="87"/>
  <c r="AM108" i="87" s="1"/>
  <c r="AN127" i="87"/>
  <c r="AO86" i="87"/>
  <c r="AO85" i="87" s="1"/>
  <c r="AN85" i="87"/>
  <c r="BE125" i="87"/>
  <c r="BD124" i="87"/>
  <c r="F84" i="87"/>
  <c r="E83" i="87"/>
  <c r="BH127" i="87"/>
  <c r="BG126" i="87"/>
  <c r="BG108" i="87" s="1"/>
  <c r="W124" i="87"/>
  <c r="X125" i="87"/>
  <c r="CL127" i="87"/>
  <c r="CK126" i="87"/>
  <c r="CK108" i="87" s="1"/>
  <c r="BR127" i="87"/>
  <c r="BQ126" i="87"/>
  <c r="BQ108" i="87" s="1"/>
  <c r="BM84" i="87"/>
  <c r="BL83" i="87"/>
  <c r="Y83" i="87"/>
  <c r="Z84" i="87"/>
  <c r="CB127" i="87"/>
  <c r="CA126" i="87"/>
  <c r="CA108" i="87" s="1"/>
  <c r="AH125" i="87"/>
  <c r="AG124" i="87"/>
  <c r="AT84" i="87"/>
  <c r="AS83" i="87"/>
  <c r="CM86" i="87"/>
  <c r="CL85" i="87"/>
  <c r="BR85" i="87"/>
  <c r="BS86" i="87"/>
  <c r="BS85" i="87" s="1"/>
  <c r="CH84" i="87"/>
  <c r="CG83" i="87"/>
  <c r="U86" i="87"/>
  <c r="U85" i="87" s="1"/>
  <c r="T85" i="87"/>
  <c r="CC86" i="87"/>
  <c r="CC85" i="87" s="1"/>
  <c r="CB85" i="87"/>
  <c r="BI86" i="87"/>
  <c r="BI85" i="87" s="1"/>
  <c r="BH85" i="87"/>
  <c r="S126" i="87"/>
  <c r="S108" i="87" s="1"/>
  <c r="T127" i="87"/>
  <c r="P84" i="87"/>
  <c r="O83" i="87"/>
  <c r="BN124" i="87"/>
  <c r="BO125" i="87"/>
  <c r="BV83" i="87"/>
  <c r="BW84" i="87"/>
  <c r="BD83" i="87"/>
  <c r="BE84" i="87"/>
  <c r="E125" i="87"/>
  <c r="D124" i="87"/>
  <c r="D112" i="87" s="1"/>
  <c r="CH125" i="87"/>
  <c r="CG124" i="87"/>
  <c r="AD127" i="87"/>
  <c r="AC126" i="87"/>
  <c r="AC108" i="87" s="1"/>
  <c r="AD85" i="87"/>
  <c r="AE86" i="87"/>
  <c r="AE85" i="87" s="1"/>
  <c r="AQ124" i="87"/>
  <c r="AR125" i="87"/>
  <c r="AY86" i="87"/>
  <c r="AY85" i="87" s="1"/>
  <c r="AX85" i="87"/>
  <c r="C102" i="87"/>
  <c r="D102" i="87" s="1"/>
  <c r="E102" i="87" s="1"/>
  <c r="F102" i="87" s="1"/>
  <c r="G102" i="87" s="1"/>
  <c r="H102" i="87" s="1"/>
  <c r="I102" i="87" s="1"/>
  <c r="J102" i="87" s="1"/>
  <c r="K102" i="87" s="1"/>
  <c r="BW124" i="87"/>
  <c r="BX125" i="87"/>
  <c r="W124" i="64"/>
  <c r="AG124" i="64"/>
  <c r="L112" i="64"/>
  <c r="BG85" i="64"/>
  <c r="BH86" i="64"/>
  <c r="AC85" i="64"/>
  <c r="AD86" i="64"/>
  <c r="R98" i="81"/>
  <c r="R113" i="81" s="1"/>
  <c r="AC99" i="81"/>
  <c r="AB98" i="81"/>
  <c r="AB113" i="81" s="1"/>
  <c r="S99" i="81"/>
  <c r="S85" i="64"/>
  <c r="T86" i="64"/>
  <c r="AL98" i="81"/>
  <c r="AL113" i="81" s="1"/>
  <c r="AN86" i="64"/>
  <c r="AM85" i="64"/>
  <c r="AM99" i="81"/>
  <c r="I85" i="64"/>
  <c r="J86" i="64"/>
  <c r="CB99" i="81"/>
  <c r="BQ98" i="81"/>
  <c r="BQ113" i="81" s="1"/>
  <c r="BR99" i="81"/>
  <c r="AW98" i="81"/>
  <c r="AW113" i="81" s="1"/>
  <c r="I99" i="81"/>
  <c r="H98" i="81"/>
  <c r="H113" i="81" s="1"/>
  <c r="AP55" i="81"/>
  <c r="AP59" i="81"/>
  <c r="AP58" i="81"/>
  <c r="AP57" i="81"/>
  <c r="AP56" i="81"/>
  <c r="AC96" i="64"/>
  <c r="AB105" i="81"/>
  <c r="AB120" i="81" s="1"/>
  <c r="BY94" i="64"/>
  <c r="BX103" i="81"/>
  <c r="BX118" i="81" s="1"/>
  <c r="AW96" i="64"/>
  <c r="AV105" i="81"/>
  <c r="AV120" i="81" s="1"/>
  <c r="I96" i="64"/>
  <c r="H105" i="81"/>
  <c r="H120" i="81" s="1"/>
  <c r="BO94" i="64"/>
  <c r="BN103" i="81"/>
  <c r="BN118" i="81" s="1"/>
  <c r="AB94" i="64"/>
  <c r="AA103" i="81"/>
  <c r="AA118" i="81" s="1"/>
  <c r="R94" i="64"/>
  <c r="Q103" i="81"/>
  <c r="Q118" i="81" s="1"/>
  <c r="H94" i="64"/>
  <c r="G103" i="81"/>
  <c r="G118" i="81" s="1"/>
  <c r="AM96" i="64"/>
  <c r="AL105" i="81"/>
  <c r="AL120" i="81" s="1"/>
  <c r="AV94" i="64"/>
  <c r="AU103" i="81"/>
  <c r="AU118" i="81" s="1"/>
  <c r="BH96" i="64"/>
  <c r="BG105" i="81"/>
  <c r="BG120" i="81" s="1"/>
  <c r="CB96" i="64"/>
  <c r="CA105" i="81"/>
  <c r="CA120" i="81" s="1"/>
  <c r="BR96" i="64"/>
  <c r="BQ105" i="81"/>
  <c r="BQ120" i="81" s="1"/>
  <c r="AL94" i="64"/>
  <c r="AK103" i="81"/>
  <c r="AK118" i="81" s="1"/>
  <c r="S96" i="64"/>
  <c r="R105" i="81"/>
  <c r="R120" i="81" s="1"/>
  <c r="V54" i="81"/>
  <c r="V77" i="81"/>
  <c r="AZ78" i="81"/>
  <c r="BT54" i="81"/>
  <c r="BT77" i="81"/>
  <c r="CN78" i="81"/>
  <c r="CN62" i="81" s="1"/>
  <c r="AP54" i="81"/>
  <c r="AP77" i="81"/>
  <c r="BJ78" i="81"/>
  <c r="CD78" i="81"/>
  <c r="AF78" i="81"/>
  <c r="BA54" i="81"/>
  <c r="BA77" i="81"/>
  <c r="L78" i="81"/>
  <c r="BT85" i="81"/>
  <c r="C92" i="81"/>
  <c r="D92" i="81"/>
  <c r="L92" i="81"/>
  <c r="T92" i="81"/>
  <c r="AB92" i="81"/>
  <c r="AJ92" i="81"/>
  <c r="AR92" i="81"/>
  <c r="AZ92" i="81"/>
  <c r="BH92" i="81"/>
  <c r="BP92" i="81"/>
  <c r="BX92" i="81"/>
  <c r="CF92" i="81"/>
  <c r="CN92" i="81"/>
  <c r="N92" i="81"/>
  <c r="V92" i="81"/>
  <c r="AL92" i="81"/>
  <c r="BB92" i="81"/>
  <c r="BR92" i="81"/>
  <c r="W92" i="81"/>
  <c r="AU92" i="81"/>
  <c r="BS92" i="81"/>
  <c r="H92" i="81"/>
  <c r="X92" i="81"/>
  <c r="AV92" i="81"/>
  <c r="BL92" i="81"/>
  <c r="CB92" i="81"/>
  <c r="Q92" i="81"/>
  <c r="AG92" i="81"/>
  <c r="BE92" i="81"/>
  <c r="BU92" i="81"/>
  <c r="CC92" i="81"/>
  <c r="R92" i="81"/>
  <c r="AH92" i="81"/>
  <c r="AX92" i="81"/>
  <c r="BN92" i="81"/>
  <c r="CD92" i="81"/>
  <c r="K92" i="81"/>
  <c r="AI92" i="81"/>
  <c r="AY92" i="81"/>
  <c r="BO92" i="81"/>
  <c r="CE92" i="81"/>
  <c r="E92" i="81"/>
  <c r="M92" i="81"/>
  <c r="U92" i="81"/>
  <c r="AC92" i="81"/>
  <c r="AK92" i="81"/>
  <c r="AS92" i="81"/>
  <c r="BA92" i="81"/>
  <c r="BI92" i="81"/>
  <c r="BQ92" i="81"/>
  <c r="BY92" i="81"/>
  <c r="CG92" i="81"/>
  <c r="F92" i="81"/>
  <c r="AD92" i="81"/>
  <c r="AT92" i="81"/>
  <c r="BJ92" i="81"/>
  <c r="BZ92" i="81"/>
  <c r="CH92" i="81"/>
  <c r="AE92" i="81"/>
  <c r="BC92" i="81"/>
  <c r="BK92" i="81"/>
  <c r="CI92" i="81"/>
  <c r="P92" i="81"/>
  <c r="AF92" i="81"/>
  <c r="BD92" i="81"/>
  <c r="BT92" i="81"/>
  <c r="CJ92" i="81"/>
  <c r="I92" i="81"/>
  <c r="Y92" i="81"/>
  <c r="AW92" i="81"/>
  <c r="BM92" i="81"/>
  <c r="CK92" i="81"/>
  <c r="J92" i="81"/>
  <c r="Z92" i="81"/>
  <c r="AP92" i="81"/>
  <c r="BF92" i="81"/>
  <c r="BV92" i="81"/>
  <c r="CL92" i="81"/>
  <c r="S92" i="81"/>
  <c r="AQ92" i="81"/>
  <c r="BG92" i="81"/>
  <c r="BW92" i="81"/>
  <c r="CM92" i="81"/>
  <c r="AA92" i="81"/>
  <c r="G92" i="81"/>
  <c r="O92" i="81"/>
  <c r="AM92" i="81"/>
  <c r="CA92" i="81"/>
  <c r="AN92" i="81"/>
  <c r="AO92" i="81"/>
  <c r="AQ87" i="81"/>
  <c r="M87" i="81"/>
  <c r="W87" i="81"/>
  <c r="BB87" i="81"/>
  <c r="AG87" i="81"/>
  <c r="C87" i="81"/>
  <c r="BA85" i="81"/>
  <c r="B12" i="73"/>
  <c r="E39" i="81"/>
  <c r="D32" i="81"/>
  <c r="D31" i="81"/>
  <c r="D33" i="81"/>
  <c r="D34" i="81"/>
  <c r="F39" i="81"/>
  <c r="D30" i="81"/>
  <c r="H39" i="81"/>
  <c r="G30" i="81"/>
  <c r="D29" i="81"/>
  <c r="J33" i="81"/>
  <c r="I39" i="81"/>
  <c r="K39" i="81"/>
  <c r="J30" i="81"/>
  <c r="J32" i="81"/>
  <c r="G29" i="81"/>
  <c r="G32" i="81"/>
  <c r="J31" i="81"/>
  <c r="G33" i="81"/>
  <c r="G34" i="81"/>
  <c r="J34" i="81"/>
  <c r="G31" i="81"/>
  <c r="C31" i="81"/>
  <c r="C34" i="81"/>
  <c r="C30" i="81"/>
  <c r="C32" i="81"/>
  <c r="C33" i="81"/>
  <c r="C22" i="18"/>
  <c r="C32" i="18"/>
  <c r="C62" i="18"/>
  <c r="C52" i="18"/>
  <c r="C42" i="18"/>
  <c r="BN125" i="64"/>
  <c r="BM124" i="64"/>
  <c r="N125" i="64"/>
  <c r="M124" i="64"/>
  <c r="CG125" i="64"/>
  <c r="CF124" i="64"/>
  <c r="BW125" i="64"/>
  <c r="BV124" i="64"/>
  <c r="Y125" i="64"/>
  <c r="X124" i="64"/>
  <c r="AI125" i="64"/>
  <c r="AH124" i="64"/>
  <c r="D125" i="64"/>
  <c r="C124" i="64"/>
  <c r="BD125" i="64"/>
  <c r="BC124" i="64"/>
  <c r="AS125" i="64"/>
  <c r="AR124" i="64"/>
  <c r="BV84" i="64"/>
  <c r="BU83" i="64"/>
  <c r="AI84" i="64"/>
  <c r="AH83" i="64"/>
  <c r="CH84" i="64"/>
  <c r="CG83" i="64"/>
  <c r="AS84" i="64"/>
  <c r="AR83" i="64"/>
  <c r="O84" i="64"/>
  <c r="N83" i="64"/>
  <c r="E84" i="64"/>
  <c r="D83" i="64"/>
  <c r="BL84" i="64"/>
  <c r="BK83" i="64"/>
  <c r="Y84" i="64"/>
  <c r="X83" i="64"/>
  <c r="BD84" i="64"/>
  <c r="BC83" i="64"/>
  <c r="AK108" i="64"/>
  <c r="AA108" i="64"/>
  <c r="CI108" i="64"/>
  <c r="AU108" i="64"/>
  <c r="BY108" i="64"/>
  <c r="Q108" i="64"/>
  <c r="BO108" i="64"/>
  <c r="BE108" i="64"/>
  <c r="P102" i="64"/>
  <c r="D129" i="64"/>
  <c r="E129" i="64" s="1"/>
  <c r="F129" i="64" s="1"/>
  <c r="G129" i="64" s="1"/>
  <c r="H129" i="64" s="1"/>
  <c r="I129" i="64" s="1"/>
  <c r="J129" i="64" s="1"/>
  <c r="K129" i="64" s="1"/>
  <c r="S127" i="64"/>
  <c r="R126" i="64"/>
  <c r="CA127" i="64"/>
  <c r="BZ126" i="64"/>
  <c r="BQ127" i="64"/>
  <c r="BP126" i="64"/>
  <c r="BG127" i="64"/>
  <c r="BF126" i="64"/>
  <c r="AM127" i="64"/>
  <c r="AL126" i="64"/>
  <c r="AC127" i="64"/>
  <c r="AB126" i="64"/>
  <c r="CK127" i="64"/>
  <c r="CJ126" i="64"/>
  <c r="AW127" i="64"/>
  <c r="AV126" i="64"/>
  <c r="BS86" i="64"/>
  <c r="BR85" i="64"/>
  <c r="CC86" i="64"/>
  <c r="CB85" i="64"/>
  <c r="G22" i="18"/>
  <c r="G52" i="18"/>
  <c r="I32" i="18"/>
  <c r="B42" i="18"/>
  <c r="G62" i="18"/>
  <c r="F71" i="18"/>
  <c r="K71" i="18"/>
  <c r="G32" i="18"/>
  <c r="L71" i="18"/>
  <c r="B22" i="18"/>
  <c r="J71" i="18"/>
  <c r="E52" i="18"/>
  <c r="H71" i="18"/>
  <c r="E62" i="18"/>
  <c r="I52" i="18"/>
  <c r="D62" i="18"/>
  <c r="I12" i="18"/>
  <c r="I22" i="18"/>
  <c r="D32" i="18"/>
  <c r="I62" i="18"/>
  <c r="E12" i="18"/>
  <c r="I42" i="18"/>
  <c r="D52" i="18"/>
  <c r="D22" i="18"/>
  <c r="D12" i="18"/>
  <c r="G42" i="18"/>
  <c r="E32" i="18"/>
  <c r="B62" i="18"/>
  <c r="B52" i="18"/>
  <c r="G12" i="18"/>
  <c r="B32" i="18"/>
  <c r="E42" i="18"/>
  <c r="AX85" i="64" l="1"/>
  <c r="AX98" i="81" s="1"/>
  <c r="AX113" i="81" s="1"/>
  <c r="AY86" i="64"/>
  <c r="AY99" i="81" s="1"/>
  <c r="CL85" i="64"/>
  <c r="CL98" i="81" s="1"/>
  <c r="CL113" i="81" s="1"/>
  <c r="CK105" i="81"/>
  <c r="CK120" i="81" s="1"/>
  <c r="BF103" i="81"/>
  <c r="BF118" i="81" s="1"/>
  <c r="CK94" i="64"/>
  <c r="CK103" i="81" s="1"/>
  <c r="CK118" i="81" s="1"/>
  <c r="CL99" i="81"/>
  <c r="BH85" i="64"/>
  <c r="AH48" i="81"/>
  <c r="AH56" i="81" s="1"/>
  <c r="AH49" i="81"/>
  <c r="AH57" i="81" s="1"/>
  <c r="AH51" i="81"/>
  <c r="AH59" i="81" s="1"/>
  <c r="AH50" i="81"/>
  <c r="AH58" i="81" s="1"/>
  <c r="AH47" i="81"/>
  <c r="AH55" i="81" s="1"/>
  <c r="AH46" i="81"/>
  <c r="BC51" i="81"/>
  <c r="BC59" i="81" s="1"/>
  <c r="BC46" i="81"/>
  <c r="BC47" i="81"/>
  <c r="BC55" i="81" s="1"/>
  <c r="BC49" i="81"/>
  <c r="BC57" i="81" s="1"/>
  <c r="BC48" i="81"/>
  <c r="BC56" i="81" s="1"/>
  <c r="BC50" i="81"/>
  <c r="BC58" i="81" s="1"/>
  <c r="D46" i="81"/>
  <c r="D47" i="81"/>
  <c r="D55" i="81" s="1"/>
  <c r="D48" i="81"/>
  <c r="D56" i="81" s="1"/>
  <c r="D49" i="81"/>
  <c r="D57" i="81" s="1"/>
  <c r="D51" i="81"/>
  <c r="D59" i="81" s="1"/>
  <c r="D50" i="81"/>
  <c r="D58" i="81" s="1"/>
  <c r="N48" i="81"/>
  <c r="N56" i="81" s="1"/>
  <c r="N46" i="81"/>
  <c r="N47" i="81"/>
  <c r="N55" i="81" s="1"/>
  <c r="N49" i="81"/>
  <c r="N57" i="81" s="1"/>
  <c r="N50" i="81"/>
  <c r="N58" i="81" s="1"/>
  <c r="N51" i="81"/>
  <c r="N59" i="81" s="1"/>
  <c r="X50" i="81"/>
  <c r="X58" i="81" s="1"/>
  <c r="X46" i="81"/>
  <c r="X51" i="81"/>
  <c r="X59" i="81" s="1"/>
  <c r="X48" i="81"/>
  <c r="X56" i="81" s="1"/>
  <c r="X49" i="81"/>
  <c r="X57" i="81" s="1"/>
  <c r="X47" i="81"/>
  <c r="X55" i="81" s="1"/>
  <c r="AR47" i="81"/>
  <c r="AR48" i="81"/>
  <c r="AR49" i="81"/>
  <c r="AR50" i="81"/>
  <c r="AR51" i="81"/>
  <c r="AR59" i="81" s="1"/>
  <c r="BU49" i="81"/>
  <c r="BU57" i="81" s="1"/>
  <c r="BU50" i="81"/>
  <c r="BU58" i="81" s="1"/>
  <c r="BU51" i="81"/>
  <c r="BU59" i="81" s="1"/>
  <c r="BU46" i="81"/>
  <c r="BU48" i="81"/>
  <c r="BU56" i="81" s="1"/>
  <c r="BU47" i="81"/>
  <c r="BU55" i="81" s="1"/>
  <c r="BK51" i="81"/>
  <c r="BK59" i="81" s="1"/>
  <c r="BK47" i="81"/>
  <c r="BK55" i="81" s="1"/>
  <c r="BK46" i="81"/>
  <c r="BK50" i="81"/>
  <c r="BK58" i="81" s="1"/>
  <c r="BK49" i="81"/>
  <c r="BK57" i="81" s="1"/>
  <c r="BK48" i="81"/>
  <c r="BK56" i="81" s="1"/>
  <c r="CG46" i="81"/>
  <c r="CG47" i="81"/>
  <c r="CG55" i="81" s="1"/>
  <c r="CG48" i="81"/>
  <c r="CG56" i="81" s="1"/>
  <c r="CG49" i="81"/>
  <c r="CG57" i="81" s="1"/>
  <c r="CG50" i="81"/>
  <c r="CG58" i="81" s="1"/>
  <c r="CG51" i="81"/>
  <c r="CG59" i="81" s="1"/>
  <c r="H30" i="87"/>
  <c r="F4" i="87"/>
  <c r="Q102" i="64"/>
  <c r="R102" i="64" s="1"/>
  <c r="S102" i="64" s="1"/>
  <c r="T102" i="64" s="1"/>
  <c r="U102" i="64" s="1"/>
  <c r="B8" i="73"/>
  <c r="C11" i="74"/>
  <c r="C12" i="74"/>
  <c r="C13" i="74"/>
  <c r="C32" i="71"/>
  <c r="AS125" i="87"/>
  <c r="AR124" i="87"/>
  <c r="T126" i="87"/>
  <c r="T108" i="87" s="1"/>
  <c r="U127" i="87"/>
  <c r="U126" i="87" s="1"/>
  <c r="U108" i="87" s="1"/>
  <c r="CM85" i="87"/>
  <c r="CM127" i="87"/>
  <c r="CL126" i="87"/>
  <c r="CL108" i="87" s="1"/>
  <c r="F125" i="87"/>
  <c r="E124" i="87"/>
  <c r="E112" i="87" s="1"/>
  <c r="CI84" i="87"/>
  <c r="CH83" i="87"/>
  <c r="AA84" i="87"/>
  <c r="Z83" i="87"/>
  <c r="Y125" i="87"/>
  <c r="X124" i="87"/>
  <c r="BE124" i="87"/>
  <c r="BF125" i="87"/>
  <c r="AY127" i="87"/>
  <c r="AY126" i="87" s="1"/>
  <c r="AY108" i="87" s="1"/>
  <c r="AX126" i="87"/>
  <c r="AX108" i="87" s="1"/>
  <c r="BE83" i="87"/>
  <c r="BF84" i="87"/>
  <c r="AU84" i="87"/>
  <c r="AT83" i="87"/>
  <c r="P125" i="87"/>
  <c r="O124" i="87"/>
  <c r="AD126" i="87"/>
  <c r="AD108" i="87" s="1"/>
  <c r="AE127" i="87"/>
  <c r="AE126" i="87" s="1"/>
  <c r="AE108" i="87" s="1"/>
  <c r="BW83" i="87"/>
  <c r="BX84" i="87"/>
  <c r="AH124" i="87"/>
  <c r="AI125" i="87"/>
  <c r="BM83" i="87"/>
  <c r="BN84" i="87"/>
  <c r="BI127" i="87"/>
  <c r="BI126" i="87" s="1"/>
  <c r="BI108" i="87" s="1"/>
  <c r="BH126" i="87"/>
  <c r="BH108" i="87" s="1"/>
  <c r="AO127" i="87"/>
  <c r="AO126" i="87" s="1"/>
  <c r="AO108" i="87" s="1"/>
  <c r="AN126" i="87"/>
  <c r="AN108" i="87" s="1"/>
  <c r="P83" i="87"/>
  <c r="Q84" i="87"/>
  <c r="K127" i="87"/>
  <c r="K126" i="87" s="1"/>
  <c r="K108" i="87" s="1"/>
  <c r="J126" i="87"/>
  <c r="J108" i="87" s="1"/>
  <c r="BY125" i="87"/>
  <c r="BX124" i="87"/>
  <c r="CI125" i="87"/>
  <c r="CH124" i="87"/>
  <c r="BO124" i="87"/>
  <c r="BP125" i="87"/>
  <c r="CC127" i="87"/>
  <c r="CC126" i="87" s="1"/>
  <c r="CC108" i="87" s="1"/>
  <c r="CB126" i="87"/>
  <c r="CB108" i="87" s="1"/>
  <c r="G84" i="87"/>
  <c r="F83" i="87"/>
  <c r="BR126" i="87"/>
  <c r="BR108" i="87" s="1"/>
  <c r="BS127" i="87"/>
  <c r="BS126" i="87" s="1"/>
  <c r="BS108" i="87" s="1"/>
  <c r="AJ83" i="87"/>
  <c r="AK84" i="87"/>
  <c r="BG98" i="81"/>
  <c r="BG113" i="81" s="1"/>
  <c r="M59" i="81"/>
  <c r="M58" i="81"/>
  <c r="M57" i="81"/>
  <c r="M56" i="81"/>
  <c r="M55" i="81"/>
  <c r="BI86" i="64"/>
  <c r="BH99" i="81"/>
  <c r="AD85" i="64"/>
  <c r="AD99" i="81"/>
  <c r="AC98" i="81"/>
  <c r="AC113" i="81" s="1"/>
  <c r="AE86" i="64"/>
  <c r="U86" i="64"/>
  <c r="S98" i="81"/>
  <c r="S113" i="81" s="1"/>
  <c r="T99" i="81"/>
  <c r="T85" i="64"/>
  <c r="AN85" i="64"/>
  <c r="AO86" i="64"/>
  <c r="J99" i="81"/>
  <c r="AM98" i="81"/>
  <c r="AM113" i="81" s="1"/>
  <c r="AN99" i="81"/>
  <c r="J85" i="64"/>
  <c r="K86" i="64"/>
  <c r="I98" i="81"/>
  <c r="I113" i="81" s="1"/>
  <c r="BR98" i="81"/>
  <c r="BR113" i="81" s="1"/>
  <c r="CM99" i="81"/>
  <c r="CB98" i="81"/>
  <c r="CB113" i="81" s="1"/>
  <c r="C56" i="81"/>
  <c r="C59" i="81"/>
  <c r="C55" i="81"/>
  <c r="C58" i="81"/>
  <c r="C57" i="81"/>
  <c r="AW94" i="64"/>
  <c r="AV103" i="81"/>
  <c r="AV118" i="81" s="1"/>
  <c r="BS85" i="64"/>
  <c r="BS99" i="81"/>
  <c r="AN96" i="64"/>
  <c r="AM105" i="81"/>
  <c r="AM120" i="81" s="1"/>
  <c r="J96" i="64"/>
  <c r="I105" i="81"/>
  <c r="I120" i="81" s="1"/>
  <c r="T96" i="64"/>
  <c r="S105" i="81"/>
  <c r="S120" i="81" s="1"/>
  <c r="BZ94" i="64"/>
  <c r="BY103" i="81"/>
  <c r="BY118" i="81" s="1"/>
  <c r="CC96" i="64"/>
  <c r="CB105" i="81"/>
  <c r="CB120" i="81" s="1"/>
  <c r="BP94" i="64"/>
  <c r="BO103" i="81"/>
  <c r="BO118" i="81" s="1"/>
  <c r="I94" i="64"/>
  <c r="H103" i="81"/>
  <c r="H118" i="81" s="1"/>
  <c r="S94" i="64"/>
  <c r="R103" i="81"/>
  <c r="R118" i="81" s="1"/>
  <c r="AC94" i="64"/>
  <c r="AB103" i="81"/>
  <c r="AB118" i="81" s="1"/>
  <c r="BS96" i="64"/>
  <c r="BR105" i="81"/>
  <c r="BR120" i="81" s="1"/>
  <c r="CM96" i="64"/>
  <c r="CL105" i="81"/>
  <c r="CL120" i="81" s="1"/>
  <c r="AD96" i="64"/>
  <c r="AC105" i="81"/>
  <c r="AC120" i="81" s="1"/>
  <c r="CC85" i="64"/>
  <c r="CC99" i="81"/>
  <c r="BI96" i="64"/>
  <c r="BH105" i="81"/>
  <c r="BH120" i="81" s="1"/>
  <c r="BH94" i="64"/>
  <c r="BG103" i="81"/>
  <c r="BG118" i="81" s="1"/>
  <c r="AM94" i="64"/>
  <c r="AL103" i="81"/>
  <c r="AL118" i="81" s="1"/>
  <c r="AX96" i="64"/>
  <c r="AW105" i="81"/>
  <c r="AW120" i="81" s="1"/>
  <c r="L79" i="81"/>
  <c r="L67" i="81"/>
  <c r="L64" i="81"/>
  <c r="L63" i="81"/>
  <c r="L66" i="81"/>
  <c r="L65" i="81"/>
  <c r="BJ79" i="81"/>
  <c r="BJ66" i="81"/>
  <c r="BJ64" i="81"/>
  <c r="BJ63" i="81"/>
  <c r="BJ65" i="81"/>
  <c r="BJ67" i="81"/>
  <c r="AZ79" i="81"/>
  <c r="AZ64" i="81"/>
  <c r="AZ67" i="81"/>
  <c r="AZ63" i="81"/>
  <c r="AZ65" i="81"/>
  <c r="AZ66" i="81"/>
  <c r="AF79" i="81"/>
  <c r="AF66" i="81"/>
  <c r="AF64" i="81"/>
  <c r="AF65" i="81"/>
  <c r="AF67" i="81"/>
  <c r="AF63" i="81"/>
  <c r="CN79" i="81"/>
  <c r="CN70" i="81" s="1"/>
  <c r="CN64" i="81"/>
  <c r="CN63" i="81"/>
  <c r="CN67" i="81"/>
  <c r="CN66" i="81"/>
  <c r="CN65" i="81"/>
  <c r="AF62" i="81"/>
  <c r="L62" i="81"/>
  <c r="AZ62" i="81"/>
  <c r="CD79" i="81"/>
  <c r="CD66" i="81"/>
  <c r="CD65" i="81"/>
  <c r="CD67" i="81"/>
  <c r="CD64" i="81"/>
  <c r="CD63" i="81"/>
  <c r="BJ62" i="81"/>
  <c r="CD62" i="81"/>
  <c r="CF54" i="81"/>
  <c r="CF77" i="81"/>
  <c r="AP78" i="81"/>
  <c r="AG54" i="81"/>
  <c r="AG77" i="81"/>
  <c r="W54" i="81"/>
  <c r="W77" i="81"/>
  <c r="V78" i="81"/>
  <c r="V62" i="81" s="1"/>
  <c r="CE54" i="81"/>
  <c r="CE77" i="81"/>
  <c r="M54" i="81"/>
  <c r="M77" i="81"/>
  <c r="BB54" i="81"/>
  <c r="BB77" i="81"/>
  <c r="AQ54" i="81"/>
  <c r="AQ77" i="81"/>
  <c r="BA78" i="81"/>
  <c r="BT78" i="81"/>
  <c r="C77" i="81"/>
  <c r="C54" i="81"/>
  <c r="CF85" i="81"/>
  <c r="CE85" i="81"/>
  <c r="BK87" i="81"/>
  <c r="AH87" i="81"/>
  <c r="BC87" i="81"/>
  <c r="N87" i="81"/>
  <c r="X87" i="81"/>
  <c r="AR87" i="81"/>
  <c r="D87" i="81"/>
  <c r="D89" i="81"/>
  <c r="W85" i="81"/>
  <c r="AQ85" i="81"/>
  <c r="AG85" i="81"/>
  <c r="BB85" i="81"/>
  <c r="M85" i="81"/>
  <c r="C85" i="81"/>
  <c r="D39" i="81"/>
  <c r="J39" i="81"/>
  <c r="G39" i="81"/>
  <c r="C39" i="81"/>
  <c r="C14" i="74"/>
  <c r="B7" i="73"/>
  <c r="C33" i="71"/>
  <c r="C15" i="74"/>
  <c r="C29" i="71"/>
  <c r="B4" i="73"/>
  <c r="C30" i="71"/>
  <c r="B5" i="73"/>
  <c r="B6" i="73"/>
  <c r="C31" i="71"/>
  <c r="C71" i="18"/>
  <c r="C112" i="64"/>
  <c r="BE125" i="64"/>
  <c r="BD124" i="64"/>
  <c r="BX125" i="64"/>
  <c r="BW124" i="64"/>
  <c r="E125" i="64"/>
  <c r="D124" i="64"/>
  <c r="D112" i="64" s="1"/>
  <c r="CH125" i="64"/>
  <c r="CG124" i="64"/>
  <c r="AJ125" i="64"/>
  <c r="AI124" i="64"/>
  <c r="O125" i="64"/>
  <c r="N124" i="64"/>
  <c r="AT125" i="64"/>
  <c r="AS124" i="64"/>
  <c r="Z125" i="64"/>
  <c r="Y124" i="64"/>
  <c r="BO125" i="64"/>
  <c r="BN124" i="64"/>
  <c r="Z84" i="64"/>
  <c r="Y83" i="64"/>
  <c r="AT84" i="64"/>
  <c r="AS83" i="64"/>
  <c r="BM84" i="64"/>
  <c r="BL83" i="64"/>
  <c r="CI84" i="64"/>
  <c r="CH83" i="64"/>
  <c r="F84" i="64"/>
  <c r="E83" i="64"/>
  <c r="AJ84" i="64"/>
  <c r="AI83" i="64"/>
  <c r="BE84" i="64"/>
  <c r="BD83" i="64"/>
  <c r="P84" i="64"/>
  <c r="O83" i="64"/>
  <c r="BW84" i="64"/>
  <c r="BV83" i="64"/>
  <c r="AB108" i="64"/>
  <c r="BZ108" i="64"/>
  <c r="AL108" i="64"/>
  <c r="R108" i="64"/>
  <c r="AV108" i="64"/>
  <c r="BF108" i="64"/>
  <c r="CJ108" i="64"/>
  <c r="BP108" i="64"/>
  <c r="CM85" i="64"/>
  <c r="AX127" i="64"/>
  <c r="AW126" i="64"/>
  <c r="BH127" i="64"/>
  <c r="BG126" i="64"/>
  <c r="CL127" i="64"/>
  <c r="CK126" i="64"/>
  <c r="BR127" i="64"/>
  <c r="BQ126" i="64"/>
  <c r="AD127" i="64"/>
  <c r="AC126" i="64"/>
  <c r="CB127" i="64"/>
  <c r="CA126" i="64"/>
  <c r="AN127" i="64"/>
  <c r="AM126" i="64"/>
  <c r="T127" i="64"/>
  <c r="S126" i="64"/>
  <c r="B126" i="64"/>
  <c r="C127" i="64"/>
  <c r="G71" i="18"/>
  <c r="E71" i="18"/>
  <c r="B71" i="18"/>
  <c r="I71" i="18"/>
  <c r="D71" i="18"/>
  <c r="AY85" i="64" l="1"/>
  <c r="AY98" i="81" s="1"/>
  <c r="AY113" i="81" s="1"/>
  <c r="CL94" i="64"/>
  <c r="CM94" i="64" s="1"/>
  <c r="BH98" i="81"/>
  <c r="BH113" i="81" s="1"/>
  <c r="BI99" i="81"/>
  <c r="BD50" i="81"/>
  <c r="BD58" i="81" s="1"/>
  <c r="BD51" i="81"/>
  <c r="BD59" i="81" s="1"/>
  <c r="BD46" i="81"/>
  <c r="BD47" i="81"/>
  <c r="BD55" i="81" s="1"/>
  <c r="BD49" i="81"/>
  <c r="BD57" i="81" s="1"/>
  <c r="BD48" i="81"/>
  <c r="BD56" i="81" s="1"/>
  <c r="AI47" i="81"/>
  <c r="AI55" i="81" s="1"/>
  <c r="AI48" i="81"/>
  <c r="AI56" i="81" s="1"/>
  <c r="AI49" i="81"/>
  <c r="AI57" i="81" s="1"/>
  <c r="AI50" i="81"/>
  <c r="AI58" i="81" s="1"/>
  <c r="AI51" i="81"/>
  <c r="AI59" i="81" s="1"/>
  <c r="AI46" i="81"/>
  <c r="BV48" i="81"/>
  <c r="BV56" i="81" s="1"/>
  <c r="BV49" i="81"/>
  <c r="BV57" i="81" s="1"/>
  <c r="BV50" i="81"/>
  <c r="BV58" i="81" s="1"/>
  <c r="BV51" i="81"/>
  <c r="BV59" i="81" s="1"/>
  <c r="BV46" i="81"/>
  <c r="BV47" i="81"/>
  <c r="BV55" i="81" s="1"/>
  <c r="E48" i="81"/>
  <c r="E56" i="81" s="1"/>
  <c r="E49" i="81"/>
  <c r="E46" i="81"/>
  <c r="E47" i="81"/>
  <c r="E51" i="81"/>
  <c r="E50" i="81"/>
  <c r="Y49" i="81"/>
  <c r="Y57" i="81" s="1"/>
  <c r="Y50" i="81"/>
  <c r="Y58" i="81" s="1"/>
  <c r="Y51" i="81"/>
  <c r="Y59" i="81" s="1"/>
  <c r="Y47" i="81"/>
  <c r="Y55" i="81" s="1"/>
  <c r="Y48" i="81"/>
  <c r="Y56" i="81" s="1"/>
  <c r="Y46" i="81"/>
  <c r="BL50" i="81"/>
  <c r="BL58" i="81" s="1"/>
  <c r="BL51" i="81"/>
  <c r="BL59" i="81" s="1"/>
  <c r="BL46" i="81"/>
  <c r="BL48" i="81"/>
  <c r="BL56" i="81" s="1"/>
  <c r="BL49" i="81"/>
  <c r="BL57" i="81" s="1"/>
  <c r="BL47" i="81"/>
  <c r="BL55" i="81" s="1"/>
  <c r="AS47" i="81"/>
  <c r="AS55" i="81" s="1"/>
  <c r="AS48" i="81"/>
  <c r="AS56" i="81" s="1"/>
  <c r="AS51" i="81"/>
  <c r="AS59" i="81" s="1"/>
  <c r="AS50" i="81"/>
  <c r="AS58" i="81" s="1"/>
  <c r="AS49" i="81"/>
  <c r="AS57" i="81" s="1"/>
  <c r="O51" i="81"/>
  <c r="O59" i="81" s="1"/>
  <c r="O46" i="81"/>
  <c r="O47" i="81"/>
  <c r="O55" i="81" s="1"/>
  <c r="O50" i="81"/>
  <c r="O58" i="81" s="1"/>
  <c r="O49" i="81"/>
  <c r="O57" i="81" s="1"/>
  <c r="O48" i="81"/>
  <c r="O56" i="81" s="1"/>
  <c r="CH48" i="81"/>
  <c r="CH56" i="81" s="1"/>
  <c r="CH46" i="81"/>
  <c r="CH47" i="81"/>
  <c r="CH55" i="81" s="1"/>
  <c r="CH49" i="81"/>
  <c r="CH57" i="81" s="1"/>
  <c r="CH51" i="81"/>
  <c r="CH59" i="81" s="1"/>
  <c r="CH50" i="81"/>
  <c r="CH58" i="81" s="1"/>
  <c r="H43" i="87"/>
  <c r="B13" i="87"/>
  <c r="F17" i="87"/>
  <c r="H30" i="64"/>
  <c r="F34" i="64"/>
  <c r="B36" i="64" s="1"/>
  <c r="F8" i="64"/>
  <c r="B4" i="64"/>
  <c r="F4" i="64"/>
  <c r="B25" i="64"/>
  <c r="H84" i="87"/>
  <c r="G83" i="87"/>
  <c r="AL84" i="87"/>
  <c r="AK83" i="87"/>
  <c r="BN83" i="87"/>
  <c r="BO84" i="87"/>
  <c r="BG84" i="87"/>
  <c r="BF83" i="87"/>
  <c r="CI83" i="87"/>
  <c r="CJ84" i="87"/>
  <c r="BZ125" i="87"/>
  <c r="BY124" i="87"/>
  <c r="BF124" i="87"/>
  <c r="BG125" i="87"/>
  <c r="BP124" i="87"/>
  <c r="BQ125" i="87"/>
  <c r="AI124" i="87"/>
  <c r="AJ125" i="87"/>
  <c r="CM126" i="87"/>
  <c r="CM108" i="87" s="1"/>
  <c r="G125" i="87"/>
  <c r="F124" i="87"/>
  <c r="Q83" i="87"/>
  <c r="R84" i="87"/>
  <c r="BX83" i="87"/>
  <c r="BY84" i="87"/>
  <c r="Y124" i="87"/>
  <c r="Z125" i="87"/>
  <c r="AT125" i="87"/>
  <c r="AS124" i="87"/>
  <c r="Q125" i="87"/>
  <c r="P124" i="87"/>
  <c r="AV84" i="87"/>
  <c r="AU83" i="87"/>
  <c r="CI124" i="87"/>
  <c r="CJ125" i="87"/>
  <c r="AA83" i="87"/>
  <c r="AB84" i="87"/>
  <c r="BI85" i="64"/>
  <c r="AD98" i="81"/>
  <c r="AD113" i="81" s="1"/>
  <c r="AR56" i="81"/>
  <c r="AR57" i="81"/>
  <c r="AR55" i="81"/>
  <c r="AE85" i="64"/>
  <c r="AE99" i="81"/>
  <c r="AO99" i="81"/>
  <c r="AO85" i="64"/>
  <c r="AN98" i="81"/>
  <c r="AN113" i="81" s="1"/>
  <c r="U99" i="81"/>
  <c r="U85" i="64"/>
  <c r="T98" i="81"/>
  <c r="T113" i="81" s="1"/>
  <c r="J98" i="81"/>
  <c r="J113" i="81" s="1"/>
  <c r="K85" i="64"/>
  <c r="K99" i="81"/>
  <c r="BI105" i="81"/>
  <c r="BI120" i="81" s="1"/>
  <c r="CC105" i="81"/>
  <c r="CC120" i="81" s="1"/>
  <c r="BS98" i="81"/>
  <c r="BS113" i="81" s="1"/>
  <c r="CC98" i="81"/>
  <c r="CC113" i="81" s="1"/>
  <c r="BS105" i="81"/>
  <c r="BS120" i="81" s="1"/>
  <c r="CM98" i="81"/>
  <c r="CM113" i="81" s="1"/>
  <c r="CM105" i="81"/>
  <c r="CM120" i="81" s="1"/>
  <c r="AR58" i="81"/>
  <c r="BQ94" i="64"/>
  <c r="BP103" i="81"/>
  <c r="BP118" i="81" s="1"/>
  <c r="AY96" i="64"/>
  <c r="AX105" i="81"/>
  <c r="AX120" i="81" s="1"/>
  <c r="AD94" i="64"/>
  <c r="AC103" i="81"/>
  <c r="AC118" i="81" s="1"/>
  <c r="U96" i="64"/>
  <c r="T105" i="81"/>
  <c r="T120" i="81" s="1"/>
  <c r="CA94" i="64"/>
  <c r="BZ103" i="81"/>
  <c r="BZ118" i="81" s="1"/>
  <c r="J94" i="64"/>
  <c r="I103" i="81"/>
  <c r="I118" i="81" s="1"/>
  <c r="AN94" i="64"/>
  <c r="AM103" i="81"/>
  <c r="AM118" i="81" s="1"/>
  <c r="AE96" i="64"/>
  <c r="AD105" i="81"/>
  <c r="AD120" i="81" s="1"/>
  <c r="AX94" i="64"/>
  <c r="AW103" i="81"/>
  <c r="AW118" i="81" s="1"/>
  <c r="K96" i="64"/>
  <c r="J105" i="81"/>
  <c r="J120" i="81" s="1"/>
  <c r="AO96" i="64"/>
  <c r="AN105" i="81"/>
  <c r="AN120" i="81" s="1"/>
  <c r="BI94" i="64"/>
  <c r="BH103" i="81"/>
  <c r="BH118" i="81" s="1"/>
  <c r="T94" i="64"/>
  <c r="S103" i="81"/>
  <c r="S118" i="81" s="1"/>
  <c r="L70" i="81"/>
  <c r="AF70" i="81"/>
  <c r="AF75" i="81"/>
  <c r="AF73" i="81"/>
  <c r="AF74" i="81"/>
  <c r="BJ70" i="81"/>
  <c r="BJ74" i="81"/>
  <c r="AF72" i="81"/>
  <c r="CN73" i="81"/>
  <c r="L73" i="81"/>
  <c r="CD74" i="81"/>
  <c r="AZ71" i="81"/>
  <c r="AZ75" i="81"/>
  <c r="AZ72" i="81"/>
  <c r="AZ70" i="81"/>
  <c r="AF71" i="81"/>
  <c r="AZ73" i="81"/>
  <c r="BJ72" i="81"/>
  <c r="CD70" i="81"/>
  <c r="CD75" i="81"/>
  <c r="CD73" i="81"/>
  <c r="BT79" i="81"/>
  <c r="BT63" i="81"/>
  <c r="BT67" i="81"/>
  <c r="BT65" i="81"/>
  <c r="BT66" i="81"/>
  <c r="BT64" i="81"/>
  <c r="BT62" i="81"/>
  <c r="BA79" i="81"/>
  <c r="BA65" i="81"/>
  <c r="BA67" i="81"/>
  <c r="BA63" i="81"/>
  <c r="BA66" i="81"/>
  <c r="BA64" i="81"/>
  <c r="AP79" i="81"/>
  <c r="AP65" i="81"/>
  <c r="AP64" i="81"/>
  <c r="AP63" i="81"/>
  <c r="AP67" i="81"/>
  <c r="AP66" i="81"/>
  <c r="CN74" i="81"/>
  <c r="AP62" i="81"/>
  <c r="L74" i="81"/>
  <c r="CN75" i="81"/>
  <c r="BJ75" i="81"/>
  <c r="L71" i="81"/>
  <c r="V79" i="81"/>
  <c r="V70" i="81" s="1"/>
  <c r="V63" i="81"/>
  <c r="V65" i="81"/>
  <c r="V67" i="81"/>
  <c r="V64" i="81"/>
  <c r="V66" i="81"/>
  <c r="CD71" i="81"/>
  <c r="CN71" i="81"/>
  <c r="BA62" i="81"/>
  <c r="BJ73" i="81"/>
  <c r="L72" i="81"/>
  <c r="CD72" i="81"/>
  <c r="CN72" i="81"/>
  <c r="AZ74" i="81"/>
  <c r="BJ71" i="81"/>
  <c r="L75" i="81"/>
  <c r="AG78" i="81"/>
  <c r="BK54" i="81"/>
  <c r="BK77" i="81"/>
  <c r="BB78" i="81"/>
  <c r="M78" i="81"/>
  <c r="M62" i="81" s="1"/>
  <c r="CE78" i="81"/>
  <c r="CE62" i="81" s="1"/>
  <c r="CF78" i="81"/>
  <c r="BU54" i="81"/>
  <c r="BU77" i="81"/>
  <c r="N54" i="81"/>
  <c r="N77" i="81"/>
  <c r="X54" i="81"/>
  <c r="X77" i="81"/>
  <c r="AH54" i="81"/>
  <c r="AH77" i="81"/>
  <c r="W78" i="81"/>
  <c r="CG54" i="81"/>
  <c r="CG77" i="81"/>
  <c r="BC54" i="81"/>
  <c r="BC77" i="81"/>
  <c r="AQ78" i="81"/>
  <c r="D77" i="81"/>
  <c r="D54" i="81"/>
  <c r="C78" i="81"/>
  <c r="BU85" i="81"/>
  <c r="CG85" i="81"/>
  <c r="Y87" i="81"/>
  <c r="BD87" i="81"/>
  <c r="BL87" i="81"/>
  <c r="O87" i="81"/>
  <c r="AI87" i="81"/>
  <c r="AS87" i="81"/>
  <c r="E87" i="81"/>
  <c r="BC85" i="81"/>
  <c r="BK85" i="81"/>
  <c r="N85" i="81"/>
  <c r="AH85" i="81"/>
  <c r="X85" i="81"/>
  <c r="D85" i="81"/>
  <c r="AA125" i="64"/>
  <c r="Z124" i="64"/>
  <c r="CI125" i="64"/>
  <c r="CH124" i="64"/>
  <c r="AU125" i="64"/>
  <c r="AT124" i="64"/>
  <c r="F125" i="64"/>
  <c r="E124" i="64"/>
  <c r="E112" i="64" s="1"/>
  <c r="P125" i="64"/>
  <c r="O124" i="64"/>
  <c r="BY125" i="64"/>
  <c r="BX124" i="64"/>
  <c r="BP125" i="64"/>
  <c r="BO124" i="64"/>
  <c r="AK125" i="64"/>
  <c r="AJ124" i="64"/>
  <c r="BF125" i="64"/>
  <c r="BE124" i="64"/>
  <c r="Q84" i="64"/>
  <c r="P83" i="64"/>
  <c r="BF84" i="64"/>
  <c r="BE83" i="64"/>
  <c r="BN84" i="64"/>
  <c r="BM83" i="64"/>
  <c r="CJ84" i="64"/>
  <c r="CI83" i="64"/>
  <c r="AK84" i="64"/>
  <c r="AJ83" i="64"/>
  <c r="AU84" i="64"/>
  <c r="AT83" i="64"/>
  <c r="BX84" i="64"/>
  <c r="BW83" i="64"/>
  <c r="G84" i="64"/>
  <c r="F83" i="64"/>
  <c r="AA84" i="64"/>
  <c r="Z83" i="64"/>
  <c r="AC108" i="64"/>
  <c r="AW108" i="64"/>
  <c r="AM108" i="64"/>
  <c r="CK108" i="64"/>
  <c r="B108" i="64"/>
  <c r="BQ108" i="64"/>
  <c r="S108" i="64"/>
  <c r="CA108" i="64"/>
  <c r="BG108" i="64"/>
  <c r="BS127" i="64"/>
  <c r="BS126" i="64" s="1"/>
  <c r="BR126" i="64"/>
  <c r="AO127" i="64"/>
  <c r="AO126" i="64" s="1"/>
  <c r="AN126" i="64"/>
  <c r="CM127" i="64"/>
  <c r="CL126" i="64"/>
  <c r="BI127" i="64"/>
  <c r="BI126" i="64" s="1"/>
  <c r="BH126" i="64"/>
  <c r="U127" i="64"/>
  <c r="U126" i="64" s="1"/>
  <c r="T126" i="64"/>
  <c r="CC127" i="64"/>
  <c r="CC126" i="64" s="1"/>
  <c r="CB126" i="64"/>
  <c r="AE127" i="64"/>
  <c r="AE126" i="64" s="1"/>
  <c r="AD126" i="64"/>
  <c r="D127" i="64"/>
  <c r="C126" i="64"/>
  <c r="AY127" i="64"/>
  <c r="AY126" i="64" s="1"/>
  <c r="AX126" i="64"/>
  <c r="CL103" i="81" l="1"/>
  <c r="CL118" i="81" s="1"/>
  <c r="AJ46" i="81"/>
  <c r="AJ47" i="81"/>
  <c r="AJ55" i="81" s="1"/>
  <c r="AJ48" i="81"/>
  <c r="AJ56" i="81" s="1"/>
  <c r="AJ49" i="81"/>
  <c r="AJ57" i="81" s="1"/>
  <c r="AJ51" i="81"/>
  <c r="AJ59" i="81" s="1"/>
  <c r="AJ50" i="81"/>
  <c r="AJ58" i="81" s="1"/>
  <c r="F46" i="81"/>
  <c r="F48" i="81"/>
  <c r="F56" i="81" s="1"/>
  <c r="F47" i="81"/>
  <c r="F49" i="81"/>
  <c r="F57" i="81" s="1"/>
  <c r="F50" i="81"/>
  <c r="F51" i="81"/>
  <c r="F59" i="81" s="1"/>
  <c r="CI51" i="81"/>
  <c r="CI59" i="81" s="1"/>
  <c r="CI46" i="81"/>
  <c r="CI47" i="81"/>
  <c r="CI55" i="81" s="1"/>
  <c r="CI48" i="81"/>
  <c r="CI56" i="81" s="1"/>
  <c r="CI49" i="81"/>
  <c r="CI57" i="81" s="1"/>
  <c r="CI50" i="81"/>
  <c r="CI58" i="81" s="1"/>
  <c r="BM49" i="81"/>
  <c r="BM57" i="81" s="1"/>
  <c r="BM50" i="81"/>
  <c r="BM58" i="81" s="1"/>
  <c r="BM51" i="81"/>
  <c r="BM59" i="81" s="1"/>
  <c r="BM46" i="81"/>
  <c r="BM48" i="81"/>
  <c r="BM56" i="81" s="1"/>
  <c r="BM47" i="81"/>
  <c r="BM55" i="81" s="1"/>
  <c r="Z48" i="81"/>
  <c r="Z56" i="81" s="1"/>
  <c r="Z49" i="81"/>
  <c r="Z57" i="81" s="1"/>
  <c r="Z50" i="81"/>
  <c r="Z58" i="81" s="1"/>
  <c r="Z51" i="81"/>
  <c r="Z59" i="81" s="1"/>
  <c r="Z47" i="81"/>
  <c r="Z55" i="81" s="1"/>
  <c r="Z46" i="81"/>
  <c r="BW47" i="81"/>
  <c r="BW55" i="81" s="1"/>
  <c r="BW50" i="81"/>
  <c r="BW58" i="81" s="1"/>
  <c r="BW48" i="81"/>
  <c r="BW56" i="81" s="1"/>
  <c r="BW49" i="81"/>
  <c r="BW57" i="81" s="1"/>
  <c r="BW51" i="81"/>
  <c r="BW59" i="81" s="1"/>
  <c r="BW46" i="81"/>
  <c r="P50" i="81"/>
  <c r="P58" i="81" s="1"/>
  <c r="P51" i="81"/>
  <c r="P59" i="81" s="1"/>
  <c r="P46" i="81"/>
  <c r="P49" i="81"/>
  <c r="P57" i="81" s="1"/>
  <c r="P47" i="81"/>
  <c r="P55" i="81" s="1"/>
  <c r="P48" i="81"/>
  <c r="P56" i="81" s="1"/>
  <c r="AT47" i="81"/>
  <c r="AT48" i="81"/>
  <c r="AT56" i="81" s="1"/>
  <c r="AT49" i="81"/>
  <c r="AT50" i="81"/>
  <c r="AT58" i="81" s="1"/>
  <c r="AT51" i="81"/>
  <c r="BE49" i="81"/>
  <c r="BE57" i="81" s="1"/>
  <c r="BE50" i="81"/>
  <c r="BE58" i="81" s="1"/>
  <c r="BE51" i="81"/>
  <c r="BE59" i="81" s="1"/>
  <c r="BE46" i="81"/>
  <c r="BE47" i="81"/>
  <c r="BE55" i="81" s="1"/>
  <c r="BE48" i="81"/>
  <c r="BE56" i="81" s="1"/>
  <c r="F53" i="87"/>
  <c r="B42" i="87" s="1"/>
  <c r="CM126" i="64"/>
  <c r="CM108" i="64" s="1"/>
  <c r="H43" i="64"/>
  <c r="B13" i="64"/>
  <c r="F17" i="64"/>
  <c r="BO83" i="87"/>
  <c r="BP84" i="87"/>
  <c r="R83" i="87"/>
  <c r="S84" i="87"/>
  <c r="CA125" i="87"/>
  <c r="BZ124" i="87"/>
  <c r="AV83" i="87"/>
  <c r="AW84" i="87"/>
  <c r="AU125" i="87"/>
  <c r="AT124" i="87"/>
  <c r="AJ124" i="87"/>
  <c r="AK125" i="87"/>
  <c r="CK84" i="87"/>
  <c r="CJ83" i="87"/>
  <c r="H83" i="87"/>
  <c r="I84" i="87"/>
  <c r="AB83" i="87"/>
  <c r="AC84" i="87"/>
  <c r="R125" i="87"/>
  <c r="Q124" i="87"/>
  <c r="F112" i="87"/>
  <c r="BG124" i="87"/>
  <c r="BH125" i="87"/>
  <c r="CK125" i="87"/>
  <c r="CJ124" i="87"/>
  <c r="Z124" i="87"/>
  <c r="AA125" i="87"/>
  <c r="H125" i="87"/>
  <c r="G124" i="87"/>
  <c r="BG83" i="87"/>
  <c r="BH84" i="87"/>
  <c r="AM84" i="87"/>
  <c r="AL83" i="87"/>
  <c r="BR125" i="87"/>
  <c r="BQ124" i="87"/>
  <c r="BZ84" i="87"/>
  <c r="BY83" i="87"/>
  <c r="BI98" i="81"/>
  <c r="E58" i="81"/>
  <c r="E55" i="81"/>
  <c r="E57" i="81"/>
  <c r="E59" i="81"/>
  <c r="AE98" i="81"/>
  <c r="AE113" i="81" s="1"/>
  <c r="AO98" i="81"/>
  <c r="AO113" i="81" s="1"/>
  <c r="U98" i="81"/>
  <c r="U113" i="81" s="1"/>
  <c r="K98" i="81"/>
  <c r="K113" i="81" s="1"/>
  <c r="BI103" i="81"/>
  <c r="BI118" i="81" s="1"/>
  <c r="U105" i="81"/>
  <c r="U120" i="81" s="1"/>
  <c r="AY105" i="81"/>
  <c r="AY120" i="81" s="1"/>
  <c r="K105" i="81"/>
  <c r="K120" i="81" s="1"/>
  <c r="CM103" i="81"/>
  <c r="CM118" i="81" s="1"/>
  <c r="AE105" i="81"/>
  <c r="AE120" i="81" s="1"/>
  <c r="AO105" i="81"/>
  <c r="AO120" i="81" s="1"/>
  <c r="AE94" i="64"/>
  <c r="AD103" i="81"/>
  <c r="AD118" i="81" s="1"/>
  <c r="U94" i="64"/>
  <c r="T103" i="81"/>
  <c r="T118" i="81" s="1"/>
  <c r="K94" i="64"/>
  <c r="J103" i="81"/>
  <c r="J118" i="81" s="1"/>
  <c r="AY94" i="64"/>
  <c r="AX103" i="81"/>
  <c r="AX118" i="81" s="1"/>
  <c r="AO94" i="64"/>
  <c r="AN103" i="81"/>
  <c r="AN118" i="81" s="1"/>
  <c r="CB94" i="64"/>
  <c r="CA103" i="81"/>
  <c r="CA118" i="81" s="1"/>
  <c r="BR94" i="64"/>
  <c r="BQ103" i="81"/>
  <c r="BQ118" i="81" s="1"/>
  <c r="V71" i="81"/>
  <c r="AF80" i="81"/>
  <c r="AF94" i="81" s="1"/>
  <c r="BA71" i="81"/>
  <c r="BT73" i="81"/>
  <c r="BA70" i="81"/>
  <c r="BA74" i="81"/>
  <c r="BT74" i="81"/>
  <c r="CN80" i="81"/>
  <c r="CN94" i="81" s="1"/>
  <c r="BA75" i="81"/>
  <c r="BJ80" i="81"/>
  <c r="BJ94" i="81" s="1"/>
  <c r="AZ80" i="81"/>
  <c r="AZ94" i="81" s="1"/>
  <c r="L80" i="81"/>
  <c r="L94" i="81" s="1"/>
  <c r="V73" i="81"/>
  <c r="BA72" i="81"/>
  <c r="AP73" i="81"/>
  <c r="W79" i="81"/>
  <c r="W64" i="81"/>
  <c r="W67" i="81"/>
  <c r="W63" i="81"/>
  <c r="W65" i="81"/>
  <c r="W66" i="81"/>
  <c r="BB79" i="81"/>
  <c r="BB67" i="81"/>
  <c r="BB63" i="81"/>
  <c r="BB65" i="81"/>
  <c r="BB66" i="81"/>
  <c r="BB64" i="81"/>
  <c r="CD80" i="81"/>
  <c r="CD94" i="81" s="1"/>
  <c r="AP70" i="81"/>
  <c r="BT75" i="81"/>
  <c r="W62" i="81"/>
  <c r="AQ79" i="81"/>
  <c r="AQ66" i="81"/>
  <c r="AQ63" i="81"/>
  <c r="AQ65" i="81"/>
  <c r="AQ67" i="81"/>
  <c r="AQ64" i="81"/>
  <c r="CF79" i="81"/>
  <c r="CF65" i="81"/>
  <c r="CF64" i="81"/>
  <c r="CF67" i="81"/>
  <c r="CF66" i="81"/>
  <c r="CF63" i="81"/>
  <c r="BT71" i="81"/>
  <c r="AP74" i="81"/>
  <c r="BB62" i="81"/>
  <c r="CE79" i="81"/>
  <c r="CE70" i="81" s="1"/>
  <c r="CE65" i="81"/>
  <c r="CE64" i="81"/>
  <c r="CE67" i="81"/>
  <c r="CE66" i="81"/>
  <c r="CE63" i="81"/>
  <c r="AG79" i="81"/>
  <c r="AG64" i="81"/>
  <c r="AG66" i="81"/>
  <c r="AG65" i="81"/>
  <c r="AG67" i="81"/>
  <c r="AG63" i="81"/>
  <c r="CF62" i="81"/>
  <c r="V74" i="81"/>
  <c r="AP75" i="81"/>
  <c r="AG62" i="81"/>
  <c r="AQ62" i="81"/>
  <c r="V72" i="81"/>
  <c r="AP71" i="81"/>
  <c r="BA73" i="81"/>
  <c r="BT70" i="81"/>
  <c r="M79" i="81"/>
  <c r="M70" i="81" s="1"/>
  <c r="M63" i="81"/>
  <c r="M67" i="81"/>
  <c r="M66" i="81"/>
  <c r="M64" i="81"/>
  <c r="M65" i="81"/>
  <c r="V75" i="81"/>
  <c r="AP72" i="81"/>
  <c r="BT72" i="81"/>
  <c r="C79" i="81"/>
  <c r="C66" i="81"/>
  <c r="C65" i="81"/>
  <c r="C64" i="81"/>
  <c r="C67" i="81"/>
  <c r="C63" i="81"/>
  <c r="C62" i="81"/>
  <c r="AH78" i="81"/>
  <c r="N78" i="81"/>
  <c r="N62" i="81" s="1"/>
  <c r="BK78" i="81"/>
  <c r="BD54" i="81"/>
  <c r="BD77" i="81"/>
  <c r="CH54" i="81"/>
  <c r="CH77" i="81"/>
  <c r="BU78" i="81"/>
  <c r="BL54" i="81"/>
  <c r="BL77" i="81"/>
  <c r="AI54" i="81"/>
  <c r="AI77" i="81"/>
  <c r="Y54" i="81"/>
  <c r="Y77" i="81"/>
  <c r="O54" i="81"/>
  <c r="O77" i="81"/>
  <c r="BV54" i="81"/>
  <c r="BV77" i="81"/>
  <c r="BC78" i="81"/>
  <c r="BC62" i="81" s="1"/>
  <c r="CG78" i="81"/>
  <c r="CG62" i="81" s="1"/>
  <c r="X78" i="81"/>
  <c r="D78" i="81"/>
  <c r="E77" i="81"/>
  <c r="E54" i="81"/>
  <c r="BV85" i="81"/>
  <c r="CH85" i="81"/>
  <c r="BM87" i="81"/>
  <c r="AT87" i="81"/>
  <c r="BE87" i="81"/>
  <c r="Z87" i="81"/>
  <c r="AJ87" i="81"/>
  <c r="P87" i="81"/>
  <c r="F87" i="81"/>
  <c r="E89" i="81" s="1"/>
  <c r="Y85" i="81"/>
  <c r="BD85" i="81"/>
  <c r="BL85" i="81"/>
  <c r="AI85" i="81"/>
  <c r="O85" i="81"/>
  <c r="E85" i="81"/>
  <c r="AL125" i="64"/>
  <c r="AK124" i="64"/>
  <c r="G125" i="64"/>
  <c r="F124" i="64"/>
  <c r="F112" i="64" s="1"/>
  <c r="BQ125" i="64"/>
  <c r="BP124" i="64"/>
  <c r="AV125" i="64"/>
  <c r="AU124" i="64"/>
  <c r="BZ125" i="64"/>
  <c r="BY124" i="64"/>
  <c r="CJ125" i="64"/>
  <c r="CI124" i="64"/>
  <c r="BG125" i="64"/>
  <c r="BF124" i="64"/>
  <c r="Q125" i="64"/>
  <c r="P124" i="64"/>
  <c r="AB125" i="64"/>
  <c r="AA124" i="64"/>
  <c r="CK84" i="64"/>
  <c r="CJ83" i="64"/>
  <c r="BY84" i="64"/>
  <c r="BX83" i="64"/>
  <c r="BO84" i="64"/>
  <c r="BN83" i="64"/>
  <c r="H84" i="64"/>
  <c r="G83" i="64"/>
  <c r="AV84" i="64"/>
  <c r="AU83" i="64"/>
  <c r="BG84" i="64"/>
  <c r="BF83" i="64"/>
  <c r="AB84" i="64"/>
  <c r="AA83" i="64"/>
  <c r="AL84" i="64"/>
  <c r="AK83" i="64"/>
  <c r="R84" i="64"/>
  <c r="Q83" i="64"/>
  <c r="AD108" i="64"/>
  <c r="CL108" i="64"/>
  <c r="BI108" i="64"/>
  <c r="AE108" i="64"/>
  <c r="CB108" i="64"/>
  <c r="AX108" i="64"/>
  <c r="T108" i="64"/>
  <c r="BR108" i="64"/>
  <c r="AN108" i="64"/>
  <c r="CC108" i="64"/>
  <c r="AO108" i="64"/>
  <c r="U108" i="64"/>
  <c r="AY108" i="64"/>
  <c r="BS108" i="64"/>
  <c r="C108" i="64"/>
  <c r="BH108" i="64"/>
  <c r="E127" i="64"/>
  <c r="D126" i="64"/>
  <c r="H35" i="71"/>
  <c r="K35" i="71"/>
  <c r="I35" i="71"/>
  <c r="BI113" i="81" l="1"/>
  <c r="C10" i="82" s="1"/>
  <c r="B10" i="82"/>
  <c r="Q49" i="81"/>
  <c r="Q57" i="81" s="1"/>
  <c r="Q50" i="81"/>
  <c r="Q58" i="81" s="1"/>
  <c r="Q51" i="81"/>
  <c r="Q59" i="81" s="1"/>
  <c r="Q47" i="81"/>
  <c r="Q55" i="81" s="1"/>
  <c r="Q46" i="81"/>
  <c r="Q48" i="81"/>
  <c r="Q56" i="81" s="1"/>
  <c r="AU51" i="81"/>
  <c r="AU59" i="81" s="1"/>
  <c r="AU47" i="81"/>
  <c r="AU55" i="81" s="1"/>
  <c r="AU50" i="81"/>
  <c r="AU58" i="81" s="1"/>
  <c r="AU48" i="81"/>
  <c r="AU56" i="81" s="1"/>
  <c r="AU49" i="81"/>
  <c r="AU57" i="81" s="1"/>
  <c r="CJ50" i="81"/>
  <c r="CJ58" i="81" s="1"/>
  <c r="CJ51" i="81"/>
  <c r="CJ59" i="81" s="1"/>
  <c r="CJ46" i="81"/>
  <c r="CJ48" i="81"/>
  <c r="CJ56" i="81" s="1"/>
  <c r="CJ49" i="81"/>
  <c r="CJ57" i="81" s="1"/>
  <c r="CJ47" i="81"/>
  <c r="CJ55" i="81" s="1"/>
  <c r="G51" i="81"/>
  <c r="G47" i="81"/>
  <c r="G46" i="81"/>
  <c r="G49" i="81"/>
  <c r="G48" i="81"/>
  <c r="G50" i="81"/>
  <c r="AA47" i="81"/>
  <c r="AA55" i="81" s="1"/>
  <c r="AA48" i="81"/>
  <c r="AA56" i="81" s="1"/>
  <c r="AA49" i="81"/>
  <c r="AA57" i="81" s="1"/>
  <c r="AA50" i="81"/>
  <c r="AA58" i="81" s="1"/>
  <c r="AA46" i="81"/>
  <c r="AA51" i="81"/>
  <c r="AA59" i="81" s="1"/>
  <c r="BN48" i="81"/>
  <c r="BN56" i="81" s="1"/>
  <c r="BN49" i="81"/>
  <c r="BN57" i="81" s="1"/>
  <c r="BN51" i="81"/>
  <c r="BN59" i="81" s="1"/>
  <c r="BN50" i="81"/>
  <c r="BN58" i="81" s="1"/>
  <c r="BN47" i="81"/>
  <c r="BN55" i="81" s="1"/>
  <c r="BN46" i="81"/>
  <c r="AK46" i="81"/>
  <c r="AK47" i="81"/>
  <c r="AK55" i="81" s="1"/>
  <c r="AK48" i="81"/>
  <c r="AK56" i="81" s="1"/>
  <c r="AK49" i="81"/>
  <c r="AK57" i="81" s="1"/>
  <c r="AK51" i="81"/>
  <c r="AK59" i="81" s="1"/>
  <c r="AK50" i="81"/>
  <c r="AK58" i="81" s="1"/>
  <c r="BF48" i="81"/>
  <c r="BF56" i="81" s="1"/>
  <c r="BF49" i="81"/>
  <c r="BF57" i="81" s="1"/>
  <c r="BF50" i="81"/>
  <c r="BF58" i="81" s="1"/>
  <c r="BF51" i="81"/>
  <c r="BF59" i="81" s="1"/>
  <c r="BF47" i="81"/>
  <c r="BF55" i="81" s="1"/>
  <c r="BF46" i="81"/>
  <c r="BX46" i="81"/>
  <c r="BX47" i="81"/>
  <c r="BX55" i="81" s="1"/>
  <c r="BX48" i="81"/>
  <c r="BX56" i="81" s="1"/>
  <c r="BX49" i="81"/>
  <c r="BX57" i="81" s="1"/>
  <c r="BX50" i="81"/>
  <c r="BX58" i="81" s="1"/>
  <c r="BX51" i="81"/>
  <c r="BX59" i="81" s="1"/>
  <c r="C16" i="88"/>
  <c r="F53" i="64"/>
  <c r="B42" i="64" s="1"/>
  <c r="H124" i="87"/>
  <c r="I125" i="87"/>
  <c r="I83" i="87"/>
  <c r="J84" i="87"/>
  <c r="AW83" i="87"/>
  <c r="AX84" i="87"/>
  <c r="S83" i="87"/>
  <c r="T84" i="87"/>
  <c r="AA124" i="87"/>
  <c r="AB125" i="87"/>
  <c r="BS125" i="87"/>
  <c r="BS124" i="87" s="1"/>
  <c r="BR124" i="87"/>
  <c r="AN84" i="87"/>
  <c r="AM83" i="87"/>
  <c r="CL84" i="87"/>
  <c r="CK83" i="87"/>
  <c r="BH83" i="87"/>
  <c r="BI84" i="87"/>
  <c r="BI83" i="87" s="1"/>
  <c r="CL125" i="87"/>
  <c r="CK124" i="87"/>
  <c r="AL125" i="87"/>
  <c r="AK124" i="87"/>
  <c r="BP83" i="87"/>
  <c r="BQ84" i="87"/>
  <c r="R124" i="87"/>
  <c r="S125" i="87"/>
  <c r="CB125" i="87"/>
  <c r="CA124" i="87"/>
  <c r="AD84" i="87"/>
  <c r="AC83" i="87"/>
  <c r="CA84" i="87"/>
  <c r="BZ83" i="87"/>
  <c r="G112" i="87"/>
  <c r="BH124" i="87"/>
  <c r="BI125" i="87"/>
  <c r="BI124" i="87" s="1"/>
  <c r="AU124" i="87"/>
  <c r="AV125" i="87"/>
  <c r="F55" i="81"/>
  <c r="F58" i="81"/>
  <c r="AT59" i="81"/>
  <c r="AT57" i="81"/>
  <c r="AT55" i="81"/>
  <c r="AY103" i="81"/>
  <c r="AY118" i="81" s="1"/>
  <c r="K103" i="81"/>
  <c r="K118" i="81" s="1"/>
  <c r="AE103" i="81"/>
  <c r="AE118" i="81" s="1"/>
  <c r="U103" i="81"/>
  <c r="U118" i="81" s="1"/>
  <c r="AO103" i="81"/>
  <c r="AO118" i="81" s="1"/>
  <c r="BS94" i="64"/>
  <c r="BR103" i="81"/>
  <c r="BR118" i="81" s="1"/>
  <c r="CC94" i="64"/>
  <c r="CB103" i="81"/>
  <c r="CB118" i="81" s="1"/>
  <c r="AQ73" i="81"/>
  <c r="AG70" i="81"/>
  <c r="AQ75" i="81"/>
  <c r="AQ70" i="81"/>
  <c r="AQ72" i="81"/>
  <c r="W74" i="81"/>
  <c r="AG72" i="81"/>
  <c r="C73" i="81"/>
  <c r="M74" i="81"/>
  <c r="AG74" i="81"/>
  <c r="CF73" i="81"/>
  <c r="W70" i="81"/>
  <c r="AQ74" i="81"/>
  <c r="CF70" i="81"/>
  <c r="CE74" i="81"/>
  <c r="CF71" i="81"/>
  <c r="BA80" i="81"/>
  <c r="BA94" i="81" s="1"/>
  <c r="AG71" i="81"/>
  <c r="BB74" i="81"/>
  <c r="C75" i="81"/>
  <c r="M73" i="81"/>
  <c r="AG75" i="81"/>
  <c r="CE72" i="81"/>
  <c r="CF75" i="81"/>
  <c r="V80" i="81"/>
  <c r="V94" i="81" s="1"/>
  <c r="CF72" i="81"/>
  <c r="BB71" i="81"/>
  <c r="BK79" i="81"/>
  <c r="BK65" i="81"/>
  <c r="BK63" i="81"/>
  <c r="BK66" i="81"/>
  <c r="BK67" i="81"/>
  <c r="BK64" i="81"/>
  <c r="W75" i="81"/>
  <c r="D79" i="81"/>
  <c r="D66" i="81"/>
  <c r="D64" i="81"/>
  <c r="D63" i="81"/>
  <c r="D65" i="81"/>
  <c r="D67" i="81"/>
  <c r="C72" i="81"/>
  <c r="M72" i="81"/>
  <c r="CE75" i="81"/>
  <c r="BB73" i="81"/>
  <c r="W72" i="81"/>
  <c r="X79" i="81"/>
  <c r="X64" i="81"/>
  <c r="X66" i="81"/>
  <c r="X63" i="81"/>
  <c r="X65" i="81"/>
  <c r="X67" i="81"/>
  <c r="BU79" i="81"/>
  <c r="BU65" i="81"/>
  <c r="BU64" i="81"/>
  <c r="BU63" i="81"/>
  <c r="BU67" i="81"/>
  <c r="BU66" i="81"/>
  <c r="N79" i="81"/>
  <c r="N70" i="81" s="1"/>
  <c r="N64" i="81"/>
  <c r="N67" i="81"/>
  <c r="N65" i="81"/>
  <c r="N63" i="81"/>
  <c r="N66" i="81"/>
  <c r="AP80" i="81"/>
  <c r="AP94" i="81" s="1"/>
  <c r="C74" i="81"/>
  <c r="M75" i="81"/>
  <c r="X62" i="81"/>
  <c r="AG73" i="81"/>
  <c r="CE73" i="81"/>
  <c r="BB70" i="81"/>
  <c r="BB75" i="81"/>
  <c r="CG79" i="81"/>
  <c r="CG70" i="81" s="1"/>
  <c r="CG66" i="81"/>
  <c r="CG67" i="81"/>
  <c r="CG64" i="81"/>
  <c r="CG63" i="81"/>
  <c r="CG65" i="81"/>
  <c r="AH79" i="81"/>
  <c r="AH64" i="81"/>
  <c r="AH63" i="81"/>
  <c r="AH65" i="81"/>
  <c r="AH67" i="81"/>
  <c r="AH66" i="81"/>
  <c r="M71" i="81"/>
  <c r="BU62" i="81"/>
  <c r="D62" i="81"/>
  <c r="BK62" i="81"/>
  <c r="BC79" i="81"/>
  <c r="BC70" i="81" s="1"/>
  <c r="BC66" i="81"/>
  <c r="BC64" i="81"/>
  <c r="BC63" i="81"/>
  <c r="BC67" i="81"/>
  <c r="BC65" i="81"/>
  <c r="BT80" i="81"/>
  <c r="BT94" i="81" s="1"/>
  <c r="W73" i="81"/>
  <c r="C71" i="81"/>
  <c r="CE71" i="81"/>
  <c r="AH62" i="81"/>
  <c r="CF74" i="81"/>
  <c r="AQ71" i="81"/>
  <c r="BB72" i="81"/>
  <c r="W71" i="81"/>
  <c r="C70" i="81"/>
  <c r="Z54" i="81"/>
  <c r="Z77" i="81"/>
  <c r="CH78" i="81"/>
  <c r="BM54" i="81"/>
  <c r="BM77" i="81"/>
  <c r="CI54" i="81"/>
  <c r="CI77" i="81"/>
  <c r="BV78" i="81"/>
  <c r="BV62" i="81" s="1"/>
  <c r="Y78" i="81"/>
  <c r="Y62" i="81" s="1"/>
  <c r="P54" i="81"/>
  <c r="P77" i="81"/>
  <c r="AJ54" i="81"/>
  <c r="AJ77" i="81"/>
  <c r="BD78" i="81"/>
  <c r="BD62" i="81" s="1"/>
  <c r="AI78" i="81"/>
  <c r="AI62" i="81" s="1"/>
  <c r="BE54" i="81"/>
  <c r="BE77" i="81"/>
  <c r="O78" i="81"/>
  <c r="BL78" i="81"/>
  <c r="BL62" i="81" s="1"/>
  <c r="BW54" i="81"/>
  <c r="BW77" i="81"/>
  <c r="E78" i="81"/>
  <c r="E62" i="81" s="1"/>
  <c r="F77" i="81"/>
  <c r="F54" i="81"/>
  <c r="BW85" i="81"/>
  <c r="CI85" i="81"/>
  <c r="AK87" i="81"/>
  <c r="BN87" i="81"/>
  <c r="AA87" i="81"/>
  <c r="BF87" i="81"/>
  <c r="Q87" i="81"/>
  <c r="AU87" i="81"/>
  <c r="G87" i="81"/>
  <c r="F89" i="81" s="1"/>
  <c r="BM85" i="81"/>
  <c r="P85" i="81"/>
  <c r="BE85" i="81"/>
  <c r="Z85" i="81"/>
  <c r="AJ85" i="81"/>
  <c r="F85" i="81"/>
  <c r="R125" i="64"/>
  <c r="Q124" i="64"/>
  <c r="BH125" i="64"/>
  <c r="BG124" i="64"/>
  <c r="BR125" i="64"/>
  <c r="BQ124" i="64"/>
  <c r="H125" i="64"/>
  <c r="G124" i="64"/>
  <c r="G112" i="64" s="1"/>
  <c r="CK125" i="64"/>
  <c r="CJ124" i="64"/>
  <c r="AW125" i="64"/>
  <c r="AV124" i="64"/>
  <c r="AC125" i="64"/>
  <c r="AB124" i="64"/>
  <c r="CA125" i="64"/>
  <c r="BZ124" i="64"/>
  <c r="AM125" i="64"/>
  <c r="AL124" i="64"/>
  <c r="AM84" i="64"/>
  <c r="AL83" i="64"/>
  <c r="I84" i="64"/>
  <c r="H83" i="64"/>
  <c r="AC84" i="64"/>
  <c r="AB83" i="64"/>
  <c r="BP84" i="64"/>
  <c r="BO83" i="64"/>
  <c r="BH84" i="64"/>
  <c r="BG83" i="64"/>
  <c r="BZ84" i="64"/>
  <c r="BY83" i="64"/>
  <c r="S84" i="64"/>
  <c r="R83" i="64"/>
  <c r="AW84" i="64"/>
  <c r="AV83" i="64"/>
  <c r="CL84" i="64"/>
  <c r="CK83" i="64"/>
  <c r="D108" i="64"/>
  <c r="F127" i="64"/>
  <c r="E126" i="64"/>
  <c r="H38" i="71"/>
  <c r="I38" i="71"/>
  <c r="D10" i="82" l="1"/>
  <c r="CK49" i="81"/>
  <c r="CK57" i="81" s="1"/>
  <c r="CK50" i="81"/>
  <c r="CK58" i="81" s="1"/>
  <c r="CK51" i="81"/>
  <c r="CK59" i="81" s="1"/>
  <c r="CK47" i="81"/>
  <c r="CK55" i="81" s="1"/>
  <c r="CK46" i="81"/>
  <c r="CK48" i="81"/>
  <c r="CK56" i="81" s="1"/>
  <c r="AV50" i="81"/>
  <c r="AV58" i="81" s="1"/>
  <c r="AV51" i="81"/>
  <c r="AV59" i="81" s="1"/>
  <c r="AV47" i="81"/>
  <c r="AV55" i="81" s="1"/>
  <c r="AV48" i="81"/>
  <c r="AV56" i="81" s="1"/>
  <c r="AV49" i="81"/>
  <c r="AV57" i="81" s="1"/>
  <c r="BO47" i="81"/>
  <c r="BO55" i="81" s="1"/>
  <c r="BO48" i="81"/>
  <c r="BO56" i="81" s="1"/>
  <c r="BO49" i="81"/>
  <c r="BO57" i="81" s="1"/>
  <c r="BO50" i="81"/>
  <c r="BO58" i="81" s="1"/>
  <c r="BO51" i="81"/>
  <c r="BO59" i="81" s="1"/>
  <c r="BO46" i="81"/>
  <c r="H50" i="81"/>
  <c r="H58" i="81" s="1"/>
  <c r="H51" i="81"/>
  <c r="H46" i="81"/>
  <c r="H47" i="81"/>
  <c r="H48" i="81"/>
  <c r="H49" i="81"/>
  <c r="AL48" i="81"/>
  <c r="AL56" i="81" s="1"/>
  <c r="AL46" i="81"/>
  <c r="AL47" i="81"/>
  <c r="AL55" i="81" s="1"/>
  <c r="AL49" i="81"/>
  <c r="AL57" i="81" s="1"/>
  <c r="AL51" i="81"/>
  <c r="AL59" i="81" s="1"/>
  <c r="AL50" i="81"/>
  <c r="AL58" i="81" s="1"/>
  <c r="BY46" i="81"/>
  <c r="BY47" i="81"/>
  <c r="BY55" i="81" s="1"/>
  <c r="BY48" i="81"/>
  <c r="BY56" i="81" s="1"/>
  <c r="BY50" i="81"/>
  <c r="BY58" i="81" s="1"/>
  <c r="BY49" i="81"/>
  <c r="BY57" i="81" s="1"/>
  <c r="BY51" i="81"/>
  <c r="BY59" i="81" s="1"/>
  <c r="AB46" i="81"/>
  <c r="AB47" i="81"/>
  <c r="AB55" i="81" s="1"/>
  <c r="AB48" i="81"/>
  <c r="AB56" i="81" s="1"/>
  <c r="AB49" i="81"/>
  <c r="AB57" i="81" s="1"/>
  <c r="AB50" i="81"/>
  <c r="AB58" i="81" s="1"/>
  <c r="AB51" i="81"/>
  <c r="AB59" i="81" s="1"/>
  <c r="BG47" i="81"/>
  <c r="BG55" i="81" s="1"/>
  <c r="BG48" i="81"/>
  <c r="BG56" i="81" s="1"/>
  <c r="BG49" i="81"/>
  <c r="BG57" i="81" s="1"/>
  <c r="BG50" i="81"/>
  <c r="BG58" i="81" s="1"/>
  <c r="BG46" i="81"/>
  <c r="BG51" i="81"/>
  <c r="BG59" i="81" s="1"/>
  <c r="R48" i="81"/>
  <c r="R56" i="81" s="1"/>
  <c r="R51" i="81"/>
  <c r="R59" i="81" s="1"/>
  <c r="R49" i="81"/>
  <c r="R57" i="81" s="1"/>
  <c r="R50" i="81"/>
  <c r="R58" i="81" s="1"/>
  <c r="R46" i="81"/>
  <c r="R47" i="81"/>
  <c r="R55" i="81" s="1"/>
  <c r="S124" i="87"/>
  <c r="T125" i="87"/>
  <c r="K84" i="87"/>
  <c r="K83" i="87" s="1"/>
  <c r="J83" i="87"/>
  <c r="AM125" i="87"/>
  <c r="AL124" i="87"/>
  <c r="AN83" i="87"/>
  <c r="AO84" i="87"/>
  <c r="AO83" i="87" s="1"/>
  <c r="CA83" i="87"/>
  <c r="CB84" i="87"/>
  <c r="T83" i="87"/>
  <c r="U84" i="87"/>
  <c r="U83" i="87" s="1"/>
  <c r="I124" i="87"/>
  <c r="I112" i="87" s="1"/>
  <c r="J125" i="87"/>
  <c r="AV124" i="87"/>
  <c r="AW125" i="87"/>
  <c r="AE84" i="87"/>
  <c r="AE83" i="87" s="1"/>
  <c r="AD83" i="87"/>
  <c r="H112" i="87"/>
  <c r="AC125" i="87"/>
  <c r="AB124" i="87"/>
  <c r="AX83" i="87"/>
  <c r="AY84" i="87"/>
  <c r="AY83" i="87" s="1"/>
  <c r="CL124" i="87"/>
  <c r="CM125" i="87"/>
  <c r="CM84" i="87"/>
  <c r="CM83" i="87" s="1"/>
  <c r="CL83" i="87"/>
  <c r="BR84" i="87"/>
  <c r="BQ83" i="87"/>
  <c r="CC125" i="87"/>
  <c r="CC124" i="87" s="1"/>
  <c r="CB124" i="87"/>
  <c r="G57" i="81"/>
  <c r="G58" i="81"/>
  <c r="G56" i="81"/>
  <c r="G55" i="81"/>
  <c r="G59" i="81"/>
  <c r="BS103" i="81"/>
  <c r="BS118" i="81" s="1"/>
  <c r="CC103" i="81"/>
  <c r="CC118" i="81" s="1"/>
  <c r="N72" i="81"/>
  <c r="D74" i="81"/>
  <c r="BC74" i="81"/>
  <c r="AQ80" i="81"/>
  <c r="AQ94" i="81" s="1"/>
  <c r="M80" i="81"/>
  <c r="M94" i="81" s="1"/>
  <c r="AG80" i="81"/>
  <c r="AG94" i="81" s="1"/>
  <c r="AH74" i="81"/>
  <c r="X70" i="81"/>
  <c r="X75" i="81"/>
  <c r="AH70" i="81"/>
  <c r="AH75" i="81"/>
  <c r="X73" i="81"/>
  <c r="CE80" i="81"/>
  <c r="CE94" i="81" s="1"/>
  <c r="AH73" i="81"/>
  <c r="X71" i="81"/>
  <c r="AH71" i="81"/>
  <c r="X74" i="81"/>
  <c r="D75" i="81"/>
  <c r="AH72" i="81"/>
  <c r="X72" i="81"/>
  <c r="BC71" i="81"/>
  <c r="BC72" i="81"/>
  <c r="BU70" i="81"/>
  <c r="D72" i="81"/>
  <c r="BK73" i="81"/>
  <c r="W80" i="81"/>
  <c r="W94" i="81" s="1"/>
  <c r="BK70" i="81"/>
  <c r="BU74" i="81"/>
  <c r="BK72" i="81"/>
  <c r="BU75" i="81"/>
  <c r="BK75" i="81"/>
  <c r="BC73" i="81"/>
  <c r="N74" i="81"/>
  <c r="BU71" i="81"/>
  <c r="D73" i="81"/>
  <c r="BK74" i="81"/>
  <c r="CF80" i="81"/>
  <c r="CF94" i="81" s="1"/>
  <c r="BC75" i="81"/>
  <c r="D70" i="81"/>
  <c r="BB80" i="81"/>
  <c r="BB94" i="81" s="1"/>
  <c r="BU72" i="81"/>
  <c r="D71" i="81"/>
  <c r="BK71" i="81"/>
  <c r="CG71" i="81"/>
  <c r="O79" i="81"/>
  <c r="O66" i="81"/>
  <c r="O63" i="81"/>
  <c r="O65" i="81"/>
  <c r="O64" i="81"/>
  <c r="O67" i="81"/>
  <c r="C80" i="81"/>
  <c r="C94" i="81" s="1"/>
  <c r="CG72" i="81"/>
  <c r="CG75" i="81"/>
  <c r="O62" i="81"/>
  <c r="CG74" i="81"/>
  <c r="E79" i="81"/>
  <c r="E70" i="81" s="1"/>
  <c r="E66" i="81"/>
  <c r="E67" i="81"/>
  <c r="E65" i="81"/>
  <c r="E64" i="81"/>
  <c r="E63" i="81"/>
  <c r="AI79" i="81"/>
  <c r="AI70" i="81" s="1"/>
  <c r="AI64" i="81"/>
  <c r="AI67" i="81"/>
  <c r="AI66" i="81"/>
  <c r="AI65" i="81"/>
  <c r="AI63" i="81"/>
  <c r="Y79" i="81"/>
  <c r="Y70" i="81" s="1"/>
  <c r="Y67" i="81"/>
  <c r="Y64" i="81"/>
  <c r="Y63" i="81"/>
  <c r="Y66" i="81"/>
  <c r="Y65" i="81"/>
  <c r="CH79" i="81"/>
  <c r="CH66" i="81"/>
  <c r="CH67" i="81"/>
  <c r="CH65" i="81"/>
  <c r="CH63" i="81"/>
  <c r="CH64" i="81"/>
  <c r="N71" i="81"/>
  <c r="N73" i="81"/>
  <c r="BU73" i="81"/>
  <c r="BL79" i="81"/>
  <c r="BL70" i="81" s="1"/>
  <c r="BL64" i="81"/>
  <c r="BL65" i="81"/>
  <c r="BL67" i="81"/>
  <c r="BL66" i="81"/>
  <c r="BL63" i="81"/>
  <c r="BD79" i="81"/>
  <c r="BD70" i="81" s="1"/>
  <c r="BD65" i="81"/>
  <c r="BD64" i="81"/>
  <c r="BD67" i="81"/>
  <c r="BD63" i="81"/>
  <c r="BD66" i="81"/>
  <c r="BV79" i="81"/>
  <c r="BV70" i="81" s="1"/>
  <c r="BV65" i="81"/>
  <c r="BV63" i="81"/>
  <c r="BV67" i="81"/>
  <c r="BV66" i="81"/>
  <c r="BV64" i="81"/>
  <c r="CH62" i="81"/>
  <c r="CG73" i="81"/>
  <c r="N75" i="81"/>
  <c r="BW78" i="81"/>
  <c r="BE78" i="81"/>
  <c r="BE62" i="81" s="1"/>
  <c r="Q54" i="81"/>
  <c r="Q77" i="81"/>
  <c r="P78" i="81"/>
  <c r="CI78" i="81"/>
  <c r="BX54" i="81"/>
  <c r="BX77" i="81"/>
  <c r="BF54" i="81"/>
  <c r="BF77" i="81"/>
  <c r="BN54" i="81"/>
  <c r="BN77" i="81"/>
  <c r="Z78" i="81"/>
  <c r="Z62" i="81" s="1"/>
  <c r="AK54" i="81"/>
  <c r="AK77" i="81"/>
  <c r="AJ78" i="81"/>
  <c r="BM78" i="81"/>
  <c r="BM62" i="81" s="1"/>
  <c r="CJ54" i="81"/>
  <c r="CJ77" i="81"/>
  <c r="AA54" i="81"/>
  <c r="AA77" i="81"/>
  <c r="F78" i="81"/>
  <c r="G54" i="81"/>
  <c r="G77" i="81"/>
  <c r="BX85" i="81"/>
  <c r="CJ85" i="81"/>
  <c r="AV87" i="81"/>
  <c r="BO87" i="81"/>
  <c r="R87" i="81"/>
  <c r="AB87" i="81"/>
  <c r="H87" i="81"/>
  <c r="G89" i="81" s="1"/>
  <c r="BG87" i="81"/>
  <c r="AL87" i="81"/>
  <c r="Q85" i="81"/>
  <c r="AK85" i="81"/>
  <c r="BF85" i="81"/>
  <c r="G85" i="81"/>
  <c r="BN85" i="81"/>
  <c r="AA85" i="81"/>
  <c r="AD125" i="64"/>
  <c r="AC124" i="64"/>
  <c r="BS125" i="64"/>
  <c r="BS124" i="64" s="1"/>
  <c r="BR124" i="64"/>
  <c r="I125" i="64"/>
  <c r="H124" i="64"/>
  <c r="H112" i="64" s="1"/>
  <c r="BI125" i="64"/>
  <c r="BI124" i="64" s="1"/>
  <c r="BH124" i="64"/>
  <c r="AX125" i="64"/>
  <c r="AW124" i="64"/>
  <c r="CB125" i="64"/>
  <c r="CA124" i="64"/>
  <c r="AN125" i="64"/>
  <c r="AM124" i="64"/>
  <c r="CL125" i="64"/>
  <c r="CK124" i="64"/>
  <c r="S125" i="64"/>
  <c r="R124" i="64"/>
  <c r="AX84" i="64"/>
  <c r="AW83" i="64"/>
  <c r="BQ84" i="64"/>
  <c r="BP83" i="64"/>
  <c r="AD84" i="64"/>
  <c r="AC83" i="64"/>
  <c r="CA84" i="64"/>
  <c r="BZ83" i="64"/>
  <c r="J84" i="64"/>
  <c r="I83" i="64"/>
  <c r="T84" i="64"/>
  <c r="S83" i="64"/>
  <c r="CM84" i="64"/>
  <c r="CM83" i="64" s="1"/>
  <c r="CL83" i="64"/>
  <c r="BI84" i="64"/>
  <c r="BI83" i="64" s="1"/>
  <c r="BH83" i="64"/>
  <c r="AN84" i="64"/>
  <c r="AM83" i="64"/>
  <c r="E108" i="64"/>
  <c r="G127" i="64"/>
  <c r="F126" i="64"/>
  <c r="H39" i="71"/>
  <c r="I39" i="71"/>
  <c r="BI46" i="81" l="1"/>
  <c r="BI47" i="81"/>
  <c r="BI55" i="81" s="1"/>
  <c r="BI48" i="81"/>
  <c r="BI56" i="81" s="1"/>
  <c r="BI49" i="81"/>
  <c r="BI57" i="81" s="1"/>
  <c r="BI50" i="81"/>
  <c r="BI58" i="81" s="1"/>
  <c r="BI51" i="81"/>
  <c r="BI59" i="81" s="1"/>
  <c r="BP46" i="81"/>
  <c r="BP47" i="81"/>
  <c r="BP55" i="81" s="1"/>
  <c r="BP48" i="81"/>
  <c r="BP56" i="81" s="1"/>
  <c r="BP49" i="81"/>
  <c r="BP57" i="81" s="1"/>
  <c r="BP51" i="81"/>
  <c r="BP59" i="81" s="1"/>
  <c r="BP50" i="81"/>
  <c r="BP58" i="81" s="1"/>
  <c r="AW49" i="81"/>
  <c r="AW57" i="81" s="1"/>
  <c r="AW50" i="81"/>
  <c r="AW58" i="81" s="1"/>
  <c r="AW51" i="81"/>
  <c r="AW59" i="81" s="1"/>
  <c r="AW47" i="81"/>
  <c r="AW55" i="81" s="1"/>
  <c r="AW48" i="81"/>
  <c r="AW56" i="81" s="1"/>
  <c r="CL48" i="81"/>
  <c r="CL56" i="81" s="1"/>
  <c r="CL49" i="81"/>
  <c r="CL57" i="81" s="1"/>
  <c r="CL51" i="81"/>
  <c r="CL59" i="81" s="1"/>
  <c r="CL50" i="81"/>
  <c r="CL58" i="81" s="1"/>
  <c r="CL47" i="81"/>
  <c r="CL55" i="81" s="1"/>
  <c r="CL46" i="81"/>
  <c r="CM47" i="81"/>
  <c r="CM48" i="81"/>
  <c r="CM49" i="81"/>
  <c r="CM50" i="81"/>
  <c r="CM46" i="81"/>
  <c r="CM51" i="81"/>
  <c r="S47" i="81"/>
  <c r="S55" i="81" s="1"/>
  <c r="S48" i="81"/>
  <c r="S56" i="81" s="1"/>
  <c r="S50" i="81"/>
  <c r="S58" i="81" s="1"/>
  <c r="S49" i="81"/>
  <c r="S57" i="81" s="1"/>
  <c r="S51" i="81"/>
  <c r="S59" i="81" s="1"/>
  <c r="S46" i="81"/>
  <c r="AM51" i="81"/>
  <c r="AM59" i="81" s="1"/>
  <c r="AM47" i="81"/>
  <c r="AM55" i="81" s="1"/>
  <c r="AM46" i="81"/>
  <c r="AM48" i="81"/>
  <c r="AM56" i="81" s="1"/>
  <c r="AM49" i="81"/>
  <c r="AM57" i="81" s="1"/>
  <c r="AM50" i="81"/>
  <c r="AM58" i="81" s="1"/>
  <c r="AC46" i="81"/>
  <c r="AC47" i="81"/>
  <c r="AC55" i="81" s="1"/>
  <c r="AC48" i="81"/>
  <c r="AC56" i="81" s="1"/>
  <c r="AC50" i="81"/>
  <c r="AC58" i="81" s="1"/>
  <c r="AC49" i="81"/>
  <c r="AC57" i="81" s="1"/>
  <c r="AC51" i="81"/>
  <c r="AC59" i="81" s="1"/>
  <c r="I49" i="81"/>
  <c r="I57" i="81" s="1"/>
  <c r="I50" i="81"/>
  <c r="I51" i="81"/>
  <c r="I46" i="81"/>
  <c r="I47" i="81"/>
  <c r="I55" i="81" s="1"/>
  <c r="I48" i="81"/>
  <c r="I56" i="81" s="1"/>
  <c r="BH46" i="81"/>
  <c r="BH47" i="81"/>
  <c r="BH55" i="81" s="1"/>
  <c r="BH48" i="81"/>
  <c r="BH56" i="81" s="1"/>
  <c r="BH49" i="81"/>
  <c r="BH57" i="81" s="1"/>
  <c r="BH50" i="81"/>
  <c r="BH58" i="81" s="1"/>
  <c r="BH51" i="81"/>
  <c r="BH59" i="81" s="1"/>
  <c r="BZ46" i="81"/>
  <c r="BZ47" i="81"/>
  <c r="BZ55" i="81" s="1"/>
  <c r="BZ48" i="81"/>
  <c r="BZ56" i="81" s="1"/>
  <c r="BZ50" i="81"/>
  <c r="BZ58" i="81" s="1"/>
  <c r="BZ49" i="81"/>
  <c r="BZ57" i="81" s="1"/>
  <c r="BZ51" i="81"/>
  <c r="BZ59" i="81" s="1"/>
  <c r="AN125" i="87"/>
  <c r="AM124" i="87"/>
  <c r="CM124" i="87"/>
  <c r="AW124" i="87"/>
  <c r="AX125" i="87"/>
  <c r="T124" i="87"/>
  <c r="U125" i="87"/>
  <c r="U124" i="87" s="1"/>
  <c r="BS84" i="87"/>
  <c r="BS83" i="87" s="1"/>
  <c r="BR83" i="87"/>
  <c r="J124" i="87"/>
  <c r="J112" i="87" s="1"/>
  <c r="K125" i="87"/>
  <c r="K124" i="87" s="1"/>
  <c r="K112" i="87" s="1"/>
  <c r="CC84" i="87"/>
  <c r="CC83" i="87" s="1"/>
  <c r="CB83" i="87"/>
  <c r="AD125" i="87"/>
  <c r="AC124" i="87"/>
  <c r="H57" i="81"/>
  <c r="H55" i="81"/>
  <c r="H56" i="81"/>
  <c r="H59" i="81"/>
  <c r="AH80" i="81"/>
  <c r="AH94" i="81" s="1"/>
  <c r="X80" i="81"/>
  <c r="X94" i="81" s="1"/>
  <c r="BU80" i="81"/>
  <c r="BU94" i="81" s="1"/>
  <c r="D80" i="81"/>
  <c r="D94" i="81" s="1"/>
  <c r="O73" i="81"/>
  <c r="BC80" i="81"/>
  <c r="BC94" i="81" s="1"/>
  <c r="O71" i="81"/>
  <c r="O70" i="81"/>
  <c r="BD74" i="81"/>
  <c r="O74" i="81"/>
  <c r="BV74" i="81"/>
  <c r="BD71" i="81"/>
  <c r="BD75" i="81"/>
  <c r="Y72" i="81"/>
  <c r="BD72" i="81"/>
  <c r="Y75" i="81"/>
  <c r="BD73" i="81"/>
  <c r="E72" i="81"/>
  <c r="CG80" i="81"/>
  <c r="CG94" i="81" s="1"/>
  <c r="BK80" i="81"/>
  <c r="BK94" i="81" s="1"/>
  <c r="AI73" i="81"/>
  <c r="O75" i="81"/>
  <c r="BL74" i="81"/>
  <c r="N80" i="81"/>
  <c r="N94" i="81" s="1"/>
  <c r="O72" i="81"/>
  <c r="CH71" i="81"/>
  <c r="F79" i="81"/>
  <c r="F65" i="81"/>
  <c r="F63" i="81"/>
  <c r="F66" i="81"/>
  <c r="F67" i="81"/>
  <c r="F64" i="81"/>
  <c r="AJ79" i="81"/>
  <c r="AJ65" i="81"/>
  <c r="AJ64" i="81"/>
  <c r="AJ67" i="81"/>
  <c r="AJ66" i="81"/>
  <c r="AJ63" i="81"/>
  <c r="BL75" i="81"/>
  <c r="CH73" i="81"/>
  <c r="AJ62" i="81"/>
  <c r="CH70" i="81"/>
  <c r="BL73" i="81"/>
  <c r="CH75" i="81"/>
  <c r="BE79" i="81"/>
  <c r="BE70" i="81" s="1"/>
  <c r="BE63" i="81"/>
  <c r="BE67" i="81"/>
  <c r="BE66" i="81"/>
  <c r="BE65" i="81"/>
  <c r="BE64" i="81"/>
  <c r="BV72" i="81"/>
  <c r="BL72" i="81"/>
  <c r="CH74" i="81"/>
  <c r="AI71" i="81"/>
  <c r="E71" i="81"/>
  <c r="Z79" i="81"/>
  <c r="Z70" i="81" s="1"/>
  <c r="Z65" i="81"/>
  <c r="Z63" i="81"/>
  <c r="Z67" i="81"/>
  <c r="Z66" i="81"/>
  <c r="Z64" i="81"/>
  <c r="CI79" i="81"/>
  <c r="CI63" i="81"/>
  <c r="CI67" i="81"/>
  <c r="CI64" i="81"/>
  <c r="CI66" i="81"/>
  <c r="CI65" i="81"/>
  <c r="BW79" i="81"/>
  <c r="BW67" i="81"/>
  <c r="BW66" i="81"/>
  <c r="BW65" i="81"/>
  <c r="BW64" i="81"/>
  <c r="BW63" i="81"/>
  <c r="BV75" i="81"/>
  <c r="BW62" i="81"/>
  <c r="Y73" i="81"/>
  <c r="AI74" i="81"/>
  <c r="E73" i="81"/>
  <c r="BV71" i="81"/>
  <c r="Y74" i="81"/>
  <c r="AI75" i="81"/>
  <c r="E75" i="81"/>
  <c r="CI62" i="81"/>
  <c r="F62" i="81"/>
  <c r="BM79" i="81"/>
  <c r="BM70" i="81" s="1"/>
  <c r="BM63" i="81"/>
  <c r="BM65" i="81"/>
  <c r="BM67" i="81"/>
  <c r="BM64" i="81"/>
  <c r="BM66" i="81"/>
  <c r="P79" i="81"/>
  <c r="P64" i="81"/>
  <c r="P67" i="81"/>
  <c r="P66" i="81"/>
  <c r="P65" i="81"/>
  <c r="P63" i="81"/>
  <c r="BV73" i="81"/>
  <c r="BL71" i="81"/>
  <c r="CH72" i="81"/>
  <c r="Y71" i="81"/>
  <c r="AI72" i="81"/>
  <c r="P62" i="81"/>
  <c r="E74" i="81"/>
  <c r="AK78" i="81"/>
  <c r="AK62" i="81" s="1"/>
  <c r="AL54" i="81"/>
  <c r="AL77" i="81"/>
  <c r="BN78" i="81"/>
  <c r="BX78" i="81"/>
  <c r="BX62" i="81" s="1"/>
  <c r="AB54" i="81"/>
  <c r="AB77" i="81"/>
  <c r="AA78" i="81"/>
  <c r="BG54" i="81"/>
  <c r="BG77" i="81"/>
  <c r="BO54" i="81"/>
  <c r="BO77" i="81"/>
  <c r="BF78" i="81"/>
  <c r="Q78" i="81"/>
  <c r="CK54" i="81"/>
  <c r="CK77" i="81"/>
  <c r="BY54" i="81"/>
  <c r="BY77" i="81"/>
  <c r="CJ78" i="81"/>
  <c r="CJ62" i="81" s="1"/>
  <c r="R54" i="81"/>
  <c r="R77" i="81"/>
  <c r="H54" i="81"/>
  <c r="H77" i="81"/>
  <c r="G78" i="81"/>
  <c r="G62" i="81" s="1"/>
  <c r="CK85" i="81"/>
  <c r="BY85" i="81"/>
  <c r="BH87" i="81"/>
  <c r="AC87" i="81"/>
  <c r="S87" i="81"/>
  <c r="BP87" i="81"/>
  <c r="AM87" i="81"/>
  <c r="I87" i="81"/>
  <c r="H89" i="81" s="1"/>
  <c r="AW87" i="81"/>
  <c r="BI87" i="81"/>
  <c r="BJ87" i="81"/>
  <c r="AB85" i="81"/>
  <c r="AL85" i="81"/>
  <c r="BO85" i="81"/>
  <c r="BG85" i="81"/>
  <c r="R85" i="81"/>
  <c r="H85" i="81"/>
  <c r="CM125" i="64"/>
  <c r="CL124" i="64"/>
  <c r="AO125" i="64"/>
  <c r="AO124" i="64" s="1"/>
  <c r="AN124" i="64"/>
  <c r="J125" i="64"/>
  <c r="I124" i="64"/>
  <c r="I112" i="64" s="1"/>
  <c r="CC125" i="64"/>
  <c r="CC124" i="64" s="1"/>
  <c r="CB124" i="64"/>
  <c r="T125" i="64"/>
  <c r="S124" i="64"/>
  <c r="AY125" i="64"/>
  <c r="AY124" i="64" s="1"/>
  <c r="AX124" i="64"/>
  <c r="AE125" i="64"/>
  <c r="AE124" i="64" s="1"/>
  <c r="AD124" i="64"/>
  <c r="CB84" i="64"/>
  <c r="CA83" i="64"/>
  <c r="AE84" i="64"/>
  <c r="AE83" i="64" s="1"/>
  <c r="AD83" i="64"/>
  <c r="U84" i="64"/>
  <c r="U83" i="64" s="1"/>
  <c r="T83" i="64"/>
  <c r="BR84" i="64"/>
  <c r="BQ83" i="64"/>
  <c r="AO84" i="64"/>
  <c r="AO83" i="64" s="1"/>
  <c r="AN83" i="64"/>
  <c r="K84" i="64"/>
  <c r="K83" i="64" s="1"/>
  <c r="J83" i="64"/>
  <c r="AY84" i="64"/>
  <c r="AY83" i="64" s="1"/>
  <c r="AX83" i="64"/>
  <c r="F108" i="64"/>
  <c r="H127" i="64"/>
  <c r="G126" i="64"/>
  <c r="H29" i="71"/>
  <c r="I29" i="71"/>
  <c r="AD46" i="81" l="1"/>
  <c r="AD47" i="81"/>
  <c r="AD55" i="81" s="1"/>
  <c r="AD48" i="81"/>
  <c r="AD56" i="81" s="1"/>
  <c r="AD50" i="81"/>
  <c r="AD58" i="81" s="1"/>
  <c r="AD49" i="81"/>
  <c r="AD57" i="81" s="1"/>
  <c r="AD51" i="81"/>
  <c r="AD59" i="81" s="1"/>
  <c r="AE51" i="81"/>
  <c r="AE59" i="81" s="1"/>
  <c r="AE47" i="81"/>
  <c r="AE55" i="81" s="1"/>
  <c r="AE46" i="81"/>
  <c r="AE48" i="81"/>
  <c r="AE56" i="81" s="1"/>
  <c r="AE49" i="81"/>
  <c r="AE57" i="81" s="1"/>
  <c r="AE50" i="81"/>
  <c r="AE58" i="81" s="1"/>
  <c r="BQ46" i="81"/>
  <c r="BQ47" i="81"/>
  <c r="BQ55" i="81" s="1"/>
  <c r="BQ48" i="81"/>
  <c r="BQ56" i="81" s="1"/>
  <c r="BQ49" i="81"/>
  <c r="BQ57" i="81" s="1"/>
  <c r="BQ50" i="81"/>
  <c r="BQ58" i="81" s="1"/>
  <c r="BQ51" i="81"/>
  <c r="BQ59" i="81" s="1"/>
  <c r="AX48" i="81"/>
  <c r="AX56" i="81" s="1"/>
  <c r="AX51" i="81"/>
  <c r="AX59" i="81" s="1"/>
  <c r="AX49" i="81"/>
  <c r="AX57" i="81" s="1"/>
  <c r="AX50" i="81"/>
  <c r="AX58" i="81" s="1"/>
  <c r="AX47" i="81"/>
  <c r="AX55" i="81" s="1"/>
  <c r="AY47" i="81"/>
  <c r="AY55" i="81" s="1"/>
  <c r="AY50" i="81"/>
  <c r="AY58" i="81" s="1"/>
  <c r="AY48" i="81"/>
  <c r="AY56" i="81" s="1"/>
  <c r="AY49" i="81"/>
  <c r="AY57" i="81" s="1"/>
  <c r="AY51" i="81"/>
  <c r="AY59" i="81" s="1"/>
  <c r="J48" i="81"/>
  <c r="J56" i="81" s="1"/>
  <c r="J49" i="81"/>
  <c r="J57" i="81" s="1"/>
  <c r="J50" i="81"/>
  <c r="J58" i="81" s="1"/>
  <c r="J51" i="81"/>
  <c r="J59" i="81" s="1"/>
  <c r="J46" i="81"/>
  <c r="J47" i="81"/>
  <c r="T46" i="81"/>
  <c r="T47" i="81"/>
  <c r="T55" i="81" s="1"/>
  <c r="T48" i="81"/>
  <c r="T56" i="81" s="1"/>
  <c r="T49" i="81"/>
  <c r="T57" i="81" s="1"/>
  <c r="T51" i="81"/>
  <c r="T59" i="81" s="1"/>
  <c r="T50" i="81"/>
  <c r="T58" i="81" s="1"/>
  <c r="U49" i="81"/>
  <c r="U57" i="81" s="1"/>
  <c r="U46" i="81"/>
  <c r="U47" i="81"/>
  <c r="U55" i="81" s="1"/>
  <c r="U48" i="81"/>
  <c r="U56" i="81" s="1"/>
  <c r="U50" i="81"/>
  <c r="U58" i="81" s="1"/>
  <c r="U51" i="81"/>
  <c r="U59" i="81" s="1"/>
  <c r="K47" i="81"/>
  <c r="K55" i="81" s="1"/>
  <c r="K48" i="81"/>
  <c r="K56" i="81" s="1"/>
  <c r="K49" i="81"/>
  <c r="K57" i="81" s="1"/>
  <c r="K50" i="81"/>
  <c r="K58" i="81" s="1"/>
  <c r="K46" i="81"/>
  <c r="K51" i="81"/>
  <c r="K59" i="81" s="1"/>
  <c r="AN50" i="81"/>
  <c r="AN58" i="81" s="1"/>
  <c r="AN46" i="81"/>
  <c r="AN51" i="81"/>
  <c r="AN59" i="81" s="1"/>
  <c r="AN49" i="81"/>
  <c r="AN57" i="81" s="1"/>
  <c r="AN47" i="81"/>
  <c r="AN55" i="81" s="1"/>
  <c r="AN48" i="81"/>
  <c r="AN56" i="81" s="1"/>
  <c r="CA51" i="81"/>
  <c r="CA59" i="81" s="1"/>
  <c r="CA47" i="81"/>
  <c r="CA55" i="81" s="1"/>
  <c r="CA46" i="81"/>
  <c r="CA50" i="81"/>
  <c r="CA58" i="81" s="1"/>
  <c r="CA48" i="81"/>
  <c r="CA56" i="81" s="1"/>
  <c r="CA49" i="81"/>
  <c r="CA57" i="81" s="1"/>
  <c r="AO49" i="81"/>
  <c r="AO50" i="81"/>
  <c r="AO51" i="81"/>
  <c r="AO48" i="81"/>
  <c r="AO47" i="81"/>
  <c r="AO46" i="81"/>
  <c r="B24" i="87"/>
  <c r="B3" i="87"/>
  <c r="A112" i="87"/>
  <c r="AX124" i="87"/>
  <c r="AY125" i="87"/>
  <c r="AO125" i="87"/>
  <c r="AO124" i="87" s="1"/>
  <c r="AN124" i="87"/>
  <c r="AE125" i="87"/>
  <c r="AE124" i="87" s="1"/>
  <c r="AD124" i="87"/>
  <c r="I58" i="81"/>
  <c r="I59" i="81"/>
  <c r="AJ70" i="81"/>
  <c r="CM55" i="81"/>
  <c r="CM59" i="81"/>
  <c r="CM58" i="81"/>
  <c r="CM57" i="81"/>
  <c r="CM56" i="81"/>
  <c r="BE71" i="81"/>
  <c r="BD80" i="81"/>
  <c r="BD94" i="81" s="1"/>
  <c r="BW72" i="81"/>
  <c r="BW74" i="81"/>
  <c r="BE75" i="81"/>
  <c r="AJ71" i="81"/>
  <c r="F72" i="81"/>
  <c r="BV80" i="81"/>
  <c r="BV94" i="81" s="1"/>
  <c r="F75" i="81"/>
  <c r="F74" i="81"/>
  <c r="F70" i="81"/>
  <c r="F71" i="81"/>
  <c r="Y80" i="81"/>
  <c r="Y94" i="81" s="1"/>
  <c r="F73" i="81"/>
  <c r="BE72" i="81"/>
  <c r="BW71" i="81"/>
  <c r="O80" i="81"/>
  <c r="O94" i="81" s="1"/>
  <c r="E80" i="81"/>
  <c r="E94" i="81" s="1"/>
  <c r="AI80" i="81"/>
  <c r="AI94" i="81" s="1"/>
  <c r="CI70" i="81"/>
  <c r="BL80" i="81"/>
  <c r="BL94" i="81" s="1"/>
  <c r="P70" i="81"/>
  <c r="P74" i="81"/>
  <c r="BM71" i="81"/>
  <c r="CI72" i="81"/>
  <c r="Z73" i="81"/>
  <c r="BN79" i="81"/>
  <c r="BN67" i="81"/>
  <c r="BN63" i="81"/>
  <c r="BN64" i="81"/>
  <c r="BN66" i="81"/>
  <c r="BN65" i="81"/>
  <c r="P75" i="81"/>
  <c r="CI75" i="81"/>
  <c r="P72" i="81"/>
  <c r="BW73" i="81"/>
  <c r="CI71" i="81"/>
  <c r="Q79" i="81"/>
  <c r="Q64" i="81"/>
  <c r="Q63" i="81"/>
  <c r="Q67" i="81"/>
  <c r="Q66" i="81"/>
  <c r="Q65" i="81"/>
  <c r="AA79" i="81"/>
  <c r="AA64" i="81"/>
  <c r="AA65" i="81"/>
  <c r="AA63" i="81"/>
  <c r="AA66" i="81"/>
  <c r="AA67" i="81"/>
  <c r="CH80" i="81"/>
  <c r="CH94" i="81" s="1"/>
  <c r="BM74" i="81"/>
  <c r="BW75" i="81"/>
  <c r="Z72" i="81"/>
  <c r="AA62" i="81"/>
  <c r="Q62" i="81"/>
  <c r="AJ74" i="81"/>
  <c r="CJ79" i="81"/>
  <c r="CJ70" i="81" s="1"/>
  <c r="CJ63" i="81"/>
  <c r="CJ65" i="81"/>
  <c r="CJ66" i="81"/>
  <c r="CJ67" i="81"/>
  <c r="CJ64" i="81"/>
  <c r="BF79" i="81"/>
  <c r="BF67" i="81"/>
  <c r="BF65" i="81"/>
  <c r="BF64" i="81"/>
  <c r="BF63" i="81"/>
  <c r="BF66" i="81"/>
  <c r="AK79" i="81"/>
  <c r="AK70" i="81" s="1"/>
  <c r="AK64" i="81"/>
  <c r="AK67" i="81"/>
  <c r="AK65" i="81"/>
  <c r="AK66" i="81"/>
  <c r="AK63" i="81"/>
  <c r="BM72" i="81"/>
  <c r="Z74" i="81"/>
  <c r="AJ75" i="81"/>
  <c r="BN62" i="81"/>
  <c r="P71" i="81"/>
  <c r="BM75" i="81"/>
  <c r="BW70" i="81"/>
  <c r="CI73" i="81"/>
  <c r="Z75" i="81"/>
  <c r="BE73" i="81"/>
  <c r="AJ72" i="81"/>
  <c r="G79" i="81"/>
  <c r="G70" i="81" s="1"/>
  <c r="G67" i="81"/>
  <c r="G66" i="81"/>
  <c r="G64" i="81"/>
  <c r="G63" i="81"/>
  <c r="G65" i="81"/>
  <c r="BX79" i="81"/>
  <c r="BX70" i="81" s="1"/>
  <c r="BX67" i="81"/>
  <c r="BX63" i="81"/>
  <c r="BX64" i="81"/>
  <c r="BX66" i="81"/>
  <c r="BX65" i="81"/>
  <c r="P73" i="81"/>
  <c r="BM73" i="81"/>
  <c r="CI74" i="81"/>
  <c r="Z71" i="81"/>
  <c r="BE74" i="81"/>
  <c r="BF62" i="81"/>
  <c r="AJ73" i="81"/>
  <c r="CM85" i="81"/>
  <c r="CM54" i="81"/>
  <c r="CM77" i="81"/>
  <c r="R78" i="81"/>
  <c r="AB78" i="81"/>
  <c r="AB62" i="81" s="1"/>
  <c r="AC54" i="81"/>
  <c r="AC77" i="81"/>
  <c r="BY78" i="81"/>
  <c r="BY62" i="81" s="1"/>
  <c r="BO78" i="81"/>
  <c r="AL78" i="81"/>
  <c r="AL62" i="81" s="1"/>
  <c r="BP54" i="81"/>
  <c r="BP77" i="81"/>
  <c r="CK78" i="81"/>
  <c r="CL54" i="81"/>
  <c r="CL77" i="81"/>
  <c r="BH54" i="81"/>
  <c r="BH77" i="81"/>
  <c r="S54" i="81"/>
  <c r="S77" i="81"/>
  <c r="BZ54" i="81"/>
  <c r="BZ77" i="81"/>
  <c r="AM54" i="81"/>
  <c r="AM77" i="81"/>
  <c r="BI54" i="81"/>
  <c r="BI77" i="81"/>
  <c r="BG78" i="81"/>
  <c r="BG62" i="81" s="1"/>
  <c r="H78" i="81"/>
  <c r="I54" i="81"/>
  <c r="I77" i="81"/>
  <c r="CL85" i="81"/>
  <c r="BZ85" i="81"/>
  <c r="J87" i="81"/>
  <c r="I89" i="81" s="1"/>
  <c r="AD87" i="81"/>
  <c r="AN87" i="81"/>
  <c r="T87" i="81"/>
  <c r="BQ87" i="81"/>
  <c r="AX87" i="81"/>
  <c r="BJ85" i="81"/>
  <c r="AM85" i="81"/>
  <c r="I85" i="81"/>
  <c r="BP85" i="81"/>
  <c r="AC85" i="81"/>
  <c r="AO87" i="81"/>
  <c r="AP87" i="81"/>
  <c r="BH85" i="81"/>
  <c r="S85" i="81"/>
  <c r="AY87" i="81"/>
  <c r="AZ87" i="81"/>
  <c r="U87" i="81"/>
  <c r="V87" i="81"/>
  <c r="BI85" i="81"/>
  <c r="AE87" i="81"/>
  <c r="AF87" i="81"/>
  <c r="K87" i="81"/>
  <c r="L87" i="81"/>
  <c r="CM124" i="64"/>
  <c r="K125" i="64"/>
  <c r="J124" i="64"/>
  <c r="J112" i="64" s="1"/>
  <c r="U125" i="64"/>
  <c r="U124" i="64" s="1"/>
  <c r="T124" i="64"/>
  <c r="BS84" i="64"/>
  <c r="BS83" i="64" s="1"/>
  <c r="BR83" i="64"/>
  <c r="CC84" i="64"/>
  <c r="CC83" i="64" s="1"/>
  <c r="CB83" i="64"/>
  <c r="G108" i="64"/>
  <c r="I127" i="64"/>
  <c r="H126" i="64"/>
  <c r="H30" i="71"/>
  <c r="I30" i="71"/>
  <c r="K33" i="71"/>
  <c r="H33" i="71"/>
  <c r="I33" i="71"/>
  <c r="H31" i="71"/>
  <c r="I31" i="71"/>
  <c r="K31" i="71"/>
  <c r="I32" i="71"/>
  <c r="H32" i="71"/>
  <c r="B4" i="82" l="1"/>
  <c r="B9" i="82"/>
  <c r="B8" i="82"/>
  <c r="B6" i="82"/>
  <c r="B7" i="82"/>
  <c r="B5" i="82"/>
  <c r="CB50" i="81"/>
  <c r="CB58" i="81" s="1"/>
  <c r="CB51" i="81"/>
  <c r="CB59" i="81" s="1"/>
  <c r="CB46" i="81"/>
  <c r="CB47" i="81"/>
  <c r="CB55" i="81" s="1"/>
  <c r="CB48" i="81"/>
  <c r="CB56" i="81" s="1"/>
  <c r="CB49" i="81"/>
  <c r="CB57" i="81" s="1"/>
  <c r="CC49" i="81"/>
  <c r="CC57" i="81" s="1"/>
  <c r="CC50" i="81"/>
  <c r="CC58" i="81" s="1"/>
  <c r="CC51" i="81"/>
  <c r="CC46" i="81"/>
  <c r="CC47" i="81"/>
  <c r="CC48" i="81"/>
  <c r="CC56" i="81" s="1"/>
  <c r="BR48" i="81"/>
  <c r="BR56" i="81" s="1"/>
  <c r="BR47" i="81"/>
  <c r="BR55" i="81" s="1"/>
  <c r="BR46" i="81"/>
  <c r="BR50" i="81"/>
  <c r="BR49" i="81"/>
  <c r="BR51" i="81"/>
  <c r="BR59" i="81" s="1"/>
  <c r="BS51" i="81"/>
  <c r="BS59" i="81" s="1"/>
  <c r="BS47" i="81"/>
  <c r="BS55" i="81" s="1"/>
  <c r="BS46" i="81"/>
  <c r="BS48" i="81"/>
  <c r="BS56" i="81" s="1"/>
  <c r="BS49" i="81"/>
  <c r="BS57" i="81" s="1"/>
  <c r="BS50" i="81"/>
  <c r="BS58" i="81" s="1"/>
  <c r="B10" i="87"/>
  <c r="B12" i="87" s="1"/>
  <c r="C3" i="87"/>
  <c r="AY124" i="87"/>
  <c r="D10" i="87" s="1"/>
  <c r="D12" i="87"/>
  <c r="B3" i="64"/>
  <c r="B10" i="64" s="1"/>
  <c r="B12" i="64" s="1"/>
  <c r="D12" i="64"/>
  <c r="D10" i="64"/>
  <c r="H14" i="64"/>
  <c r="B24" i="64"/>
  <c r="J55" i="81"/>
  <c r="AO57" i="81"/>
  <c r="AO59" i="81"/>
  <c r="AO56" i="81"/>
  <c r="AO58" i="81"/>
  <c r="AO55" i="81"/>
  <c r="AA72" i="81"/>
  <c r="BF75" i="81"/>
  <c r="AA70" i="81"/>
  <c r="AA73" i="81"/>
  <c r="F80" i="81"/>
  <c r="F94" i="81" s="1"/>
  <c r="BN70" i="81"/>
  <c r="Z80" i="81"/>
  <c r="Z94" i="81" s="1"/>
  <c r="BN71" i="81"/>
  <c r="BE80" i="81"/>
  <c r="BE94" i="81" s="1"/>
  <c r="CJ74" i="81"/>
  <c r="BN75" i="81"/>
  <c r="BX75" i="81"/>
  <c r="AJ80" i="81"/>
  <c r="AJ94" i="81" s="1"/>
  <c r="AK72" i="81"/>
  <c r="CJ72" i="81"/>
  <c r="AA71" i="81"/>
  <c r="Q72" i="81"/>
  <c r="CJ75" i="81"/>
  <c r="CI80" i="81"/>
  <c r="CI94" i="81" s="1"/>
  <c r="CJ73" i="81"/>
  <c r="AK71" i="81"/>
  <c r="CJ71" i="81"/>
  <c r="AK73" i="81"/>
  <c r="AA75" i="81"/>
  <c r="BX71" i="81"/>
  <c r="AK75" i="81"/>
  <c r="BM80" i="81"/>
  <c r="BM94" i="81" s="1"/>
  <c r="BO79" i="81"/>
  <c r="BO64" i="81"/>
  <c r="BO65" i="81"/>
  <c r="BO66" i="81"/>
  <c r="BO63" i="81"/>
  <c r="BO67" i="81"/>
  <c r="R79" i="81"/>
  <c r="R67" i="81"/>
  <c r="R65" i="81"/>
  <c r="R64" i="81"/>
  <c r="R63" i="81"/>
  <c r="R66" i="81"/>
  <c r="H79" i="81"/>
  <c r="H67" i="81"/>
  <c r="H64" i="81"/>
  <c r="H65" i="81"/>
  <c r="H66" i="81"/>
  <c r="H63" i="81"/>
  <c r="CK79" i="81"/>
  <c r="CK64" i="81"/>
  <c r="CK63" i="81"/>
  <c r="CK65" i="81"/>
  <c r="CK66" i="81"/>
  <c r="CK67" i="81"/>
  <c r="G73" i="81"/>
  <c r="BY79" i="81"/>
  <c r="BY70" i="81" s="1"/>
  <c r="BY64" i="81"/>
  <c r="BY63" i="81"/>
  <c r="BY66" i="81"/>
  <c r="BY67" i="81"/>
  <c r="BY65" i="81"/>
  <c r="G71" i="81"/>
  <c r="BF74" i="81"/>
  <c r="Q73" i="81"/>
  <c r="BG79" i="81"/>
  <c r="BG70" i="81" s="1"/>
  <c r="BG64" i="81"/>
  <c r="BG65" i="81"/>
  <c r="BG66" i="81"/>
  <c r="BG63" i="81"/>
  <c r="BG67" i="81"/>
  <c r="BX73" i="81"/>
  <c r="G72" i="81"/>
  <c r="BW80" i="81"/>
  <c r="BW94" i="81" s="1"/>
  <c r="BF71" i="81"/>
  <c r="Q70" i="81"/>
  <c r="R62" i="81"/>
  <c r="Q74" i="81"/>
  <c r="CK62" i="81"/>
  <c r="BN73" i="81"/>
  <c r="BX74" i="81"/>
  <c r="G74" i="81"/>
  <c r="BF72" i="81"/>
  <c r="Q75" i="81"/>
  <c r="BN74" i="81"/>
  <c r="P80" i="81"/>
  <c r="P94" i="81" s="1"/>
  <c r="AL79" i="81"/>
  <c r="AL70" i="81" s="1"/>
  <c r="AL65" i="81"/>
  <c r="AL63" i="81"/>
  <c r="AL67" i="81"/>
  <c r="AL64" i="81"/>
  <c r="AL66" i="81"/>
  <c r="AB79" i="81"/>
  <c r="AB70" i="81" s="1"/>
  <c r="AB67" i="81"/>
  <c r="AB64" i="81"/>
  <c r="AB63" i="81"/>
  <c r="AB66" i="81"/>
  <c r="AB65" i="81"/>
  <c r="BF70" i="81"/>
  <c r="BX72" i="81"/>
  <c r="G75" i="81"/>
  <c r="AK74" i="81"/>
  <c r="BF73" i="81"/>
  <c r="AA74" i="81"/>
  <c r="Q71" i="81"/>
  <c r="H62" i="81"/>
  <c r="BN72" i="81"/>
  <c r="BO62" i="81"/>
  <c r="CA54" i="81"/>
  <c r="CA77" i="81"/>
  <c r="S78" i="81"/>
  <c r="S62" i="81" s="1"/>
  <c r="AC78" i="81"/>
  <c r="T54" i="81"/>
  <c r="T77" i="81"/>
  <c r="BI78" i="81"/>
  <c r="BI62" i="81" s="1"/>
  <c r="BZ78" i="81"/>
  <c r="CM78" i="81"/>
  <c r="BQ54" i="81"/>
  <c r="BQ77" i="81"/>
  <c r="AN54" i="81"/>
  <c r="AN77" i="81"/>
  <c r="AM78" i="81"/>
  <c r="CL78" i="81"/>
  <c r="CL62" i="81" s="1"/>
  <c r="AO54" i="81"/>
  <c r="AO77" i="81"/>
  <c r="U54" i="81"/>
  <c r="U77" i="81"/>
  <c r="AD54" i="81"/>
  <c r="AD77" i="81"/>
  <c r="BH78" i="81"/>
  <c r="AE54" i="81"/>
  <c r="AE77" i="81"/>
  <c r="BP78" i="81"/>
  <c r="BP62" i="81" s="1"/>
  <c r="J54" i="81"/>
  <c r="J77" i="81"/>
  <c r="I78" i="81"/>
  <c r="K77" i="81"/>
  <c r="K54" i="81"/>
  <c r="CA85" i="81"/>
  <c r="BR87" i="81"/>
  <c r="CI89" i="81" s="1"/>
  <c r="BF89" i="81"/>
  <c r="AA89" i="81"/>
  <c r="AC89" i="81"/>
  <c r="BA89" i="81"/>
  <c r="BD89" i="81"/>
  <c r="BC89" i="81"/>
  <c r="BB89" i="81"/>
  <c r="AZ89" i="81"/>
  <c r="BE89" i="81"/>
  <c r="AY89" i="81"/>
  <c r="O89" i="81"/>
  <c r="L89" i="81"/>
  <c r="K89" i="81"/>
  <c r="M89" i="81"/>
  <c r="P89" i="81"/>
  <c r="N89" i="81"/>
  <c r="AX89" i="81"/>
  <c r="BO89" i="81"/>
  <c r="J89" i="81"/>
  <c r="BG89" i="81"/>
  <c r="Q89" i="81"/>
  <c r="AM89" i="81"/>
  <c r="BN89" i="81"/>
  <c r="AH89" i="81"/>
  <c r="AJ89" i="81"/>
  <c r="AF89" i="81"/>
  <c r="AE89" i="81"/>
  <c r="AG89" i="81"/>
  <c r="AK89" i="81"/>
  <c r="AI89" i="81"/>
  <c r="S89" i="81"/>
  <c r="AV89" i="81"/>
  <c r="BK89" i="81"/>
  <c r="AD89" i="81"/>
  <c r="AQ89" i="81"/>
  <c r="AS89" i="81"/>
  <c r="AP89" i="81"/>
  <c r="AT89" i="81"/>
  <c r="AR89" i="81"/>
  <c r="AO89" i="81"/>
  <c r="AW89" i="81"/>
  <c r="AU89" i="81"/>
  <c r="BM89" i="81"/>
  <c r="AN89" i="81"/>
  <c r="BP89" i="81"/>
  <c r="BJ89" i="81"/>
  <c r="X89" i="81"/>
  <c r="U89" i="81"/>
  <c r="V89" i="81"/>
  <c r="W89" i="81"/>
  <c r="Y89" i="81"/>
  <c r="Z89" i="81"/>
  <c r="AL89" i="81"/>
  <c r="AB89" i="81"/>
  <c r="BL89" i="81"/>
  <c r="T89" i="81"/>
  <c r="R89" i="81"/>
  <c r="BH89" i="81"/>
  <c r="BI89" i="81"/>
  <c r="V85" i="81"/>
  <c r="T85" i="81"/>
  <c r="AE85" i="81"/>
  <c r="AD85" i="81"/>
  <c r="AO85" i="81"/>
  <c r="AP85" i="81"/>
  <c r="BQ85" i="81"/>
  <c r="U85" i="81"/>
  <c r="AF85" i="81"/>
  <c r="AN85" i="81"/>
  <c r="J85" i="81"/>
  <c r="L85" i="81"/>
  <c r="K85" i="81"/>
  <c r="K124" i="64"/>
  <c r="K112" i="64" s="1"/>
  <c r="A112" i="64" s="1"/>
  <c r="H108" i="64"/>
  <c r="J127" i="64"/>
  <c r="I126" i="64"/>
  <c r="D8" i="82" l="1"/>
  <c r="D9" i="82"/>
  <c r="D7" i="82"/>
  <c r="D6" i="82"/>
  <c r="D5" i="82"/>
  <c r="C3" i="64"/>
  <c r="H14" i="87"/>
  <c r="CC55" i="81"/>
  <c r="CC59" i="81"/>
  <c r="BR58" i="81"/>
  <c r="BR57" i="81"/>
  <c r="BG73" i="81"/>
  <c r="BG74" i="81"/>
  <c r="BY75" i="81"/>
  <c r="CK73" i="81"/>
  <c r="R70" i="81"/>
  <c r="AA80" i="81"/>
  <c r="AA94" i="81" s="1"/>
  <c r="BO75" i="81"/>
  <c r="BO70" i="81"/>
  <c r="CK71" i="81"/>
  <c r="BO74" i="81"/>
  <c r="CJ80" i="81"/>
  <c r="CJ94" i="81" s="1"/>
  <c r="AB74" i="81"/>
  <c r="AL71" i="81"/>
  <c r="BO72" i="81"/>
  <c r="BY73" i="81"/>
  <c r="BX80" i="81"/>
  <c r="BX94" i="81" s="1"/>
  <c r="AL74" i="81"/>
  <c r="BY74" i="81"/>
  <c r="BO71" i="81"/>
  <c r="BY71" i="81"/>
  <c r="BY72" i="81"/>
  <c r="BO73" i="81"/>
  <c r="CK74" i="81"/>
  <c r="H70" i="81"/>
  <c r="AB73" i="81"/>
  <c r="AL75" i="81"/>
  <c r="BG72" i="81"/>
  <c r="CK72" i="81"/>
  <c r="AB71" i="81"/>
  <c r="AL73" i="81"/>
  <c r="H71" i="81"/>
  <c r="AB72" i="81"/>
  <c r="BN80" i="81"/>
  <c r="BN94" i="81" s="1"/>
  <c r="H74" i="81"/>
  <c r="AK80" i="81"/>
  <c r="AK94" i="81" s="1"/>
  <c r="AB75" i="81"/>
  <c r="CK70" i="81"/>
  <c r="BG75" i="81"/>
  <c r="G80" i="81"/>
  <c r="G94" i="81" s="1"/>
  <c r="CK75" i="81"/>
  <c r="H73" i="81"/>
  <c r="Q80" i="81"/>
  <c r="Q94" i="81" s="1"/>
  <c r="AM79" i="81"/>
  <c r="AM64" i="81"/>
  <c r="AM67" i="81"/>
  <c r="AM63" i="81"/>
  <c r="AM66" i="81"/>
  <c r="AM65" i="81"/>
  <c r="BZ79" i="81"/>
  <c r="BZ67" i="81"/>
  <c r="BZ65" i="81"/>
  <c r="BZ66" i="81"/>
  <c r="BZ64" i="81"/>
  <c r="BZ63" i="81"/>
  <c r="S79" i="81"/>
  <c r="S70" i="81" s="1"/>
  <c r="S66" i="81"/>
  <c r="S67" i="81"/>
  <c r="S65" i="81"/>
  <c r="S64" i="81"/>
  <c r="S63" i="81"/>
  <c r="CL79" i="81"/>
  <c r="CL70" i="81" s="1"/>
  <c r="CL66" i="81"/>
  <c r="CL63" i="81"/>
  <c r="CL67" i="81"/>
  <c r="CL64" i="81"/>
  <c r="CL65" i="81"/>
  <c r="H72" i="81"/>
  <c r="R74" i="81"/>
  <c r="I79" i="81"/>
  <c r="I65" i="81"/>
  <c r="I64" i="81"/>
  <c r="I66" i="81"/>
  <c r="I67" i="81"/>
  <c r="I63" i="81"/>
  <c r="BP79" i="81"/>
  <c r="BP70" i="81" s="1"/>
  <c r="BP67" i="81"/>
  <c r="BP64" i="81"/>
  <c r="BP63" i="81"/>
  <c r="BP65" i="81"/>
  <c r="BP66" i="81"/>
  <c r="BI79" i="81"/>
  <c r="BI70" i="81" s="1"/>
  <c r="BI66" i="81"/>
  <c r="BI65" i="81"/>
  <c r="BI67" i="81"/>
  <c r="BI64" i="81"/>
  <c r="BI63" i="81"/>
  <c r="H75" i="81"/>
  <c r="AM62" i="81"/>
  <c r="R71" i="81"/>
  <c r="CM79" i="81"/>
  <c r="CM63" i="81"/>
  <c r="CM67" i="81"/>
  <c r="CM66" i="81"/>
  <c r="CM64" i="81"/>
  <c r="CM65" i="81"/>
  <c r="R72" i="81"/>
  <c r="BH79" i="81"/>
  <c r="BH65" i="81"/>
  <c r="BH64" i="81"/>
  <c r="BH67" i="81"/>
  <c r="BH63" i="81"/>
  <c r="BH66" i="81"/>
  <c r="AC79" i="81"/>
  <c r="AC66" i="81"/>
  <c r="AC64" i="81"/>
  <c r="AC63" i="81"/>
  <c r="AC65" i="81"/>
  <c r="AC67" i="81"/>
  <c r="AC62" i="81"/>
  <c r="I62" i="81"/>
  <c r="R73" i="81"/>
  <c r="BF80" i="81"/>
  <c r="BF94" i="81" s="1"/>
  <c r="AL72" i="81"/>
  <c r="BG71" i="81"/>
  <c r="BH62" i="81"/>
  <c r="CM62" i="81"/>
  <c r="BZ62" i="81"/>
  <c r="R75" i="81"/>
  <c r="BS54" i="81"/>
  <c r="BS77" i="81"/>
  <c r="U78" i="81"/>
  <c r="AN78" i="81"/>
  <c r="T78" i="81"/>
  <c r="AO78" i="81"/>
  <c r="AO62" i="81" s="1"/>
  <c r="BQ78" i="81"/>
  <c r="BQ62" i="81" s="1"/>
  <c r="CB54" i="81"/>
  <c r="CB77" i="81"/>
  <c r="AD78" i="81"/>
  <c r="AD62" i="81" s="1"/>
  <c r="CC54" i="81"/>
  <c r="CC77" i="81"/>
  <c r="BR54" i="81"/>
  <c r="BR77" i="81"/>
  <c r="AE78" i="81"/>
  <c r="AE62" i="81" s="1"/>
  <c r="CA78" i="81"/>
  <c r="CA62" i="81" s="1"/>
  <c r="J78" i="81"/>
  <c r="K78" i="81"/>
  <c r="BS85" i="81"/>
  <c r="CB85" i="81"/>
  <c r="CC85" i="81"/>
  <c r="C5" i="82"/>
  <c r="C6" i="82"/>
  <c r="C9" i="82"/>
  <c r="C7" i="82"/>
  <c r="C8" i="82"/>
  <c r="BU89" i="81"/>
  <c r="CB89" i="81"/>
  <c r="CM89" i="81"/>
  <c r="CH89" i="81"/>
  <c r="CJ89" i="81"/>
  <c r="CC89" i="81"/>
  <c r="CL89" i="81"/>
  <c r="CE89" i="81"/>
  <c r="CF89" i="81"/>
  <c r="BS89" i="81"/>
  <c r="CG89" i="81"/>
  <c r="CD89" i="81"/>
  <c r="CN89" i="81"/>
  <c r="CA89" i="81"/>
  <c r="BX89" i="81"/>
  <c r="BR89" i="81"/>
  <c r="CK89" i="81"/>
  <c r="BY89" i="81"/>
  <c r="BQ89" i="81"/>
  <c r="BT89" i="81"/>
  <c r="BV89" i="81"/>
  <c r="BZ89" i="81"/>
  <c r="BW89" i="81"/>
  <c r="BR85" i="81"/>
  <c r="I108" i="64"/>
  <c r="K127" i="64"/>
  <c r="J126" i="64"/>
  <c r="CM71" i="81" l="1"/>
  <c r="AM72" i="81"/>
  <c r="AB80" i="81"/>
  <c r="AB94" i="81" s="1"/>
  <c r="S73" i="81"/>
  <c r="S75" i="81"/>
  <c r="S74" i="81"/>
  <c r="CL74" i="81"/>
  <c r="BY80" i="81"/>
  <c r="BY94" i="81" s="1"/>
  <c r="BO80" i="81"/>
  <c r="BO94" i="81" s="1"/>
  <c r="BG80" i="81"/>
  <c r="BG94" i="81" s="1"/>
  <c r="BH73" i="81"/>
  <c r="BZ75" i="81"/>
  <c r="AL80" i="81"/>
  <c r="AL94" i="81" s="1"/>
  <c r="H80" i="81"/>
  <c r="H94" i="81" s="1"/>
  <c r="BH74" i="81"/>
  <c r="AM70" i="81"/>
  <c r="BH71" i="81"/>
  <c r="CM70" i="81"/>
  <c r="BH75" i="81"/>
  <c r="BZ71" i="81"/>
  <c r="AM71" i="81"/>
  <c r="BH70" i="81"/>
  <c r="BH72" i="81"/>
  <c r="BI72" i="81"/>
  <c r="BP72" i="81"/>
  <c r="BZ72" i="81"/>
  <c r="AM75" i="81"/>
  <c r="CK80" i="81"/>
  <c r="CK94" i="81" s="1"/>
  <c r="I75" i="81"/>
  <c r="I70" i="81"/>
  <c r="I74" i="81"/>
  <c r="I72" i="81"/>
  <c r="I73" i="81"/>
  <c r="BI75" i="81"/>
  <c r="BI73" i="81"/>
  <c r="S71" i="81"/>
  <c r="BZ74" i="81"/>
  <c r="AC74" i="81"/>
  <c r="R80" i="81"/>
  <c r="R94" i="81" s="1"/>
  <c r="I71" i="81"/>
  <c r="S72" i="81"/>
  <c r="AN79" i="81"/>
  <c r="AN63" i="81"/>
  <c r="AN64" i="81"/>
  <c r="AN65" i="81"/>
  <c r="AN67" i="81"/>
  <c r="AN66" i="81"/>
  <c r="BP75" i="81"/>
  <c r="U79" i="81"/>
  <c r="U64" i="81"/>
  <c r="U65" i="81"/>
  <c r="U63" i="81"/>
  <c r="U66" i="81"/>
  <c r="U67" i="81"/>
  <c r="BI74" i="81"/>
  <c r="BZ73" i="81"/>
  <c r="J79" i="81"/>
  <c r="J65" i="81"/>
  <c r="J67" i="81"/>
  <c r="J63" i="81"/>
  <c r="J64" i="81"/>
  <c r="J66" i="81"/>
  <c r="AO79" i="81"/>
  <c r="AO70" i="81" s="1"/>
  <c r="AO64" i="81"/>
  <c r="AO63" i="81"/>
  <c r="AO67" i="81"/>
  <c r="AO66" i="81"/>
  <c r="AO65" i="81"/>
  <c r="AC75" i="81"/>
  <c r="CM73" i="81"/>
  <c r="CL73" i="81"/>
  <c r="AE79" i="81"/>
  <c r="AE70" i="81" s="1"/>
  <c r="AE67" i="81"/>
  <c r="AE66" i="81"/>
  <c r="AE63" i="81"/>
  <c r="AE65" i="81"/>
  <c r="AE64" i="81"/>
  <c r="K79" i="81"/>
  <c r="K65" i="81"/>
  <c r="K66" i="81"/>
  <c r="K63" i="81"/>
  <c r="K64" i="81"/>
  <c r="K67" i="81"/>
  <c r="AC70" i="81"/>
  <c r="AC73" i="81"/>
  <c r="AN62" i="81"/>
  <c r="CM72" i="81"/>
  <c r="BP74" i="81"/>
  <c r="J62" i="81"/>
  <c r="CL72" i="81"/>
  <c r="BQ79" i="81"/>
  <c r="BQ70" i="81" s="1"/>
  <c r="BQ66" i="81"/>
  <c r="BQ64" i="81"/>
  <c r="BQ67" i="81"/>
  <c r="BQ65" i="81"/>
  <c r="BQ63" i="81"/>
  <c r="AD79" i="81"/>
  <c r="AD70" i="81" s="1"/>
  <c r="AD66" i="81"/>
  <c r="AD64" i="81"/>
  <c r="AD65" i="81"/>
  <c r="AD63" i="81"/>
  <c r="AD67" i="81"/>
  <c r="T79" i="81"/>
  <c r="T64" i="81"/>
  <c r="T65" i="81"/>
  <c r="T63" i="81"/>
  <c r="T66" i="81"/>
  <c r="T67" i="81"/>
  <c r="T62" i="81"/>
  <c r="K62" i="81"/>
  <c r="AC71" i="81"/>
  <c r="CM74" i="81"/>
  <c r="BP73" i="81"/>
  <c r="CL75" i="81"/>
  <c r="AM73" i="81"/>
  <c r="CA79" i="81"/>
  <c r="CA70" i="81" s="1"/>
  <c r="CA66" i="81"/>
  <c r="CA67" i="81"/>
  <c r="CA63" i="81"/>
  <c r="CA65" i="81"/>
  <c r="CA64" i="81"/>
  <c r="BZ70" i="81"/>
  <c r="AC72" i="81"/>
  <c r="U62" i="81"/>
  <c r="CM75" i="81"/>
  <c r="BI71" i="81"/>
  <c r="BP71" i="81"/>
  <c r="CL71" i="81"/>
  <c r="AM74" i="81"/>
  <c r="CB78" i="81"/>
  <c r="CB62" i="81" s="1"/>
  <c r="BR78" i="81"/>
  <c r="CC78" i="81"/>
  <c r="CC62" i="81" s="1"/>
  <c r="BS78" i="81"/>
  <c r="BS62" i="81" s="1"/>
  <c r="J108" i="64"/>
  <c r="K126" i="64"/>
  <c r="K73" i="81" l="1"/>
  <c r="BQ74" i="81"/>
  <c r="S80" i="81"/>
  <c r="S94" i="81" s="1"/>
  <c r="AE75" i="81"/>
  <c r="BQ72" i="81"/>
  <c r="BH80" i="81"/>
  <c r="BH94" i="81" s="1"/>
  <c r="T72" i="81"/>
  <c r="AN74" i="81"/>
  <c r="CA74" i="81"/>
  <c r="T70" i="81"/>
  <c r="AD71" i="81"/>
  <c r="AE72" i="81"/>
  <c r="AN75" i="81"/>
  <c r="I80" i="81"/>
  <c r="I94" i="81" s="1"/>
  <c r="T75" i="81"/>
  <c r="AN73" i="81"/>
  <c r="AN70" i="81"/>
  <c r="AD72" i="81"/>
  <c r="AN72" i="81"/>
  <c r="AD73" i="81"/>
  <c r="AM80" i="81"/>
  <c r="AM94" i="81" s="1"/>
  <c r="T74" i="81"/>
  <c r="AO73" i="81"/>
  <c r="T71" i="81"/>
  <c r="AD74" i="81"/>
  <c r="AE74" i="81"/>
  <c r="AN71" i="81"/>
  <c r="CM80" i="81"/>
  <c r="CM94" i="81" s="1"/>
  <c r="BZ80" i="81"/>
  <c r="BZ94" i="81" s="1"/>
  <c r="U75" i="81"/>
  <c r="U74" i="81"/>
  <c r="CL80" i="81"/>
  <c r="CL94" i="81" s="1"/>
  <c r="BQ71" i="81"/>
  <c r="U70" i="81"/>
  <c r="BP80" i="81"/>
  <c r="BP94" i="81" s="1"/>
  <c r="K71" i="81"/>
  <c r="AO74" i="81"/>
  <c r="J75" i="81"/>
  <c r="K72" i="81"/>
  <c r="J71" i="81"/>
  <c r="BI80" i="81"/>
  <c r="BI94" i="81" s="1"/>
  <c r="K70" i="81"/>
  <c r="K74" i="81"/>
  <c r="BR79" i="81"/>
  <c r="BR63" i="81"/>
  <c r="BR65" i="81"/>
  <c r="BR66" i="81"/>
  <c r="BR64" i="81"/>
  <c r="BR67" i="81"/>
  <c r="CB79" i="81"/>
  <c r="CB70" i="81" s="1"/>
  <c r="CB67" i="81"/>
  <c r="CB65" i="81"/>
  <c r="CB66" i="81"/>
  <c r="CB64" i="81"/>
  <c r="CB63" i="81"/>
  <c r="AC80" i="81"/>
  <c r="AC94" i="81" s="1"/>
  <c r="AO75" i="81"/>
  <c r="J73" i="81"/>
  <c r="U71" i="81"/>
  <c r="AO71" i="81"/>
  <c r="U73" i="81"/>
  <c r="BS79" i="81"/>
  <c r="BS70" i="81" s="1"/>
  <c r="BS67" i="81"/>
  <c r="BS66" i="81"/>
  <c r="BS64" i="81"/>
  <c r="BS63" i="81"/>
  <c r="BS65" i="81"/>
  <c r="CA72" i="81"/>
  <c r="T73" i="81"/>
  <c r="J70" i="81"/>
  <c r="AO72" i="81"/>
  <c r="U72" i="81"/>
  <c r="CA73" i="81"/>
  <c r="CC79" i="81"/>
  <c r="CC70" i="81" s="1"/>
  <c r="CC64" i="81"/>
  <c r="CC63" i="81"/>
  <c r="CC67" i="81"/>
  <c r="CC66" i="81"/>
  <c r="CC65" i="81"/>
  <c r="CA71" i="81"/>
  <c r="BQ73" i="81"/>
  <c r="AE73" i="81"/>
  <c r="J74" i="81"/>
  <c r="BR62" i="81"/>
  <c r="CA75" i="81"/>
  <c r="AD75" i="81"/>
  <c r="BQ75" i="81"/>
  <c r="K75" i="81"/>
  <c r="AE71" i="81"/>
  <c r="J72" i="81"/>
  <c r="K108" i="64"/>
  <c r="CC72" i="81" l="1"/>
  <c r="CB75" i="81"/>
  <c r="BS74" i="81"/>
  <c r="BQ80" i="81"/>
  <c r="BQ94" i="81" s="1"/>
  <c r="BS72" i="81"/>
  <c r="BS75" i="81"/>
  <c r="AN80" i="81"/>
  <c r="AN94" i="81" s="1"/>
  <c r="T80" i="81"/>
  <c r="T94" i="81" s="1"/>
  <c r="BR71" i="81"/>
  <c r="BR75" i="81"/>
  <c r="K80" i="81"/>
  <c r="K94" i="81" s="1"/>
  <c r="CC73" i="81"/>
  <c r="CB71" i="81"/>
  <c r="AD80" i="81"/>
  <c r="AD94" i="81" s="1"/>
  <c r="CA80" i="81"/>
  <c r="CA94" i="81" s="1"/>
  <c r="BS73" i="81"/>
  <c r="U80" i="81"/>
  <c r="U94" i="81" s="1"/>
  <c r="AO80" i="81"/>
  <c r="AO94" i="81" s="1"/>
  <c r="AE80" i="81"/>
  <c r="AE94" i="81" s="1"/>
  <c r="BS71" i="81"/>
  <c r="J80" i="81"/>
  <c r="J94" i="81" s="1"/>
  <c r="BR72" i="81"/>
  <c r="CC75" i="81"/>
  <c r="CB74" i="81"/>
  <c r="BR74" i="81"/>
  <c r="CC74" i="81"/>
  <c r="CB72" i="81"/>
  <c r="BR70" i="81"/>
  <c r="CC71" i="81"/>
  <c r="CB73" i="81"/>
  <c r="BR73" i="81"/>
  <c r="C16" i="74"/>
  <c r="CC80" i="81" l="1"/>
  <c r="CC94" i="81" s="1"/>
  <c r="BS80" i="81"/>
  <c r="BS94" i="81" s="1"/>
  <c r="CB80" i="81"/>
  <c r="CB94" i="81" s="1"/>
  <c r="BR80" i="81"/>
  <c r="BR94" i="81" s="1"/>
  <c r="C102" i="64"/>
  <c r="C34" i="71"/>
  <c r="K34" i="71" s="1"/>
  <c r="B9" i="73"/>
  <c r="D102" i="64" l="1"/>
  <c r="H34" i="71"/>
  <c r="I34" i="71"/>
  <c r="E102" i="64" l="1"/>
  <c r="F102" i="64" l="1"/>
  <c r="G102" i="64" l="1"/>
  <c r="K29" i="71"/>
  <c r="L30" i="71" l="1"/>
  <c r="H102" i="64"/>
  <c r="I102" i="64" l="1"/>
  <c r="K32" i="71" l="1"/>
  <c r="J102" i="64"/>
  <c r="K102" i="64" l="1"/>
  <c r="C10" i="74" l="1"/>
  <c r="C28" i="71"/>
  <c r="B3" i="73"/>
  <c r="I28" i="71" l="1"/>
  <c r="H28" i="71"/>
  <c r="K28" i="71"/>
  <c r="K38" i="71" l="1"/>
  <c r="K39" i="71" l="1"/>
  <c r="AG121" i="75" l="1"/>
  <c r="AH121" i="75" s="1"/>
  <c r="AI121" i="75" s="1"/>
  <c r="AJ121" i="75" s="1"/>
  <c r="AK121" i="75" s="1"/>
  <c r="AL121" i="75" s="1"/>
  <c r="AM121" i="75" s="1"/>
  <c r="AN121" i="75" s="1"/>
  <c r="AO121" i="75" s="1"/>
  <c r="W113" i="75"/>
  <c r="X113" i="75" s="1"/>
  <c r="Y113" i="75" s="1"/>
  <c r="Z113" i="75" s="1"/>
  <c r="AA113" i="75" s="1"/>
  <c r="AB113" i="75" s="1"/>
  <c r="AC113" i="75" s="1"/>
  <c r="AD113" i="75" s="1"/>
  <c r="AE113" i="75" s="1"/>
  <c r="W121" i="75"/>
  <c r="X121" i="75" s="1"/>
  <c r="Y121" i="75" s="1"/>
  <c r="Z121" i="75" s="1"/>
  <c r="AA121" i="75" s="1"/>
  <c r="AB121" i="75" s="1"/>
  <c r="AC121" i="75" s="1"/>
  <c r="AD121" i="75" s="1"/>
  <c r="AE121" i="75" s="1"/>
  <c r="AG120" i="75"/>
  <c r="AH120" i="75" s="1"/>
  <c r="AI120" i="75" s="1"/>
  <c r="AJ120" i="75" s="1"/>
  <c r="AK120" i="75" s="1"/>
  <c r="AL120" i="75" s="1"/>
  <c r="AM120" i="75" s="1"/>
  <c r="AN120" i="75" s="1"/>
  <c r="AO120" i="75" s="1"/>
  <c r="W111" i="75"/>
  <c r="X111" i="75" s="1"/>
  <c r="Y111" i="75" s="1"/>
  <c r="Z111" i="75" s="1"/>
  <c r="AA111" i="75" s="1"/>
  <c r="AB111" i="75" s="1"/>
  <c r="AC111" i="75" s="1"/>
  <c r="AD111" i="75" s="1"/>
  <c r="AE111" i="75" s="1"/>
  <c r="C113" i="75"/>
  <c r="D113" i="75" s="1"/>
  <c r="E113" i="75" s="1"/>
  <c r="F113" i="75" s="1"/>
  <c r="G113" i="75" s="1"/>
  <c r="H113" i="75" s="1"/>
  <c r="I113" i="75" s="1"/>
  <c r="J113" i="75" s="1"/>
  <c r="K113" i="75" s="1"/>
  <c r="M120" i="75"/>
  <c r="N120" i="75" s="1"/>
  <c r="O120" i="75" s="1"/>
  <c r="P120" i="75" s="1"/>
  <c r="Q120" i="75" s="1"/>
  <c r="R120" i="75" s="1"/>
  <c r="S120" i="75" s="1"/>
  <c r="T120" i="75" s="1"/>
  <c r="U120" i="75" s="1"/>
  <c r="AG86" i="75"/>
  <c r="AH86" i="75" s="1"/>
  <c r="AI86" i="75" s="1"/>
  <c r="AJ86" i="75" s="1"/>
  <c r="AK86" i="75" s="1"/>
  <c r="AL86" i="75" s="1"/>
  <c r="AM86" i="75" s="1"/>
  <c r="AN86" i="75" s="1"/>
  <c r="AO86" i="75" s="1"/>
  <c r="W86" i="75"/>
  <c r="X86" i="75" s="1"/>
  <c r="Y86" i="75" s="1"/>
  <c r="Z86" i="75" s="1"/>
  <c r="AA86" i="75" s="1"/>
  <c r="AB86" i="75" s="1"/>
  <c r="AC86" i="75" s="1"/>
  <c r="AD86" i="75" s="1"/>
  <c r="AE86" i="75" s="1"/>
  <c r="M86" i="75"/>
  <c r="N86" i="75" s="1"/>
  <c r="O86" i="75" s="1"/>
  <c r="P86" i="75" s="1"/>
  <c r="Q86" i="75" s="1"/>
  <c r="R86" i="75" s="1"/>
  <c r="S86" i="75" s="1"/>
  <c r="T86" i="75" s="1"/>
  <c r="U86" i="75" s="1"/>
  <c r="AG84" i="75"/>
  <c r="AH84" i="75" s="1"/>
  <c r="AI84" i="75" s="1"/>
  <c r="AJ84" i="75" s="1"/>
  <c r="AK84" i="75" s="1"/>
  <c r="AL84" i="75" s="1"/>
  <c r="AM84" i="75" s="1"/>
  <c r="AN84" i="75" s="1"/>
  <c r="AO84" i="75" s="1"/>
  <c r="W84" i="75"/>
  <c r="X84" i="75" s="1"/>
  <c r="Y84" i="75" s="1"/>
  <c r="Z84" i="75" s="1"/>
  <c r="AA84" i="75" s="1"/>
  <c r="AB84" i="75" s="1"/>
  <c r="AC84" i="75" s="1"/>
  <c r="AD84" i="75" s="1"/>
  <c r="AE84" i="75" s="1"/>
  <c r="C86" i="75"/>
  <c r="D86" i="75" s="1"/>
  <c r="E86" i="75" s="1"/>
  <c r="F86" i="75" s="1"/>
  <c r="G86" i="75" s="1"/>
  <c r="H86" i="75" s="1"/>
  <c r="I86" i="75" s="1"/>
  <c r="J86" i="75" s="1"/>
  <c r="K86" i="75" s="1"/>
  <c r="AG81" i="75"/>
  <c r="AH81" i="75" s="1"/>
  <c r="AI81" i="75" s="1"/>
  <c r="AJ81" i="75" s="1"/>
  <c r="AK81" i="75" s="1"/>
  <c r="AL81" i="75" s="1"/>
  <c r="AM81" i="75" s="1"/>
  <c r="AN81" i="75" s="1"/>
  <c r="AO81" i="75" s="1"/>
  <c r="W81" i="75"/>
  <c r="X81" i="75" s="1"/>
  <c r="Y81" i="75" s="1"/>
  <c r="Z81" i="75" s="1"/>
  <c r="AA81" i="75" s="1"/>
  <c r="AB81" i="75" s="1"/>
  <c r="AC81" i="75" s="1"/>
  <c r="AD81" i="75" s="1"/>
  <c r="AE81" i="75" s="1"/>
  <c r="M108" i="75"/>
  <c r="N108" i="75" l="1"/>
  <c r="O108" i="75" s="1"/>
  <c r="P108" i="75" s="1"/>
  <c r="Q108" i="75" s="1"/>
  <c r="R108" i="75" s="1"/>
  <c r="S108" i="75" s="1"/>
  <c r="T108" i="75" s="1"/>
  <c r="U108" i="75" s="1"/>
  <c r="W120" i="75"/>
  <c r="X120" i="75" s="1"/>
  <c r="Y120" i="75" s="1"/>
  <c r="Z120" i="75" s="1"/>
  <c r="AA120" i="75" s="1"/>
  <c r="AB120" i="75" s="1"/>
  <c r="AC120" i="75" s="1"/>
  <c r="AD120" i="75" s="1"/>
  <c r="AE120" i="75" s="1"/>
  <c r="C84" i="75"/>
  <c r="D84" i="75" s="1"/>
  <c r="E84" i="75" s="1"/>
  <c r="F84" i="75" s="1"/>
  <c r="G84" i="75" s="1"/>
  <c r="H84" i="75" s="1"/>
  <c r="I84" i="75" s="1"/>
  <c r="J84" i="75" s="1"/>
  <c r="K84" i="75" s="1"/>
  <c r="C120" i="75"/>
  <c r="D120" i="75" s="1"/>
  <c r="E120" i="75" s="1"/>
  <c r="F120" i="75" s="1"/>
  <c r="G120" i="75" s="1"/>
  <c r="H120" i="75" s="1"/>
  <c r="I120" i="75" s="1"/>
  <c r="J120" i="75" s="1"/>
  <c r="K120" i="75" s="1"/>
  <c r="AG113" i="75"/>
  <c r="AH113" i="75" s="1"/>
  <c r="AI113" i="75" s="1"/>
  <c r="AJ113" i="75" s="1"/>
  <c r="AK113" i="75" s="1"/>
  <c r="AL113" i="75" s="1"/>
  <c r="AM113" i="75" s="1"/>
  <c r="AN113" i="75" s="1"/>
  <c r="AO113" i="75" s="1"/>
  <c r="M111" i="75"/>
  <c r="AG111" i="75"/>
  <c r="AH111" i="75" s="1"/>
  <c r="AI111" i="75" s="1"/>
  <c r="AJ111" i="75" s="1"/>
  <c r="AK111" i="75" s="1"/>
  <c r="AL111" i="75" s="1"/>
  <c r="AM111" i="75" s="1"/>
  <c r="AN111" i="75" s="1"/>
  <c r="AO111" i="75" s="1"/>
  <c r="C121" i="75"/>
  <c r="D121" i="75" s="1"/>
  <c r="E121" i="75" s="1"/>
  <c r="F121" i="75" s="1"/>
  <c r="G121" i="75" s="1"/>
  <c r="H121" i="75" s="1"/>
  <c r="I121" i="75" s="1"/>
  <c r="J121" i="75" s="1"/>
  <c r="K121" i="75" s="1"/>
  <c r="M81" i="75"/>
  <c r="W108" i="75"/>
  <c r="X108" i="75" s="1"/>
  <c r="Y108" i="75" s="1"/>
  <c r="Z108" i="75" s="1"/>
  <c r="AA108" i="75" s="1"/>
  <c r="AB108" i="75" s="1"/>
  <c r="AC108" i="75" s="1"/>
  <c r="AD108" i="75" s="1"/>
  <c r="AE108" i="75" s="1"/>
  <c r="C108" i="75"/>
  <c r="D108" i="75" s="1"/>
  <c r="E108" i="75" s="1"/>
  <c r="F108" i="75" s="1"/>
  <c r="G108" i="75" s="1"/>
  <c r="H108" i="75" s="1"/>
  <c r="I108" i="75" s="1"/>
  <c r="J108" i="75" s="1"/>
  <c r="K108" i="75" s="1"/>
  <c r="C81" i="75"/>
  <c r="C111" i="75"/>
  <c r="D111" i="75" s="1"/>
  <c r="E111" i="75" s="1"/>
  <c r="F111" i="75" s="1"/>
  <c r="G111" i="75" s="1"/>
  <c r="H111" i="75" s="1"/>
  <c r="I111" i="75" s="1"/>
  <c r="J111" i="75" s="1"/>
  <c r="K111" i="75" s="1"/>
  <c r="M121" i="75"/>
  <c r="M113" i="75"/>
  <c r="N113" i="75" s="1"/>
  <c r="O113" i="75" s="1"/>
  <c r="P113" i="75" s="1"/>
  <c r="Q113" i="75" s="1"/>
  <c r="R113" i="75" s="1"/>
  <c r="S113" i="75" s="1"/>
  <c r="T113" i="75" s="1"/>
  <c r="U113" i="75" s="1"/>
  <c r="M84" i="75"/>
  <c r="N84" i="75" s="1"/>
  <c r="O84" i="75" s="1"/>
  <c r="P84" i="75" s="1"/>
  <c r="Q84" i="75" s="1"/>
  <c r="R84" i="75" s="1"/>
  <c r="S84" i="75" s="1"/>
  <c r="T84" i="75" s="1"/>
  <c r="U84" i="75" s="1"/>
  <c r="AG108" i="75"/>
  <c r="AH108" i="75" s="1"/>
  <c r="AI108" i="75" s="1"/>
  <c r="AJ108" i="75" s="1"/>
  <c r="AK108" i="75" s="1"/>
  <c r="AL108" i="75" s="1"/>
  <c r="AM108" i="75" s="1"/>
  <c r="AN108" i="75" s="1"/>
  <c r="AO108" i="75" s="1"/>
  <c r="F18" i="75" l="1"/>
  <c r="H44" i="75"/>
  <c r="N121" i="75"/>
  <c r="O121" i="75" s="1"/>
  <c r="P121" i="75" s="1"/>
  <c r="Q121" i="75" s="1"/>
  <c r="R121" i="75" s="1"/>
  <c r="S121" i="75" s="1"/>
  <c r="T121" i="75" s="1"/>
  <c r="U121" i="75" s="1"/>
  <c r="N111" i="75"/>
  <c r="O111" i="75" s="1"/>
  <c r="P111" i="75" s="1"/>
  <c r="Q111" i="75" s="1"/>
  <c r="R111" i="75" s="1"/>
  <c r="S111" i="75" s="1"/>
  <c r="T111" i="75" s="1"/>
  <c r="U111" i="75" s="1"/>
  <c r="B14" i="75"/>
  <c r="N81" i="75"/>
  <c r="O81" i="75" s="1"/>
  <c r="P81" i="75" s="1"/>
  <c r="Q81" i="75" s="1"/>
  <c r="R81" i="75" s="1"/>
  <c r="S81" i="75" s="1"/>
  <c r="T81" i="75" s="1"/>
  <c r="U81" i="75" s="1"/>
  <c r="D81" i="75"/>
  <c r="E81" i="75" s="1"/>
  <c r="F81" i="75" s="1"/>
  <c r="G81" i="75" s="1"/>
  <c r="H81" i="75" s="1"/>
  <c r="I81" i="75" s="1"/>
  <c r="J81" i="75" s="1"/>
  <c r="K81" i="75" s="1"/>
  <c r="F5" i="75" l="1"/>
  <c r="H49" i="75"/>
  <c r="H32" i="75"/>
  <c r="H51" i="75"/>
  <c r="AG98" i="75"/>
  <c r="AH98" i="75" s="1"/>
  <c r="AI98" i="75" s="1"/>
  <c r="AJ98" i="75" s="1"/>
  <c r="AK98" i="75" s="1"/>
  <c r="AL98" i="75" s="1"/>
  <c r="AM98" i="75" s="1"/>
  <c r="AN98" i="75" s="1"/>
  <c r="AO98" i="75" s="1"/>
  <c r="AP78" i="75"/>
  <c r="C79" i="75" l="1"/>
  <c r="B78" i="75"/>
  <c r="AF78" i="75"/>
  <c r="AG79" i="75"/>
  <c r="W98" i="75"/>
  <c r="X98" i="75" s="1"/>
  <c r="Y98" i="75" s="1"/>
  <c r="Z98" i="75" s="1"/>
  <c r="AA98" i="75" s="1"/>
  <c r="AB98" i="75" s="1"/>
  <c r="AC98" i="75" s="1"/>
  <c r="AD98" i="75" s="1"/>
  <c r="AE98" i="75" s="1"/>
  <c r="V78" i="75"/>
  <c r="W79" i="75"/>
  <c r="L78" i="75"/>
  <c r="M79" i="75"/>
  <c r="M98" i="75"/>
  <c r="AG85" i="75"/>
  <c r="AH85" i="75" s="1"/>
  <c r="AI85" i="75" s="1"/>
  <c r="AJ85" i="75" s="1"/>
  <c r="AK85" i="75" s="1"/>
  <c r="AL85" i="75" s="1"/>
  <c r="AM85" i="75" s="1"/>
  <c r="AN85" i="75" s="1"/>
  <c r="AO85" i="75" s="1"/>
  <c r="C85" i="75"/>
  <c r="D85" i="75" s="1"/>
  <c r="E85" i="75" s="1"/>
  <c r="F85" i="75" s="1"/>
  <c r="G85" i="75" s="1"/>
  <c r="H85" i="75" s="1"/>
  <c r="I85" i="75" s="1"/>
  <c r="J85" i="75" s="1"/>
  <c r="K85" i="75" s="1"/>
  <c r="N98" i="75" l="1"/>
  <c r="O98" i="75" s="1"/>
  <c r="P98" i="75" s="1"/>
  <c r="Q98" i="75" s="1"/>
  <c r="R98" i="75" s="1"/>
  <c r="S98" i="75" s="1"/>
  <c r="T98" i="75" s="1"/>
  <c r="U98" i="75" s="1"/>
  <c r="W85" i="75"/>
  <c r="X85" i="75" s="1"/>
  <c r="Y85" i="75" s="1"/>
  <c r="Z85" i="75" s="1"/>
  <c r="AA85" i="75" s="1"/>
  <c r="AB85" i="75" s="1"/>
  <c r="AC85" i="75" s="1"/>
  <c r="AD85" i="75" s="1"/>
  <c r="AE85" i="75" s="1"/>
  <c r="M85" i="75"/>
  <c r="N85" i="75" s="1"/>
  <c r="O85" i="75" s="1"/>
  <c r="P85" i="75" s="1"/>
  <c r="Q85" i="75" s="1"/>
  <c r="R85" i="75" s="1"/>
  <c r="S85" i="75" s="1"/>
  <c r="T85" i="75" s="1"/>
  <c r="U85" i="75" s="1"/>
  <c r="AH79" i="75"/>
  <c r="AG78" i="75"/>
  <c r="M78" i="75"/>
  <c r="N79" i="75"/>
  <c r="C98" i="75"/>
  <c r="D98" i="75" s="1"/>
  <c r="E98" i="75" s="1"/>
  <c r="F98" i="75" s="1"/>
  <c r="G98" i="75" s="1"/>
  <c r="H98" i="75" s="1"/>
  <c r="I98" i="75" s="1"/>
  <c r="J98" i="75" s="1"/>
  <c r="K98" i="75" s="1"/>
  <c r="W78" i="75"/>
  <c r="X79" i="75"/>
  <c r="D79" i="75"/>
  <c r="C78" i="75"/>
  <c r="M83" i="75"/>
  <c r="N83" i="75" s="1"/>
  <c r="O83" i="75" s="1"/>
  <c r="P83" i="75" s="1"/>
  <c r="Q83" i="75" s="1"/>
  <c r="R83" i="75" s="1"/>
  <c r="S83" i="75" s="1"/>
  <c r="T83" i="75" s="1"/>
  <c r="U83" i="75" s="1"/>
  <c r="F54" i="75" l="1"/>
  <c r="B43" i="75" s="1"/>
  <c r="D78" i="75"/>
  <c r="E79" i="75"/>
  <c r="AG112" i="75"/>
  <c r="AH112" i="75" s="1"/>
  <c r="AI112" i="75" s="1"/>
  <c r="AJ112" i="75" s="1"/>
  <c r="AK112" i="75" s="1"/>
  <c r="AL112" i="75" s="1"/>
  <c r="AM112" i="75" s="1"/>
  <c r="AN112" i="75" s="1"/>
  <c r="AO112" i="75" s="1"/>
  <c r="AG119" i="75"/>
  <c r="AH119" i="75" s="1"/>
  <c r="AI119" i="75" s="1"/>
  <c r="AJ119" i="75" s="1"/>
  <c r="AK119" i="75" s="1"/>
  <c r="AL119" i="75" s="1"/>
  <c r="AM119" i="75" s="1"/>
  <c r="AN119" i="75" s="1"/>
  <c r="AO119" i="75" s="1"/>
  <c r="X78" i="75"/>
  <c r="Y79" i="75"/>
  <c r="N78" i="75"/>
  <c r="O79" i="75"/>
  <c r="AI79" i="75"/>
  <c r="AH78" i="75"/>
  <c r="C83" i="75"/>
  <c r="D83" i="75" s="1"/>
  <c r="E83" i="75" s="1"/>
  <c r="F83" i="75" s="1"/>
  <c r="G83" i="75" s="1"/>
  <c r="H83" i="75" s="1"/>
  <c r="I83" i="75" s="1"/>
  <c r="J83" i="75" s="1"/>
  <c r="K83" i="75" s="1"/>
  <c r="AG83" i="75"/>
  <c r="AH83" i="75" s="1"/>
  <c r="AI83" i="75" s="1"/>
  <c r="AJ83" i="75" s="1"/>
  <c r="AK83" i="75" s="1"/>
  <c r="AL83" i="75" s="1"/>
  <c r="AM83" i="75" s="1"/>
  <c r="AN83" i="75" s="1"/>
  <c r="AO83" i="75" s="1"/>
  <c r="C17" i="77" l="1"/>
  <c r="C35" i="78"/>
  <c r="M112" i="75"/>
  <c r="W83" i="75"/>
  <c r="X83" i="75" s="1"/>
  <c r="Y83" i="75" s="1"/>
  <c r="Z83" i="75" s="1"/>
  <c r="AA83" i="75" s="1"/>
  <c r="AB83" i="75" s="1"/>
  <c r="AC83" i="75" s="1"/>
  <c r="AD83" i="75" s="1"/>
  <c r="AE83" i="75" s="1"/>
  <c r="W119" i="75"/>
  <c r="X119" i="75" s="1"/>
  <c r="Y119" i="75" s="1"/>
  <c r="Z119" i="75" s="1"/>
  <c r="AA119" i="75" s="1"/>
  <c r="AB119" i="75" s="1"/>
  <c r="AC119" i="75" s="1"/>
  <c r="AD119" i="75" s="1"/>
  <c r="AE119" i="75" s="1"/>
  <c r="AG110" i="75"/>
  <c r="AH110" i="75" s="1"/>
  <c r="AI110" i="75" s="1"/>
  <c r="AJ110" i="75" s="1"/>
  <c r="AK110" i="75" s="1"/>
  <c r="AL110" i="75" s="1"/>
  <c r="AM110" i="75" s="1"/>
  <c r="AN110" i="75" s="1"/>
  <c r="AO110" i="75" s="1"/>
  <c r="M110" i="75"/>
  <c r="M118" i="75"/>
  <c r="N118" i="75" s="1"/>
  <c r="O118" i="75" s="1"/>
  <c r="P118" i="75" s="1"/>
  <c r="Q118" i="75" s="1"/>
  <c r="R118" i="75" s="1"/>
  <c r="S118" i="75" s="1"/>
  <c r="T118" i="75" s="1"/>
  <c r="U118" i="75" s="1"/>
  <c r="W112" i="75"/>
  <c r="X112" i="75" s="1"/>
  <c r="Y112" i="75" s="1"/>
  <c r="Z112" i="75" s="1"/>
  <c r="AA112" i="75" s="1"/>
  <c r="AB112" i="75" s="1"/>
  <c r="AC112" i="75" s="1"/>
  <c r="AD112" i="75" s="1"/>
  <c r="AE112" i="75" s="1"/>
  <c r="M119" i="75"/>
  <c r="C119" i="75"/>
  <c r="D119" i="75" s="1"/>
  <c r="E119" i="75" s="1"/>
  <c r="F119" i="75" s="1"/>
  <c r="G119" i="75" s="1"/>
  <c r="H119" i="75" s="1"/>
  <c r="I119" i="75" s="1"/>
  <c r="J119" i="75" s="1"/>
  <c r="K119" i="75" s="1"/>
  <c r="O78" i="75"/>
  <c r="P79" i="75"/>
  <c r="C112" i="75"/>
  <c r="D112" i="75" s="1"/>
  <c r="E112" i="75" s="1"/>
  <c r="F112" i="75" s="1"/>
  <c r="G112" i="75" s="1"/>
  <c r="H112" i="75" s="1"/>
  <c r="I112" i="75" s="1"/>
  <c r="J112" i="75" s="1"/>
  <c r="K112" i="75" s="1"/>
  <c r="E78" i="75"/>
  <c r="F79" i="75"/>
  <c r="AJ79" i="75"/>
  <c r="AI78" i="75"/>
  <c r="Z79" i="75"/>
  <c r="Y78" i="75"/>
  <c r="N119" i="75" l="1"/>
  <c r="O119" i="75" s="1"/>
  <c r="P119" i="75" s="1"/>
  <c r="Q119" i="75" s="1"/>
  <c r="R119" i="75" s="1"/>
  <c r="S119" i="75" s="1"/>
  <c r="T119" i="75" s="1"/>
  <c r="U119" i="75" s="1"/>
  <c r="N112" i="75"/>
  <c r="O112" i="75" s="1"/>
  <c r="P112" i="75" s="1"/>
  <c r="Q112" i="75" s="1"/>
  <c r="R112" i="75" s="1"/>
  <c r="S112" i="75" s="1"/>
  <c r="T112" i="75" s="1"/>
  <c r="U112" i="75" s="1"/>
  <c r="N110" i="75"/>
  <c r="O110" i="75" s="1"/>
  <c r="P110" i="75" s="1"/>
  <c r="Q110" i="75" s="1"/>
  <c r="R110" i="75" s="1"/>
  <c r="S110" i="75" s="1"/>
  <c r="T110" i="75" s="1"/>
  <c r="U110" i="75" s="1"/>
  <c r="AG118" i="75"/>
  <c r="AH118" i="75" s="1"/>
  <c r="AI118" i="75" s="1"/>
  <c r="AJ118" i="75" s="1"/>
  <c r="AK118" i="75" s="1"/>
  <c r="AL118" i="75" s="1"/>
  <c r="AM118" i="75" s="1"/>
  <c r="AN118" i="75" s="1"/>
  <c r="AO118" i="75" s="1"/>
  <c r="AA79" i="75"/>
  <c r="Z78" i="75"/>
  <c r="C118" i="75"/>
  <c r="D118" i="75" s="1"/>
  <c r="E118" i="75" s="1"/>
  <c r="F118" i="75" s="1"/>
  <c r="G118" i="75" s="1"/>
  <c r="H118" i="75" s="1"/>
  <c r="I118" i="75" s="1"/>
  <c r="J118" i="75" s="1"/>
  <c r="K118" i="75" s="1"/>
  <c r="AJ78" i="75"/>
  <c r="AK79" i="75"/>
  <c r="P78" i="75"/>
  <c r="Q79" i="75"/>
  <c r="C110" i="75"/>
  <c r="D110" i="75" s="1"/>
  <c r="E110" i="75" s="1"/>
  <c r="F110" i="75" s="1"/>
  <c r="G110" i="75" s="1"/>
  <c r="H110" i="75" s="1"/>
  <c r="I110" i="75" s="1"/>
  <c r="J110" i="75" s="1"/>
  <c r="K110" i="75" s="1"/>
  <c r="W118" i="75"/>
  <c r="X118" i="75" s="1"/>
  <c r="Y118" i="75" s="1"/>
  <c r="Z118" i="75" s="1"/>
  <c r="AA118" i="75" s="1"/>
  <c r="AB118" i="75" s="1"/>
  <c r="AC118" i="75" s="1"/>
  <c r="AD118" i="75" s="1"/>
  <c r="AE118" i="75" s="1"/>
  <c r="B105" i="75"/>
  <c r="B97" i="75" s="1"/>
  <c r="F78" i="75"/>
  <c r="G79" i="75"/>
  <c r="W110" i="75"/>
  <c r="X110" i="75" s="1"/>
  <c r="Y110" i="75" s="1"/>
  <c r="Z110" i="75" s="1"/>
  <c r="AA110" i="75" s="1"/>
  <c r="AB110" i="75" s="1"/>
  <c r="AC110" i="75" s="1"/>
  <c r="AD110" i="75" s="1"/>
  <c r="AE110" i="75" s="1"/>
  <c r="C106" i="75"/>
  <c r="AP76" i="75"/>
  <c r="H46" i="75" l="1"/>
  <c r="F20" i="75"/>
  <c r="H50" i="75"/>
  <c r="B16" i="75"/>
  <c r="F57" i="75"/>
  <c r="B46" i="75" s="1"/>
  <c r="B11" i="75"/>
  <c r="H41" i="75"/>
  <c r="F15" i="75"/>
  <c r="H48" i="75"/>
  <c r="F58" i="75"/>
  <c r="B47" i="75" s="1"/>
  <c r="K35" i="78"/>
  <c r="H35" i="78"/>
  <c r="I35" i="78"/>
  <c r="C105" i="75"/>
  <c r="C97" i="75" s="1"/>
  <c r="D106" i="75"/>
  <c r="G78" i="75"/>
  <c r="H79" i="75"/>
  <c r="AK78" i="75"/>
  <c r="AL79" i="75"/>
  <c r="V76" i="75"/>
  <c r="B76" i="75"/>
  <c r="C77" i="75"/>
  <c r="M77" i="75"/>
  <c r="L76" i="75"/>
  <c r="L105" i="75"/>
  <c r="L97" i="75" s="1"/>
  <c r="AB79" i="75"/>
  <c r="AA78" i="75"/>
  <c r="R79" i="75"/>
  <c r="Q78" i="75"/>
  <c r="M106" i="75"/>
  <c r="C20" i="77" l="1"/>
  <c r="C21" i="77"/>
  <c r="C39" i="78"/>
  <c r="H39" i="78" s="1"/>
  <c r="C38" i="78"/>
  <c r="M105" i="75"/>
  <c r="M97" i="75" s="1"/>
  <c r="N106" i="75"/>
  <c r="AB78" i="75"/>
  <c r="AC79" i="75"/>
  <c r="H78" i="75"/>
  <c r="I79" i="75"/>
  <c r="AF76" i="75"/>
  <c r="AG77" i="75"/>
  <c r="S79" i="75"/>
  <c r="R78" i="75"/>
  <c r="W77" i="75"/>
  <c r="N77" i="75"/>
  <c r="M76" i="75"/>
  <c r="D105" i="75"/>
  <c r="D97" i="75" s="1"/>
  <c r="E106" i="75"/>
  <c r="AL78" i="75"/>
  <c r="AM79" i="75"/>
  <c r="V105" i="75"/>
  <c r="V97" i="75" s="1"/>
  <c r="C76" i="75"/>
  <c r="D77" i="75"/>
  <c r="W106" i="75"/>
  <c r="I39" i="78" l="1"/>
  <c r="H38" i="78"/>
  <c r="I38" i="78"/>
  <c r="X106" i="75"/>
  <c r="W105" i="75"/>
  <c r="W97" i="75" s="1"/>
  <c r="O77" i="75"/>
  <c r="N76" i="75"/>
  <c r="W76" i="75"/>
  <c r="X77" i="75"/>
  <c r="AM78" i="75"/>
  <c r="AN79" i="75"/>
  <c r="AC78" i="75"/>
  <c r="AD79" i="75"/>
  <c r="T79" i="75"/>
  <c r="S78" i="75"/>
  <c r="E105" i="75"/>
  <c r="E97" i="75" s="1"/>
  <c r="F106" i="75"/>
  <c r="AG76" i="75"/>
  <c r="AH77" i="75"/>
  <c r="O106" i="75"/>
  <c r="N105" i="75"/>
  <c r="N97" i="75" s="1"/>
  <c r="AF105" i="75"/>
  <c r="AF97" i="75" s="1"/>
  <c r="E77" i="75"/>
  <c r="D76" i="75"/>
  <c r="J79" i="75"/>
  <c r="I78" i="75"/>
  <c r="AP105" i="75"/>
  <c r="AP97" i="75" s="1"/>
  <c r="P106" i="75" l="1"/>
  <c r="O105" i="75"/>
  <c r="O97" i="75" s="1"/>
  <c r="X76" i="75"/>
  <c r="Y77" i="75"/>
  <c r="F77" i="75"/>
  <c r="E76" i="75"/>
  <c r="AH76" i="75"/>
  <c r="AI77" i="75"/>
  <c r="B103" i="75"/>
  <c r="AG106" i="75"/>
  <c r="T78" i="75"/>
  <c r="U79" i="75"/>
  <c r="U78" i="75" s="1"/>
  <c r="AD78" i="75"/>
  <c r="AE79" i="75"/>
  <c r="AE78" i="75" s="1"/>
  <c r="O76" i="75"/>
  <c r="P77" i="75"/>
  <c r="G106" i="75"/>
  <c r="F105" i="75"/>
  <c r="F97" i="75" s="1"/>
  <c r="AN78" i="75"/>
  <c r="AO79" i="75"/>
  <c r="Y106" i="75"/>
  <c r="X105" i="75"/>
  <c r="X97" i="75" s="1"/>
  <c r="K79" i="75"/>
  <c r="K78" i="75" s="1"/>
  <c r="J78" i="75"/>
  <c r="C94" i="75"/>
  <c r="C96" i="75"/>
  <c r="D96" i="75" s="1"/>
  <c r="E96" i="75" s="1"/>
  <c r="F96" i="75" s="1"/>
  <c r="G96" i="75" s="1"/>
  <c r="H96" i="75" s="1"/>
  <c r="I96" i="75" s="1"/>
  <c r="J96" i="75" s="1"/>
  <c r="K96" i="75" s="1"/>
  <c r="C91" i="75"/>
  <c r="C92" i="75"/>
  <c r="C95" i="75"/>
  <c r="C104" i="75"/>
  <c r="H30" i="75" l="1"/>
  <c r="F4" i="75"/>
  <c r="D95" i="75"/>
  <c r="E95" i="75" s="1"/>
  <c r="F95" i="75" s="1"/>
  <c r="G95" i="75" s="1"/>
  <c r="H95" i="75" s="1"/>
  <c r="I95" i="75" s="1"/>
  <c r="J95" i="75" s="1"/>
  <c r="K95" i="75" s="1"/>
  <c r="D91" i="75"/>
  <c r="E91" i="75" s="1"/>
  <c r="F91" i="75" s="1"/>
  <c r="G91" i="75" s="1"/>
  <c r="H91" i="75" s="1"/>
  <c r="I91" i="75" s="1"/>
  <c r="J91" i="75" s="1"/>
  <c r="K91" i="75" s="1"/>
  <c r="D92" i="75"/>
  <c r="E92" i="75" s="1"/>
  <c r="F92" i="75" s="1"/>
  <c r="G92" i="75" s="1"/>
  <c r="H92" i="75" s="1"/>
  <c r="I92" i="75" s="1"/>
  <c r="J92" i="75" s="1"/>
  <c r="K92" i="75" s="1"/>
  <c r="D104" i="75"/>
  <c r="C103" i="75"/>
  <c r="C101" i="75" s="1"/>
  <c r="D94" i="75"/>
  <c r="E94" i="75" s="1"/>
  <c r="F94" i="75" s="1"/>
  <c r="G94" i="75" s="1"/>
  <c r="H94" i="75" s="1"/>
  <c r="I94" i="75" s="1"/>
  <c r="J94" i="75" s="1"/>
  <c r="K94" i="75" s="1"/>
  <c r="Y105" i="75"/>
  <c r="Y97" i="75" s="1"/>
  <c r="Z106" i="75"/>
  <c r="AO78" i="75"/>
  <c r="AG105" i="75"/>
  <c r="AG97" i="75" s="1"/>
  <c r="AH106" i="75"/>
  <c r="P76" i="75"/>
  <c r="Q77" i="75"/>
  <c r="B101" i="75"/>
  <c r="AI76" i="75"/>
  <c r="AJ77" i="75"/>
  <c r="Q106" i="75"/>
  <c r="P105" i="75"/>
  <c r="P97" i="75" s="1"/>
  <c r="L103" i="75"/>
  <c r="M104" i="75"/>
  <c r="G105" i="75"/>
  <c r="G97" i="75" s="1"/>
  <c r="H106" i="75"/>
  <c r="C93" i="75"/>
  <c r="G77" i="75"/>
  <c r="F76" i="75"/>
  <c r="Y76" i="75"/>
  <c r="Z77" i="75"/>
  <c r="M96" i="75"/>
  <c r="M92" i="75"/>
  <c r="M91" i="75"/>
  <c r="M94" i="75"/>
  <c r="L101" i="75" l="1"/>
  <c r="N96" i="75"/>
  <c r="O96" i="75" s="1"/>
  <c r="P96" i="75" s="1"/>
  <c r="Q96" i="75" s="1"/>
  <c r="R96" i="75" s="1"/>
  <c r="S96" i="75" s="1"/>
  <c r="T96" i="75" s="1"/>
  <c r="U96" i="75" s="1"/>
  <c r="N91" i="75"/>
  <c r="O91" i="75" s="1"/>
  <c r="P91" i="75" s="1"/>
  <c r="Q91" i="75" s="1"/>
  <c r="R91" i="75" s="1"/>
  <c r="S91" i="75" s="1"/>
  <c r="T91" i="75" s="1"/>
  <c r="U91" i="75" s="1"/>
  <c r="N92" i="75"/>
  <c r="O92" i="75" s="1"/>
  <c r="P92" i="75" s="1"/>
  <c r="Q92" i="75" s="1"/>
  <c r="R92" i="75" s="1"/>
  <c r="S92" i="75" s="1"/>
  <c r="T92" i="75" s="1"/>
  <c r="U92" i="75" s="1"/>
  <c r="N94" i="75"/>
  <c r="O94" i="75" s="1"/>
  <c r="P94" i="75" s="1"/>
  <c r="Q94" i="75" s="1"/>
  <c r="R94" i="75" s="1"/>
  <c r="S94" i="75" s="1"/>
  <c r="T94" i="75" s="1"/>
  <c r="U94" i="75" s="1"/>
  <c r="Q76" i="75"/>
  <c r="R77" i="75"/>
  <c r="D103" i="75"/>
  <c r="E104" i="75"/>
  <c r="M93" i="75"/>
  <c r="AI106" i="75"/>
  <c r="AH105" i="75"/>
  <c r="AH97" i="75" s="1"/>
  <c r="N104" i="75"/>
  <c r="M103" i="75"/>
  <c r="AK77" i="75"/>
  <c r="AJ76" i="75"/>
  <c r="I106" i="75"/>
  <c r="H105" i="75"/>
  <c r="H97" i="75" s="1"/>
  <c r="V103" i="75"/>
  <c r="Z76" i="75"/>
  <c r="AA77" i="75"/>
  <c r="G76" i="75"/>
  <c r="H77" i="75"/>
  <c r="Q105" i="75"/>
  <c r="Q97" i="75" s="1"/>
  <c r="R106" i="75"/>
  <c r="D93" i="75"/>
  <c r="E93" i="75" s="1"/>
  <c r="F93" i="75" s="1"/>
  <c r="G93" i="75" s="1"/>
  <c r="H93" i="75" s="1"/>
  <c r="I93" i="75" s="1"/>
  <c r="J93" i="75" s="1"/>
  <c r="K93" i="75" s="1"/>
  <c r="M95" i="75"/>
  <c r="AA106" i="75"/>
  <c r="Z105" i="75"/>
  <c r="Z97" i="75" s="1"/>
  <c r="W92" i="75"/>
  <c r="W95" i="75"/>
  <c r="X95" i="75" s="1"/>
  <c r="Y95" i="75" s="1"/>
  <c r="Z95" i="75" s="1"/>
  <c r="AA95" i="75" s="1"/>
  <c r="AB95" i="75" s="1"/>
  <c r="AC95" i="75" s="1"/>
  <c r="AD95" i="75" s="1"/>
  <c r="AE95" i="75" s="1"/>
  <c r="N93" i="75" l="1"/>
  <c r="O93" i="75" s="1"/>
  <c r="P93" i="75" s="1"/>
  <c r="Q93" i="75" s="1"/>
  <c r="R93" i="75" s="1"/>
  <c r="S93" i="75" s="1"/>
  <c r="T93" i="75" s="1"/>
  <c r="U93" i="75" s="1"/>
  <c r="X92" i="75"/>
  <c r="AF103" i="75"/>
  <c r="W91" i="75"/>
  <c r="AL77" i="75"/>
  <c r="AK76" i="75"/>
  <c r="N95" i="75"/>
  <c r="AA76" i="75"/>
  <c r="AB77" i="75"/>
  <c r="W94" i="75"/>
  <c r="N103" i="75"/>
  <c r="O104" i="75"/>
  <c r="E103" i="75"/>
  <c r="E101" i="75" s="1"/>
  <c r="F104" i="75"/>
  <c r="D101" i="75"/>
  <c r="R105" i="75"/>
  <c r="R97" i="75" s="1"/>
  <c r="S106" i="75"/>
  <c r="I105" i="75"/>
  <c r="I97" i="75" s="1"/>
  <c r="J106" i="75"/>
  <c r="AI105" i="75"/>
  <c r="AI97" i="75" s="1"/>
  <c r="AJ106" i="75"/>
  <c r="AA105" i="75"/>
  <c r="AA97" i="75" s="1"/>
  <c r="AB106" i="75"/>
  <c r="W93" i="75"/>
  <c r="W96" i="75"/>
  <c r="H76" i="75"/>
  <c r="I77" i="75"/>
  <c r="W104" i="75"/>
  <c r="R76" i="75"/>
  <c r="S77" i="75"/>
  <c r="AG95" i="75"/>
  <c r="AH95" i="75" s="1"/>
  <c r="AI95" i="75" s="1"/>
  <c r="AJ95" i="75" s="1"/>
  <c r="AK95" i="75" s="1"/>
  <c r="AL95" i="75" s="1"/>
  <c r="AM95" i="75" s="1"/>
  <c r="AN95" i="75" s="1"/>
  <c r="AO95" i="75" s="1"/>
  <c r="AG96" i="75"/>
  <c r="AH96" i="75" s="1"/>
  <c r="AI96" i="75" s="1"/>
  <c r="AJ96" i="75" s="1"/>
  <c r="AK96" i="75" s="1"/>
  <c r="AL96" i="75" s="1"/>
  <c r="AM96" i="75" s="1"/>
  <c r="AN96" i="75" s="1"/>
  <c r="AO96" i="75" s="1"/>
  <c r="AG93" i="75"/>
  <c r="AH93" i="75" s="1"/>
  <c r="AI93" i="75" s="1"/>
  <c r="AJ93" i="75" s="1"/>
  <c r="AK93" i="75" s="1"/>
  <c r="AL93" i="75" s="1"/>
  <c r="AM93" i="75" s="1"/>
  <c r="AN93" i="75" s="1"/>
  <c r="AO93" i="75" s="1"/>
  <c r="AP103" i="75"/>
  <c r="Y92" i="75" l="1"/>
  <c r="S105" i="75"/>
  <c r="S97" i="75" s="1"/>
  <c r="T106" i="75"/>
  <c r="AG94" i="75"/>
  <c r="AH94" i="75" s="1"/>
  <c r="AI94" i="75" s="1"/>
  <c r="AJ94" i="75" s="1"/>
  <c r="AK94" i="75" s="1"/>
  <c r="AL94" i="75" s="1"/>
  <c r="AM94" i="75" s="1"/>
  <c r="AN94" i="75" s="1"/>
  <c r="AO94" i="75" s="1"/>
  <c r="S76" i="75"/>
  <c r="T77" i="75"/>
  <c r="X93" i="75"/>
  <c r="Y93" i="75" s="1"/>
  <c r="Z93" i="75" s="1"/>
  <c r="AA93" i="75" s="1"/>
  <c r="AB93" i="75" s="1"/>
  <c r="AC93" i="75" s="1"/>
  <c r="AD93" i="75" s="1"/>
  <c r="AE93" i="75" s="1"/>
  <c r="AG104" i="75"/>
  <c r="AJ105" i="75"/>
  <c r="AJ97" i="75" s="1"/>
  <c r="AK106" i="75"/>
  <c r="X94" i="75"/>
  <c r="AC77" i="75"/>
  <c r="AB76" i="75"/>
  <c r="W103" i="75"/>
  <c r="X104" i="75"/>
  <c r="AB105" i="75"/>
  <c r="AB97" i="75" s="1"/>
  <c r="AC106" i="75"/>
  <c r="AG92" i="75"/>
  <c r="P104" i="75"/>
  <c r="O103" i="75"/>
  <c r="AM77" i="75"/>
  <c r="AL76" i="75"/>
  <c r="I76" i="75"/>
  <c r="J77" i="75"/>
  <c r="X91" i="75"/>
  <c r="J105" i="75"/>
  <c r="J97" i="75" s="1"/>
  <c r="K106" i="75"/>
  <c r="K105" i="75" s="1"/>
  <c r="K97" i="75" s="1"/>
  <c r="X96" i="75"/>
  <c r="F103" i="75"/>
  <c r="G104" i="75"/>
  <c r="O95" i="75"/>
  <c r="AG91" i="75"/>
  <c r="F36" i="75" l="1"/>
  <c r="B38" i="75" s="1"/>
  <c r="Y96" i="75"/>
  <c r="F10" i="75"/>
  <c r="B6" i="75"/>
  <c r="B27" i="75"/>
  <c r="Z92" i="75"/>
  <c r="Y91" i="75"/>
  <c r="Q104" i="75"/>
  <c r="P103" i="75"/>
  <c r="G103" i="75"/>
  <c r="G101" i="75" s="1"/>
  <c r="H104" i="75"/>
  <c r="AH92" i="75"/>
  <c r="AI92" i="75" s="1"/>
  <c r="AJ92" i="75" s="1"/>
  <c r="AK92" i="75" s="1"/>
  <c r="AL92" i="75" s="1"/>
  <c r="AM92" i="75" s="1"/>
  <c r="AN92" i="75" s="1"/>
  <c r="AO92" i="75" s="1"/>
  <c r="F101" i="75"/>
  <c r="J76" i="75"/>
  <c r="K77" i="75"/>
  <c r="K76" i="75" s="1"/>
  <c r="AC105" i="75"/>
  <c r="AC97" i="75" s="1"/>
  <c r="AD106" i="75"/>
  <c r="Y94" i="75"/>
  <c r="Z94" i="75" s="1"/>
  <c r="AA94" i="75" s="1"/>
  <c r="AB94" i="75" s="1"/>
  <c r="AC94" i="75" s="1"/>
  <c r="AD94" i="75" s="1"/>
  <c r="AE94" i="75" s="1"/>
  <c r="B28" i="75" s="1"/>
  <c r="T105" i="75"/>
  <c r="T97" i="75" s="1"/>
  <c r="U106" i="75"/>
  <c r="U105" i="75" s="1"/>
  <c r="U97" i="75" s="1"/>
  <c r="X103" i="75"/>
  <c r="Y104" i="75"/>
  <c r="AL106" i="75"/>
  <c r="AK105" i="75"/>
  <c r="AK97" i="75" s="1"/>
  <c r="AH91" i="75"/>
  <c r="AM76" i="75"/>
  <c r="AN77" i="75"/>
  <c r="P95" i="75"/>
  <c r="AD77" i="75"/>
  <c r="AC76" i="75"/>
  <c r="AH104" i="75"/>
  <c r="AG103" i="75"/>
  <c r="U77" i="75"/>
  <c r="U76" i="75" s="1"/>
  <c r="T76" i="75"/>
  <c r="C12" i="77" l="1"/>
  <c r="F37" i="75"/>
  <c r="B39" i="75" s="1"/>
  <c r="F11" i="75"/>
  <c r="B7" i="75"/>
  <c r="Z96" i="75"/>
  <c r="AA92" i="75"/>
  <c r="C30" i="78"/>
  <c r="H103" i="75"/>
  <c r="I104" i="75"/>
  <c r="AE77" i="75"/>
  <c r="AE76" i="75" s="1"/>
  <c r="AD76" i="75"/>
  <c r="AN76" i="75"/>
  <c r="AO77" i="75"/>
  <c r="AO76" i="75" s="1"/>
  <c r="AM106" i="75"/>
  <c r="AL105" i="75"/>
  <c r="AL97" i="75" s="1"/>
  <c r="Z91" i="75"/>
  <c r="AE106" i="75"/>
  <c r="AD105" i="75"/>
  <c r="AD97" i="75" s="1"/>
  <c r="Z104" i="75"/>
  <c r="Y103" i="75"/>
  <c r="AH103" i="75"/>
  <c r="AI104" i="75"/>
  <c r="Q95" i="75"/>
  <c r="R95" i="75" s="1"/>
  <c r="S95" i="75" s="1"/>
  <c r="T95" i="75" s="1"/>
  <c r="U95" i="75" s="1"/>
  <c r="AI91" i="75"/>
  <c r="R104" i="75"/>
  <c r="Q103" i="75"/>
  <c r="C13" i="77" l="1"/>
  <c r="B8" i="75"/>
  <c r="B29" i="75"/>
  <c r="F38" i="75"/>
  <c r="B40" i="75" s="1"/>
  <c r="AB92" i="75"/>
  <c r="AA96" i="75"/>
  <c r="B3" i="75"/>
  <c r="B24" i="75"/>
  <c r="F12" i="75"/>
  <c r="C31" i="78"/>
  <c r="S104" i="75"/>
  <c r="R103" i="75"/>
  <c r="AA104" i="75"/>
  <c r="Z103" i="75"/>
  <c r="AA91" i="75"/>
  <c r="AE105" i="75"/>
  <c r="AE97" i="75" s="1"/>
  <c r="J104" i="75"/>
  <c r="I103" i="75"/>
  <c r="I101" i="75" s="1"/>
  <c r="AJ91" i="75"/>
  <c r="AJ104" i="75"/>
  <c r="AI103" i="75"/>
  <c r="H101" i="75"/>
  <c r="AM105" i="75"/>
  <c r="AM97" i="75" s="1"/>
  <c r="AN106" i="75"/>
  <c r="C14" i="77" l="1"/>
  <c r="AB96" i="75"/>
  <c r="AC96" i="75" s="1"/>
  <c r="AD96" i="75" s="1"/>
  <c r="AE96" i="75" s="1"/>
  <c r="F39" i="75" s="1"/>
  <c r="AC92" i="75"/>
  <c r="AD92" i="75" s="1"/>
  <c r="AE92" i="75" s="1"/>
  <c r="B5" i="75" s="1"/>
  <c r="C3" i="75"/>
  <c r="C32" i="78"/>
  <c r="AJ103" i="75"/>
  <c r="AK104" i="75"/>
  <c r="AO106" i="75"/>
  <c r="AN105" i="75"/>
  <c r="AN97" i="75" s="1"/>
  <c r="AK91" i="75"/>
  <c r="AB91" i="75"/>
  <c r="T104" i="75"/>
  <c r="S103" i="75"/>
  <c r="J103" i="75"/>
  <c r="K104" i="75"/>
  <c r="K103" i="75" s="1"/>
  <c r="K101" i="75" s="1"/>
  <c r="AB104" i="75"/>
  <c r="AA103" i="75"/>
  <c r="B30" i="75" l="1"/>
  <c r="B9" i="75"/>
  <c r="F13" i="75"/>
  <c r="H43" i="75"/>
  <c r="B13" i="75"/>
  <c r="F17" i="75"/>
  <c r="B41" i="75"/>
  <c r="C15" i="77"/>
  <c r="C33" i="78"/>
  <c r="B26" i="75"/>
  <c r="F9" i="75"/>
  <c r="F35" i="75"/>
  <c r="T103" i="75"/>
  <c r="U104" i="75"/>
  <c r="U103" i="75" s="1"/>
  <c r="AB103" i="75"/>
  <c r="AC104" i="75"/>
  <c r="AC91" i="75"/>
  <c r="AK103" i="75"/>
  <c r="AL104" i="75"/>
  <c r="J101" i="75"/>
  <c r="A101" i="75" s="1"/>
  <c r="AL91" i="75"/>
  <c r="AO105" i="75"/>
  <c r="AO97" i="75" s="1"/>
  <c r="F53" i="75" s="1"/>
  <c r="B42" i="75" s="1"/>
  <c r="B37" i="75" l="1"/>
  <c r="C11" i="77"/>
  <c r="C29" i="78"/>
  <c r="C16" i="77"/>
  <c r="AC103" i="75"/>
  <c r="AD104" i="75"/>
  <c r="AL103" i="75"/>
  <c r="AM104" i="75"/>
  <c r="AM91" i="75"/>
  <c r="AD91" i="75"/>
  <c r="C34" i="78" l="1"/>
  <c r="AM103" i="75"/>
  <c r="AN104" i="75"/>
  <c r="AE91" i="75"/>
  <c r="AD103" i="75"/>
  <c r="AE104" i="75"/>
  <c r="AE103" i="75" s="1"/>
  <c r="AN91" i="75"/>
  <c r="I32" i="78" l="1"/>
  <c r="K32" i="78"/>
  <c r="H32" i="78"/>
  <c r="H31" i="78"/>
  <c r="I31" i="78"/>
  <c r="K31" i="78"/>
  <c r="H29" i="78"/>
  <c r="I29" i="78"/>
  <c r="L30" i="78"/>
  <c r="H30" i="78"/>
  <c r="I30" i="78"/>
  <c r="H33" i="78"/>
  <c r="I33" i="78"/>
  <c r="K33" i="78"/>
  <c r="AN103" i="75"/>
  <c r="AO104" i="75"/>
  <c r="D12" i="75" s="1"/>
  <c r="AO91" i="75"/>
  <c r="F8" i="75" l="1"/>
  <c r="B25" i="75"/>
  <c r="F34" i="75"/>
  <c r="B4" i="75"/>
  <c r="B10" i="75" s="1"/>
  <c r="B12" i="75" s="1"/>
  <c r="AO103" i="75"/>
  <c r="H14" i="75" l="1"/>
  <c r="D10" i="75"/>
  <c r="B36" i="75"/>
  <c r="C28" i="78"/>
  <c r="C10" i="77"/>
  <c r="H34" i="78" l="1"/>
  <c r="I34" i="78"/>
  <c r="K34" i="78"/>
  <c r="H28" i="78" l="1"/>
  <c r="I28" i="78"/>
  <c r="K28" i="78"/>
  <c r="K29" i="78" l="1"/>
  <c r="K38" i="78" l="1"/>
  <c r="K39" i="78" l="1"/>
  <c r="AR76" i="64" l="1"/>
  <c r="AR46" i="81" l="1"/>
  <c r="AS76" i="64"/>
  <c r="AS46" i="81" l="1"/>
  <c r="AR85" i="81"/>
  <c r="AR54" i="81"/>
  <c r="AR78" i="81" s="1"/>
  <c r="AR77" i="81"/>
  <c r="AT76" i="64"/>
  <c r="AT46" i="81" l="1"/>
  <c r="AS85" i="81"/>
  <c r="AS77" i="81"/>
  <c r="AS54" i="81"/>
  <c r="AS78" i="81" s="1"/>
  <c r="AS62" i="81" s="1"/>
  <c r="AR79" i="81"/>
  <c r="AR63" i="81"/>
  <c r="AR66" i="81"/>
  <c r="AR65" i="81"/>
  <c r="AR67" i="81"/>
  <c r="AR64" i="81"/>
  <c r="AR62" i="81"/>
  <c r="AU76" i="64"/>
  <c r="AU46" i="81" l="1"/>
  <c r="AT85" i="81"/>
  <c r="AT77" i="81"/>
  <c r="AT54" i="81"/>
  <c r="AT78" i="81" s="1"/>
  <c r="AR75" i="81"/>
  <c r="AR73" i="81"/>
  <c r="AR74" i="81"/>
  <c r="AR70" i="81"/>
  <c r="AR72" i="81"/>
  <c r="AR71" i="81"/>
  <c r="AS79" i="81"/>
  <c r="AS70" i="81" s="1"/>
  <c r="AS66" i="81"/>
  <c r="AS67" i="81"/>
  <c r="AS63" i="81"/>
  <c r="AS65" i="81"/>
  <c r="AS64" i="81"/>
  <c r="AV76" i="64"/>
  <c r="AV46" i="81" l="1"/>
  <c r="AU54" i="81"/>
  <c r="AU78" i="81" s="1"/>
  <c r="AU62" i="81" s="1"/>
  <c r="AU85" i="81"/>
  <c r="AU77" i="81"/>
  <c r="AS75" i="81"/>
  <c r="AS74" i="81"/>
  <c r="AR80" i="81"/>
  <c r="AR94" i="81" s="1"/>
  <c r="AS71" i="81"/>
  <c r="AS72" i="81"/>
  <c r="AS73" i="81"/>
  <c r="AT79" i="81"/>
  <c r="AT66" i="81"/>
  <c r="AT64" i="81"/>
  <c r="AT65" i="81"/>
  <c r="AT63" i="81"/>
  <c r="AT67" i="81"/>
  <c r="AT62" i="81"/>
  <c r="AW76" i="64"/>
  <c r="AW46" i="81" l="1"/>
  <c r="AV85" i="81"/>
  <c r="AV77" i="81"/>
  <c r="AV54" i="81"/>
  <c r="AV78" i="81" s="1"/>
  <c r="AV62" i="81" s="1"/>
  <c r="AT72" i="81"/>
  <c r="AT73" i="81"/>
  <c r="AT74" i="81"/>
  <c r="AT71" i="81"/>
  <c r="AS80" i="81"/>
  <c r="AS94" i="81" s="1"/>
  <c r="AT75" i="81"/>
  <c r="AT70" i="81"/>
  <c r="AU79" i="81"/>
  <c r="AU70" i="81" s="1"/>
  <c r="AU66" i="81"/>
  <c r="AU67" i="81"/>
  <c r="AU65" i="81"/>
  <c r="AU64" i="81"/>
  <c r="AU63" i="81"/>
  <c r="AX76" i="64"/>
  <c r="AX46" i="81" l="1"/>
  <c r="AW54" i="81"/>
  <c r="AW78" i="81" s="1"/>
  <c r="AW85" i="81"/>
  <c r="AW77" i="81"/>
  <c r="AU75" i="81"/>
  <c r="AU73" i="81"/>
  <c r="AT80" i="81"/>
  <c r="AT94" i="81" s="1"/>
  <c r="AU72" i="81"/>
  <c r="AU71" i="81"/>
  <c r="AU74" i="81"/>
  <c r="AV79" i="81"/>
  <c r="AV70" i="81" s="1"/>
  <c r="AV66" i="81"/>
  <c r="AV65" i="81"/>
  <c r="AV63" i="81"/>
  <c r="AV67" i="81"/>
  <c r="AV64" i="81"/>
  <c r="AY76" i="64"/>
  <c r="AY46" i="81" l="1"/>
  <c r="D4" i="82" s="1"/>
  <c r="AX54" i="81"/>
  <c r="AX78" i="81" s="1"/>
  <c r="AX62" i="81" s="1"/>
  <c r="AX85" i="81"/>
  <c r="AX77" i="81"/>
  <c r="AU80" i="81"/>
  <c r="AU94" i="81" s="1"/>
  <c r="AV73" i="81"/>
  <c r="AV74" i="81"/>
  <c r="AV71" i="81"/>
  <c r="AV75" i="81"/>
  <c r="AV72" i="81"/>
  <c r="AW79" i="81"/>
  <c r="AW63" i="81"/>
  <c r="AW67" i="81"/>
  <c r="AW64" i="81"/>
  <c r="AW66" i="81"/>
  <c r="AW65" i="81"/>
  <c r="AW62" i="81"/>
  <c r="AZ85" i="81"/>
  <c r="AY54" i="81" l="1"/>
  <c r="AY78" i="81" s="1"/>
  <c r="AY62" i="81" s="1"/>
  <c r="AY85" i="81"/>
  <c r="C4" i="82"/>
  <c r="AY77" i="81"/>
  <c r="AW75" i="81"/>
  <c r="AV80" i="81"/>
  <c r="AV94" i="81" s="1"/>
  <c r="AW72" i="81"/>
  <c r="AW74" i="81"/>
  <c r="AW73" i="81"/>
  <c r="AW71" i="81"/>
  <c r="AW70" i="81"/>
  <c r="AX79" i="81"/>
  <c r="AX70" i="81" s="1"/>
  <c r="AX66" i="81"/>
  <c r="AX64" i="81"/>
  <c r="AX63" i="81"/>
  <c r="AX65" i="81"/>
  <c r="AX67" i="81"/>
  <c r="AX71" i="81" l="1"/>
  <c r="AX74" i="81"/>
  <c r="AX72" i="81"/>
  <c r="AX73" i="81"/>
  <c r="AX75" i="81"/>
  <c r="AW80" i="81"/>
  <c r="AW94" i="81" s="1"/>
  <c r="AY79" i="81"/>
  <c r="AY70" i="81" s="1"/>
  <c r="AY67" i="81"/>
  <c r="AY66" i="81"/>
  <c r="AY63" i="81"/>
  <c r="AY64" i="81"/>
  <c r="AY65" i="81"/>
  <c r="AX80" i="81" l="1"/>
  <c r="AX94" i="81" s="1"/>
  <c r="AY72" i="81"/>
  <c r="AY73" i="81"/>
  <c r="AY71" i="81"/>
  <c r="AY74" i="81"/>
  <c r="AY75" i="81"/>
  <c r="AY80" i="81" l="1"/>
  <c r="AY94" i="81" s="1"/>
  <c r="W131" i="64" l="1"/>
  <c r="AG91" i="64"/>
  <c r="M131" i="64"/>
  <c r="W132" i="64"/>
  <c r="BA132" i="64"/>
  <c r="CE90" i="64"/>
  <c r="C131" i="64"/>
  <c r="D131" i="64" s="1"/>
  <c r="E131" i="64" s="1"/>
  <c r="F131" i="64" s="1"/>
  <c r="G131" i="64" s="1"/>
  <c r="H131" i="64" s="1"/>
  <c r="I131" i="64" s="1"/>
  <c r="J131" i="64" s="1"/>
  <c r="K131" i="64" s="1"/>
  <c r="BU131" i="64"/>
  <c r="BA131" i="64"/>
  <c r="M132" i="64"/>
  <c r="BU132" i="64"/>
  <c r="C91" i="64"/>
  <c r="D91" i="64" s="1"/>
  <c r="E91" i="64" s="1"/>
  <c r="F91" i="64" s="1"/>
  <c r="G91" i="64" s="1"/>
  <c r="H91" i="64" s="1"/>
  <c r="I91" i="64" s="1"/>
  <c r="J91" i="64" s="1"/>
  <c r="K91" i="64" s="1"/>
  <c r="BK90" i="64"/>
  <c r="M91" i="64"/>
  <c r="M90" i="64"/>
  <c r="BU90" i="64"/>
  <c r="W91" i="64"/>
  <c r="BU91" i="64"/>
  <c r="BK91" i="64"/>
  <c r="BA90" i="64"/>
  <c r="AQ90" i="64"/>
  <c r="AG90" i="64"/>
  <c r="W90" i="64"/>
  <c r="CE91" i="64"/>
  <c r="C90" i="64"/>
  <c r="D90" i="64" s="1"/>
  <c r="E90" i="64" s="1"/>
  <c r="F90" i="64" s="1"/>
  <c r="G90" i="64" s="1"/>
  <c r="H90" i="64" s="1"/>
  <c r="I90" i="64" s="1"/>
  <c r="J90" i="64" s="1"/>
  <c r="K90" i="64" s="1"/>
  <c r="BA91" i="64"/>
  <c r="BB131" i="64" l="1"/>
  <c r="BC131" i="64" s="1"/>
  <c r="BD131" i="64" s="1"/>
  <c r="BE131" i="64" s="1"/>
  <c r="BF131" i="64" s="1"/>
  <c r="BG131" i="64" s="1"/>
  <c r="BH131" i="64" s="1"/>
  <c r="BI131" i="64" s="1"/>
  <c r="CF90" i="64"/>
  <c r="CG90" i="64" s="1"/>
  <c r="CH90" i="64" s="1"/>
  <c r="CI90" i="64" s="1"/>
  <c r="CJ90" i="64" s="1"/>
  <c r="CK90" i="64" s="1"/>
  <c r="CL90" i="64" s="1"/>
  <c r="CM90" i="64" s="1"/>
  <c r="CF91" i="64"/>
  <c r="CG91" i="64" s="1"/>
  <c r="CH91" i="64" s="1"/>
  <c r="CI91" i="64" s="1"/>
  <c r="CJ91" i="64" s="1"/>
  <c r="CK91" i="64" s="1"/>
  <c r="CL91" i="64" s="1"/>
  <c r="CM91" i="64" s="1"/>
  <c r="X91" i="64"/>
  <c r="Y91" i="64" s="1"/>
  <c r="Z91" i="64" s="1"/>
  <c r="AA91" i="64" s="1"/>
  <c r="AB91" i="64" s="1"/>
  <c r="AC91" i="64" s="1"/>
  <c r="AD91" i="64" s="1"/>
  <c r="AE91" i="64" s="1"/>
  <c r="X90" i="64"/>
  <c r="Y90" i="64" s="1"/>
  <c r="Z90" i="64" s="1"/>
  <c r="AA90" i="64" s="1"/>
  <c r="AB90" i="64" s="1"/>
  <c r="AC90" i="64" s="1"/>
  <c r="AD90" i="64" s="1"/>
  <c r="AE90" i="64" s="1"/>
  <c r="AH90" i="64"/>
  <c r="AI90" i="64" s="1"/>
  <c r="AJ90" i="64" s="1"/>
  <c r="AK90" i="64" s="1"/>
  <c r="AL90" i="64" s="1"/>
  <c r="AM90" i="64" s="1"/>
  <c r="AN90" i="64" s="1"/>
  <c r="AO90" i="64" s="1"/>
  <c r="BV90" i="64"/>
  <c r="BW90" i="64" s="1"/>
  <c r="BX90" i="64" s="1"/>
  <c r="BY90" i="64" s="1"/>
  <c r="BZ90" i="64" s="1"/>
  <c r="CA90" i="64" s="1"/>
  <c r="CB90" i="64" s="1"/>
  <c r="CC90" i="64" s="1"/>
  <c r="BB132" i="64"/>
  <c r="BC132" i="64" s="1"/>
  <c r="BD132" i="64" s="1"/>
  <c r="BE132" i="64" s="1"/>
  <c r="BF132" i="64" s="1"/>
  <c r="BG132" i="64" s="1"/>
  <c r="BH132" i="64" s="1"/>
  <c r="BI132" i="64" s="1"/>
  <c r="N90" i="64"/>
  <c r="O90" i="64" s="1"/>
  <c r="P90" i="64" s="1"/>
  <c r="Q90" i="64" s="1"/>
  <c r="R90" i="64" s="1"/>
  <c r="S90" i="64" s="1"/>
  <c r="T90" i="64" s="1"/>
  <c r="U90" i="64" s="1"/>
  <c r="BV132" i="64"/>
  <c r="BW132" i="64" s="1"/>
  <c r="BX132" i="64" s="1"/>
  <c r="BY132" i="64" s="1"/>
  <c r="BZ132" i="64" s="1"/>
  <c r="CA132" i="64" s="1"/>
  <c r="CB132" i="64" s="1"/>
  <c r="CC132" i="64" s="1"/>
  <c r="BV131" i="64"/>
  <c r="BW131" i="64" s="1"/>
  <c r="BX131" i="64" s="1"/>
  <c r="BY131" i="64" s="1"/>
  <c r="BZ131" i="64" s="1"/>
  <c r="CA131" i="64" s="1"/>
  <c r="CB131" i="64" s="1"/>
  <c r="CC131" i="64" s="1"/>
  <c r="X132" i="64"/>
  <c r="Y132" i="64" s="1"/>
  <c r="Z132" i="64" s="1"/>
  <c r="AA132" i="64" s="1"/>
  <c r="AB132" i="64" s="1"/>
  <c r="AC132" i="64" s="1"/>
  <c r="AD132" i="64" s="1"/>
  <c r="AE132" i="64" s="1"/>
  <c r="BB90" i="64"/>
  <c r="BC90" i="64" s="1"/>
  <c r="BD90" i="64" s="1"/>
  <c r="BE90" i="64" s="1"/>
  <c r="BF90" i="64" s="1"/>
  <c r="BG90" i="64" s="1"/>
  <c r="BH90" i="64" s="1"/>
  <c r="BI90" i="64" s="1"/>
  <c r="N131" i="64"/>
  <c r="O131" i="64" s="1"/>
  <c r="P131" i="64" s="1"/>
  <c r="Q131" i="64" s="1"/>
  <c r="R131" i="64" s="1"/>
  <c r="S131" i="64" s="1"/>
  <c r="T131" i="64" s="1"/>
  <c r="U131" i="64" s="1"/>
  <c r="BL91" i="64"/>
  <c r="BM91" i="64" s="1"/>
  <c r="BN91" i="64" s="1"/>
  <c r="BO91" i="64" s="1"/>
  <c r="BP91" i="64" s="1"/>
  <c r="BQ91" i="64" s="1"/>
  <c r="BR91" i="64" s="1"/>
  <c r="BS91" i="64" s="1"/>
  <c r="N91" i="64"/>
  <c r="O91" i="64" s="1"/>
  <c r="P91" i="64" s="1"/>
  <c r="Q91" i="64" s="1"/>
  <c r="R91" i="64" s="1"/>
  <c r="S91" i="64" s="1"/>
  <c r="T91" i="64" s="1"/>
  <c r="U91" i="64" s="1"/>
  <c r="N132" i="64"/>
  <c r="O132" i="64" s="1"/>
  <c r="P132" i="64" s="1"/>
  <c r="Q132" i="64" s="1"/>
  <c r="R132" i="64" s="1"/>
  <c r="S132" i="64" s="1"/>
  <c r="T132" i="64" s="1"/>
  <c r="U132" i="64" s="1"/>
  <c r="AH91" i="64"/>
  <c r="AI91" i="64" s="1"/>
  <c r="AJ91" i="64" s="1"/>
  <c r="AK91" i="64" s="1"/>
  <c r="AL91" i="64" s="1"/>
  <c r="AM91" i="64" s="1"/>
  <c r="AN91" i="64" s="1"/>
  <c r="AO91" i="64" s="1"/>
  <c r="BB91" i="64"/>
  <c r="BC91" i="64" s="1"/>
  <c r="BD91" i="64" s="1"/>
  <c r="BE91" i="64" s="1"/>
  <c r="BF91" i="64" s="1"/>
  <c r="BG91" i="64" s="1"/>
  <c r="BH91" i="64" s="1"/>
  <c r="BI91" i="64" s="1"/>
  <c r="BV91" i="64"/>
  <c r="BW91" i="64" s="1"/>
  <c r="BX91" i="64" s="1"/>
  <c r="BY91" i="64" s="1"/>
  <c r="BZ91" i="64" s="1"/>
  <c r="CA91" i="64" s="1"/>
  <c r="CB91" i="64" s="1"/>
  <c r="CC91" i="64" s="1"/>
  <c r="BL90" i="64"/>
  <c r="BM90" i="64" s="1"/>
  <c r="BN90" i="64" s="1"/>
  <c r="BO90" i="64" s="1"/>
  <c r="BP90" i="64" s="1"/>
  <c r="BQ90" i="64" s="1"/>
  <c r="BR90" i="64" s="1"/>
  <c r="BS90" i="64" s="1"/>
  <c r="X131" i="64"/>
  <c r="Y131" i="64" s="1"/>
  <c r="Z131" i="64" s="1"/>
  <c r="AA131" i="64" s="1"/>
  <c r="AB131" i="64" s="1"/>
  <c r="AC131" i="64" s="1"/>
  <c r="AD131" i="64" s="1"/>
  <c r="AE131" i="64" s="1"/>
  <c r="C132" i="64"/>
  <c r="D132" i="64" s="1"/>
  <c r="E132" i="64" s="1"/>
  <c r="F132" i="64" s="1"/>
  <c r="G132" i="64" s="1"/>
  <c r="H132" i="64" s="1"/>
  <c r="I132" i="64" s="1"/>
  <c r="J132" i="64" s="1"/>
  <c r="K132" i="64" s="1"/>
  <c r="CE132" i="64"/>
  <c r="CE131" i="64"/>
  <c r="BK131" i="64"/>
  <c r="BK132" i="64"/>
  <c r="AR90" i="64"/>
  <c r="AS90" i="64" s="1"/>
  <c r="AT90" i="64" s="1"/>
  <c r="AU90" i="64" s="1"/>
  <c r="AV90" i="64" s="1"/>
  <c r="AW90" i="64" s="1"/>
  <c r="AX90" i="64" s="1"/>
  <c r="AY90" i="64" s="1"/>
  <c r="AQ91" i="64"/>
  <c r="AR91" i="64" l="1"/>
  <c r="AS91" i="64" s="1"/>
  <c r="AT91" i="64" s="1"/>
  <c r="AU91" i="64" s="1"/>
  <c r="AV91" i="64" s="1"/>
  <c r="AW91" i="64" s="1"/>
  <c r="AX91" i="64" s="1"/>
  <c r="AY91" i="64" s="1"/>
  <c r="CF131" i="64"/>
  <c r="CG131" i="64" s="1"/>
  <c r="CH131" i="64" s="1"/>
  <c r="CI131" i="64" s="1"/>
  <c r="CJ131" i="64" s="1"/>
  <c r="CK131" i="64" s="1"/>
  <c r="CL131" i="64" s="1"/>
  <c r="CM131" i="64" s="1"/>
  <c r="BL132" i="64"/>
  <c r="BM132" i="64" s="1"/>
  <c r="BN132" i="64" s="1"/>
  <c r="BO132" i="64" s="1"/>
  <c r="BP132" i="64" s="1"/>
  <c r="BQ132" i="64" s="1"/>
  <c r="BR132" i="64" s="1"/>
  <c r="BS132" i="64" s="1"/>
  <c r="BL131" i="64"/>
  <c r="BM131" i="64" s="1"/>
  <c r="BN131" i="64" s="1"/>
  <c r="BO131" i="64" s="1"/>
  <c r="BP131" i="64" s="1"/>
  <c r="BQ131" i="64" s="1"/>
  <c r="BR131" i="64" s="1"/>
  <c r="BS131" i="64" s="1"/>
  <c r="CF132" i="64"/>
  <c r="CG132" i="64" s="1"/>
  <c r="CH132" i="64" s="1"/>
  <c r="CI132" i="64" s="1"/>
  <c r="CJ132" i="64" s="1"/>
  <c r="CK132" i="64" s="1"/>
  <c r="CL132" i="64" s="1"/>
  <c r="CM132" i="64" s="1"/>
  <c r="AQ131" i="64"/>
  <c r="AG131" i="64"/>
  <c r="AQ132" i="64"/>
  <c r="AG132" i="64"/>
  <c r="AH131" i="64" l="1"/>
  <c r="AI131" i="64" s="1"/>
  <c r="AJ131" i="64" s="1"/>
  <c r="AK131" i="64" s="1"/>
  <c r="AL131" i="64" s="1"/>
  <c r="AM131" i="64" s="1"/>
  <c r="AN131" i="64" s="1"/>
  <c r="AO131" i="64" s="1"/>
  <c r="AH132" i="64"/>
  <c r="AI132" i="64" s="1"/>
  <c r="AJ132" i="64" s="1"/>
  <c r="AK132" i="64" s="1"/>
  <c r="AL132" i="64" s="1"/>
  <c r="AM132" i="64" s="1"/>
  <c r="AN132" i="64" s="1"/>
  <c r="AO132" i="64" s="1"/>
  <c r="AR131" i="64"/>
  <c r="AS131" i="64" s="1"/>
  <c r="AT131" i="64" s="1"/>
  <c r="AU131" i="64" s="1"/>
  <c r="AV131" i="64" s="1"/>
  <c r="AW131" i="64" s="1"/>
  <c r="AX131" i="64" s="1"/>
  <c r="AY131" i="64" s="1"/>
  <c r="AR132" i="64"/>
  <c r="AS132" i="64" s="1"/>
  <c r="AT132" i="64" s="1"/>
  <c r="AU132" i="64" s="1"/>
  <c r="AV132" i="64" s="1"/>
  <c r="AW132" i="64" s="1"/>
  <c r="AX132" i="64" s="1"/>
  <c r="AY132" i="64" s="1"/>
  <c r="N21" i="20" l="1"/>
  <c r="N12" i="20" s="1"/>
  <c r="M21" i="20"/>
  <c r="M12" i="20" l="1"/>
  <c r="M14" i="20" s="1"/>
  <c r="N14" i="20"/>
  <c r="D21" i="20" l="1"/>
  <c r="I21" i="20"/>
  <c r="I12" i="20" s="1"/>
  <c r="G21" i="20"/>
  <c r="F21" i="20"/>
  <c r="F12" i="20" s="1"/>
  <c r="K21" i="20"/>
  <c r="E21" i="20"/>
  <c r="E12" i="20" s="1"/>
  <c r="J21" i="20"/>
  <c r="J12" i="20" s="1"/>
  <c r="H21" i="20"/>
  <c r="H12" i="20" s="1"/>
  <c r="L21" i="20"/>
  <c r="C21" i="20" l="1"/>
  <c r="E14" i="20"/>
  <c r="K12" i="20"/>
  <c r="K14" i="20" s="1"/>
  <c r="L12" i="20"/>
  <c r="L14" i="20" s="1"/>
  <c r="H14" i="20"/>
  <c r="J14" i="20"/>
  <c r="F14" i="20"/>
  <c r="G12" i="20"/>
  <c r="G14" i="20" s="1"/>
  <c r="I14" i="20"/>
  <c r="N27" i="20" l="1"/>
  <c r="N15" i="20"/>
  <c r="K27" i="20"/>
  <c r="K15" i="20"/>
  <c r="L27" i="20"/>
  <c r="L15" i="20"/>
  <c r="J15" i="20"/>
  <c r="J27" i="20"/>
  <c r="M27" i="20"/>
  <c r="M15" i="20"/>
  <c r="D27" i="20"/>
  <c r="I15" i="20" l="1"/>
  <c r="I27" i="20"/>
  <c r="H15" i="20"/>
  <c r="H27" i="20"/>
  <c r="G15" i="20"/>
  <c r="G27" i="20"/>
  <c r="C27" i="20"/>
  <c r="E27" i="20"/>
  <c r="F15" i="20" l="1"/>
  <c r="F27" i="20"/>
  <c r="Q27" i="17" l="1"/>
  <c r="H27" i="17"/>
  <c r="K28" i="17"/>
  <c r="O28" i="17"/>
  <c r="G28" i="17"/>
  <c r="J27" i="17"/>
  <c r="M26" i="17"/>
  <c r="P37" i="17"/>
  <c r="G37" i="17"/>
  <c r="K36" i="17"/>
  <c r="N35" i="17"/>
  <c r="L26" i="17"/>
  <c r="O37" i="17"/>
  <c r="J36" i="17"/>
  <c r="M35" i="17"/>
  <c r="K26" i="17"/>
  <c r="N37" i="17"/>
  <c r="Q36" i="17"/>
  <c r="H36" i="17"/>
  <c r="L35" i="17"/>
  <c r="J26" i="17"/>
  <c r="M37" i="17"/>
  <c r="P36" i="17"/>
  <c r="G36" i="17"/>
  <c r="K35" i="17"/>
  <c r="I26" i="17"/>
  <c r="L37" i="17"/>
  <c r="O36" i="17"/>
  <c r="J35" i="17"/>
  <c r="M28" i="17"/>
  <c r="O27" i="17"/>
  <c r="Q26" i="17"/>
  <c r="J28" i="17"/>
  <c r="M27" i="17"/>
  <c r="P26" i="17"/>
  <c r="H26" i="17"/>
  <c r="K37" i="17"/>
  <c r="N36" i="17"/>
  <c r="Q35" i="17"/>
  <c r="H35" i="17"/>
  <c r="N28" i="17"/>
  <c r="P27" i="17"/>
  <c r="G27" i="17"/>
  <c r="Q28" i="17"/>
  <c r="I28" i="17"/>
  <c r="L27" i="17"/>
  <c r="O26" i="17"/>
  <c r="G26" i="17"/>
  <c r="J37" i="17"/>
  <c r="M36" i="17"/>
  <c r="P35" i="17"/>
  <c r="G35" i="17"/>
  <c r="I27" i="17"/>
  <c r="L28" i="17"/>
  <c r="N27" i="17"/>
  <c r="P28" i="17"/>
  <c r="H28" i="17"/>
  <c r="K27" i="17"/>
  <c r="N26" i="17"/>
  <c r="Q37" i="17"/>
  <c r="H37" i="17"/>
  <c r="L36" i="17"/>
  <c r="O35" i="17"/>
  <c r="I10" i="17" l="1"/>
  <c r="G16" i="17"/>
  <c r="G17" i="17" s="1"/>
  <c r="D129" i="35" s="1"/>
  <c r="D140" i="35" s="1"/>
  <c r="G10" i="17"/>
  <c r="G11" i="17" s="1"/>
  <c r="D52" i="35" s="1"/>
  <c r="D63" i="35" s="1"/>
  <c r="H16" i="17"/>
  <c r="B133" i="87" s="1"/>
  <c r="H10" i="17"/>
  <c r="B92" i="64" s="1"/>
  <c r="L16" i="17"/>
  <c r="AP133" i="64" s="1"/>
  <c r="K10" i="17"/>
  <c r="AF92" i="64" s="1"/>
  <c r="L10" i="17"/>
  <c r="AP92" i="87" s="1"/>
  <c r="N10" i="17"/>
  <c r="BJ92" i="87" s="1"/>
  <c r="M16" i="17"/>
  <c r="AZ133" i="87" s="1"/>
  <c r="N16" i="17"/>
  <c r="BJ133" i="64" s="1"/>
  <c r="M10" i="17"/>
  <c r="AZ92" i="87" s="1"/>
  <c r="Q16" i="17"/>
  <c r="O16" i="17"/>
  <c r="K16" i="17"/>
  <c r="P16" i="17"/>
  <c r="J16" i="17"/>
  <c r="O10" i="17"/>
  <c r="P10" i="17"/>
  <c r="J10" i="17"/>
  <c r="Q10" i="17"/>
  <c r="BJ133" i="87" l="1"/>
  <c r="BA133" i="87" s="1"/>
  <c r="BB133" i="87" s="1"/>
  <c r="BC133" i="87" s="1"/>
  <c r="BD133" i="87" s="1"/>
  <c r="BE133" i="87" s="1"/>
  <c r="BF133" i="87" s="1"/>
  <c r="BG133" i="87" s="1"/>
  <c r="BH133" i="87" s="1"/>
  <c r="BI133" i="87" s="1"/>
  <c r="M17" i="17"/>
  <c r="G11" i="27" s="1"/>
  <c r="AZ133" i="64"/>
  <c r="AQ133" i="64" s="1"/>
  <c r="AR133" i="64" s="1"/>
  <c r="AS133" i="64" s="1"/>
  <c r="AT133" i="64" s="1"/>
  <c r="AU133" i="64" s="1"/>
  <c r="AV133" i="64" s="1"/>
  <c r="AW133" i="64" s="1"/>
  <c r="AX133" i="64" s="1"/>
  <c r="AY133" i="64" s="1"/>
  <c r="D130" i="35"/>
  <c r="D134" i="35" s="1"/>
  <c r="B92" i="87"/>
  <c r="D53" i="35"/>
  <c r="D57" i="35" s="1"/>
  <c r="L17" i="17"/>
  <c r="F11" i="27" s="1"/>
  <c r="H11" i="17"/>
  <c r="B41" i="27" s="1"/>
  <c r="AF92" i="87"/>
  <c r="AG92" i="87" s="1"/>
  <c r="AH92" i="87" s="1"/>
  <c r="AI92" i="87" s="1"/>
  <c r="AJ92" i="87" s="1"/>
  <c r="AK92" i="87" s="1"/>
  <c r="AL92" i="87" s="1"/>
  <c r="AM92" i="87" s="1"/>
  <c r="AN92" i="87" s="1"/>
  <c r="AO92" i="87" s="1"/>
  <c r="AP133" i="87"/>
  <c r="AQ133" i="87" s="1"/>
  <c r="AR133" i="87" s="1"/>
  <c r="AS133" i="87" s="1"/>
  <c r="AT133" i="87" s="1"/>
  <c r="AU133" i="87" s="1"/>
  <c r="AV133" i="87" s="1"/>
  <c r="AW133" i="87" s="1"/>
  <c r="AX133" i="87" s="1"/>
  <c r="AY133" i="87" s="1"/>
  <c r="K11" i="17"/>
  <c r="H52" i="35" s="1"/>
  <c r="N11" i="17"/>
  <c r="H41" i="27" s="1"/>
  <c r="BJ92" i="64"/>
  <c r="M11" i="17"/>
  <c r="G41" i="27" s="1"/>
  <c r="B133" i="64"/>
  <c r="AZ92" i="64"/>
  <c r="L11" i="17"/>
  <c r="I52" i="35" s="1"/>
  <c r="AP92" i="64"/>
  <c r="AG92" i="64" s="1"/>
  <c r="AH92" i="64" s="1"/>
  <c r="AI92" i="64" s="1"/>
  <c r="AJ92" i="64" s="1"/>
  <c r="AK92" i="64" s="1"/>
  <c r="AL92" i="64" s="1"/>
  <c r="AM92" i="64" s="1"/>
  <c r="AN92" i="64" s="1"/>
  <c r="AO92" i="64" s="1"/>
  <c r="H17" i="17"/>
  <c r="B11" i="27" s="1"/>
  <c r="N17" i="17"/>
  <c r="H11" i="27" s="1"/>
  <c r="BT133" i="87"/>
  <c r="BT133" i="64"/>
  <c r="O17" i="17"/>
  <c r="CD133" i="87"/>
  <c r="CD133" i="64"/>
  <c r="P17" i="17"/>
  <c r="V133" i="64"/>
  <c r="V133" i="87"/>
  <c r="J17" i="17"/>
  <c r="AF133" i="64"/>
  <c r="AG133" i="64" s="1"/>
  <c r="AH133" i="64" s="1"/>
  <c r="AI133" i="64" s="1"/>
  <c r="AJ133" i="64" s="1"/>
  <c r="AK133" i="64" s="1"/>
  <c r="AL133" i="64" s="1"/>
  <c r="AM133" i="64" s="1"/>
  <c r="AN133" i="64" s="1"/>
  <c r="AO133" i="64" s="1"/>
  <c r="AF133" i="87"/>
  <c r="K17" i="17"/>
  <c r="CN133" i="87"/>
  <c r="CN133" i="64"/>
  <c r="Q17" i="17"/>
  <c r="D141" i="35"/>
  <c r="D145" i="35" s="1"/>
  <c r="L92" i="87"/>
  <c r="L92" i="64"/>
  <c r="C92" i="64" s="1"/>
  <c r="D92" i="64" s="1"/>
  <c r="E92" i="64" s="1"/>
  <c r="F92" i="64" s="1"/>
  <c r="G92" i="64" s="1"/>
  <c r="H92" i="64" s="1"/>
  <c r="I92" i="64" s="1"/>
  <c r="J92" i="64" s="1"/>
  <c r="K92" i="64" s="1"/>
  <c r="I11" i="17"/>
  <c r="V92" i="64"/>
  <c r="W92" i="64" s="1"/>
  <c r="X92" i="64" s="1"/>
  <c r="Y92" i="64" s="1"/>
  <c r="Z92" i="64" s="1"/>
  <c r="AA92" i="64" s="1"/>
  <c r="AB92" i="64" s="1"/>
  <c r="AC92" i="64" s="1"/>
  <c r="AD92" i="64" s="1"/>
  <c r="AE92" i="64" s="1"/>
  <c r="V92" i="87"/>
  <c r="J11" i="17"/>
  <c r="CD92" i="87"/>
  <c r="CD92" i="64"/>
  <c r="P11" i="17"/>
  <c r="BT92" i="64"/>
  <c r="BT92" i="87"/>
  <c r="O11" i="17"/>
  <c r="CN92" i="87"/>
  <c r="CN92" i="64"/>
  <c r="Q11" i="17"/>
  <c r="BA92" i="87"/>
  <c r="BB92" i="87" s="1"/>
  <c r="BC92" i="87" s="1"/>
  <c r="BD92" i="87" s="1"/>
  <c r="BE92" i="87" s="1"/>
  <c r="BF92" i="87" s="1"/>
  <c r="BG92" i="87" s="1"/>
  <c r="BH92" i="87" s="1"/>
  <c r="BI92" i="87" s="1"/>
  <c r="D64" i="35"/>
  <c r="BK133" i="87" l="1"/>
  <c r="BL133" i="87" s="1"/>
  <c r="BM133" i="87" s="1"/>
  <c r="BN133" i="87" s="1"/>
  <c r="BO133" i="87" s="1"/>
  <c r="BP133" i="87" s="1"/>
  <c r="BQ133" i="87" s="1"/>
  <c r="BR133" i="87" s="1"/>
  <c r="BS133" i="87" s="1"/>
  <c r="J129" i="35"/>
  <c r="J130" i="35" s="1"/>
  <c r="J134" i="35" s="1"/>
  <c r="BA133" i="64"/>
  <c r="BB133" i="64" s="1"/>
  <c r="BC133" i="64" s="1"/>
  <c r="BD133" i="64" s="1"/>
  <c r="BE133" i="64" s="1"/>
  <c r="BF133" i="64" s="1"/>
  <c r="BG133" i="64" s="1"/>
  <c r="BH133" i="64" s="1"/>
  <c r="BI133" i="64" s="1"/>
  <c r="D193" i="35"/>
  <c r="D187" i="35"/>
  <c r="C92" i="87"/>
  <c r="D92" i="87" s="1"/>
  <c r="E92" i="87" s="1"/>
  <c r="F92" i="87" s="1"/>
  <c r="G92" i="87" s="1"/>
  <c r="H92" i="87" s="1"/>
  <c r="I92" i="87" s="1"/>
  <c r="J92" i="87" s="1"/>
  <c r="K92" i="87" s="1"/>
  <c r="J52" i="35"/>
  <c r="J53" i="35" s="1"/>
  <c r="E52" i="35"/>
  <c r="R55" i="35" s="1"/>
  <c r="I129" i="35"/>
  <c r="I130" i="35" s="1"/>
  <c r="I134" i="35" s="1"/>
  <c r="E41" i="27"/>
  <c r="AF87" i="87" s="1"/>
  <c r="F41" i="27"/>
  <c r="AP87" i="64" s="1"/>
  <c r="CE92" i="87"/>
  <c r="CF92" i="87" s="1"/>
  <c r="CG92" i="87" s="1"/>
  <c r="CH92" i="87" s="1"/>
  <c r="CI92" i="87" s="1"/>
  <c r="CJ92" i="87" s="1"/>
  <c r="CK92" i="87" s="1"/>
  <c r="CL92" i="87" s="1"/>
  <c r="CM92" i="87" s="1"/>
  <c r="AG133" i="87"/>
  <c r="AH133" i="87" s="1"/>
  <c r="AI133" i="87" s="1"/>
  <c r="AJ133" i="87" s="1"/>
  <c r="AK133" i="87" s="1"/>
  <c r="AL133" i="87" s="1"/>
  <c r="AM133" i="87" s="1"/>
  <c r="AN133" i="87" s="1"/>
  <c r="AO133" i="87" s="1"/>
  <c r="K52" i="35"/>
  <c r="K63" i="35" s="1"/>
  <c r="W92" i="87"/>
  <c r="X92" i="87" s="1"/>
  <c r="Y92" i="87" s="1"/>
  <c r="Z92" i="87" s="1"/>
  <c r="AA92" i="87" s="1"/>
  <c r="AB92" i="87" s="1"/>
  <c r="AC92" i="87" s="1"/>
  <c r="AD92" i="87" s="1"/>
  <c r="AE92" i="87" s="1"/>
  <c r="E129" i="35"/>
  <c r="BU92" i="87"/>
  <c r="BV92" i="87" s="1"/>
  <c r="BW92" i="87" s="1"/>
  <c r="BX92" i="87" s="1"/>
  <c r="BY92" i="87" s="1"/>
  <c r="BZ92" i="87" s="1"/>
  <c r="CA92" i="87" s="1"/>
  <c r="CB92" i="87" s="1"/>
  <c r="CC92" i="87" s="1"/>
  <c r="BA92" i="64"/>
  <c r="BB92" i="64" s="1"/>
  <c r="BC92" i="64" s="1"/>
  <c r="BD92" i="64" s="1"/>
  <c r="BE92" i="64" s="1"/>
  <c r="BF92" i="64" s="1"/>
  <c r="BG92" i="64" s="1"/>
  <c r="BH92" i="64" s="1"/>
  <c r="BI92" i="64" s="1"/>
  <c r="K129" i="35"/>
  <c r="K130" i="35" s="1"/>
  <c r="K134" i="35" s="1"/>
  <c r="CE133" i="87"/>
  <c r="CF133" i="87" s="1"/>
  <c r="CG133" i="87" s="1"/>
  <c r="CH133" i="87" s="1"/>
  <c r="CI133" i="87" s="1"/>
  <c r="CJ133" i="87" s="1"/>
  <c r="CK133" i="87" s="1"/>
  <c r="CL133" i="87" s="1"/>
  <c r="CM133" i="87" s="1"/>
  <c r="CE133" i="64"/>
  <c r="CF133" i="64" s="1"/>
  <c r="CG133" i="64" s="1"/>
  <c r="CH133" i="64" s="1"/>
  <c r="CI133" i="64" s="1"/>
  <c r="CJ133" i="64" s="1"/>
  <c r="CK133" i="64" s="1"/>
  <c r="CL133" i="64" s="1"/>
  <c r="CM133" i="64" s="1"/>
  <c r="AQ92" i="87"/>
  <c r="AR92" i="87" s="1"/>
  <c r="AS92" i="87" s="1"/>
  <c r="AT92" i="87" s="1"/>
  <c r="AU92" i="87" s="1"/>
  <c r="AV92" i="87" s="1"/>
  <c r="AW92" i="87" s="1"/>
  <c r="AX92" i="87" s="1"/>
  <c r="AY92" i="87" s="1"/>
  <c r="B128" i="87"/>
  <c r="B128" i="64"/>
  <c r="B107" i="75"/>
  <c r="B28" i="27"/>
  <c r="W133" i="87"/>
  <c r="X133" i="87" s="1"/>
  <c r="Y133" i="87" s="1"/>
  <c r="Z133" i="87" s="1"/>
  <c r="AA133" i="87" s="1"/>
  <c r="AB133" i="87" s="1"/>
  <c r="AC133" i="87" s="1"/>
  <c r="AD133" i="87" s="1"/>
  <c r="AE133" i="87" s="1"/>
  <c r="K11" i="27"/>
  <c r="N129" i="35"/>
  <c r="W133" i="64"/>
  <c r="X133" i="64" s="1"/>
  <c r="Y133" i="64" s="1"/>
  <c r="Z133" i="64" s="1"/>
  <c r="AA133" i="64" s="1"/>
  <c r="AB133" i="64" s="1"/>
  <c r="AC133" i="64" s="1"/>
  <c r="AD133" i="64" s="1"/>
  <c r="AE133" i="64" s="1"/>
  <c r="BU133" i="64"/>
  <c r="BV133" i="64" s="1"/>
  <c r="BW133" i="64" s="1"/>
  <c r="BX133" i="64" s="1"/>
  <c r="BY133" i="64" s="1"/>
  <c r="BZ133" i="64" s="1"/>
  <c r="CA133" i="64" s="1"/>
  <c r="CB133" i="64" s="1"/>
  <c r="CC133" i="64" s="1"/>
  <c r="J11" i="27"/>
  <c r="M129" i="35"/>
  <c r="BJ128" i="87"/>
  <c r="BJ128" i="64"/>
  <c r="H28" i="27"/>
  <c r="BU133" i="87"/>
  <c r="BV133" i="87" s="1"/>
  <c r="BW133" i="87" s="1"/>
  <c r="BX133" i="87" s="1"/>
  <c r="BY133" i="87" s="1"/>
  <c r="BZ133" i="87" s="1"/>
  <c r="CA133" i="87" s="1"/>
  <c r="CB133" i="87" s="1"/>
  <c r="CC133" i="87" s="1"/>
  <c r="D11" i="27"/>
  <c r="G129" i="35"/>
  <c r="I11" i="27"/>
  <c r="L129" i="35"/>
  <c r="E11" i="27"/>
  <c r="H129" i="35"/>
  <c r="BK133" i="64"/>
  <c r="BL133" i="64" s="1"/>
  <c r="BM133" i="64" s="1"/>
  <c r="BN133" i="64" s="1"/>
  <c r="BO133" i="64" s="1"/>
  <c r="BP133" i="64" s="1"/>
  <c r="BQ133" i="64" s="1"/>
  <c r="BR133" i="64" s="1"/>
  <c r="BS133" i="64" s="1"/>
  <c r="AZ128" i="87"/>
  <c r="AZ128" i="64"/>
  <c r="G28" i="27"/>
  <c r="AP128" i="87"/>
  <c r="AP128" i="64"/>
  <c r="AP107" i="75"/>
  <c r="F28" i="27"/>
  <c r="K41" i="27"/>
  <c r="N52" i="35"/>
  <c r="CE92" i="64"/>
  <c r="CF92" i="64" s="1"/>
  <c r="CG92" i="64" s="1"/>
  <c r="CH92" i="64" s="1"/>
  <c r="CI92" i="64" s="1"/>
  <c r="CJ92" i="64" s="1"/>
  <c r="CK92" i="64" s="1"/>
  <c r="CL92" i="64" s="1"/>
  <c r="CM92" i="64" s="1"/>
  <c r="I53" i="35"/>
  <c r="I63" i="35"/>
  <c r="D41" i="27"/>
  <c r="G52" i="35"/>
  <c r="BK92" i="87"/>
  <c r="BL92" i="87" s="1"/>
  <c r="BM92" i="87" s="1"/>
  <c r="BN92" i="87" s="1"/>
  <c r="BO92" i="87" s="1"/>
  <c r="BP92" i="87" s="1"/>
  <c r="BQ92" i="87" s="1"/>
  <c r="BR92" i="87" s="1"/>
  <c r="BS92" i="87" s="1"/>
  <c r="B87" i="87"/>
  <c r="B87" i="64"/>
  <c r="B80" i="75"/>
  <c r="B71" i="27"/>
  <c r="B58" i="27"/>
  <c r="BU92" i="64"/>
  <c r="BV92" i="64" s="1"/>
  <c r="BW92" i="64" s="1"/>
  <c r="BX92" i="64" s="1"/>
  <c r="BY92" i="64" s="1"/>
  <c r="BZ92" i="64" s="1"/>
  <c r="CA92" i="64" s="1"/>
  <c r="CB92" i="64" s="1"/>
  <c r="CC92" i="64" s="1"/>
  <c r="C41" i="27"/>
  <c r="F52" i="35"/>
  <c r="BJ87" i="87"/>
  <c r="H71" i="27"/>
  <c r="BJ87" i="64"/>
  <c r="H58" i="27"/>
  <c r="I41" i="27"/>
  <c r="L52" i="35"/>
  <c r="AZ87" i="87"/>
  <c r="G71" i="27"/>
  <c r="AZ87" i="64"/>
  <c r="G58" i="27"/>
  <c r="J41" i="27"/>
  <c r="M52" i="35"/>
  <c r="BK92" i="64"/>
  <c r="BL92" i="64" s="1"/>
  <c r="BM92" i="64" s="1"/>
  <c r="BN92" i="64" s="1"/>
  <c r="BO92" i="64" s="1"/>
  <c r="BP92" i="64" s="1"/>
  <c r="BQ92" i="64" s="1"/>
  <c r="BR92" i="64" s="1"/>
  <c r="BS92" i="64" s="1"/>
  <c r="M92" i="64"/>
  <c r="N92" i="64" s="1"/>
  <c r="O92" i="64" s="1"/>
  <c r="P92" i="64" s="1"/>
  <c r="Q92" i="64" s="1"/>
  <c r="R92" i="64" s="1"/>
  <c r="S92" i="64" s="1"/>
  <c r="T92" i="64" s="1"/>
  <c r="U92" i="64" s="1"/>
  <c r="H53" i="35"/>
  <c r="H63" i="35"/>
  <c r="M92" i="87"/>
  <c r="N92" i="87" s="1"/>
  <c r="O92" i="87" s="1"/>
  <c r="P92" i="87" s="1"/>
  <c r="Q92" i="87" s="1"/>
  <c r="R92" i="87" s="1"/>
  <c r="S92" i="87" s="1"/>
  <c r="T92" i="87" s="1"/>
  <c r="U92" i="87" s="1"/>
  <c r="D68" i="35"/>
  <c r="D202" i="35" s="1"/>
  <c r="D196" i="35"/>
  <c r="J140" i="35" l="1"/>
  <c r="J141" i="35" s="1"/>
  <c r="J145" i="35" s="1"/>
  <c r="E53" i="35"/>
  <c r="E57" i="35" s="1"/>
  <c r="T59" i="35"/>
  <c r="S59" i="35"/>
  <c r="C58" i="27"/>
  <c r="C59" i="27" s="1"/>
  <c r="P55" i="35"/>
  <c r="E71" i="27"/>
  <c r="AF110" i="87" s="1"/>
  <c r="I59" i="35"/>
  <c r="J63" i="35"/>
  <c r="J64" i="35" s="1"/>
  <c r="AF87" i="64"/>
  <c r="AG87" i="64" s="1"/>
  <c r="Q59" i="35"/>
  <c r="J55" i="35"/>
  <c r="I55" i="35"/>
  <c r="E55" i="35"/>
  <c r="R59" i="35"/>
  <c r="E63" i="35"/>
  <c r="P70" i="35" s="1"/>
  <c r="O55" i="35"/>
  <c r="H55" i="35"/>
  <c r="H59" i="35"/>
  <c r="S55" i="35"/>
  <c r="Q55" i="35"/>
  <c r="AP87" i="87"/>
  <c r="AQ87" i="87" s="1"/>
  <c r="AR87" i="87" s="1"/>
  <c r="AS87" i="87" s="1"/>
  <c r="AT87" i="87" s="1"/>
  <c r="AU87" i="87" s="1"/>
  <c r="AV87" i="87" s="1"/>
  <c r="AW87" i="87" s="1"/>
  <c r="AX87" i="87" s="1"/>
  <c r="AY87" i="87" s="1"/>
  <c r="J59" i="35"/>
  <c r="P59" i="35"/>
  <c r="T55" i="35"/>
  <c r="F58" i="27"/>
  <c r="AP98" i="87" s="1"/>
  <c r="AP80" i="75"/>
  <c r="F71" i="27"/>
  <c r="AP110" i="87" s="1"/>
  <c r="D55" i="35"/>
  <c r="E58" i="27"/>
  <c r="AF87" i="75" s="1"/>
  <c r="I140" i="35"/>
  <c r="AF80" i="75"/>
  <c r="K55" i="35"/>
  <c r="I132" i="35"/>
  <c r="BA128" i="64"/>
  <c r="BB128" i="64" s="1"/>
  <c r="BC128" i="64" s="1"/>
  <c r="BD128" i="64" s="1"/>
  <c r="BE128" i="64" s="1"/>
  <c r="BF128" i="64" s="1"/>
  <c r="BG128" i="64" s="1"/>
  <c r="BH128" i="64" s="1"/>
  <c r="BI128" i="64" s="1"/>
  <c r="K59" i="35"/>
  <c r="K53" i="35"/>
  <c r="K57" i="35" s="1"/>
  <c r="K193" i="35" s="1"/>
  <c r="E140" i="35"/>
  <c r="T147" i="35" s="1"/>
  <c r="P136" i="35"/>
  <c r="J136" i="35"/>
  <c r="R136" i="35"/>
  <c r="Q132" i="35"/>
  <c r="Q136" i="35"/>
  <c r="P132" i="35"/>
  <c r="T132" i="35"/>
  <c r="E130" i="35"/>
  <c r="E134" i="35" s="1"/>
  <c r="J132" i="35"/>
  <c r="S132" i="35"/>
  <c r="R132" i="35"/>
  <c r="S136" i="35"/>
  <c r="T136" i="35"/>
  <c r="E132" i="35"/>
  <c r="K140" i="35"/>
  <c r="K141" i="35" s="1"/>
  <c r="K145" i="35" s="1"/>
  <c r="D132" i="35"/>
  <c r="O132" i="35"/>
  <c r="AQ92" i="64"/>
  <c r="AR92" i="64" s="1"/>
  <c r="AS92" i="64" s="1"/>
  <c r="AT92" i="64" s="1"/>
  <c r="AU92" i="64" s="1"/>
  <c r="AV92" i="64" s="1"/>
  <c r="AW92" i="64" s="1"/>
  <c r="AX92" i="64" s="1"/>
  <c r="AY92" i="64" s="1"/>
  <c r="K136" i="35"/>
  <c r="K132" i="35"/>
  <c r="AQ128" i="64"/>
  <c r="AR128" i="64" s="1"/>
  <c r="AS128" i="64" s="1"/>
  <c r="AT128" i="64" s="1"/>
  <c r="AU128" i="64" s="1"/>
  <c r="AV128" i="64" s="1"/>
  <c r="AW128" i="64" s="1"/>
  <c r="AX128" i="64" s="1"/>
  <c r="AY128" i="64" s="1"/>
  <c r="L136" i="35"/>
  <c r="L130" i="35"/>
  <c r="L134" i="35" s="1"/>
  <c r="L132" i="35"/>
  <c r="L140" i="35"/>
  <c r="CD128" i="87"/>
  <c r="CD128" i="64"/>
  <c r="J28" i="27"/>
  <c r="CN128" i="87"/>
  <c r="CN128" i="64"/>
  <c r="K28" i="27"/>
  <c r="H130" i="35"/>
  <c r="H134" i="35" s="1"/>
  <c r="H132" i="35"/>
  <c r="H136" i="35"/>
  <c r="H140" i="35"/>
  <c r="M130" i="35"/>
  <c r="M134" i="35" s="1"/>
  <c r="M132" i="35"/>
  <c r="M136" i="35"/>
  <c r="M140" i="35"/>
  <c r="AQ128" i="87"/>
  <c r="AR128" i="87" s="1"/>
  <c r="AS128" i="87" s="1"/>
  <c r="AT128" i="87" s="1"/>
  <c r="AU128" i="87" s="1"/>
  <c r="AV128" i="87" s="1"/>
  <c r="AW128" i="87" s="1"/>
  <c r="AX128" i="87" s="1"/>
  <c r="AY128" i="87" s="1"/>
  <c r="BT128" i="87"/>
  <c r="BK128" i="87" s="1"/>
  <c r="BL128" i="87" s="1"/>
  <c r="BM128" i="87" s="1"/>
  <c r="BN128" i="87" s="1"/>
  <c r="BO128" i="87" s="1"/>
  <c r="BP128" i="87" s="1"/>
  <c r="BQ128" i="87" s="1"/>
  <c r="BR128" i="87" s="1"/>
  <c r="BS128" i="87" s="1"/>
  <c r="BT128" i="64"/>
  <c r="I28" i="27"/>
  <c r="AZ148" i="64"/>
  <c r="AZ139" i="64"/>
  <c r="AZ148" i="87"/>
  <c r="AZ139" i="87"/>
  <c r="V128" i="87"/>
  <c r="V128" i="64"/>
  <c r="V107" i="75"/>
  <c r="D28" i="27"/>
  <c r="AP123" i="75"/>
  <c r="AP148" i="64"/>
  <c r="AP148" i="87"/>
  <c r="AP139" i="87"/>
  <c r="AP140" i="87" s="1"/>
  <c r="AP139" i="64"/>
  <c r="AP114" i="75"/>
  <c r="AP115" i="75" s="1"/>
  <c r="AP122" i="75" s="1"/>
  <c r="BA128" i="87"/>
  <c r="BB128" i="87" s="1"/>
  <c r="BC128" i="87" s="1"/>
  <c r="BD128" i="87" s="1"/>
  <c r="BE128" i="87" s="1"/>
  <c r="BF128" i="87" s="1"/>
  <c r="BG128" i="87" s="1"/>
  <c r="BH128" i="87" s="1"/>
  <c r="BI128" i="87" s="1"/>
  <c r="BJ139" i="87"/>
  <c r="BJ140" i="87" s="1"/>
  <c r="BJ147" i="87" s="1"/>
  <c r="BJ139" i="64"/>
  <c r="BJ148" i="64"/>
  <c r="BJ148" i="87"/>
  <c r="AF128" i="87"/>
  <c r="AG128" i="87" s="1"/>
  <c r="AH128" i="87" s="1"/>
  <c r="AI128" i="87" s="1"/>
  <c r="AJ128" i="87" s="1"/>
  <c r="AK128" i="87" s="1"/>
  <c r="AL128" i="87" s="1"/>
  <c r="AM128" i="87" s="1"/>
  <c r="AN128" i="87" s="1"/>
  <c r="AO128" i="87" s="1"/>
  <c r="AF128" i="64"/>
  <c r="AG128" i="64" s="1"/>
  <c r="AH128" i="64" s="1"/>
  <c r="AI128" i="64" s="1"/>
  <c r="AJ128" i="64" s="1"/>
  <c r="AK128" i="64" s="1"/>
  <c r="AL128" i="64" s="1"/>
  <c r="AM128" i="64" s="1"/>
  <c r="AN128" i="64" s="1"/>
  <c r="AO128" i="64" s="1"/>
  <c r="AF107" i="75"/>
  <c r="AG107" i="75" s="1"/>
  <c r="AH107" i="75" s="1"/>
  <c r="AI107" i="75" s="1"/>
  <c r="AJ107" i="75" s="1"/>
  <c r="AK107" i="75" s="1"/>
  <c r="AL107" i="75" s="1"/>
  <c r="AM107" i="75" s="1"/>
  <c r="AN107" i="75" s="1"/>
  <c r="AO107" i="75" s="1"/>
  <c r="E28" i="27"/>
  <c r="N136" i="35"/>
  <c r="N132" i="35"/>
  <c r="O136" i="35"/>
  <c r="N130" i="35"/>
  <c r="N134" i="35" s="1"/>
  <c r="N140" i="35"/>
  <c r="G132" i="35"/>
  <c r="G130" i="35"/>
  <c r="G134" i="35" s="1"/>
  <c r="G140" i="35"/>
  <c r="B114" i="75"/>
  <c r="B139" i="64"/>
  <c r="B123" i="75"/>
  <c r="B148" i="64"/>
  <c r="B148" i="87"/>
  <c r="B139" i="87"/>
  <c r="I136" i="35"/>
  <c r="V87" i="87"/>
  <c r="W87" i="87" s="1"/>
  <c r="X87" i="87" s="1"/>
  <c r="Y87" i="87" s="1"/>
  <c r="Z87" i="87" s="1"/>
  <c r="AA87" i="87" s="1"/>
  <c r="AB87" i="87" s="1"/>
  <c r="AC87" i="87" s="1"/>
  <c r="AD87" i="87" s="1"/>
  <c r="AE87" i="87" s="1"/>
  <c r="D71" i="27"/>
  <c r="V87" i="64"/>
  <c r="V80" i="75"/>
  <c r="D58" i="27"/>
  <c r="BT87" i="87"/>
  <c r="BK87" i="87" s="1"/>
  <c r="BL87" i="87" s="1"/>
  <c r="BM87" i="87" s="1"/>
  <c r="BN87" i="87" s="1"/>
  <c r="BO87" i="87" s="1"/>
  <c r="BP87" i="87" s="1"/>
  <c r="BQ87" i="87" s="1"/>
  <c r="BR87" i="87" s="1"/>
  <c r="BS87" i="87" s="1"/>
  <c r="I71" i="27"/>
  <c r="BT87" i="64"/>
  <c r="BK87" i="64" s="1"/>
  <c r="I58" i="27"/>
  <c r="BJ98" i="87"/>
  <c r="H59" i="27"/>
  <c r="BJ98" i="64"/>
  <c r="H86" i="27"/>
  <c r="H88" i="27" s="1"/>
  <c r="BJ110" i="87"/>
  <c r="BJ110" i="64"/>
  <c r="F55" i="35"/>
  <c r="F53" i="35"/>
  <c r="F59" i="35"/>
  <c r="F63" i="35"/>
  <c r="I64" i="35"/>
  <c r="H57" i="35"/>
  <c r="BJ100" i="81"/>
  <c r="CN87" i="87"/>
  <c r="K71" i="27"/>
  <c r="CN87" i="64"/>
  <c r="CN100" i="81" s="1"/>
  <c r="K58" i="27"/>
  <c r="AZ98" i="87"/>
  <c r="G59" i="27"/>
  <c r="AZ98" i="64"/>
  <c r="G86" i="27"/>
  <c r="G88" i="27" s="1"/>
  <c r="G53" i="35"/>
  <c r="G59" i="35"/>
  <c r="G55" i="35"/>
  <c r="G63" i="35"/>
  <c r="BA87" i="64"/>
  <c r="AZ100" i="81"/>
  <c r="AZ110" i="87"/>
  <c r="AZ110" i="64"/>
  <c r="L87" i="87"/>
  <c r="C87" i="87" s="1"/>
  <c r="D87" i="87" s="1"/>
  <c r="E87" i="87" s="1"/>
  <c r="F87" i="87" s="1"/>
  <c r="G87" i="87" s="1"/>
  <c r="H87" i="87" s="1"/>
  <c r="I87" i="87" s="1"/>
  <c r="J87" i="87" s="1"/>
  <c r="K87" i="87" s="1"/>
  <c r="L87" i="64"/>
  <c r="C87" i="64" s="1"/>
  <c r="L80" i="75"/>
  <c r="B110" i="87"/>
  <c r="B110" i="64"/>
  <c r="B99" i="75"/>
  <c r="B100" i="81"/>
  <c r="M53" i="35"/>
  <c r="M55" i="35"/>
  <c r="M59" i="35"/>
  <c r="M63" i="35"/>
  <c r="AP100" i="81"/>
  <c r="AQ87" i="64"/>
  <c r="N55" i="35"/>
  <c r="N59" i="35"/>
  <c r="O59" i="35"/>
  <c r="N53" i="35"/>
  <c r="N63" i="35"/>
  <c r="CD87" i="87"/>
  <c r="J71" i="27"/>
  <c r="CD87" i="64"/>
  <c r="J58" i="27"/>
  <c r="K64" i="35"/>
  <c r="J187" i="35"/>
  <c r="J57" i="35"/>
  <c r="J193" i="35" s="1"/>
  <c r="B98" i="87"/>
  <c r="B87" i="75"/>
  <c r="B98" i="64"/>
  <c r="B59" i="27"/>
  <c r="B86" i="27"/>
  <c r="B88" i="27" s="1"/>
  <c r="BA87" i="87"/>
  <c r="BB87" i="87" s="1"/>
  <c r="BC87" i="87" s="1"/>
  <c r="BD87" i="87" s="1"/>
  <c r="BE87" i="87" s="1"/>
  <c r="BF87" i="87" s="1"/>
  <c r="BG87" i="87" s="1"/>
  <c r="BH87" i="87" s="1"/>
  <c r="BI87" i="87" s="1"/>
  <c r="H64" i="35"/>
  <c r="L53" i="35"/>
  <c r="L55" i="35"/>
  <c r="L59" i="35"/>
  <c r="L63" i="35"/>
  <c r="I187" i="35"/>
  <c r="I57" i="35"/>
  <c r="I193" i="35" s="1"/>
  <c r="L98" i="64" l="1"/>
  <c r="AF99" i="75"/>
  <c r="AF110" i="64"/>
  <c r="AF100" i="81"/>
  <c r="J190" i="35"/>
  <c r="AG87" i="87"/>
  <c r="AH87" i="87" s="1"/>
  <c r="AI87" i="87" s="1"/>
  <c r="AJ87" i="87" s="1"/>
  <c r="AK87" i="87" s="1"/>
  <c r="AL87" i="87" s="1"/>
  <c r="AM87" i="87" s="1"/>
  <c r="AN87" i="87" s="1"/>
  <c r="AO87" i="87" s="1"/>
  <c r="Q66" i="35"/>
  <c r="I70" i="35"/>
  <c r="J66" i="35"/>
  <c r="K66" i="35"/>
  <c r="J70" i="35"/>
  <c r="K70" i="35"/>
  <c r="I190" i="35"/>
  <c r="O66" i="35"/>
  <c r="P66" i="35"/>
  <c r="AP87" i="75"/>
  <c r="AP88" i="75" s="1"/>
  <c r="Q70" i="35"/>
  <c r="S70" i="35"/>
  <c r="H66" i="35"/>
  <c r="R66" i="35"/>
  <c r="T70" i="35"/>
  <c r="D66" i="35"/>
  <c r="I66" i="35"/>
  <c r="F86" i="27"/>
  <c r="F88" i="27" s="1"/>
  <c r="AP98" i="64"/>
  <c r="AP107" i="81" s="1"/>
  <c r="F59" i="27"/>
  <c r="E190" i="35"/>
  <c r="H190" i="35"/>
  <c r="S66" i="35"/>
  <c r="R70" i="35"/>
  <c r="E66" i="35"/>
  <c r="E64" i="35"/>
  <c r="E68" i="35" s="1"/>
  <c r="T66" i="35"/>
  <c r="H70" i="35"/>
  <c r="P147" i="35"/>
  <c r="AF98" i="87"/>
  <c r="AG98" i="87" s="1"/>
  <c r="AG80" i="75"/>
  <c r="AH80" i="75" s="1"/>
  <c r="AI80" i="75" s="1"/>
  <c r="AJ80" i="75" s="1"/>
  <c r="AK80" i="75" s="1"/>
  <c r="AL80" i="75" s="1"/>
  <c r="AM80" i="75" s="1"/>
  <c r="AN80" i="75" s="1"/>
  <c r="AO80" i="75" s="1"/>
  <c r="E59" i="27"/>
  <c r="S147" i="35"/>
  <c r="AF98" i="64"/>
  <c r="AF107" i="81" s="1"/>
  <c r="D190" i="35"/>
  <c r="AP110" i="64"/>
  <c r="AQ110" i="64" s="1"/>
  <c r="AR110" i="64" s="1"/>
  <c r="AS110" i="64" s="1"/>
  <c r="AT110" i="64" s="1"/>
  <c r="AU110" i="64" s="1"/>
  <c r="AV110" i="64" s="1"/>
  <c r="AW110" i="64" s="1"/>
  <c r="AX110" i="64" s="1"/>
  <c r="AY110" i="64" s="1"/>
  <c r="I143" i="35"/>
  <c r="E141" i="35"/>
  <c r="E145" i="35" s="1"/>
  <c r="R147" i="35"/>
  <c r="I141" i="35"/>
  <c r="I145" i="35" s="1"/>
  <c r="R143" i="35"/>
  <c r="E86" i="27"/>
  <c r="E88" i="27" s="1"/>
  <c r="I147" i="35"/>
  <c r="W80" i="75"/>
  <c r="X80" i="75" s="1"/>
  <c r="Y80" i="75" s="1"/>
  <c r="Z80" i="75" s="1"/>
  <c r="AA80" i="75" s="1"/>
  <c r="AB80" i="75" s="1"/>
  <c r="AC80" i="75" s="1"/>
  <c r="AD80" i="75" s="1"/>
  <c r="AE80" i="75" s="1"/>
  <c r="O143" i="35"/>
  <c r="J143" i="35"/>
  <c r="J147" i="35"/>
  <c r="AP99" i="75"/>
  <c r="K190" i="35"/>
  <c r="T143" i="35"/>
  <c r="P143" i="35"/>
  <c r="K187" i="35"/>
  <c r="K147" i="35"/>
  <c r="Q147" i="35"/>
  <c r="E143" i="35"/>
  <c r="D143" i="35"/>
  <c r="S143" i="35"/>
  <c r="L190" i="35"/>
  <c r="AG110" i="87"/>
  <c r="AH110" i="87" s="1"/>
  <c r="AI110" i="87" s="1"/>
  <c r="AJ110" i="87" s="1"/>
  <c r="AK110" i="87" s="1"/>
  <c r="AL110" i="87" s="1"/>
  <c r="AM110" i="87" s="1"/>
  <c r="AN110" i="87" s="1"/>
  <c r="AO110" i="87" s="1"/>
  <c r="Q143" i="35"/>
  <c r="E193" i="35"/>
  <c r="K143" i="35"/>
  <c r="E187" i="35"/>
  <c r="M190" i="35"/>
  <c r="CE128" i="64"/>
  <c r="CF128" i="64" s="1"/>
  <c r="CG128" i="64" s="1"/>
  <c r="CH128" i="64" s="1"/>
  <c r="CI128" i="64" s="1"/>
  <c r="CJ128" i="64" s="1"/>
  <c r="CK128" i="64" s="1"/>
  <c r="CL128" i="64" s="1"/>
  <c r="CM128" i="64" s="1"/>
  <c r="M87" i="87"/>
  <c r="N87" i="87" s="1"/>
  <c r="O87" i="87" s="1"/>
  <c r="P87" i="87" s="1"/>
  <c r="Q87" i="87" s="1"/>
  <c r="R87" i="87" s="1"/>
  <c r="S87" i="87" s="1"/>
  <c r="T87" i="87" s="1"/>
  <c r="U87" i="87" s="1"/>
  <c r="H193" i="35"/>
  <c r="H187" i="35"/>
  <c r="BU128" i="64"/>
  <c r="BV128" i="64" s="1"/>
  <c r="BW128" i="64" s="1"/>
  <c r="BX128" i="64" s="1"/>
  <c r="BY128" i="64" s="1"/>
  <c r="BZ128" i="64" s="1"/>
  <c r="CA128" i="64" s="1"/>
  <c r="CB128" i="64" s="1"/>
  <c r="CC128" i="64" s="1"/>
  <c r="CE87" i="87"/>
  <c r="CF87" i="87" s="1"/>
  <c r="CG87" i="87" s="1"/>
  <c r="CH87" i="87" s="1"/>
  <c r="CI87" i="87" s="1"/>
  <c r="CJ87" i="87" s="1"/>
  <c r="CK87" i="87" s="1"/>
  <c r="CL87" i="87" s="1"/>
  <c r="CM87" i="87" s="1"/>
  <c r="BK128" i="64"/>
  <c r="BL128" i="64" s="1"/>
  <c r="BM128" i="64" s="1"/>
  <c r="BN128" i="64" s="1"/>
  <c r="BO128" i="64" s="1"/>
  <c r="BP128" i="64" s="1"/>
  <c r="BQ128" i="64" s="1"/>
  <c r="BR128" i="64" s="1"/>
  <c r="BS128" i="64" s="1"/>
  <c r="B115" i="75"/>
  <c r="B122" i="75" s="1"/>
  <c r="AQ139" i="87"/>
  <c r="BA139" i="87"/>
  <c r="AZ140" i="87"/>
  <c r="AZ147" i="87" s="1"/>
  <c r="L141" i="35"/>
  <c r="L145" i="35" s="1"/>
  <c r="L143" i="35"/>
  <c r="L147" i="35"/>
  <c r="G141" i="35"/>
  <c r="G145" i="35" s="1"/>
  <c r="G143" i="35"/>
  <c r="BJ140" i="64"/>
  <c r="BJ147" i="64" s="1"/>
  <c r="N190" i="35"/>
  <c r="AF123" i="75"/>
  <c r="AF148" i="64"/>
  <c r="AF139" i="64"/>
  <c r="AF148" i="87"/>
  <c r="AF139" i="87"/>
  <c r="AF114" i="75"/>
  <c r="AZ140" i="64"/>
  <c r="AZ147" i="64" s="1"/>
  <c r="BA139" i="64"/>
  <c r="B140" i="87"/>
  <c r="B147" i="87" s="1"/>
  <c r="AP140" i="64"/>
  <c r="AP147" i="64" s="1"/>
  <c r="AQ139" i="64"/>
  <c r="M141" i="35"/>
  <c r="M145" i="35" s="1"/>
  <c r="M143" i="35"/>
  <c r="M147" i="35"/>
  <c r="CN148" i="64"/>
  <c r="CN148" i="87"/>
  <c r="CN139" i="64"/>
  <c r="CN140" i="64" s="1"/>
  <c r="CN147" i="64" s="1"/>
  <c r="CN139" i="87"/>
  <c r="CN140" i="87" s="1"/>
  <c r="CN147" i="87" s="1"/>
  <c r="AP147" i="87"/>
  <c r="V139" i="87"/>
  <c r="V140" i="87" s="1"/>
  <c r="V147" i="87" s="1"/>
  <c r="V114" i="75"/>
  <c r="V123" i="75"/>
  <c r="V148" i="64"/>
  <c r="V139" i="64"/>
  <c r="V148" i="87"/>
  <c r="BT139" i="64"/>
  <c r="BK139" i="64" s="1"/>
  <c r="BT148" i="87"/>
  <c r="BT139" i="87"/>
  <c r="BT148" i="64"/>
  <c r="N141" i="35"/>
  <c r="N145" i="35" s="1"/>
  <c r="O147" i="35"/>
  <c r="N143" i="35"/>
  <c r="N147" i="35"/>
  <c r="W107" i="75"/>
  <c r="X107" i="75" s="1"/>
  <c r="Y107" i="75" s="1"/>
  <c r="Z107" i="75" s="1"/>
  <c r="AA107" i="75" s="1"/>
  <c r="AB107" i="75" s="1"/>
  <c r="AC107" i="75" s="1"/>
  <c r="AD107" i="75" s="1"/>
  <c r="AE107" i="75" s="1"/>
  <c r="CE128" i="87"/>
  <c r="CF128" i="87" s="1"/>
  <c r="CG128" i="87" s="1"/>
  <c r="CH128" i="87" s="1"/>
  <c r="CI128" i="87" s="1"/>
  <c r="CJ128" i="87" s="1"/>
  <c r="CK128" i="87" s="1"/>
  <c r="CL128" i="87" s="1"/>
  <c r="CM128" i="87" s="1"/>
  <c r="W128" i="64"/>
  <c r="X128" i="64" s="1"/>
  <c r="Y128" i="64" s="1"/>
  <c r="Z128" i="64" s="1"/>
  <c r="AA128" i="64" s="1"/>
  <c r="AB128" i="64" s="1"/>
  <c r="AC128" i="64" s="1"/>
  <c r="AD128" i="64" s="1"/>
  <c r="AE128" i="64" s="1"/>
  <c r="BU128" i="87"/>
  <c r="BV128" i="87" s="1"/>
  <c r="BW128" i="87" s="1"/>
  <c r="BX128" i="87" s="1"/>
  <c r="BY128" i="87" s="1"/>
  <c r="BZ128" i="87" s="1"/>
  <c r="CA128" i="87" s="1"/>
  <c r="CB128" i="87" s="1"/>
  <c r="CC128" i="87" s="1"/>
  <c r="CD148" i="87"/>
  <c r="CD139" i="87"/>
  <c r="CD148" i="64"/>
  <c r="CD139" i="64"/>
  <c r="G190" i="35"/>
  <c r="B140" i="64"/>
  <c r="B147" i="64" s="1"/>
  <c r="W128" i="87"/>
  <c r="X128" i="87" s="1"/>
  <c r="Y128" i="87" s="1"/>
  <c r="Z128" i="87" s="1"/>
  <c r="AA128" i="87" s="1"/>
  <c r="AB128" i="87" s="1"/>
  <c r="AC128" i="87" s="1"/>
  <c r="AD128" i="87" s="1"/>
  <c r="AE128" i="87" s="1"/>
  <c r="H141" i="35"/>
  <c r="H145" i="35" s="1"/>
  <c r="H143" i="35"/>
  <c r="H147" i="35"/>
  <c r="V98" i="87"/>
  <c r="V98" i="64"/>
  <c r="D86" i="27"/>
  <c r="D88" i="27" s="1"/>
  <c r="V87" i="75"/>
  <c r="D59" i="27"/>
  <c r="CD98" i="87"/>
  <c r="J59" i="27"/>
  <c r="J86" i="27"/>
  <c r="J88" i="27" s="1"/>
  <c r="CD98" i="64"/>
  <c r="M80" i="75"/>
  <c r="N80" i="75" s="1"/>
  <c r="O80" i="75" s="1"/>
  <c r="P80" i="75" s="1"/>
  <c r="Q80" i="75" s="1"/>
  <c r="R80" i="75" s="1"/>
  <c r="S80" i="75" s="1"/>
  <c r="T80" i="75" s="1"/>
  <c r="U80" i="75" s="1"/>
  <c r="CD100" i="81"/>
  <c r="CE87" i="64"/>
  <c r="I68" i="35"/>
  <c r="L64" i="35"/>
  <c r="L66" i="35"/>
  <c r="L70" i="35"/>
  <c r="CD110" i="87"/>
  <c r="CD110" i="64"/>
  <c r="AQ100" i="81"/>
  <c r="AR87" i="64"/>
  <c r="F64" i="35"/>
  <c r="F66" i="35"/>
  <c r="F70" i="35"/>
  <c r="J68" i="35"/>
  <c r="J202" i="35" s="1"/>
  <c r="J196" i="35"/>
  <c r="BT100" i="81"/>
  <c r="BU87" i="64"/>
  <c r="V110" i="87"/>
  <c r="W110" i="87" s="1"/>
  <c r="X110" i="87" s="1"/>
  <c r="Y110" i="87" s="1"/>
  <c r="Z110" i="87" s="1"/>
  <c r="AA110" i="87" s="1"/>
  <c r="AB110" i="87" s="1"/>
  <c r="AC110" i="87" s="1"/>
  <c r="AD110" i="87" s="1"/>
  <c r="AE110" i="87" s="1"/>
  <c r="V110" i="64"/>
  <c r="V99" i="75"/>
  <c r="BA110" i="64"/>
  <c r="BB110" i="64" s="1"/>
  <c r="BC110" i="64" s="1"/>
  <c r="BD110" i="64" s="1"/>
  <c r="BE110" i="64" s="1"/>
  <c r="BF110" i="64" s="1"/>
  <c r="BG110" i="64" s="1"/>
  <c r="BH110" i="64" s="1"/>
  <c r="BI110" i="64" s="1"/>
  <c r="BT110" i="87"/>
  <c r="BT110" i="64"/>
  <c r="AZ99" i="64"/>
  <c r="AZ107" i="81"/>
  <c r="BA98" i="64"/>
  <c r="BT98" i="87"/>
  <c r="BK98" i="87" s="1"/>
  <c r="I86" i="27"/>
  <c r="I88" i="27" s="1"/>
  <c r="I59" i="27"/>
  <c r="BT98" i="64"/>
  <c r="BK98" i="64" s="1"/>
  <c r="C80" i="75"/>
  <c r="D80" i="75" s="1"/>
  <c r="E80" i="75" s="1"/>
  <c r="F80" i="75" s="1"/>
  <c r="G80" i="75" s="1"/>
  <c r="H80" i="75" s="1"/>
  <c r="I80" i="75" s="1"/>
  <c r="J80" i="75" s="1"/>
  <c r="K80" i="75" s="1"/>
  <c r="N64" i="35"/>
  <c r="N66" i="35"/>
  <c r="O70" i="35"/>
  <c r="N70" i="35"/>
  <c r="M64" i="35"/>
  <c r="M70" i="35"/>
  <c r="M66" i="35"/>
  <c r="BA110" i="87"/>
  <c r="BB110" i="87" s="1"/>
  <c r="BC110" i="87" s="1"/>
  <c r="BD110" i="87" s="1"/>
  <c r="BE110" i="87" s="1"/>
  <c r="BF110" i="87" s="1"/>
  <c r="BG110" i="87" s="1"/>
  <c r="BH110" i="87" s="1"/>
  <c r="BI110" i="87" s="1"/>
  <c r="G64" i="35"/>
  <c r="G70" i="35"/>
  <c r="G66" i="35"/>
  <c r="CN98" i="87"/>
  <c r="CN99" i="87" s="1"/>
  <c r="K59" i="27"/>
  <c r="K86" i="27"/>
  <c r="K88" i="27" s="1"/>
  <c r="CN98" i="64"/>
  <c r="F57" i="35"/>
  <c r="BJ107" i="81"/>
  <c r="BJ99" i="64"/>
  <c r="BU87" i="87"/>
  <c r="BV87" i="87" s="1"/>
  <c r="BW87" i="87" s="1"/>
  <c r="BX87" i="87" s="1"/>
  <c r="BY87" i="87" s="1"/>
  <c r="BZ87" i="87" s="1"/>
  <c r="CA87" i="87" s="1"/>
  <c r="CB87" i="87" s="1"/>
  <c r="CC87" i="87" s="1"/>
  <c r="M187" i="35"/>
  <c r="M57" i="35"/>
  <c r="M193" i="35" s="1"/>
  <c r="C100" i="81"/>
  <c r="D87" i="64"/>
  <c r="AP99" i="87"/>
  <c r="AQ98" i="87"/>
  <c r="L100" i="81"/>
  <c r="L115" i="81" s="1"/>
  <c r="L122" i="81" s="1"/>
  <c r="M87" i="64"/>
  <c r="AF88" i="75"/>
  <c r="B88" i="75"/>
  <c r="B116" i="75" s="1"/>
  <c r="N187" i="35"/>
  <c r="N57" i="35"/>
  <c r="N193" i="35" s="1"/>
  <c r="AG100" i="81"/>
  <c r="AH87" i="64"/>
  <c r="K68" i="35"/>
  <c r="K202" i="35" s="1"/>
  <c r="K196" i="35"/>
  <c r="G187" i="35"/>
  <c r="G57" i="35"/>
  <c r="G193" i="35" s="1"/>
  <c r="H68" i="35"/>
  <c r="BL87" i="64"/>
  <c r="BK100" i="81"/>
  <c r="W87" i="64"/>
  <c r="V100" i="81"/>
  <c r="AZ99" i="87"/>
  <c r="AZ141" i="87" s="1"/>
  <c r="BA98" i="87"/>
  <c r="B99" i="64"/>
  <c r="B107" i="81"/>
  <c r="L187" i="35"/>
  <c r="L57" i="35"/>
  <c r="L193" i="35" s="1"/>
  <c r="B99" i="87"/>
  <c r="B141" i="87" s="1"/>
  <c r="L98" i="87"/>
  <c r="L99" i="87" s="1"/>
  <c r="L87" i="75"/>
  <c r="C87" i="75" s="1"/>
  <c r="BA100" i="81"/>
  <c r="BB87" i="64"/>
  <c r="CN110" i="87"/>
  <c r="CN110" i="64"/>
  <c r="BJ99" i="87"/>
  <c r="BJ141" i="87" s="1"/>
  <c r="AQ110" i="87"/>
  <c r="AR110" i="87" s="1"/>
  <c r="AS110" i="87" s="1"/>
  <c r="AT110" i="87" s="1"/>
  <c r="AU110" i="87" s="1"/>
  <c r="AV110" i="87" s="1"/>
  <c r="AW110" i="87" s="1"/>
  <c r="AX110" i="87" s="1"/>
  <c r="AY110" i="87" s="1"/>
  <c r="D199" i="35" l="1"/>
  <c r="AP99" i="64"/>
  <c r="AP108" i="81" s="1"/>
  <c r="W99" i="75"/>
  <c r="X99" i="75" s="1"/>
  <c r="Y99" i="75" s="1"/>
  <c r="Z99" i="75" s="1"/>
  <c r="AA99" i="75" s="1"/>
  <c r="AB99" i="75" s="1"/>
  <c r="AC99" i="75" s="1"/>
  <c r="AD99" i="75" s="1"/>
  <c r="AE99" i="75" s="1"/>
  <c r="AF116" i="75"/>
  <c r="W110" i="64"/>
  <c r="X110" i="64" s="1"/>
  <c r="Y110" i="64" s="1"/>
  <c r="Z110" i="64" s="1"/>
  <c r="AA110" i="64" s="1"/>
  <c r="AB110" i="64" s="1"/>
  <c r="AC110" i="64" s="1"/>
  <c r="AD110" i="64" s="1"/>
  <c r="AE110" i="64" s="1"/>
  <c r="C98" i="64"/>
  <c r="D98" i="64" s="1"/>
  <c r="L99" i="64"/>
  <c r="J199" i="35"/>
  <c r="K199" i="35"/>
  <c r="AG98" i="64"/>
  <c r="AG107" i="81" s="1"/>
  <c r="AG87" i="75"/>
  <c r="AG88" i="75" s="1"/>
  <c r="AF99" i="87"/>
  <c r="AF141" i="87" s="1"/>
  <c r="H199" i="35"/>
  <c r="AP116" i="75"/>
  <c r="I199" i="35"/>
  <c r="AQ98" i="64"/>
  <c r="AR98" i="64" s="1"/>
  <c r="E199" i="35"/>
  <c r="I196" i="35"/>
  <c r="M199" i="35"/>
  <c r="AF99" i="64"/>
  <c r="AF108" i="81" s="1"/>
  <c r="E202" i="35"/>
  <c r="AG110" i="64"/>
  <c r="AH110" i="64" s="1"/>
  <c r="AI110" i="64" s="1"/>
  <c r="AJ110" i="64" s="1"/>
  <c r="AK110" i="64" s="1"/>
  <c r="AL110" i="64" s="1"/>
  <c r="AM110" i="64" s="1"/>
  <c r="AN110" i="64" s="1"/>
  <c r="AO110" i="64" s="1"/>
  <c r="E196" i="35"/>
  <c r="AG99" i="75"/>
  <c r="AH99" i="75" s="1"/>
  <c r="AI99" i="75" s="1"/>
  <c r="AJ99" i="75" s="1"/>
  <c r="AK99" i="75" s="1"/>
  <c r="AL99" i="75" s="1"/>
  <c r="AM99" i="75" s="1"/>
  <c r="AN99" i="75" s="1"/>
  <c r="AO99" i="75" s="1"/>
  <c r="I202" i="35"/>
  <c r="BU110" i="87"/>
  <c r="BV110" i="87" s="1"/>
  <c r="BW110" i="87" s="1"/>
  <c r="BX110" i="87" s="1"/>
  <c r="BY110" i="87" s="1"/>
  <c r="BZ110" i="87" s="1"/>
  <c r="CA110" i="87" s="1"/>
  <c r="CB110" i="87" s="1"/>
  <c r="CC110" i="87" s="1"/>
  <c r="G199" i="35"/>
  <c r="F6" i="75"/>
  <c r="BU110" i="64"/>
  <c r="BV110" i="64" s="1"/>
  <c r="BW110" i="64" s="1"/>
  <c r="BX110" i="64" s="1"/>
  <c r="BY110" i="64" s="1"/>
  <c r="BZ110" i="64" s="1"/>
  <c r="CA110" i="64" s="1"/>
  <c r="CB110" i="64" s="1"/>
  <c r="CC110" i="64" s="1"/>
  <c r="N199" i="35"/>
  <c r="L199" i="35"/>
  <c r="H202" i="35"/>
  <c r="BK139" i="87"/>
  <c r="BT140" i="87"/>
  <c r="BT147" i="87" s="1"/>
  <c r="BU139" i="87"/>
  <c r="F19" i="87"/>
  <c r="W139" i="87"/>
  <c r="AF140" i="87"/>
  <c r="AF147" i="87" s="1"/>
  <c r="AG139" i="87"/>
  <c r="B15" i="87"/>
  <c r="B17" i="87" s="1"/>
  <c r="V115" i="81"/>
  <c r="V122" i="81" s="1"/>
  <c r="CD115" i="81"/>
  <c r="CD122" i="81" s="1"/>
  <c r="BT140" i="64"/>
  <c r="BT147" i="64" s="1"/>
  <c r="BU139" i="64"/>
  <c r="AQ140" i="64"/>
  <c r="AQ147" i="64" s="1"/>
  <c r="AR139" i="64"/>
  <c r="W114" i="75"/>
  <c r="V115" i="75"/>
  <c r="V122" i="75" s="1"/>
  <c r="AF115" i="75"/>
  <c r="AF122" i="75" s="1"/>
  <c r="AG114" i="75"/>
  <c r="F6" i="87"/>
  <c r="BB139" i="87"/>
  <c r="BA140" i="87"/>
  <c r="BA147" i="87" s="1"/>
  <c r="BK115" i="81"/>
  <c r="BK122" i="81" s="1"/>
  <c r="H45" i="87"/>
  <c r="V140" i="64"/>
  <c r="V147" i="64" s="1"/>
  <c r="W139" i="64"/>
  <c r="AQ140" i="87"/>
  <c r="AR139" i="87"/>
  <c r="BK140" i="64"/>
  <c r="BK147" i="64" s="1"/>
  <c r="BL139" i="64"/>
  <c r="H31" i="87"/>
  <c r="CD140" i="64"/>
  <c r="CD147" i="64" s="1"/>
  <c r="CE139" i="64"/>
  <c r="AF140" i="64"/>
  <c r="AF147" i="64" s="1"/>
  <c r="AG139" i="64"/>
  <c r="CE139" i="87"/>
  <c r="CD140" i="87"/>
  <c r="CD147" i="87" s="1"/>
  <c r="H196" i="35"/>
  <c r="BA140" i="64"/>
  <c r="BA147" i="64" s="1"/>
  <c r="BB139" i="64"/>
  <c r="BK110" i="64"/>
  <c r="BL110" i="64" s="1"/>
  <c r="BM110" i="64" s="1"/>
  <c r="BN110" i="64" s="1"/>
  <c r="BO110" i="64" s="1"/>
  <c r="BP110" i="64" s="1"/>
  <c r="BQ110" i="64" s="1"/>
  <c r="BR110" i="64" s="1"/>
  <c r="BS110" i="64" s="1"/>
  <c r="CE110" i="64"/>
  <c r="CF110" i="64" s="1"/>
  <c r="CG110" i="64" s="1"/>
  <c r="CH110" i="64" s="1"/>
  <c r="CI110" i="64" s="1"/>
  <c r="CJ110" i="64" s="1"/>
  <c r="CK110" i="64" s="1"/>
  <c r="CL110" i="64" s="1"/>
  <c r="CM110" i="64" s="1"/>
  <c r="W98" i="64"/>
  <c r="V99" i="64"/>
  <c r="V107" i="81"/>
  <c r="G196" i="35"/>
  <c r="G68" i="35"/>
  <c r="G202" i="35" s="1"/>
  <c r="BB98" i="64"/>
  <c r="BA99" i="64"/>
  <c r="BA107" i="81"/>
  <c r="N68" i="35"/>
  <c r="N202" i="35" s="1"/>
  <c r="N196" i="35"/>
  <c r="H31" i="75"/>
  <c r="BC87" i="64"/>
  <c r="BB100" i="81"/>
  <c r="BB115" i="81" s="1"/>
  <c r="BB122" i="81" s="1"/>
  <c r="AP115" i="81"/>
  <c r="AQ99" i="87"/>
  <c r="AQ141" i="87" s="1"/>
  <c r="AR98" i="87"/>
  <c r="BU98" i="64"/>
  <c r="BT99" i="64"/>
  <c r="BT107" i="81"/>
  <c r="F68" i="35"/>
  <c r="L68" i="35"/>
  <c r="L202" i="35" s="1"/>
  <c r="L196" i="35"/>
  <c r="CD107" i="81"/>
  <c r="CD99" i="64"/>
  <c r="CE98" i="64"/>
  <c r="M98" i="87"/>
  <c r="W98" i="87"/>
  <c r="V99" i="87"/>
  <c r="V141" i="87" s="1"/>
  <c r="W87" i="75"/>
  <c r="V88" i="75"/>
  <c r="V116" i="75" s="1"/>
  <c r="BJ108" i="81"/>
  <c r="BJ141" i="64"/>
  <c r="M68" i="35"/>
  <c r="M202" i="35" s="1"/>
  <c r="M196" i="35"/>
  <c r="AR100" i="81"/>
  <c r="AR115" i="81" s="1"/>
  <c r="AR122" i="81" s="1"/>
  <c r="AS87" i="64"/>
  <c r="C98" i="87"/>
  <c r="D87" i="75"/>
  <c r="C88" i="75"/>
  <c r="BJ115" i="81"/>
  <c r="BJ122" i="81" s="1"/>
  <c r="BA115" i="81"/>
  <c r="BA122" i="81" s="1"/>
  <c r="BA99" i="87"/>
  <c r="BA141" i="87" s="1"/>
  <c r="BB98" i="87"/>
  <c r="BM87" i="64"/>
  <c r="BL100" i="81"/>
  <c r="BL115" i="81" s="1"/>
  <c r="BL122" i="81" s="1"/>
  <c r="AI87" i="64"/>
  <c r="AH100" i="81"/>
  <c r="AH115" i="81" s="1"/>
  <c r="AH122" i="81" s="1"/>
  <c r="AF115" i="81"/>
  <c r="AF122" i="81" s="1"/>
  <c r="L88" i="75"/>
  <c r="M87" i="75"/>
  <c r="AG115" i="81"/>
  <c r="AG122" i="81" s="1"/>
  <c r="AP141" i="87"/>
  <c r="CN141" i="87"/>
  <c r="AH98" i="87"/>
  <c r="AG99" i="87"/>
  <c r="AG141" i="87" s="1"/>
  <c r="CN115" i="81"/>
  <c r="CN122" i="81" s="1"/>
  <c r="D100" i="81"/>
  <c r="D115" i="81" s="1"/>
  <c r="D122" i="81" s="1"/>
  <c r="E87" i="64"/>
  <c r="BV87" i="64"/>
  <c r="BU100" i="81"/>
  <c r="BU115" i="81" s="1"/>
  <c r="BU122" i="81" s="1"/>
  <c r="AQ115" i="81"/>
  <c r="AQ122" i="81" s="1"/>
  <c r="L107" i="81"/>
  <c r="M98" i="64"/>
  <c r="CE110" i="87"/>
  <c r="CF110" i="87" s="1"/>
  <c r="CG110" i="87" s="1"/>
  <c r="CH110" i="87" s="1"/>
  <c r="CI110" i="87" s="1"/>
  <c r="CJ110" i="87" s="1"/>
  <c r="CK110" i="87" s="1"/>
  <c r="CL110" i="87" s="1"/>
  <c r="CM110" i="87" s="1"/>
  <c r="W100" i="81"/>
  <c r="W115" i="81" s="1"/>
  <c r="W122" i="81" s="1"/>
  <c r="X87" i="64"/>
  <c r="N87" i="64"/>
  <c r="M100" i="81"/>
  <c r="M115" i="81" s="1"/>
  <c r="CN99" i="64"/>
  <c r="CN107" i="81"/>
  <c r="AZ141" i="64"/>
  <c r="AZ108" i="81"/>
  <c r="B108" i="81"/>
  <c r="B141" i="64"/>
  <c r="BK99" i="87"/>
  <c r="BL98" i="87"/>
  <c r="BK110" i="87"/>
  <c r="BL110" i="87" s="1"/>
  <c r="BM110" i="87" s="1"/>
  <c r="BN110" i="87" s="1"/>
  <c r="BO110" i="87" s="1"/>
  <c r="BP110" i="87" s="1"/>
  <c r="BQ110" i="87" s="1"/>
  <c r="BR110" i="87" s="1"/>
  <c r="BS110" i="87" s="1"/>
  <c r="AZ115" i="81"/>
  <c r="AZ122" i="81" s="1"/>
  <c r="C115" i="81"/>
  <c r="C122" i="81" s="1"/>
  <c r="BL98" i="64"/>
  <c r="BK99" i="64"/>
  <c r="BK107" i="81"/>
  <c r="BU98" i="87"/>
  <c r="BT99" i="87"/>
  <c r="BT141" i="87" s="1"/>
  <c r="BT115" i="81"/>
  <c r="BT122" i="81" s="1"/>
  <c r="CF87" i="64"/>
  <c r="CE100" i="81"/>
  <c r="CE115" i="81" s="1"/>
  <c r="CE122" i="81" s="1"/>
  <c r="CD99" i="87"/>
  <c r="CD141" i="87" s="1"/>
  <c r="CE98" i="87"/>
  <c r="AP141" i="64" l="1"/>
  <c r="C99" i="64"/>
  <c r="C108" i="81" s="1"/>
  <c r="AH98" i="64"/>
  <c r="AH107" i="81" s="1"/>
  <c r="AG99" i="64"/>
  <c r="AG141" i="64" s="1"/>
  <c r="C107" i="81"/>
  <c r="AH87" i="75"/>
  <c r="AH88" i="75" s="1"/>
  <c r="AH116" i="75" s="1"/>
  <c r="AF141" i="64"/>
  <c r="AQ107" i="81"/>
  <c r="AQ99" i="64"/>
  <c r="AQ141" i="64" s="1"/>
  <c r="AG116" i="75"/>
  <c r="AG140" i="87"/>
  <c r="AG147" i="87" s="1"/>
  <c r="AH139" i="87"/>
  <c r="AQ147" i="87"/>
  <c r="BB140" i="64"/>
  <c r="BB147" i="64" s="1"/>
  <c r="BC139" i="64"/>
  <c r="CE140" i="64"/>
  <c r="CE147" i="64" s="1"/>
  <c r="CF139" i="64"/>
  <c r="AH114" i="75"/>
  <c r="AG115" i="75"/>
  <c r="AG122" i="75" s="1"/>
  <c r="BU140" i="64"/>
  <c r="BU147" i="64" s="1"/>
  <c r="BV139" i="64"/>
  <c r="CF139" i="87"/>
  <c r="CE140" i="87"/>
  <c r="CE147" i="87" s="1"/>
  <c r="BC139" i="87"/>
  <c r="BB140" i="87"/>
  <c r="BB147" i="87" s="1"/>
  <c r="W140" i="64"/>
  <c r="W147" i="64" s="1"/>
  <c r="X139" i="64"/>
  <c r="BU140" i="87"/>
  <c r="BU147" i="87" s="1"/>
  <c r="BV139" i="87"/>
  <c r="AR140" i="87"/>
  <c r="AR147" i="87" s="1"/>
  <c r="AS139" i="87"/>
  <c r="F55" i="87"/>
  <c r="B44" i="87" s="1"/>
  <c r="AR140" i="64"/>
  <c r="AR147" i="64" s="1"/>
  <c r="AS139" i="64"/>
  <c r="AG140" i="64"/>
  <c r="AG147" i="64" s="1"/>
  <c r="AH139" i="64"/>
  <c r="X139" i="87"/>
  <c r="W140" i="87"/>
  <c r="W147" i="87" s="1"/>
  <c r="BL140" i="64"/>
  <c r="BL147" i="64" s="1"/>
  <c r="BM139" i="64"/>
  <c r="X114" i="75"/>
  <c r="W115" i="75"/>
  <c r="W122" i="75" s="1"/>
  <c r="BK140" i="87"/>
  <c r="BK147" i="87" s="1"/>
  <c r="BL139" i="87"/>
  <c r="BL99" i="64"/>
  <c r="BL107" i="81"/>
  <c r="BM98" i="64"/>
  <c r="AH99" i="87"/>
  <c r="AH141" i="87" s="1"/>
  <c r="AI98" i="87"/>
  <c r="AR99" i="87"/>
  <c r="AS98" i="87"/>
  <c r="V108" i="81"/>
  <c r="V141" i="64"/>
  <c r="W99" i="64"/>
  <c r="W107" i="81"/>
  <c r="X98" i="64"/>
  <c r="N87" i="75"/>
  <c r="M88" i="75"/>
  <c r="BD87" i="64"/>
  <c r="BC100" i="81"/>
  <c r="BC115" i="81" s="1"/>
  <c r="BC122" i="81" s="1"/>
  <c r="CF100" i="81"/>
  <c r="CF115" i="81" s="1"/>
  <c r="CF122" i="81" s="1"/>
  <c r="CG87" i="64"/>
  <c r="M107" i="81"/>
  <c r="N98" i="64"/>
  <c r="M99" i="64"/>
  <c r="L108" i="81"/>
  <c r="L123" i="81" s="1"/>
  <c r="W99" i="87"/>
  <c r="W141" i="87" s="1"/>
  <c r="X98" i="87"/>
  <c r="AJ87" i="64"/>
  <c r="AI100" i="81"/>
  <c r="AI115" i="81" s="1"/>
  <c r="AI122" i="81" s="1"/>
  <c r="E87" i="75"/>
  <c r="D88" i="75"/>
  <c r="N98" i="87"/>
  <c r="M99" i="87"/>
  <c r="AI98" i="64"/>
  <c r="BV100" i="81"/>
  <c r="BV115" i="81" s="1"/>
  <c r="BV122" i="81" s="1"/>
  <c r="BW87" i="64"/>
  <c r="W88" i="75"/>
  <c r="W116" i="75" s="1"/>
  <c r="X87" i="75"/>
  <c r="BU99" i="64"/>
  <c r="BV98" i="64"/>
  <c r="BU107" i="81"/>
  <c r="BL99" i="87"/>
  <c r="BL141" i="87" s="1"/>
  <c r="BM98" i="87"/>
  <c r="BV98" i="87"/>
  <c r="BU99" i="87"/>
  <c r="BU141" i="87" s="1"/>
  <c r="M122" i="81"/>
  <c r="C99" i="87"/>
  <c r="D98" i="87"/>
  <c r="CE107" i="81"/>
  <c r="CE99" i="64"/>
  <c r="CF98" i="64"/>
  <c r="BA141" i="64"/>
  <c r="BA108" i="81"/>
  <c r="D99" i="64"/>
  <c r="E98" i="64"/>
  <c r="D107" i="81"/>
  <c r="BB99" i="87"/>
  <c r="BB141" i="87" s="1"/>
  <c r="BC98" i="87"/>
  <c r="AS100" i="81"/>
  <c r="AS115" i="81" s="1"/>
  <c r="AS122" i="81" s="1"/>
  <c r="AT87" i="64"/>
  <c r="BT141" i="64"/>
  <c r="BT108" i="81"/>
  <c r="F87" i="64"/>
  <c r="E100" i="81"/>
  <c r="E115" i="81" s="1"/>
  <c r="E122" i="81" s="1"/>
  <c r="CN108" i="81"/>
  <c r="CN141" i="64"/>
  <c r="BK141" i="87"/>
  <c r="O87" i="64"/>
  <c r="N100" i="81"/>
  <c r="N115" i="81" s="1"/>
  <c r="N122" i="81" s="1"/>
  <c r="CF98" i="87"/>
  <c r="CE99" i="87"/>
  <c r="CE141" i="87" s="1"/>
  <c r="BK141" i="64"/>
  <c r="BK108" i="81"/>
  <c r="Y87" i="64"/>
  <c r="X100" i="81"/>
  <c r="X115" i="81" s="1"/>
  <c r="X122" i="81" s="1"/>
  <c r="AS98" i="64"/>
  <c r="AR107" i="81"/>
  <c r="AR99" i="64"/>
  <c r="BN87" i="64"/>
  <c r="BM100" i="81"/>
  <c r="BM115" i="81" s="1"/>
  <c r="BM122" i="81" s="1"/>
  <c r="CD141" i="64"/>
  <c r="CD108" i="81"/>
  <c r="AP122" i="81"/>
  <c r="BB99" i="64"/>
  <c r="BB107" i="81"/>
  <c r="BC98" i="64"/>
  <c r="AH99" i="64" l="1"/>
  <c r="AH141" i="64" s="1"/>
  <c r="AI87" i="75"/>
  <c r="AJ87" i="75" s="1"/>
  <c r="AG108" i="81"/>
  <c r="AG123" i="81" s="1"/>
  <c r="AQ108" i="81"/>
  <c r="AQ123" i="81" s="1"/>
  <c r="CD123" i="81"/>
  <c r="V123" i="81"/>
  <c r="BT123" i="81"/>
  <c r="BC140" i="64"/>
  <c r="BC147" i="64" s="1"/>
  <c r="BD139" i="64"/>
  <c r="Y139" i="87"/>
  <c r="X140" i="87"/>
  <c r="X147" i="87" s="1"/>
  <c r="BK123" i="81"/>
  <c r="BJ123" i="81"/>
  <c r="AH140" i="64"/>
  <c r="AH147" i="64" s="1"/>
  <c r="AI139" i="64"/>
  <c r="BW139" i="87"/>
  <c r="BV140" i="87"/>
  <c r="BV147" i="87" s="1"/>
  <c r="BV140" i="64"/>
  <c r="BV147" i="64" s="1"/>
  <c r="BW139" i="64"/>
  <c r="BL140" i="87"/>
  <c r="BL147" i="87" s="1"/>
  <c r="BM139" i="87"/>
  <c r="CG139" i="87"/>
  <c r="CF140" i="87"/>
  <c r="CF147" i="87" s="1"/>
  <c r="CF140" i="64"/>
  <c r="CF147" i="64" s="1"/>
  <c r="CG139" i="64"/>
  <c r="AS140" i="87"/>
  <c r="AS147" i="87" s="1"/>
  <c r="AT139" i="87"/>
  <c r="CN123" i="81"/>
  <c r="C18" i="88"/>
  <c r="C23" i="88" s="1"/>
  <c r="X115" i="75"/>
  <c r="X122" i="75" s="1"/>
  <c r="Y114" i="75"/>
  <c r="AS140" i="64"/>
  <c r="AS147" i="64" s="1"/>
  <c r="AT139" i="64"/>
  <c r="X140" i="64"/>
  <c r="X147" i="64" s="1"/>
  <c r="Y139" i="64"/>
  <c r="AI139" i="87"/>
  <c r="AH140" i="87"/>
  <c r="AH147" i="87" s="1"/>
  <c r="BD139" i="87"/>
  <c r="BC140" i="87"/>
  <c r="BC147" i="87" s="1"/>
  <c r="AP123" i="81"/>
  <c r="C123" i="81"/>
  <c r="AZ123" i="81"/>
  <c r="BA123" i="81"/>
  <c r="AF123" i="81"/>
  <c r="BM140" i="64"/>
  <c r="BM147" i="64" s="1"/>
  <c r="BN139" i="64"/>
  <c r="AH115" i="75"/>
  <c r="AH122" i="75" s="1"/>
  <c r="AI114" i="75"/>
  <c r="BC99" i="64"/>
  <c r="BD98" i="64"/>
  <c r="BC107" i="81"/>
  <c r="G87" i="64"/>
  <c r="F100" i="81"/>
  <c r="F115" i="81" s="1"/>
  <c r="F122" i="81" s="1"/>
  <c r="BW98" i="87"/>
  <c r="BV99" i="87"/>
  <c r="BV141" i="87" s="1"/>
  <c r="Y98" i="64"/>
  <c r="X107" i="81"/>
  <c r="X99" i="64"/>
  <c r="D108" i="81"/>
  <c r="D123" i="81" s="1"/>
  <c r="BW98" i="64"/>
  <c r="BV99" i="64"/>
  <c r="BV107" i="81"/>
  <c r="F87" i="75"/>
  <c r="E88" i="75"/>
  <c r="W141" i="64"/>
  <c r="W108" i="81"/>
  <c r="W123" i="81" s="1"/>
  <c r="P87" i="64"/>
  <c r="O100" i="81"/>
  <c r="O115" i="81" s="1"/>
  <c r="CE141" i="64"/>
  <c r="CE108" i="81"/>
  <c r="CE123" i="81" s="1"/>
  <c r="O87" i="75"/>
  <c r="N88" i="75"/>
  <c r="BM99" i="87"/>
  <c r="BM141" i="87" s="1"/>
  <c r="BN98" i="87"/>
  <c r="AJ98" i="87"/>
  <c r="AI99" i="87"/>
  <c r="AI141" i="87" s="1"/>
  <c r="O98" i="87"/>
  <c r="N99" i="87"/>
  <c r="AT100" i="81"/>
  <c r="AT115" i="81" s="1"/>
  <c r="AU87" i="64"/>
  <c r="AR108" i="81"/>
  <c r="AR123" i="81" s="1"/>
  <c r="AR141" i="64"/>
  <c r="BU108" i="81"/>
  <c r="BU123" i="81" s="1"/>
  <c r="BU141" i="64"/>
  <c r="BN98" i="64"/>
  <c r="BM99" i="64"/>
  <c r="BM107" i="81"/>
  <c r="Z87" i="64"/>
  <c r="Y100" i="81"/>
  <c r="Y115" i="81" s="1"/>
  <c r="Y122" i="81" s="1"/>
  <c r="AR141" i="87"/>
  <c r="N99" i="64"/>
  <c r="N107" i="81"/>
  <c r="O98" i="64"/>
  <c r="D99" i="87"/>
  <c r="E98" i="87"/>
  <c r="Y98" i="87"/>
  <c r="X99" i="87"/>
  <c r="X141" i="87" s="1"/>
  <c r="F98" i="64"/>
  <c r="E99" i="64"/>
  <c r="E107" i="81"/>
  <c r="BW100" i="81"/>
  <c r="BW115" i="81" s="1"/>
  <c r="BW122" i="81" s="1"/>
  <c r="BX87" i="64"/>
  <c r="AT98" i="64"/>
  <c r="AS99" i="64"/>
  <c r="AS107" i="81"/>
  <c r="BD98" i="87"/>
  <c r="BC99" i="87"/>
  <c r="BC141" i="87" s="1"/>
  <c r="Y87" i="75"/>
  <c r="X88" i="75"/>
  <c r="X116" i="75" s="1"/>
  <c r="AK87" i="64"/>
  <c r="AJ100" i="81"/>
  <c r="AJ115" i="81" s="1"/>
  <c r="AJ122" i="81" s="1"/>
  <c r="BE87" i="64"/>
  <c r="BD100" i="81"/>
  <c r="BD115" i="81" s="1"/>
  <c r="BD122" i="81" s="1"/>
  <c r="AJ98" i="64"/>
  <c r="AI99" i="64"/>
  <c r="AI107" i="81"/>
  <c r="M108" i="81"/>
  <c r="M123" i="81" s="1"/>
  <c r="BB108" i="81"/>
  <c r="BB123" i="81" s="1"/>
  <c r="BB141" i="64"/>
  <c r="BO87" i="64"/>
  <c r="BN100" i="81"/>
  <c r="BN115" i="81" s="1"/>
  <c r="BN122" i="81" s="1"/>
  <c r="CG100" i="81"/>
  <c r="CG115" i="81" s="1"/>
  <c r="CG122" i="81" s="1"/>
  <c r="CH87" i="64"/>
  <c r="CF99" i="87"/>
  <c r="CF141" i="87" s="1"/>
  <c r="CG98" i="87"/>
  <c r="CF99" i="64"/>
  <c r="CG98" i="64"/>
  <c r="CF107" i="81"/>
  <c r="AH108" i="81"/>
  <c r="AH123" i="81" s="1"/>
  <c r="AT98" i="87"/>
  <c r="AS99" i="87"/>
  <c r="AS141" i="87" s="1"/>
  <c r="BL108" i="81"/>
  <c r="BL123" i="81" s="1"/>
  <c r="BL141" i="64"/>
  <c r="AI88" i="75" l="1"/>
  <c r="AI116" i="75" s="1"/>
  <c r="D18" i="88"/>
  <c r="CG140" i="64"/>
  <c r="CG147" i="64" s="1"/>
  <c r="CH139" i="64"/>
  <c r="AJ139" i="87"/>
  <c r="AI140" i="87"/>
  <c r="AI147" i="87" s="1"/>
  <c r="Y140" i="87"/>
  <c r="Y147" i="87" s="1"/>
  <c r="Z139" i="87"/>
  <c r="Y115" i="75"/>
  <c r="Y122" i="75" s="1"/>
  <c r="Z114" i="75"/>
  <c r="BE139" i="87"/>
  <c r="BD140" i="87"/>
  <c r="BD147" i="87" s="1"/>
  <c r="BW140" i="64"/>
  <c r="BW147" i="64" s="1"/>
  <c r="BX139" i="64"/>
  <c r="Y140" i="64"/>
  <c r="Y147" i="64" s="1"/>
  <c r="Z139" i="64"/>
  <c r="BX139" i="87"/>
  <c r="BW140" i="87"/>
  <c r="BW147" i="87" s="1"/>
  <c r="BD140" i="64"/>
  <c r="BD147" i="64" s="1"/>
  <c r="BE139" i="64"/>
  <c r="AI115" i="75"/>
  <c r="AI122" i="75" s="1"/>
  <c r="AJ114" i="75"/>
  <c r="BN140" i="64"/>
  <c r="BN147" i="64" s="1"/>
  <c r="BO139" i="64"/>
  <c r="AT140" i="87"/>
  <c r="AU139" i="87"/>
  <c r="CG140" i="87"/>
  <c r="CG147" i="87" s="1"/>
  <c r="CH139" i="87"/>
  <c r="AI140" i="64"/>
  <c r="AI147" i="64" s="1"/>
  <c r="AJ139" i="64"/>
  <c r="AT140" i="64"/>
  <c r="AT147" i="64" s="1"/>
  <c r="AU139" i="64"/>
  <c r="BM140" i="87"/>
  <c r="BM147" i="87" s="1"/>
  <c r="BN139" i="87"/>
  <c r="BO98" i="87"/>
  <c r="BN99" i="87"/>
  <c r="BN141" i="87" s="1"/>
  <c r="AK87" i="75"/>
  <c r="AJ88" i="75"/>
  <c r="AJ116" i="75" s="1"/>
  <c r="BW99" i="87"/>
  <c r="BW141" i="87" s="1"/>
  <c r="BX98" i="87"/>
  <c r="BX100" i="81"/>
  <c r="BX115" i="81" s="1"/>
  <c r="BX122" i="81" s="1"/>
  <c r="BY87" i="64"/>
  <c r="AV87" i="64"/>
  <c r="AU100" i="81"/>
  <c r="AU115" i="81" s="1"/>
  <c r="AU122" i="81" s="1"/>
  <c r="O122" i="81"/>
  <c r="CF108" i="81"/>
  <c r="CF123" i="81" s="1"/>
  <c r="CF141" i="64"/>
  <c r="BE100" i="81"/>
  <c r="BE115" i="81" s="1"/>
  <c r="BE122" i="81" s="1"/>
  <c r="BF87" i="64"/>
  <c r="BM108" i="81"/>
  <c r="BM123" i="81" s="1"/>
  <c r="BM141" i="64"/>
  <c r="AT122" i="81"/>
  <c r="O88" i="75"/>
  <c r="P87" i="75"/>
  <c r="P100" i="81"/>
  <c r="P115" i="81" s="1"/>
  <c r="P122" i="81" s="1"/>
  <c r="Q87" i="64"/>
  <c r="BW107" i="81"/>
  <c r="BX98" i="64"/>
  <c r="BW99" i="64"/>
  <c r="CH100" i="81"/>
  <c r="CH115" i="81" s="1"/>
  <c r="CH122" i="81" s="1"/>
  <c r="CI87" i="64"/>
  <c r="Z98" i="87"/>
  <c r="Y99" i="87"/>
  <c r="Y141" i="87" s="1"/>
  <c r="Z87" i="75"/>
  <c r="Y88" i="75"/>
  <c r="Y116" i="75" s="1"/>
  <c r="X108" i="81"/>
  <c r="X123" i="81" s="1"/>
  <c r="X141" i="64"/>
  <c r="CG99" i="64"/>
  <c r="CG107" i="81"/>
  <c r="CH98" i="64"/>
  <c r="BD99" i="87"/>
  <c r="BD141" i="87" s="1"/>
  <c r="BE98" i="87"/>
  <c r="Y99" i="64"/>
  <c r="Y107" i="81"/>
  <c r="Z98" i="64"/>
  <c r="AS141" i="64"/>
  <c r="AS108" i="81"/>
  <c r="AS123" i="81" s="1"/>
  <c r="E108" i="81"/>
  <c r="E123" i="81" s="1"/>
  <c r="N108" i="81"/>
  <c r="N123" i="81" s="1"/>
  <c r="BN107" i="81"/>
  <c r="BO98" i="64"/>
  <c r="BN99" i="64"/>
  <c r="BE98" i="64"/>
  <c r="BD99" i="64"/>
  <c r="BD107" i="81"/>
  <c r="AI141" i="64"/>
  <c r="AI108" i="81"/>
  <c r="AI123" i="81" s="1"/>
  <c r="E99" i="87"/>
  <c r="F98" i="87"/>
  <c r="G87" i="75"/>
  <c r="F88" i="75"/>
  <c r="G100" i="81"/>
  <c r="G115" i="81" s="1"/>
  <c r="G122" i="81" s="1"/>
  <c r="H87" i="64"/>
  <c r="F107" i="81"/>
  <c r="F99" i="64"/>
  <c r="G98" i="64"/>
  <c r="BC141" i="64"/>
  <c r="BC108" i="81"/>
  <c r="BC123" i="81" s="1"/>
  <c r="AJ99" i="87"/>
  <c r="AJ141" i="87" s="1"/>
  <c r="AK98" i="87"/>
  <c r="D13" i="88"/>
  <c r="D15" i="88"/>
  <c r="D17" i="88"/>
  <c r="D10" i="88"/>
  <c r="D21" i="88"/>
  <c r="D12" i="88"/>
  <c r="D20" i="88"/>
  <c r="D16" i="88"/>
  <c r="D11" i="88"/>
  <c r="D14" i="88"/>
  <c r="AJ99" i="64"/>
  <c r="AJ107" i="81"/>
  <c r="AK98" i="64"/>
  <c r="Z100" i="81"/>
  <c r="Z115" i="81" s="1"/>
  <c r="Z122" i="81" s="1"/>
  <c r="AA87" i="64"/>
  <c r="BP87" i="64"/>
  <c r="BO100" i="81"/>
  <c r="BO115" i="81" s="1"/>
  <c r="BO122" i="81" s="1"/>
  <c r="P98" i="64"/>
  <c r="O99" i="64"/>
  <c r="O107" i="81"/>
  <c r="BV141" i="64"/>
  <c r="BV108" i="81"/>
  <c r="BV123" i="81" s="1"/>
  <c r="AT99" i="87"/>
  <c r="AT141" i="87" s="1"/>
  <c r="AU98" i="87"/>
  <c r="CG99" i="87"/>
  <c r="CG141" i="87" s="1"/>
  <c r="CH98" i="87"/>
  <c r="AU98" i="64"/>
  <c r="AT99" i="64"/>
  <c r="AT107" i="81"/>
  <c r="P98" i="87"/>
  <c r="O99" i="87"/>
  <c r="AL87" i="64"/>
  <c r="AK100" i="81"/>
  <c r="AK115" i="81" s="1"/>
  <c r="AK122" i="81" s="1"/>
  <c r="Z140" i="64" l="1"/>
  <c r="Z147" i="64" s="1"/>
  <c r="AA139" i="64"/>
  <c r="BX140" i="87"/>
  <c r="BX147" i="87" s="1"/>
  <c r="BY139" i="87"/>
  <c r="AJ140" i="64"/>
  <c r="AJ147" i="64" s="1"/>
  <c r="AK139" i="64"/>
  <c r="AA139" i="87"/>
  <c r="Z140" i="87"/>
  <c r="Z147" i="87" s="1"/>
  <c r="AK114" i="75"/>
  <c r="AJ115" i="75"/>
  <c r="AJ122" i="75" s="1"/>
  <c r="BX140" i="64"/>
  <c r="BX147" i="64" s="1"/>
  <c r="BY139" i="64"/>
  <c r="BO139" i="87"/>
  <c r="BN140" i="87"/>
  <c r="BN147" i="87" s="1"/>
  <c r="BE140" i="64"/>
  <c r="BE147" i="64" s="1"/>
  <c r="BF139" i="64"/>
  <c r="AK139" i="87"/>
  <c r="AJ140" i="87"/>
  <c r="AJ147" i="87" s="1"/>
  <c r="BO140" i="64"/>
  <c r="BO147" i="64" s="1"/>
  <c r="BP139" i="64"/>
  <c r="AU140" i="87"/>
  <c r="AU147" i="87" s="1"/>
  <c r="AV139" i="87"/>
  <c r="BF139" i="87"/>
  <c r="BE140" i="87"/>
  <c r="BE147" i="87" s="1"/>
  <c r="CH140" i="64"/>
  <c r="CH147" i="64" s="1"/>
  <c r="CI139" i="64"/>
  <c r="CI139" i="87"/>
  <c r="CH140" i="87"/>
  <c r="CH147" i="87" s="1"/>
  <c r="AU140" i="64"/>
  <c r="AU147" i="64" s="1"/>
  <c r="AV139" i="64"/>
  <c r="AT147" i="87"/>
  <c r="AA114" i="75"/>
  <c r="Z115" i="75"/>
  <c r="Z122" i="75" s="1"/>
  <c r="BX99" i="87"/>
  <c r="BX141" i="87" s="1"/>
  <c r="BY98" i="87"/>
  <c r="CG108" i="81"/>
  <c r="CG123" i="81" s="1"/>
  <c r="CG141" i="64"/>
  <c r="AV98" i="64"/>
  <c r="AU99" i="64"/>
  <c r="AU107" i="81"/>
  <c r="BW108" i="81"/>
  <c r="BW123" i="81" s="1"/>
  <c r="BW141" i="64"/>
  <c r="BY100" i="81"/>
  <c r="BY115" i="81" s="1"/>
  <c r="BY122" i="81" s="1"/>
  <c r="BZ87" i="64"/>
  <c r="AA98" i="64"/>
  <c r="Z99" i="64"/>
  <c r="Z107" i="81"/>
  <c r="AA98" i="87"/>
  <c r="Z99" i="87"/>
  <c r="Z141" i="87" s="1"/>
  <c r="CJ87" i="64"/>
  <c r="CI100" i="81"/>
  <c r="CI115" i="81" s="1"/>
  <c r="CI122" i="81" s="1"/>
  <c r="O108" i="81"/>
  <c r="O123" i="81" s="1"/>
  <c r="Y141" i="64"/>
  <c r="Y108" i="81"/>
  <c r="Y123" i="81" s="1"/>
  <c r="Q98" i="87"/>
  <c r="P99" i="87"/>
  <c r="BX99" i="64"/>
  <c r="BY98" i="64"/>
  <c r="BX107" i="81"/>
  <c r="AK88" i="75"/>
  <c r="AK116" i="75" s="1"/>
  <c r="AL87" i="75"/>
  <c r="I87" i="64"/>
  <c r="H100" i="81"/>
  <c r="H115" i="81" s="1"/>
  <c r="H122" i="81" s="1"/>
  <c r="BP98" i="64"/>
  <c r="BO107" i="81"/>
  <c r="BO99" i="64"/>
  <c r="AM87" i="64"/>
  <c r="AL100" i="81"/>
  <c r="AL115" i="81" s="1"/>
  <c r="AL122" i="81" s="1"/>
  <c r="BD108" i="81"/>
  <c r="BD123" i="81" s="1"/>
  <c r="BD141" i="64"/>
  <c r="D23" i="88"/>
  <c r="BE99" i="64"/>
  <c r="BF98" i="64"/>
  <c r="BE107" i="81"/>
  <c r="AU99" i="87"/>
  <c r="AV98" i="87"/>
  <c r="H98" i="64"/>
  <c r="G107" i="81"/>
  <c r="G99" i="64"/>
  <c r="BN141" i="64"/>
  <c r="BN108" i="81"/>
  <c r="BN123" i="81" s="1"/>
  <c r="CH99" i="87"/>
  <c r="CH141" i="87" s="1"/>
  <c r="CI98" i="87"/>
  <c r="AK99" i="64"/>
  <c r="AK107" i="81"/>
  <c r="AL98" i="64"/>
  <c r="CH107" i="81"/>
  <c r="CI98" i="64"/>
  <c r="CH99" i="64"/>
  <c r="Q87" i="75"/>
  <c r="P88" i="75"/>
  <c r="AJ108" i="81"/>
  <c r="AJ123" i="81" s="1"/>
  <c r="AJ141" i="64"/>
  <c r="Q98" i="64"/>
  <c r="P99" i="64"/>
  <c r="P107" i="81"/>
  <c r="H87" i="75"/>
  <c r="G88" i="75"/>
  <c r="G98" i="87"/>
  <c r="F99" i="87"/>
  <c r="BQ87" i="64"/>
  <c r="BP100" i="81"/>
  <c r="BP115" i="81" s="1"/>
  <c r="BP122" i="81" s="1"/>
  <c r="AT108" i="81"/>
  <c r="AT123" i="81" s="1"/>
  <c r="AT141" i="64"/>
  <c r="AA100" i="81"/>
  <c r="AA115" i="81" s="1"/>
  <c r="AA122" i="81" s="1"/>
  <c r="AB87" i="64"/>
  <c r="AK99" i="87"/>
  <c r="AK141" i="87" s="1"/>
  <c r="AL98" i="87"/>
  <c r="F108" i="81"/>
  <c r="F123" i="81" s="1"/>
  <c r="BF98" i="87"/>
  <c r="BE99" i="87"/>
  <c r="BE141" i="87" s="1"/>
  <c r="Z88" i="75"/>
  <c r="Z116" i="75" s="1"/>
  <c r="AA87" i="75"/>
  <c r="R87" i="64"/>
  <c r="Q100" i="81"/>
  <c r="Q115" i="81" s="1"/>
  <c r="Q122" i="81" s="1"/>
  <c r="BF100" i="81"/>
  <c r="BF115" i="81" s="1"/>
  <c r="BF122" i="81" s="1"/>
  <c r="BG87" i="64"/>
  <c r="AW87" i="64"/>
  <c r="AV100" i="81"/>
  <c r="AV115" i="81" s="1"/>
  <c r="BP98" i="87"/>
  <c r="BO99" i="87"/>
  <c r="BO141" i="87" s="1"/>
  <c r="BY140" i="64" l="1"/>
  <c r="BY147" i="64" s="1"/>
  <c r="BZ139" i="64"/>
  <c r="BZ139" i="87"/>
  <c r="BY140" i="87"/>
  <c r="BY147" i="87" s="1"/>
  <c r="BP139" i="87"/>
  <c r="BO140" i="87"/>
  <c r="BO147" i="87" s="1"/>
  <c r="CI140" i="64"/>
  <c r="CI147" i="64" s="1"/>
  <c r="CJ139" i="64"/>
  <c r="AB139" i="87"/>
  <c r="AA140" i="87"/>
  <c r="AA147" i="87" s="1"/>
  <c r="AV140" i="87"/>
  <c r="AV147" i="87" s="1"/>
  <c r="AW139" i="87"/>
  <c r="CJ139" i="87"/>
  <c r="CI140" i="87"/>
  <c r="CI147" i="87" s="1"/>
  <c r="AA115" i="75"/>
  <c r="AA122" i="75" s="1"/>
  <c r="AB114" i="75"/>
  <c r="AV140" i="64"/>
  <c r="AV147" i="64" s="1"/>
  <c r="AW139" i="64"/>
  <c r="AK140" i="87"/>
  <c r="AK147" i="87" s="1"/>
  <c r="AL139" i="87"/>
  <c r="AK115" i="75"/>
  <c r="AK122" i="75" s="1"/>
  <c r="AL114" i="75"/>
  <c r="AA140" i="64"/>
  <c r="AA147" i="64" s="1"/>
  <c r="AB139" i="64"/>
  <c r="BG139" i="87"/>
  <c r="BF140" i="87"/>
  <c r="BF147" i="87" s="1"/>
  <c r="AK140" i="64"/>
  <c r="AK147" i="64" s="1"/>
  <c r="AL139" i="64"/>
  <c r="BP140" i="64"/>
  <c r="BP147" i="64" s="1"/>
  <c r="BQ139" i="64"/>
  <c r="BF140" i="64"/>
  <c r="BF147" i="64" s="1"/>
  <c r="BG139" i="64"/>
  <c r="BQ100" i="81"/>
  <c r="BQ115" i="81" s="1"/>
  <c r="BQ122" i="81" s="1"/>
  <c r="BR87" i="64"/>
  <c r="BX141" i="64"/>
  <c r="BX108" i="81"/>
  <c r="BX123" i="81" s="1"/>
  <c r="AB87" i="75"/>
  <c r="AA88" i="75"/>
  <c r="AA116" i="75" s="1"/>
  <c r="AM98" i="64"/>
  <c r="AL99" i="64"/>
  <c r="AL107" i="81"/>
  <c r="AU141" i="64"/>
  <c r="AU108" i="81"/>
  <c r="AU123" i="81" s="1"/>
  <c r="AK108" i="81"/>
  <c r="AK123" i="81" s="1"/>
  <c r="AK141" i="64"/>
  <c r="AV99" i="87"/>
  <c r="AV141" i="87" s="1"/>
  <c r="AW98" i="87"/>
  <c r="AM87" i="75"/>
  <c r="AL88" i="75"/>
  <c r="AL116" i="75" s="1"/>
  <c r="AB98" i="87"/>
  <c r="AA99" i="87"/>
  <c r="AA141" i="87" s="1"/>
  <c r="AC87" i="64"/>
  <c r="AB100" i="81"/>
  <c r="AB115" i="81" s="1"/>
  <c r="AB122" i="81" s="1"/>
  <c r="G99" i="87"/>
  <c r="H98" i="87"/>
  <c r="J87" i="64"/>
  <c r="I100" i="81"/>
  <c r="I115" i="81" s="1"/>
  <c r="I122" i="81" s="1"/>
  <c r="BG98" i="87"/>
  <c r="BF99" i="87"/>
  <c r="BF141" i="87" s="1"/>
  <c r="I87" i="75"/>
  <c r="H88" i="75"/>
  <c r="CJ98" i="87"/>
  <c r="CI99" i="87"/>
  <c r="CI141" i="87" s="1"/>
  <c r="AU141" i="87"/>
  <c r="Q99" i="64"/>
  <c r="R98" i="64"/>
  <c r="Q107" i="81"/>
  <c r="BE108" i="81"/>
  <c r="BE123" i="81" s="1"/>
  <c r="BE141" i="64"/>
  <c r="BZ100" i="81"/>
  <c r="BZ115" i="81" s="1"/>
  <c r="BZ122" i="81" s="1"/>
  <c r="CA87" i="64"/>
  <c r="BQ98" i="87"/>
  <c r="BP99" i="87"/>
  <c r="BP141" i="87" s="1"/>
  <c r="G108" i="81"/>
  <c r="G123" i="81" s="1"/>
  <c r="BP107" i="81"/>
  <c r="BQ98" i="64"/>
  <c r="BP99" i="64"/>
  <c r="CK87" i="64"/>
  <c r="CJ100" i="81"/>
  <c r="CJ115" i="81" s="1"/>
  <c r="CJ122" i="81" s="1"/>
  <c r="AV122" i="81"/>
  <c r="AX87" i="64"/>
  <c r="AW100" i="81"/>
  <c r="AW115" i="81" s="1"/>
  <c r="AW122" i="81" s="1"/>
  <c r="R87" i="75"/>
  <c r="Q88" i="75"/>
  <c r="AN87" i="64"/>
  <c r="AM100" i="81"/>
  <c r="AM115" i="81" s="1"/>
  <c r="AM122" i="81" s="1"/>
  <c r="Z108" i="81"/>
  <c r="Z123" i="81" s="1"/>
  <c r="Z141" i="64"/>
  <c r="BZ98" i="87"/>
  <c r="BY99" i="87"/>
  <c r="BY141" i="87" s="1"/>
  <c r="AM98" i="87"/>
  <c r="AL99" i="87"/>
  <c r="AL141" i="87" s="1"/>
  <c r="CI107" i="81"/>
  <c r="CI99" i="64"/>
  <c r="CJ98" i="64"/>
  <c r="S87" i="64"/>
  <c r="R100" i="81"/>
  <c r="R115" i="81" s="1"/>
  <c r="R122" i="81" s="1"/>
  <c r="H99" i="64"/>
  <c r="H107" i="81"/>
  <c r="I98" i="64"/>
  <c r="R98" i="87"/>
  <c r="Q99" i="87"/>
  <c r="AW98" i="64"/>
  <c r="AV99" i="64"/>
  <c r="AV107" i="81"/>
  <c r="BH87" i="64"/>
  <c r="BG100" i="81"/>
  <c r="BG115" i="81" s="1"/>
  <c r="BG122" i="81" s="1"/>
  <c r="P108" i="81"/>
  <c r="P123" i="81" s="1"/>
  <c r="CH108" i="81"/>
  <c r="CH123" i="81" s="1"/>
  <c r="CH141" i="64"/>
  <c r="BG98" i="64"/>
  <c r="BF107" i="81"/>
  <c r="BF99" i="64"/>
  <c r="BO141" i="64"/>
  <c r="BO108" i="81"/>
  <c r="BO123" i="81" s="1"/>
  <c r="BZ98" i="64"/>
  <c r="BY107" i="81"/>
  <c r="BY99" i="64"/>
  <c r="AB98" i="64"/>
  <c r="AA99" i="64"/>
  <c r="AA107" i="81"/>
  <c r="BH139" i="87" l="1"/>
  <c r="BG140" i="87"/>
  <c r="BG147" i="87" s="1"/>
  <c r="AB140" i="64"/>
  <c r="AB147" i="64" s="1"/>
  <c r="AC139" i="64"/>
  <c r="AC114" i="75"/>
  <c r="AB115" i="75"/>
  <c r="AB122" i="75" s="1"/>
  <c r="AW140" i="64"/>
  <c r="AW147" i="64" s="1"/>
  <c r="AX139" i="64"/>
  <c r="BG140" i="64"/>
  <c r="BG147" i="64" s="1"/>
  <c r="BH139" i="64"/>
  <c r="BQ139" i="87"/>
  <c r="BP140" i="87"/>
  <c r="BP147" i="87" s="1"/>
  <c r="AB140" i="87"/>
  <c r="AB147" i="87" s="1"/>
  <c r="AC139" i="87"/>
  <c r="CA139" i="87"/>
  <c r="BZ140" i="87"/>
  <c r="BZ147" i="87" s="1"/>
  <c r="AW140" i="87"/>
  <c r="AW147" i="87" s="1"/>
  <c r="AX139" i="87"/>
  <c r="BQ140" i="64"/>
  <c r="BQ147" i="64" s="1"/>
  <c r="BR139" i="64"/>
  <c r="AM114" i="75"/>
  <c r="AL115" i="75"/>
  <c r="AL122" i="75" s="1"/>
  <c r="CJ140" i="64"/>
  <c r="CJ147" i="64" s="1"/>
  <c r="CK139" i="64"/>
  <c r="AL140" i="64"/>
  <c r="AL147" i="64" s="1"/>
  <c r="AM139" i="64"/>
  <c r="AL140" i="87"/>
  <c r="AL147" i="87" s="1"/>
  <c r="AM139" i="87"/>
  <c r="CK139" i="87"/>
  <c r="CJ140" i="87"/>
  <c r="CJ147" i="87" s="1"/>
  <c r="BZ140" i="64"/>
  <c r="BZ147" i="64" s="1"/>
  <c r="CA139" i="64"/>
  <c r="AV108" i="81"/>
  <c r="AV123" i="81" s="1"/>
  <c r="AV141" i="64"/>
  <c r="AM107" i="81"/>
  <c r="AM99" i="64"/>
  <c r="AN98" i="64"/>
  <c r="AX98" i="64"/>
  <c r="AW107" i="81"/>
  <c r="AW99" i="64"/>
  <c r="CI108" i="81"/>
  <c r="CI123" i="81" s="1"/>
  <c r="CI141" i="64"/>
  <c r="AC87" i="75"/>
  <c r="AB88" i="75"/>
  <c r="AB116" i="75" s="1"/>
  <c r="S98" i="87"/>
  <c r="R99" i="87"/>
  <c r="S100" i="81"/>
  <c r="S115" i="81" s="1"/>
  <c r="T87" i="64"/>
  <c r="AX98" i="87"/>
  <c r="AW99" i="87"/>
  <c r="AW141" i="87" s="1"/>
  <c r="BZ107" i="81"/>
  <c r="BZ99" i="64"/>
  <c r="CA98" i="64"/>
  <c r="AO87" i="64"/>
  <c r="AO100" i="81" s="1"/>
  <c r="AO115" i="81" s="1"/>
  <c r="AO122" i="81" s="1"/>
  <c r="AN100" i="81"/>
  <c r="AN115" i="81" s="1"/>
  <c r="AN122" i="81" s="1"/>
  <c r="J87" i="75"/>
  <c r="I88" i="75"/>
  <c r="S87" i="75"/>
  <c r="R88" i="75"/>
  <c r="CB87" i="64"/>
  <c r="CA100" i="81"/>
  <c r="CA115" i="81" s="1"/>
  <c r="CA122" i="81" s="1"/>
  <c r="BG99" i="87"/>
  <c r="BG141" i="87" s="1"/>
  <c r="BH98" i="87"/>
  <c r="AC98" i="87"/>
  <c r="AB99" i="87"/>
  <c r="AB141" i="87" s="1"/>
  <c r="BS87" i="64"/>
  <c r="BS100" i="81" s="1"/>
  <c r="BS115" i="81" s="1"/>
  <c r="BS122" i="81" s="1"/>
  <c r="BR100" i="81"/>
  <c r="BR115" i="81" s="1"/>
  <c r="BR122" i="81" s="1"/>
  <c r="H99" i="87"/>
  <c r="I98" i="87"/>
  <c r="CK98" i="64"/>
  <c r="CJ99" i="64"/>
  <c r="CJ107" i="81"/>
  <c r="I99" i="64"/>
  <c r="J98" i="64"/>
  <c r="I107" i="81"/>
  <c r="CL87" i="64"/>
  <c r="CK100" i="81"/>
  <c r="CK115" i="81" s="1"/>
  <c r="CK122" i="81" s="1"/>
  <c r="H108" i="81"/>
  <c r="H123" i="81" s="1"/>
  <c r="BY108" i="81"/>
  <c r="BY123" i="81" s="1"/>
  <c r="BY141" i="64"/>
  <c r="CJ99" i="87"/>
  <c r="CJ141" i="87" s="1"/>
  <c r="CK98" i="87"/>
  <c r="R99" i="64"/>
  <c r="R107" i="81"/>
  <c r="S98" i="64"/>
  <c r="Q108" i="81"/>
  <c r="Q123" i="81" s="1"/>
  <c r="AD87" i="64"/>
  <c r="AC100" i="81"/>
  <c r="AC115" i="81" s="1"/>
  <c r="AC122" i="81" s="1"/>
  <c r="BR98" i="87"/>
  <c r="BQ99" i="87"/>
  <c r="BQ141" i="87" s="1"/>
  <c r="BF108" i="81"/>
  <c r="BF123" i="81" s="1"/>
  <c r="BF141" i="64"/>
  <c r="AM99" i="87"/>
  <c r="AM141" i="87" s="1"/>
  <c r="AN98" i="87"/>
  <c r="BP141" i="64"/>
  <c r="BP108" i="81"/>
  <c r="BP123" i="81" s="1"/>
  <c r="AA108" i="81"/>
  <c r="AA123" i="81" s="1"/>
  <c r="AA141" i="64"/>
  <c r="BH100" i="81"/>
  <c r="BH115" i="81" s="1"/>
  <c r="BH122" i="81" s="1"/>
  <c r="BI87" i="64"/>
  <c r="BI100" i="81" s="1"/>
  <c r="BI115" i="81" s="1"/>
  <c r="BI122" i="81" s="1"/>
  <c r="BR98" i="64"/>
  <c r="BQ99" i="64"/>
  <c r="BQ107" i="81"/>
  <c r="AB107" i="81"/>
  <c r="AC98" i="64"/>
  <c r="AB99" i="64"/>
  <c r="BG99" i="64"/>
  <c r="BG107" i="81"/>
  <c r="BH98" i="64"/>
  <c r="BZ99" i="87"/>
  <c r="BZ141" i="87" s="1"/>
  <c r="CA98" i="87"/>
  <c r="AX100" i="81"/>
  <c r="AX115" i="81" s="1"/>
  <c r="AY87" i="64"/>
  <c r="AY100" i="81" s="1"/>
  <c r="AY115" i="81" s="1"/>
  <c r="AY122" i="81" s="1"/>
  <c r="K87" i="64"/>
  <c r="K100" i="81" s="1"/>
  <c r="K115" i="81" s="1"/>
  <c r="K122" i="81" s="1"/>
  <c r="J100" i="81"/>
  <c r="J115" i="81" s="1"/>
  <c r="J122" i="81" s="1"/>
  <c r="AN87" i="75"/>
  <c r="AM88" i="75"/>
  <c r="AM116" i="75" s="1"/>
  <c r="AL108" i="81"/>
  <c r="AL123" i="81" s="1"/>
  <c r="AL141" i="64"/>
  <c r="AC140" i="64" l="1"/>
  <c r="AC147" i="64" s="1"/>
  <c r="AD139" i="64"/>
  <c r="CA140" i="64"/>
  <c r="CA147" i="64" s="1"/>
  <c r="CB139" i="64"/>
  <c r="CK140" i="64"/>
  <c r="CK147" i="64" s="1"/>
  <c r="CL139" i="64"/>
  <c r="BH140" i="64"/>
  <c r="BH147" i="64" s="1"/>
  <c r="BI139" i="64"/>
  <c r="BI140" i="64" s="1"/>
  <c r="BI147" i="64" s="1"/>
  <c r="BR140" i="64"/>
  <c r="BR147" i="64" s="1"/>
  <c r="BS139" i="64"/>
  <c r="BS140" i="64" s="1"/>
  <c r="BS147" i="64" s="1"/>
  <c r="AC115" i="75"/>
  <c r="AC122" i="75" s="1"/>
  <c r="AD114" i="75"/>
  <c r="BR139" i="87"/>
  <c r="BQ140" i="87"/>
  <c r="BQ147" i="87" s="1"/>
  <c r="AM140" i="87"/>
  <c r="AM147" i="87" s="1"/>
  <c r="AN139" i="87"/>
  <c r="CB139" i="87"/>
  <c r="CA140" i="87"/>
  <c r="CA147" i="87" s="1"/>
  <c r="AX140" i="64"/>
  <c r="AX147" i="64" s="1"/>
  <c r="AY139" i="64"/>
  <c r="AY140" i="64" s="1"/>
  <c r="AY147" i="64" s="1"/>
  <c r="BI139" i="87"/>
  <c r="BI140" i="87" s="1"/>
  <c r="BI147" i="87" s="1"/>
  <c r="BH140" i="87"/>
  <c r="BH147" i="87" s="1"/>
  <c r="AM140" i="64"/>
  <c r="AM147" i="64" s="1"/>
  <c r="AN139" i="64"/>
  <c r="AY139" i="87"/>
  <c r="AY140" i="87" s="1"/>
  <c r="AY147" i="87" s="1"/>
  <c r="AX140" i="87"/>
  <c r="AX147" i="87" s="1"/>
  <c r="CK140" i="87"/>
  <c r="CK147" i="87" s="1"/>
  <c r="CL139" i="87"/>
  <c r="AN114" i="75"/>
  <c r="AM115" i="75"/>
  <c r="AM122" i="75" s="1"/>
  <c r="AD139" i="87"/>
  <c r="AC140" i="87"/>
  <c r="AC147" i="87" s="1"/>
  <c r="J98" i="87"/>
  <c r="I99" i="87"/>
  <c r="CB100" i="81"/>
  <c r="CB115" i="81" s="1"/>
  <c r="CB122" i="81" s="1"/>
  <c r="CC87" i="64"/>
  <c r="CC100" i="81" s="1"/>
  <c r="CC115" i="81" s="1"/>
  <c r="CC122" i="81" s="1"/>
  <c r="I108" i="81"/>
  <c r="I123" i="81" s="1"/>
  <c r="T87" i="75"/>
  <c r="S88" i="75"/>
  <c r="AD87" i="75"/>
  <c r="AC88" i="75"/>
  <c r="AC116" i="75" s="1"/>
  <c r="S122" i="81"/>
  <c r="R108" i="81"/>
  <c r="R123" i="81" s="1"/>
  <c r="AX99" i="64"/>
  <c r="AY98" i="64"/>
  <c r="AX107" i="81"/>
  <c r="BQ108" i="81"/>
  <c r="BQ123" i="81" s="1"/>
  <c r="BQ141" i="64"/>
  <c r="CL98" i="87"/>
  <c r="CK99" i="87"/>
  <c r="CK141" i="87" s="1"/>
  <c r="AO98" i="64"/>
  <c r="AN99" i="64"/>
  <c r="AN107" i="81"/>
  <c r="BR107" i="81"/>
  <c r="BR99" i="64"/>
  <c r="BS98" i="64"/>
  <c r="AD100" i="81"/>
  <c r="AD115" i="81" s="1"/>
  <c r="AD122" i="81" s="1"/>
  <c r="AE87" i="64"/>
  <c r="AE100" i="81" s="1"/>
  <c r="AE115" i="81" s="1"/>
  <c r="AE122" i="81" s="1"/>
  <c r="J99" i="64"/>
  <c r="K98" i="64"/>
  <c r="J107" i="81"/>
  <c r="AM108" i="81"/>
  <c r="AM123" i="81" s="1"/>
  <c r="AM141" i="64"/>
  <c r="BG141" i="64"/>
  <c r="BG108" i="81"/>
  <c r="BG123" i="81" s="1"/>
  <c r="AC99" i="87"/>
  <c r="AC141" i="87" s="1"/>
  <c r="AD98" i="87"/>
  <c r="CA99" i="87"/>
  <c r="CA141" i="87" s="1"/>
  <c r="CB98" i="87"/>
  <c r="CB98" i="64"/>
  <c r="CA99" i="64"/>
  <c r="CA107" i="81"/>
  <c r="AO87" i="75"/>
  <c r="AO88" i="75" s="1"/>
  <c r="AN88" i="75"/>
  <c r="AN116" i="75" s="1"/>
  <c r="CJ141" i="64"/>
  <c r="CJ108" i="81"/>
  <c r="CJ123" i="81" s="1"/>
  <c r="BI98" i="87"/>
  <c r="BI99" i="87" s="1"/>
  <c r="BI141" i="87" s="1"/>
  <c r="BH99" i="87"/>
  <c r="BH141" i="87" s="1"/>
  <c r="K87" i="75"/>
  <c r="K88" i="75" s="1"/>
  <c r="J88" i="75"/>
  <c r="AY98" i="87"/>
  <c r="AY99" i="87" s="1"/>
  <c r="AY141" i="87" s="1"/>
  <c r="AX99" i="87"/>
  <c r="AX141" i="87" s="1"/>
  <c r="CM87" i="64"/>
  <c r="CL100" i="81"/>
  <c r="CL115" i="81" s="1"/>
  <c r="CL122" i="81" s="1"/>
  <c r="BH99" i="64"/>
  <c r="BH107" i="81"/>
  <c r="BI98" i="64"/>
  <c r="AN99" i="87"/>
  <c r="AN141" i="87" s="1"/>
  <c r="AO98" i="87"/>
  <c r="AO99" i="87" s="1"/>
  <c r="AO141" i="87" s="1"/>
  <c r="S99" i="87"/>
  <c r="T98" i="87"/>
  <c r="BZ141" i="64"/>
  <c r="BZ108" i="81"/>
  <c r="BZ123" i="81" s="1"/>
  <c r="AB108" i="81"/>
  <c r="AB123" i="81" s="1"/>
  <c r="AB141" i="64"/>
  <c r="AD98" i="64"/>
  <c r="AC99" i="64"/>
  <c r="AC107" i="81"/>
  <c r="AX122" i="81"/>
  <c r="BR99" i="87"/>
  <c r="BR141" i="87" s="1"/>
  <c r="BS98" i="87"/>
  <c r="BS99" i="87" s="1"/>
  <c r="BS141" i="87" s="1"/>
  <c r="T98" i="64"/>
  <c r="S99" i="64"/>
  <c r="S107" i="81"/>
  <c r="CK99" i="64"/>
  <c r="CK107" i="81"/>
  <c r="CL98" i="64"/>
  <c r="U87" i="64"/>
  <c r="U100" i="81" s="1"/>
  <c r="U115" i="81" s="1"/>
  <c r="U122" i="81" s="1"/>
  <c r="T100" i="81"/>
  <c r="T115" i="81" s="1"/>
  <c r="T122" i="81" s="1"/>
  <c r="AW141" i="64"/>
  <c r="AW108" i="81"/>
  <c r="AW123" i="81" s="1"/>
  <c r="BS139" i="87" l="1"/>
  <c r="BS140" i="87" s="1"/>
  <c r="BS147" i="87" s="1"/>
  <c r="BR140" i="87"/>
  <c r="BR147" i="87" s="1"/>
  <c r="CL140" i="64"/>
  <c r="CL147" i="64" s="1"/>
  <c r="CM139" i="64"/>
  <c r="CM140" i="64" s="1"/>
  <c r="CM147" i="64" s="1"/>
  <c r="AN140" i="87"/>
  <c r="AN147" i="87" s="1"/>
  <c r="AO139" i="87"/>
  <c r="AO140" i="87" s="1"/>
  <c r="AO147" i="87" s="1"/>
  <c r="AD115" i="75"/>
  <c r="AD122" i="75" s="1"/>
  <c r="AE114" i="75"/>
  <c r="AE115" i="75" s="1"/>
  <c r="AE122" i="75" s="1"/>
  <c r="CB140" i="64"/>
  <c r="CB147" i="64" s="1"/>
  <c r="CC139" i="64"/>
  <c r="CC140" i="64" s="1"/>
  <c r="CC147" i="64" s="1"/>
  <c r="AN140" i="64"/>
  <c r="AN147" i="64" s="1"/>
  <c r="AO139" i="64"/>
  <c r="AO140" i="64" s="1"/>
  <c r="AO147" i="64" s="1"/>
  <c r="CB140" i="87"/>
  <c r="CB147" i="87" s="1"/>
  <c r="CC139" i="87"/>
  <c r="CC140" i="87" s="1"/>
  <c r="CC147" i="87" s="1"/>
  <c r="AD140" i="87"/>
  <c r="AD147" i="87" s="1"/>
  <c r="AE139" i="87"/>
  <c r="AE140" i="87" s="1"/>
  <c r="AE147" i="87" s="1"/>
  <c r="AN115" i="75"/>
  <c r="AN122" i="75" s="1"/>
  <c r="AO114" i="75"/>
  <c r="AO115" i="75" s="1"/>
  <c r="AO122" i="75" s="1"/>
  <c r="AD140" i="64"/>
  <c r="AD147" i="64" s="1"/>
  <c r="AE139" i="64"/>
  <c r="AE140" i="64" s="1"/>
  <c r="AE147" i="64" s="1"/>
  <c r="CL140" i="87"/>
  <c r="CL147" i="87" s="1"/>
  <c r="CM139" i="87"/>
  <c r="CM140" i="87" s="1"/>
  <c r="K99" i="64"/>
  <c r="K107" i="81"/>
  <c r="AN141" i="64"/>
  <c r="AN108" i="81"/>
  <c r="AN123" i="81" s="1"/>
  <c r="AX141" i="64"/>
  <c r="AX108" i="81"/>
  <c r="AX123" i="81" s="1"/>
  <c r="CM100" i="81"/>
  <c r="CM115" i="81" s="1"/>
  <c r="F6" i="64"/>
  <c r="H31" i="64"/>
  <c r="AO99" i="64"/>
  <c r="AO107" i="81"/>
  <c r="T88" i="75"/>
  <c r="U87" i="75"/>
  <c r="U88" i="75" s="1"/>
  <c r="AC141" i="64"/>
  <c r="AC108" i="81"/>
  <c r="AC123" i="81" s="1"/>
  <c r="AO116" i="75"/>
  <c r="CM98" i="87"/>
  <c r="CM99" i="87" s="1"/>
  <c r="CL99" i="87"/>
  <c r="CL141" i="87" s="1"/>
  <c r="AE98" i="87"/>
  <c r="AE99" i="87" s="1"/>
  <c r="AE141" i="87" s="1"/>
  <c r="AD99" i="87"/>
  <c r="AD141" i="87" s="1"/>
  <c r="CK108" i="81"/>
  <c r="CK123" i="81" s="1"/>
  <c r="CK141" i="64"/>
  <c r="U98" i="64"/>
  <c r="T107" i="81"/>
  <c r="T99" i="64"/>
  <c r="BI99" i="64"/>
  <c r="BI107" i="81"/>
  <c r="CA141" i="64"/>
  <c r="CA108" i="81"/>
  <c r="CA123" i="81" s="1"/>
  <c r="BR141" i="64"/>
  <c r="BR108" i="81"/>
  <c r="BR123" i="81" s="1"/>
  <c r="S108" i="81"/>
  <c r="S123" i="81" s="1"/>
  <c r="BS99" i="64"/>
  <c r="BS107" i="81"/>
  <c r="CC98" i="64"/>
  <c r="CB107" i="81"/>
  <c r="CB99" i="64"/>
  <c r="CM98" i="64"/>
  <c r="CL99" i="64"/>
  <c r="CL107" i="81"/>
  <c r="T99" i="87"/>
  <c r="U98" i="87"/>
  <c r="U99" i="87" s="1"/>
  <c r="J108" i="81"/>
  <c r="J123" i="81" s="1"/>
  <c r="AD107" i="81"/>
  <c r="AE98" i="64"/>
  <c r="AD99" i="64"/>
  <c r="B11" i="82"/>
  <c r="BH108" i="81"/>
  <c r="BH123" i="81" s="1"/>
  <c r="BH141" i="64"/>
  <c r="CC98" i="87"/>
  <c r="CC99" i="87" s="1"/>
  <c r="CC141" i="87" s="1"/>
  <c r="CB99" i="87"/>
  <c r="CB141" i="87" s="1"/>
  <c r="AY99" i="64"/>
  <c r="AY107" i="81"/>
  <c r="AD88" i="75"/>
  <c r="AD116" i="75" s="1"/>
  <c r="AE87" i="75"/>
  <c r="AE88" i="75" s="1"/>
  <c r="AE116" i="75" s="1"/>
  <c r="J99" i="87"/>
  <c r="K98" i="87"/>
  <c r="K99" i="87" s="1"/>
  <c r="B13" i="82" l="1"/>
  <c r="F3" i="75"/>
  <c r="F7" i="75" s="1"/>
  <c r="F14" i="75" s="1"/>
  <c r="CM147" i="87"/>
  <c r="F56" i="87"/>
  <c r="B45" i="87" s="1"/>
  <c r="CC99" i="64"/>
  <c r="CC107" i="81"/>
  <c r="T108" i="81"/>
  <c r="T123" i="81" s="1"/>
  <c r="AO141" i="64"/>
  <c r="AO108" i="81"/>
  <c r="AO123" i="81" s="1"/>
  <c r="BI141" i="64"/>
  <c r="BI108" i="81"/>
  <c r="BI123" i="81" s="1"/>
  <c r="F29" i="75"/>
  <c r="BS141" i="64"/>
  <c r="BS108" i="81"/>
  <c r="BS123" i="81" s="1"/>
  <c r="CM141" i="87"/>
  <c r="I56" i="87" s="1"/>
  <c r="F3" i="87"/>
  <c r="F29" i="87"/>
  <c r="AD141" i="64"/>
  <c r="AD108" i="81"/>
  <c r="AD123" i="81" s="1"/>
  <c r="CL108" i="81"/>
  <c r="CL123" i="81" s="1"/>
  <c r="CL141" i="64"/>
  <c r="AE107" i="81"/>
  <c r="AE99" i="64"/>
  <c r="CM99" i="64"/>
  <c r="CM107" i="81"/>
  <c r="U107" i="81"/>
  <c r="U99" i="64"/>
  <c r="AY141" i="64"/>
  <c r="AY108" i="81"/>
  <c r="AY123" i="81" s="1"/>
  <c r="CB141" i="64"/>
  <c r="CB108" i="81"/>
  <c r="CB123" i="81" s="1"/>
  <c r="CM122" i="81"/>
  <c r="D11" i="82"/>
  <c r="C11" i="82"/>
  <c r="C13" i="82" s="1"/>
  <c r="K108" i="81"/>
  <c r="K123" i="81" s="1"/>
  <c r="D13" i="82" l="1"/>
  <c r="J56" i="87"/>
  <c r="D17" i="87"/>
  <c r="F59" i="87"/>
  <c r="B48" i="87" s="1"/>
  <c r="F7" i="87"/>
  <c r="F14" i="87" s="1"/>
  <c r="H21" i="87"/>
  <c r="AE108" i="81"/>
  <c r="AE123" i="81" s="1"/>
  <c r="AE141" i="64"/>
  <c r="CM141" i="64"/>
  <c r="CM108" i="81"/>
  <c r="CM123" i="81" s="1"/>
  <c r="F3" i="64"/>
  <c r="F29" i="64"/>
  <c r="F16" i="75"/>
  <c r="I14" i="75"/>
  <c r="U108" i="81"/>
  <c r="U123" i="81" s="1"/>
  <c r="C4" i="88"/>
  <c r="G33" i="87"/>
  <c r="G40" i="87" s="1"/>
  <c r="G42" i="87" s="1"/>
  <c r="G47" i="87" s="1"/>
  <c r="H56" i="87"/>
  <c r="B35" i="87"/>
  <c r="B35" i="75"/>
  <c r="C4" i="77"/>
  <c r="G33" i="75"/>
  <c r="G40" i="75" s="1"/>
  <c r="G42" i="75" s="1"/>
  <c r="C27" i="78"/>
  <c r="D27" i="78" s="1"/>
  <c r="CC108" i="81"/>
  <c r="CC123" i="81" s="1"/>
  <c r="CC141" i="64"/>
  <c r="C27" i="71" l="1"/>
  <c r="D27" i="71" s="1"/>
  <c r="B35" i="64"/>
  <c r="B2" i="73" s="1"/>
  <c r="C4" i="74"/>
  <c r="G33" i="64"/>
  <c r="G40" i="64" s="1"/>
  <c r="G42" i="64" s="1"/>
  <c r="F7" i="64"/>
  <c r="F14" i="64" s="1"/>
  <c r="E12" i="88"/>
  <c r="E11" i="88"/>
  <c r="E15" i="88"/>
  <c r="E20" i="88"/>
  <c r="E16" i="88"/>
  <c r="E10" i="88"/>
  <c r="E21" i="88"/>
  <c r="E14" i="88"/>
  <c r="E17" i="88"/>
  <c r="E13" i="88"/>
  <c r="E18" i="88"/>
  <c r="E23" i="88"/>
  <c r="G52" i="87"/>
  <c r="C5" i="88"/>
  <c r="C6" i="88" s="1"/>
  <c r="E27" i="78"/>
  <c r="D28" i="78"/>
  <c r="E20" i="77"/>
  <c r="E13" i="77"/>
  <c r="E14" i="77"/>
  <c r="E12" i="77"/>
  <c r="E11" i="77"/>
  <c r="E17" i="77"/>
  <c r="E15" i="77"/>
  <c r="E21" i="77"/>
  <c r="E16" i="77"/>
  <c r="E10" i="77"/>
  <c r="G56" i="87"/>
  <c r="G59" i="87" s="1"/>
  <c r="I59" i="87" s="1"/>
  <c r="F16" i="87"/>
  <c r="F21" i="87" s="1"/>
  <c r="I21" i="87" s="1"/>
  <c r="I14" i="87"/>
  <c r="E11" i="74" l="1"/>
  <c r="E12" i="74"/>
  <c r="E15" i="74"/>
  <c r="E13" i="74"/>
  <c r="E20" i="74"/>
  <c r="E14" i="74"/>
  <c r="E16" i="74"/>
  <c r="E17" i="74"/>
  <c r="E21" i="74"/>
  <c r="E10" i="74"/>
  <c r="E27" i="71"/>
  <c r="D28" i="71"/>
  <c r="F16" i="64"/>
  <c r="I14" i="64"/>
  <c r="L28" i="78"/>
  <c r="F28" i="78"/>
  <c r="J28" i="78"/>
  <c r="G28" i="78"/>
  <c r="D29" i="78"/>
  <c r="L29" i="78" l="1"/>
  <c r="J29" i="78"/>
  <c r="F29" i="78"/>
  <c r="G29" i="78"/>
  <c r="D30" i="78"/>
  <c r="G28" i="71"/>
  <c r="F28" i="71"/>
  <c r="J28" i="71"/>
  <c r="D29" i="71"/>
  <c r="L28" i="71"/>
  <c r="F30" i="78" l="1"/>
  <c r="G30" i="78"/>
  <c r="J30" i="78"/>
  <c r="K30" i="78"/>
  <c r="D31" i="78"/>
  <c r="J29" i="71"/>
  <c r="F29" i="71"/>
  <c r="D30" i="71"/>
  <c r="L29" i="71"/>
  <c r="G29" i="71"/>
  <c r="D31" i="71" l="1"/>
  <c r="F30" i="71"/>
  <c r="G30" i="71"/>
  <c r="J30" i="71"/>
  <c r="K30" i="71"/>
  <c r="F31" i="78"/>
  <c r="G31" i="78"/>
  <c r="J31" i="78"/>
  <c r="D32" i="78"/>
  <c r="L31" i="78"/>
  <c r="J32" i="78" l="1"/>
  <c r="F32" i="78"/>
  <c r="G32" i="78"/>
  <c r="L32" i="78"/>
  <c r="D33" i="78"/>
  <c r="F31" i="71"/>
  <c r="D32" i="71"/>
  <c r="J31" i="71"/>
  <c r="G31" i="71"/>
  <c r="L31" i="71"/>
  <c r="F33" i="78" l="1"/>
  <c r="G33" i="78"/>
  <c r="J33" i="78"/>
  <c r="L33" i="78"/>
  <c r="D34" i="78"/>
  <c r="J32" i="71"/>
  <c r="D33" i="71"/>
  <c r="F32" i="71"/>
  <c r="L32" i="71"/>
  <c r="G32" i="71"/>
  <c r="G34" i="78" l="1"/>
  <c r="J34" i="78"/>
  <c r="F34" i="78"/>
  <c r="D35" i="78"/>
  <c r="L34" i="78"/>
  <c r="L33" i="71"/>
  <c r="G33" i="71"/>
  <c r="F33" i="71"/>
  <c r="D34" i="71"/>
  <c r="J33" i="71"/>
  <c r="J35" i="78" l="1"/>
  <c r="F35" i="78"/>
  <c r="G35" i="78"/>
  <c r="L35" i="78"/>
  <c r="G34" i="71"/>
  <c r="D35" i="71"/>
  <c r="J34" i="71"/>
  <c r="L34" i="71"/>
  <c r="F34" i="71"/>
  <c r="J35" i="71" l="1"/>
  <c r="F35" i="71"/>
  <c r="G35" i="71"/>
  <c r="L35" i="71"/>
  <c r="I36" i="17"/>
  <c r="I37" i="17"/>
  <c r="I35" i="17"/>
  <c r="I16" i="17" l="1"/>
  <c r="L133" i="64" s="1"/>
  <c r="I17" i="17" l="1"/>
  <c r="F129" i="35" s="1"/>
  <c r="L133" i="87"/>
  <c r="C133" i="87" s="1"/>
  <c r="D133" i="87" s="1"/>
  <c r="E133" i="87" s="1"/>
  <c r="F133" i="87" s="1"/>
  <c r="G133" i="87" s="1"/>
  <c r="H133" i="87" s="1"/>
  <c r="I133" i="87" s="1"/>
  <c r="J133" i="87" s="1"/>
  <c r="K133" i="87" s="1"/>
  <c r="M133" i="64"/>
  <c r="N133" i="64" s="1"/>
  <c r="O133" i="64" s="1"/>
  <c r="P133" i="64" s="1"/>
  <c r="Q133" i="64" s="1"/>
  <c r="R133" i="64" s="1"/>
  <c r="S133" i="64" s="1"/>
  <c r="T133" i="64" s="1"/>
  <c r="U133" i="64" s="1"/>
  <c r="C133" i="64"/>
  <c r="D133" i="64" s="1"/>
  <c r="E133" i="64" s="1"/>
  <c r="F133" i="64" s="1"/>
  <c r="G133" i="64" s="1"/>
  <c r="H133" i="64" s="1"/>
  <c r="I133" i="64" s="1"/>
  <c r="J133" i="64" s="1"/>
  <c r="K133" i="64" s="1"/>
  <c r="C11" i="27" l="1"/>
  <c r="L128" i="87" s="1"/>
  <c r="M133" i="87"/>
  <c r="N133" i="87" s="1"/>
  <c r="O133" i="87" s="1"/>
  <c r="P133" i="87" s="1"/>
  <c r="Q133" i="87" s="1"/>
  <c r="R133" i="87" s="1"/>
  <c r="S133" i="87" s="1"/>
  <c r="T133" i="87" s="1"/>
  <c r="U133" i="87" s="1"/>
  <c r="F130" i="35"/>
  <c r="F132" i="35"/>
  <c r="F190" i="35" s="1"/>
  <c r="F136" i="35"/>
  <c r="F140" i="35"/>
  <c r="G136" i="35"/>
  <c r="C71" i="27" l="1"/>
  <c r="L110" i="87" s="1"/>
  <c r="C28" i="27"/>
  <c r="L114" i="75" s="1"/>
  <c r="L107" i="75"/>
  <c r="M107" i="75" s="1"/>
  <c r="N107" i="75" s="1"/>
  <c r="O107" i="75" s="1"/>
  <c r="P107" i="75" s="1"/>
  <c r="Q107" i="75" s="1"/>
  <c r="R107" i="75" s="1"/>
  <c r="S107" i="75" s="1"/>
  <c r="T107" i="75" s="1"/>
  <c r="U107" i="75" s="1"/>
  <c r="L128" i="64"/>
  <c r="M128" i="64" s="1"/>
  <c r="N128" i="64" s="1"/>
  <c r="O128" i="64" s="1"/>
  <c r="P128" i="64" s="1"/>
  <c r="Q128" i="64" s="1"/>
  <c r="R128" i="64" s="1"/>
  <c r="S128" i="64" s="1"/>
  <c r="T128" i="64" s="1"/>
  <c r="U128" i="64" s="1"/>
  <c r="M128" i="87"/>
  <c r="N128" i="87" s="1"/>
  <c r="O128" i="87" s="1"/>
  <c r="P128" i="87" s="1"/>
  <c r="Q128" i="87" s="1"/>
  <c r="R128" i="87" s="1"/>
  <c r="S128" i="87" s="1"/>
  <c r="T128" i="87" s="1"/>
  <c r="U128" i="87" s="1"/>
  <c r="C128" i="87"/>
  <c r="D128" i="87" s="1"/>
  <c r="E128" i="87" s="1"/>
  <c r="F128" i="87" s="1"/>
  <c r="G128" i="87" s="1"/>
  <c r="H128" i="87" s="1"/>
  <c r="I128" i="87" s="1"/>
  <c r="J128" i="87" s="1"/>
  <c r="K128" i="87" s="1"/>
  <c r="F141" i="35"/>
  <c r="F143" i="35"/>
  <c r="F199" i="35" s="1"/>
  <c r="F147" i="35"/>
  <c r="G147" i="35"/>
  <c r="F134" i="35"/>
  <c r="F193" i="35" s="1"/>
  <c r="F187" i="35"/>
  <c r="L148" i="64" l="1"/>
  <c r="L110" i="64"/>
  <c r="C110" i="64" s="1"/>
  <c r="L99" i="75"/>
  <c r="M99" i="75" s="1"/>
  <c r="L139" i="64"/>
  <c r="L140" i="64" s="1"/>
  <c r="C86" i="27"/>
  <c r="C88" i="27" s="1"/>
  <c r="L139" i="87"/>
  <c r="M139" i="87" s="1"/>
  <c r="L148" i="87"/>
  <c r="L123" i="75"/>
  <c r="C107" i="75"/>
  <c r="D107" i="75" s="1"/>
  <c r="E107" i="75" s="1"/>
  <c r="F107" i="75" s="1"/>
  <c r="G107" i="75" s="1"/>
  <c r="H107" i="75" s="1"/>
  <c r="I107" i="75" s="1"/>
  <c r="J107" i="75" s="1"/>
  <c r="K107" i="75" s="1"/>
  <c r="C128" i="64"/>
  <c r="D128" i="64" s="1"/>
  <c r="E128" i="64" s="1"/>
  <c r="F128" i="64" s="1"/>
  <c r="G128" i="64" s="1"/>
  <c r="H128" i="64" s="1"/>
  <c r="I128" i="64" s="1"/>
  <c r="J128" i="64" s="1"/>
  <c r="K128" i="64" s="1"/>
  <c r="B15" i="75"/>
  <c r="B17" i="75" s="1"/>
  <c r="F19" i="64"/>
  <c r="B15" i="64"/>
  <c r="B17" i="64" s="1"/>
  <c r="L115" i="75"/>
  <c r="M114" i="75"/>
  <c r="C114" i="75"/>
  <c r="F145" i="35"/>
  <c r="F202" i="35" s="1"/>
  <c r="F196" i="35"/>
  <c r="C110" i="87"/>
  <c r="L141" i="87"/>
  <c r="M110" i="87"/>
  <c r="F19" i="75"/>
  <c r="H45" i="75"/>
  <c r="H45" i="64"/>
  <c r="L141" i="64" l="1"/>
  <c r="C99" i="75"/>
  <c r="D99" i="75" s="1"/>
  <c r="L116" i="75"/>
  <c r="M110" i="64"/>
  <c r="M141" i="64" s="1"/>
  <c r="C139" i="64"/>
  <c r="C140" i="64" s="1"/>
  <c r="C147" i="64" s="1"/>
  <c r="M139" i="64"/>
  <c r="M140" i="64" s="1"/>
  <c r="M147" i="64" s="1"/>
  <c r="C139" i="87"/>
  <c r="D139" i="87" s="1"/>
  <c r="L140" i="87"/>
  <c r="L147" i="87" s="1"/>
  <c r="L147" i="64"/>
  <c r="N99" i="75"/>
  <c r="M116" i="75"/>
  <c r="D110" i="64"/>
  <c r="C141" i="64"/>
  <c r="H21" i="75"/>
  <c r="G56" i="75"/>
  <c r="G59" i="75" s="1"/>
  <c r="F21" i="75"/>
  <c r="N110" i="87"/>
  <c r="M141" i="87"/>
  <c r="D114" i="75"/>
  <c r="C115" i="75"/>
  <c r="C122" i="75" s="1"/>
  <c r="M140" i="87"/>
  <c r="M147" i="87" s="1"/>
  <c r="N139" i="87"/>
  <c r="M115" i="75"/>
  <c r="M122" i="75" s="1"/>
  <c r="N114" i="75"/>
  <c r="D110" i="87"/>
  <c r="C141" i="87"/>
  <c r="L122" i="75"/>
  <c r="H56" i="64"/>
  <c r="G47" i="64"/>
  <c r="H56" i="75"/>
  <c r="G47" i="75"/>
  <c r="H21" i="64"/>
  <c r="G56" i="64"/>
  <c r="G59" i="64" s="1"/>
  <c r="F21" i="64"/>
  <c r="C116" i="75" l="1"/>
  <c r="N110" i="64"/>
  <c r="N141" i="64" s="1"/>
  <c r="N139" i="64"/>
  <c r="N140" i="64" s="1"/>
  <c r="N147" i="64" s="1"/>
  <c r="D139" i="64"/>
  <c r="D140" i="64" s="1"/>
  <c r="D147" i="64" s="1"/>
  <c r="C140" i="87"/>
  <c r="C147" i="87" s="1"/>
  <c r="C5" i="77"/>
  <c r="C6" i="77" s="1"/>
  <c r="G52" i="75"/>
  <c r="O114" i="75"/>
  <c r="N115" i="75"/>
  <c r="N122" i="75" s="1"/>
  <c r="E139" i="87"/>
  <c r="D140" i="87"/>
  <c r="D147" i="87" s="1"/>
  <c r="E110" i="64"/>
  <c r="D141" i="64"/>
  <c r="G52" i="64"/>
  <c r="C5" i="74"/>
  <c r="C6" i="74" s="1"/>
  <c r="N140" i="87"/>
  <c r="N147" i="87" s="1"/>
  <c r="O139" i="87"/>
  <c r="I21" i="75"/>
  <c r="O99" i="75"/>
  <c r="N116" i="75"/>
  <c r="D115" i="75"/>
  <c r="D122" i="75" s="1"/>
  <c r="E114" i="75"/>
  <c r="E99" i="75"/>
  <c r="D116" i="75"/>
  <c r="I21" i="64"/>
  <c r="E110" i="87"/>
  <c r="D141" i="87"/>
  <c r="O110" i="87"/>
  <c r="N141" i="87"/>
  <c r="O110" i="64" l="1"/>
  <c r="O141" i="64" s="1"/>
  <c r="O139" i="64"/>
  <c r="O140" i="64" s="1"/>
  <c r="E139" i="64"/>
  <c r="F139" i="64" s="1"/>
  <c r="P139" i="87"/>
  <c r="O140" i="87"/>
  <c r="O147" i="87" s="1"/>
  <c r="F99" i="75"/>
  <c r="E116" i="75"/>
  <c r="E140" i="87"/>
  <c r="E147" i="87" s="1"/>
  <c r="F139" i="87"/>
  <c r="P110" i="87"/>
  <c r="O141" i="87"/>
  <c r="P114" i="75"/>
  <c r="O115" i="75"/>
  <c r="F110" i="87"/>
  <c r="E141" i="87"/>
  <c r="E115" i="75"/>
  <c r="E122" i="75" s="1"/>
  <c r="F114" i="75"/>
  <c r="P99" i="75"/>
  <c r="O116" i="75"/>
  <c r="F110" i="64"/>
  <c r="E141" i="64"/>
  <c r="P110" i="64" l="1"/>
  <c r="Q110" i="64" s="1"/>
  <c r="P139" i="64"/>
  <c r="P140" i="64" s="1"/>
  <c r="P147" i="64" s="1"/>
  <c r="E140" i="64"/>
  <c r="E147" i="64" s="1"/>
  <c r="Q114" i="75"/>
  <c r="P115" i="75"/>
  <c r="P122" i="75" s="1"/>
  <c r="G99" i="75"/>
  <c r="F116" i="75"/>
  <c r="F140" i="64"/>
  <c r="F147" i="64" s="1"/>
  <c r="G139" i="64"/>
  <c r="G139" i="87"/>
  <c r="F140" i="87"/>
  <c r="F147" i="87" s="1"/>
  <c r="G110" i="87"/>
  <c r="F141" i="87"/>
  <c r="O122" i="75"/>
  <c r="G110" i="64"/>
  <c r="F141" i="64"/>
  <c r="O147" i="64"/>
  <c r="P140" i="87"/>
  <c r="P147" i="87" s="1"/>
  <c r="Q139" i="87"/>
  <c r="Q99" i="75"/>
  <c r="P116" i="75"/>
  <c r="F115" i="75"/>
  <c r="F122" i="75" s="1"/>
  <c r="G114" i="75"/>
  <c r="Q110" i="87"/>
  <c r="P141" i="87"/>
  <c r="P141" i="64" l="1"/>
  <c r="Q139" i="64"/>
  <c r="Q140" i="64" s="1"/>
  <c r="R110" i="87"/>
  <c r="Q141" i="87"/>
  <c r="H110" i="64"/>
  <c r="G141" i="64"/>
  <c r="G115" i="75"/>
  <c r="G122" i="75" s="1"/>
  <c r="H114" i="75"/>
  <c r="Q140" i="87"/>
  <c r="Q147" i="87" s="1"/>
  <c r="R139" i="87"/>
  <c r="R110" i="64"/>
  <c r="Q141" i="64"/>
  <c r="G140" i="87"/>
  <c r="G147" i="87" s="1"/>
  <c r="H139" i="87"/>
  <c r="H139" i="64"/>
  <c r="G140" i="64"/>
  <c r="G147" i="64" s="1"/>
  <c r="R99" i="75"/>
  <c r="Q116" i="75"/>
  <c r="H99" i="75"/>
  <c r="G116" i="75"/>
  <c r="H110" i="87"/>
  <c r="G141" i="87"/>
  <c r="Q115" i="75"/>
  <c r="R114" i="75"/>
  <c r="R139" i="64" l="1"/>
  <c r="R140" i="64" s="1"/>
  <c r="R147" i="64" s="1"/>
  <c r="I99" i="75"/>
  <c r="H116" i="75"/>
  <c r="I110" i="64"/>
  <c r="H141" i="64"/>
  <c r="S110" i="64"/>
  <c r="R141" i="64"/>
  <c r="Q147" i="64"/>
  <c r="R115" i="75"/>
  <c r="R122" i="75" s="1"/>
  <c r="S114" i="75"/>
  <c r="R140" i="87"/>
  <c r="R147" i="87" s="1"/>
  <c r="S139" i="87"/>
  <c r="Q122" i="75"/>
  <c r="S99" i="75"/>
  <c r="R116" i="75"/>
  <c r="I114" i="75"/>
  <c r="H115" i="75"/>
  <c r="H122" i="75" s="1"/>
  <c r="I110" i="87"/>
  <c r="H141" i="87"/>
  <c r="I139" i="64"/>
  <c r="H140" i="64"/>
  <c r="H147" i="64" s="1"/>
  <c r="H140" i="87"/>
  <c r="H147" i="87" s="1"/>
  <c r="I139" i="87"/>
  <c r="S110" i="87"/>
  <c r="R141" i="87"/>
  <c r="S139" i="64" l="1"/>
  <c r="S140" i="64" s="1"/>
  <c r="S147" i="64" s="1"/>
  <c r="S115" i="75"/>
  <c r="T114" i="75"/>
  <c r="I140" i="64"/>
  <c r="I147" i="64" s="1"/>
  <c r="J139" i="64"/>
  <c r="T110" i="64"/>
  <c r="S141" i="64"/>
  <c r="J110" i="87"/>
  <c r="I141" i="87"/>
  <c r="S140" i="87"/>
  <c r="S147" i="87" s="1"/>
  <c r="T139" i="87"/>
  <c r="T110" i="87"/>
  <c r="S141" i="87"/>
  <c r="J114" i="75"/>
  <c r="I115" i="75"/>
  <c r="I122" i="75" s="1"/>
  <c r="I140" i="87"/>
  <c r="I147" i="87" s="1"/>
  <c r="J139" i="87"/>
  <c r="J110" i="64"/>
  <c r="I141" i="64"/>
  <c r="T99" i="75"/>
  <c r="S116" i="75"/>
  <c r="J99" i="75"/>
  <c r="I116" i="75"/>
  <c r="T139" i="64" l="1"/>
  <c r="T140" i="64" s="1"/>
  <c r="T147" i="64" s="1"/>
  <c r="U99" i="75"/>
  <c r="T116" i="75"/>
  <c r="U110" i="87"/>
  <c r="U141" i="87" s="1"/>
  <c r="T141" i="87"/>
  <c r="K110" i="87"/>
  <c r="K141" i="87" s="1"/>
  <c r="J141" i="87"/>
  <c r="K110" i="64"/>
  <c r="K141" i="64" s="1"/>
  <c r="J141" i="64"/>
  <c r="J140" i="87"/>
  <c r="J147" i="87" s="1"/>
  <c r="K139" i="87"/>
  <c r="K140" i="87" s="1"/>
  <c r="K147" i="87" s="1"/>
  <c r="U110" i="64"/>
  <c r="T141" i="64"/>
  <c r="K99" i="75"/>
  <c r="K116" i="75" s="1"/>
  <c r="J116" i="75"/>
  <c r="J140" i="64"/>
  <c r="J147" i="64" s="1"/>
  <c r="K139" i="64"/>
  <c r="K140" i="64" s="1"/>
  <c r="K147" i="64" s="1"/>
  <c r="K114" i="75"/>
  <c r="K115" i="75" s="1"/>
  <c r="K122" i="75" s="1"/>
  <c r="J115" i="75"/>
  <c r="J122" i="75" s="1"/>
  <c r="U139" i="87"/>
  <c r="U140" i="87" s="1"/>
  <c r="U147" i="87" s="1"/>
  <c r="T140" i="87"/>
  <c r="T147" i="87" s="1"/>
  <c r="U114" i="75"/>
  <c r="U115" i="75" s="1"/>
  <c r="U122" i="75" s="1"/>
  <c r="T115" i="75"/>
  <c r="T122" i="75" s="1"/>
  <c r="S122" i="75"/>
  <c r="U139" i="64" l="1"/>
  <c r="U140" i="64" s="1"/>
  <c r="F56" i="64" s="1"/>
  <c r="B45" i="64" s="1"/>
  <c r="F59" i="75"/>
  <c r="B48" i="75" s="1"/>
  <c r="F55" i="64"/>
  <c r="U141" i="64"/>
  <c r="I56" i="64" s="1"/>
  <c r="F56" i="75"/>
  <c r="B45" i="75" s="1"/>
  <c r="D17" i="75"/>
  <c r="U116" i="75"/>
  <c r="I56" i="75" s="1"/>
  <c r="F55" i="75"/>
  <c r="U147" i="64" l="1"/>
  <c r="D17" i="64" s="1"/>
  <c r="J56" i="64"/>
  <c r="I59" i="75"/>
  <c r="B44" i="64"/>
  <c r="B11" i="73" s="1"/>
  <c r="C36" i="71"/>
  <c r="C18" i="74"/>
  <c r="C18" i="77"/>
  <c r="C36" i="78"/>
  <c r="B44" i="75"/>
  <c r="J56" i="75"/>
  <c r="F59" i="64" l="1"/>
  <c r="B48" i="64" s="1"/>
  <c r="B14" i="73" s="1"/>
  <c r="B16" i="73" s="1"/>
  <c r="C11" i="73" s="1"/>
  <c r="K36" i="78"/>
  <c r="I36" i="78"/>
  <c r="H36" i="78"/>
  <c r="D36" i="78"/>
  <c r="L36" i="78" s="1"/>
  <c r="C23" i="77"/>
  <c r="E18" i="77"/>
  <c r="C23" i="74"/>
  <c r="E18" i="74"/>
  <c r="H36" i="71"/>
  <c r="I36" i="71"/>
  <c r="K36" i="71"/>
  <c r="D36" i="71"/>
  <c r="L36" i="71" s="1"/>
  <c r="C6" i="73" l="1"/>
  <c r="C4" i="73"/>
  <c r="C8" i="73"/>
  <c r="C9" i="73"/>
  <c r="C3" i="73"/>
  <c r="C10" i="73"/>
  <c r="C13" i="73"/>
  <c r="C12" i="73"/>
  <c r="C5" i="73"/>
  <c r="C7" i="73"/>
  <c r="I59" i="64"/>
  <c r="D18" i="77"/>
  <c r="D18" i="74"/>
  <c r="J36" i="71"/>
  <c r="F36" i="71"/>
  <c r="G36" i="71"/>
  <c r="D37" i="71"/>
  <c r="D12" i="77"/>
  <c r="D11" i="77"/>
  <c r="D21" i="77"/>
  <c r="D10" i="77"/>
  <c r="D20" i="77"/>
  <c r="D14" i="77"/>
  <c r="D16" i="77"/>
  <c r="D13" i="77"/>
  <c r="D17" i="77"/>
  <c r="D15" i="77"/>
  <c r="E23" i="77"/>
  <c r="J36" i="78"/>
  <c r="F36" i="78"/>
  <c r="G36" i="78"/>
  <c r="D37" i="78"/>
  <c r="D15" i="74"/>
  <c r="D14" i="74"/>
  <c r="D17" i="74"/>
  <c r="D21" i="74"/>
  <c r="D16" i="74"/>
  <c r="D10" i="74"/>
  <c r="D12" i="74"/>
  <c r="D20" i="74"/>
  <c r="D13" i="74"/>
  <c r="D11" i="74"/>
  <c r="E23" i="74"/>
  <c r="D23" i="77" l="1"/>
  <c r="D38" i="71"/>
  <c r="E37" i="71"/>
  <c r="G37" i="71"/>
  <c r="F37" i="71"/>
  <c r="E37" i="78"/>
  <c r="G37" i="78"/>
  <c r="F37" i="78"/>
  <c r="D38" i="78"/>
  <c r="D23" i="74"/>
  <c r="J38" i="78" l="1"/>
  <c r="L38" i="78"/>
  <c r="G38" i="78"/>
  <c r="D39" i="78"/>
  <c r="F38" i="78"/>
  <c r="D39" i="71"/>
  <c r="F38" i="71"/>
  <c r="J38" i="71"/>
  <c r="L38" i="71"/>
  <c r="G38" i="71"/>
  <c r="G39" i="71" l="1"/>
  <c r="L39" i="71"/>
  <c r="F39" i="71"/>
  <c r="D40" i="71"/>
  <c r="J39" i="71"/>
  <c r="G39" i="78"/>
  <c r="D40" i="78"/>
  <c r="J39" i="78"/>
  <c r="F39" i="78"/>
  <c r="L39" i="78"/>
  <c r="E40" i="78" l="1"/>
  <c r="F40" i="78"/>
  <c r="G40" i="78"/>
  <c r="G40" i="71"/>
  <c r="E40" i="71"/>
  <c r="F40" i="71"/>
  <c r="B31" i="75" l="1"/>
  <c r="B31" i="64" l="1"/>
  <c r="B31" i="8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Vertex42</author>
  </authors>
  <commentList>
    <comment ref="B26" authorId="0" shapeId="0" xr:uid="{F3C1B6AD-0C25-BF4C-A875-7897A61E9861}">
      <text>
        <r>
          <rPr>
            <b/>
            <sz val="8"/>
            <color indexed="81"/>
            <rFont val="Tahoma"/>
            <family val="2"/>
          </rPr>
          <t>Pillars:</t>
        </r>
        <r>
          <rPr>
            <sz val="8"/>
            <color indexed="81"/>
            <rFont val="Tahoma"/>
            <family val="2"/>
          </rPr>
          <t xml:space="preserve">
Place a letter "x" in this column to display the Flow value as a full-length bar or column. Except for the Start column, the Delta for a pillar should be zero (0).</t>
        </r>
      </text>
    </comment>
    <comment ref="C26" authorId="0" shapeId="0" xr:uid="{81AF5F1E-8877-1449-A953-57AA89234647}">
      <text>
        <r>
          <rPr>
            <b/>
            <sz val="8"/>
            <color indexed="81"/>
            <rFont val="Tahoma"/>
            <family val="2"/>
          </rPr>
          <t>Delta:</t>
        </r>
        <r>
          <rPr>
            <sz val="8"/>
            <color indexed="81"/>
            <rFont val="Tahoma"/>
            <family val="2"/>
          </rPr>
          <t xml:space="preserve">
Enter the positive and negative adjustments in this column, or zero (0) for a pillar.</t>
        </r>
      </text>
    </comment>
    <comment ref="D26" authorId="0" shapeId="0" xr:uid="{412972BE-993D-3647-9962-6366692F0A59}">
      <text>
        <r>
          <rPr>
            <b/>
            <sz val="8"/>
            <color indexed="81"/>
            <rFont val="Tahoma"/>
            <family val="2"/>
          </rPr>
          <t>Flow:</t>
        </r>
        <r>
          <rPr>
            <sz val="8"/>
            <color indexed="81"/>
            <rFont val="Tahoma"/>
            <family val="2"/>
          </rPr>
          <t xml:space="preserve">
This column is labled "Flow" because in many waterfall charts, this would represent "Cash Flow."</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Vertex42</author>
  </authors>
  <commentList>
    <comment ref="B26" authorId="0" shapeId="0" xr:uid="{9DFE8BC5-1759-D349-8561-84BCB3692178}">
      <text>
        <r>
          <rPr>
            <b/>
            <sz val="8"/>
            <color indexed="81"/>
            <rFont val="Tahoma"/>
            <family val="2"/>
          </rPr>
          <t>Pillars:</t>
        </r>
        <r>
          <rPr>
            <sz val="8"/>
            <color indexed="81"/>
            <rFont val="Tahoma"/>
            <family val="2"/>
          </rPr>
          <t xml:space="preserve">
Place a letter "x" in this column to display the Flow value as a full-length bar or column. Except for the Start column, the Delta for a pillar should be zero (0).</t>
        </r>
      </text>
    </comment>
    <comment ref="C26" authorId="0" shapeId="0" xr:uid="{E21DD80B-FB2E-D44F-9971-1B5B229208FC}">
      <text>
        <r>
          <rPr>
            <b/>
            <sz val="8"/>
            <color rgb="FF000000"/>
            <rFont val="Tahoma"/>
            <family val="2"/>
          </rPr>
          <t>Delta:</t>
        </r>
        <r>
          <rPr>
            <sz val="8"/>
            <color rgb="FF000000"/>
            <rFont val="Tahoma"/>
            <family val="2"/>
          </rPr>
          <t xml:space="preserve">
</t>
        </r>
        <r>
          <rPr>
            <sz val="8"/>
            <color rgb="FF000000"/>
            <rFont val="Tahoma"/>
            <family val="2"/>
          </rPr>
          <t>Enter the positive and negative adjustments in this column, or zero (0) for a pillar.</t>
        </r>
      </text>
    </comment>
    <comment ref="D26" authorId="0" shapeId="0" xr:uid="{CBB94EEC-CF76-6F41-8501-F9D896F002E5}">
      <text>
        <r>
          <rPr>
            <b/>
            <sz val="8"/>
            <color indexed="81"/>
            <rFont val="Tahoma"/>
            <family val="2"/>
          </rPr>
          <t>Flow:</t>
        </r>
        <r>
          <rPr>
            <sz val="8"/>
            <color indexed="81"/>
            <rFont val="Tahoma"/>
            <family val="2"/>
          </rPr>
          <t xml:space="preserve">
This column is labled "Flow" because in many waterfall charts, this would represent "Cash Flow."</t>
        </r>
      </text>
    </comment>
  </commentList>
</comments>
</file>

<file path=xl/sharedStrings.xml><?xml version="1.0" encoding="utf-8"?>
<sst xmlns="http://schemas.openxmlformats.org/spreadsheetml/2006/main" count="1762" uniqueCount="495">
  <si>
    <t>GDP|PPP</t>
  </si>
  <si>
    <t>World</t>
  </si>
  <si>
    <t>Population</t>
  </si>
  <si>
    <t>Carbon Sequestration|CCS|Biomass|Industrial Processes</t>
  </si>
  <si>
    <t>Carbon Sequestration|CCS|Fossil|Industrial Processes</t>
  </si>
  <si>
    <t>Carbon Sequestration|CCS|Biomass|Energy</t>
  </si>
  <si>
    <t>Carbon Sequestration|CCS|Fossil|Energy</t>
  </si>
  <si>
    <t>Emissions|CO2|Industrial Processes</t>
  </si>
  <si>
    <t>Final Energy</t>
  </si>
  <si>
    <t>Primary Energy</t>
  </si>
  <si>
    <t>Primary Energy|Gas</t>
  </si>
  <si>
    <t>Primary Energy|Coal</t>
  </si>
  <si>
    <t>Primary Energy|Oil</t>
  </si>
  <si>
    <t>Region</t>
  </si>
  <si>
    <t>Scenario</t>
  </si>
  <si>
    <t>Model</t>
  </si>
  <si>
    <t>billion US$2005/yr</t>
  </si>
  <si>
    <t>GDP|MER</t>
  </si>
  <si>
    <t>EJ/yr</t>
  </si>
  <si>
    <t>million</t>
  </si>
  <si>
    <t>kt N2O/yr</t>
  </si>
  <si>
    <t>Emissions|N2O</t>
  </si>
  <si>
    <t>Mt CO2-equiv/yr</t>
  </si>
  <si>
    <t>Emissions|F-Gases</t>
  </si>
  <si>
    <t>Mt CO2/yr</t>
  </si>
  <si>
    <t>Mt CH4/yr</t>
  </si>
  <si>
    <t>Emissions|CH4</t>
  </si>
  <si>
    <t>Unit</t>
  </si>
  <si>
    <t>Variable</t>
  </si>
  <si>
    <t>Data for Decomposition of Drivers</t>
  </si>
  <si>
    <t>Model:</t>
  </si>
  <si>
    <t>Mitigation Scenario:</t>
  </si>
  <si>
    <t xml:space="preserve">Reference Scenario: </t>
  </si>
  <si>
    <t>Case</t>
  </si>
  <si>
    <t>zacharym.schmidt@gmail.com</t>
  </si>
  <si>
    <t>Zachary Schmidt</t>
  </si>
  <si>
    <t>CCS Fossil Energy</t>
  </si>
  <si>
    <t>Reference Case</t>
  </si>
  <si>
    <t>Intervention Case</t>
  </si>
  <si>
    <t>Net Industry CO2 (NIC)</t>
  </si>
  <si>
    <t>Total Industry CO2 (TIC)</t>
  </si>
  <si>
    <t xml:space="preserve">CCS Fossil </t>
  </si>
  <si>
    <t>CCS Calculations</t>
  </si>
  <si>
    <t>TFC</t>
  </si>
  <si>
    <t>Reference</t>
  </si>
  <si>
    <t>Intervention</t>
  </si>
  <si>
    <t>CO2 Emissions Calculations</t>
  </si>
  <si>
    <t>Ej/yr</t>
  </si>
  <si>
    <r>
      <t>PE</t>
    </r>
    <r>
      <rPr>
        <b/>
        <vertAlign val="superscript"/>
        <sz val="12"/>
        <color theme="1"/>
        <rFont val="Calibri (Body)"/>
      </rPr>
      <t>FF</t>
    </r>
  </si>
  <si>
    <t>P</t>
  </si>
  <si>
    <t>GWP</t>
  </si>
  <si>
    <t>FE</t>
  </si>
  <si>
    <r>
      <t>PE</t>
    </r>
    <r>
      <rPr>
        <vertAlign val="superscript"/>
        <sz val="12"/>
        <color theme="1"/>
        <rFont val="Calibri (Body)"/>
      </rPr>
      <t>DEq</t>
    </r>
  </si>
  <si>
    <r>
      <t>PE</t>
    </r>
    <r>
      <rPr>
        <vertAlign val="subscript"/>
        <sz val="12"/>
        <color theme="1"/>
        <rFont val="Calibri (Body)"/>
      </rPr>
      <t>FF</t>
    </r>
  </si>
  <si>
    <t>NFC</t>
  </si>
  <si>
    <t>billions</t>
  </si>
  <si>
    <t>Indexed to 2010</t>
  </si>
  <si>
    <t>%Change/yr</t>
  </si>
  <si>
    <t>US$2005/person</t>
  </si>
  <si>
    <t>GWP/P</t>
  </si>
  <si>
    <t>FE/GWP</t>
  </si>
  <si>
    <t>EJ/US$2005</t>
  </si>
  <si>
    <r>
      <t>PE</t>
    </r>
    <r>
      <rPr>
        <vertAlign val="superscript"/>
        <sz val="12"/>
        <color theme="1"/>
        <rFont val="Calibri (Body)"/>
      </rPr>
      <t>DEq</t>
    </r>
    <r>
      <rPr>
        <sz val="12"/>
        <color theme="1"/>
        <rFont val="Calibri"/>
        <family val="2"/>
        <scheme val="minor"/>
      </rPr>
      <t>/FE</t>
    </r>
  </si>
  <si>
    <t>Mt CO2/EJ</t>
  </si>
  <si>
    <r>
      <t>TFC/PE</t>
    </r>
    <r>
      <rPr>
        <vertAlign val="superscript"/>
        <sz val="12"/>
        <color theme="1"/>
        <rFont val="Calibri (Body)"/>
      </rPr>
      <t>FF</t>
    </r>
  </si>
  <si>
    <t>NFC/TFC</t>
  </si>
  <si>
    <r>
      <t>PE</t>
    </r>
    <r>
      <rPr>
        <vertAlign val="superscript"/>
        <sz val="12"/>
        <color theme="1"/>
        <rFont val="Calibri (Body)"/>
      </rPr>
      <t>FF</t>
    </r>
    <r>
      <rPr>
        <sz val="12"/>
        <color theme="1"/>
        <rFont val="Calibri"/>
        <family val="2"/>
        <scheme val="minor"/>
      </rPr>
      <t>/PE</t>
    </r>
    <r>
      <rPr>
        <vertAlign val="superscript"/>
        <sz val="12"/>
        <color theme="1"/>
        <rFont val="Calibri (Body)"/>
      </rPr>
      <t>DEq</t>
    </r>
  </si>
  <si>
    <r>
      <t>PE</t>
    </r>
    <r>
      <rPr>
        <vertAlign val="superscript"/>
        <sz val="12"/>
        <color theme="1"/>
        <rFont val="Calibri (Body)"/>
      </rPr>
      <t>DEq</t>
    </r>
    <r>
      <rPr>
        <sz val="12"/>
        <color theme="1"/>
        <rFont val="Calibri"/>
        <family val="2"/>
        <scheme val="minor"/>
      </rPr>
      <t>/GWP</t>
    </r>
  </si>
  <si>
    <r>
      <t>TFC/PE</t>
    </r>
    <r>
      <rPr>
        <vertAlign val="superscript"/>
        <sz val="12"/>
        <color theme="1"/>
        <rFont val="Calibri (Body)"/>
      </rPr>
      <t>DEq</t>
    </r>
  </si>
  <si>
    <t>Kaya Factors</t>
  </si>
  <si>
    <t>Kaya Ratios</t>
  </si>
  <si>
    <r>
      <t>PE</t>
    </r>
    <r>
      <rPr>
        <vertAlign val="superscript"/>
        <sz val="12"/>
        <color rgb="FF000000"/>
        <rFont val="Calibri (Body)"/>
      </rPr>
      <t>DEq</t>
    </r>
  </si>
  <si>
    <r>
      <t>PE</t>
    </r>
    <r>
      <rPr>
        <vertAlign val="subscript"/>
        <sz val="12"/>
        <color rgb="FF000000"/>
        <rFont val="Calibri (Body)"/>
      </rPr>
      <t>FF</t>
    </r>
  </si>
  <si>
    <r>
      <t>PE</t>
    </r>
    <r>
      <rPr>
        <vertAlign val="superscript"/>
        <sz val="12"/>
        <color rgb="FF000000"/>
        <rFont val="Calibri (Body)"/>
      </rPr>
      <t>DEq</t>
    </r>
    <r>
      <rPr>
        <sz val="12"/>
        <color rgb="FF000000"/>
        <rFont val="Calibri"/>
        <family val="2"/>
        <scheme val="minor"/>
      </rPr>
      <t>/FE</t>
    </r>
  </si>
  <si>
    <r>
      <t>PE</t>
    </r>
    <r>
      <rPr>
        <vertAlign val="superscript"/>
        <sz val="12"/>
        <color rgb="FF000000"/>
        <rFont val="Calibri (Body)"/>
      </rPr>
      <t>FF</t>
    </r>
    <r>
      <rPr>
        <sz val="12"/>
        <color rgb="FF000000"/>
        <rFont val="Calibri"/>
        <family val="2"/>
        <scheme val="minor"/>
      </rPr>
      <t>/PE</t>
    </r>
    <r>
      <rPr>
        <vertAlign val="superscript"/>
        <sz val="12"/>
        <color rgb="FF000000"/>
        <rFont val="Calibri (Body)"/>
      </rPr>
      <t>DEq</t>
    </r>
  </si>
  <si>
    <r>
      <t>TFC/PE</t>
    </r>
    <r>
      <rPr>
        <vertAlign val="superscript"/>
        <sz val="12"/>
        <color rgb="FF000000"/>
        <rFont val="Calibri (Body)"/>
      </rPr>
      <t>FF</t>
    </r>
  </si>
  <si>
    <r>
      <t>PE</t>
    </r>
    <r>
      <rPr>
        <vertAlign val="superscript"/>
        <sz val="12"/>
        <color rgb="FF000000"/>
        <rFont val="Calibri (Body)"/>
      </rPr>
      <t>DEq</t>
    </r>
    <r>
      <rPr>
        <sz val="12"/>
        <color rgb="FF000000"/>
        <rFont val="Calibri"/>
        <family val="2"/>
        <scheme val="minor"/>
      </rPr>
      <t>/GWP</t>
    </r>
  </si>
  <si>
    <r>
      <t>TFC/PE</t>
    </r>
    <r>
      <rPr>
        <vertAlign val="superscript"/>
        <sz val="12"/>
        <color rgb="FF000000"/>
        <rFont val="Calibri (Body)"/>
      </rPr>
      <t>DEq</t>
    </r>
  </si>
  <si>
    <t>indexed</t>
  </si>
  <si>
    <t>growth rates</t>
  </si>
  <si>
    <t>sum corrected</t>
  </si>
  <si>
    <t>difference</t>
  </si>
  <si>
    <t>total w/o negative</t>
  </si>
  <si>
    <t>total savings</t>
  </si>
  <si>
    <t>corrected savings</t>
  </si>
  <si>
    <t>% of total</t>
  </si>
  <si>
    <t>savings</t>
  </si>
  <si>
    <r>
      <t>PE</t>
    </r>
    <r>
      <rPr>
        <b/>
        <vertAlign val="superscript"/>
        <sz val="10"/>
        <rFont val="Arial"/>
        <family val="2"/>
      </rPr>
      <t>ff</t>
    </r>
    <r>
      <rPr>
        <b/>
        <sz val="10"/>
        <rFont val="Arial"/>
        <family val="2"/>
      </rPr>
      <t>/PE</t>
    </r>
    <r>
      <rPr>
        <b/>
        <vertAlign val="superscript"/>
        <sz val="10"/>
        <rFont val="Arial"/>
        <family val="2"/>
      </rPr>
      <t>DEq</t>
    </r>
  </si>
  <si>
    <r>
      <t>TFC/PE</t>
    </r>
    <r>
      <rPr>
        <b/>
        <vertAlign val="superscript"/>
        <sz val="10"/>
        <rFont val="Arial"/>
        <family val="2"/>
      </rPr>
      <t>ff</t>
    </r>
  </si>
  <si>
    <r>
      <t>PE</t>
    </r>
    <r>
      <rPr>
        <b/>
        <vertAlign val="superscript"/>
        <sz val="10"/>
        <rFont val="Arial"/>
        <family val="2"/>
      </rPr>
      <t>DEq</t>
    </r>
    <r>
      <rPr>
        <b/>
        <sz val="10"/>
        <rFont val="Arial"/>
        <family val="2"/>
      </rPr>
      <t>/FE</t>
    </r>
  </si>
  <si>
    <t>FE/ GWP</t>
  </si>
  <si>
    <t>(TFCref-TFCmit)/(ln TFCref - ln TFC mit)*ln (Pref/Pmit)</t>
  </si>
  <si>
    <r>
      <t xml:space="preserve">Total Savings </t>
    </r>
    <r>
      <rPr>
        <sz val="10"/>
        <rFont val="Arial"/>
        <family val="2"/>
      </rPr>
      <t>(Gt CO</t>
    </r>
    <r>
      <rPr>
        <vertAlign val="subscript"/>
        <sz val="10"/>
        <rFont val="Arial"/>
        <family val="2"/>
      </rPr>
      <t>2</t>
    </r>
    <r>
      <rPr>
        <sz val="10"/>
        <rFont val="Arial"/>
        <family val="2"/>
      </rPr>
      <t>)</t>
    </r>
  </si>
  <si>
    <r>
      <t>C ∆TFC/PE</t>
    </r>
    <r>
      <rPr>
        <b/>
        <vertAlign val="superscript"/>
        <sz val="10"/>
        <rFont val="Arial"/>
        <family val="2"/>
      </rPr>
      <t xml:space="preserve">FF  </t>
    </r>
    <r>
      <rPr>
        <sz val="10"/>
        <rFont val="Arial"/>
        <family val="2"/>
      </rPr>
      <t>(Gt CO</t>
    </r>
    <r>
      <rPr>
        <vertAlign val="subscript"/>
        <sz val="10"/>
        <rFont val="Arial"/>
        <family val="2"/>
      </rPr>
      <t>2</t>
    </r>
    <r>
      <rPr>
        <sz val="10"/>
        <rFont val="Arial"/>
        <family val="2"/>
      </rPr>
      <t>)</t>
    </r>
  </si>
  <si>
    <r>
      <t>C ∆PE</t>
    </r>
    <r>
      <rPr>
        <b/>
        <vertAlign val="superscript"/>
        <sz val="10"/>
        <rFont val="Arial"/>
        <family val="2"/>
      </rPr>
      <t>FF</t>
    </r>
    <r>
      <rPr>
        <b/>
        <sz val="10"/>
        <rFont val="Arial"/>
        <family val="2"/>
      </rPr>
      <t>/PE</t>
    </r>
    <r>
      <rPr>
        <b/>
        <vertAlign val="superscript"/>
        <sz val="10"/>
        <rFont val="Arial"/>
        <family val="2"/>
      </rPr>
      <t>DEq</t>
    </r>
    <r>
      <rPr>
        <b/>
        <sz val="10"/>
        <rFont val="Arial"/>
        <family val="2"/>
      </rPr>
      <t xml:space="preserve"> </t>
    </r>
    <r>
      <rPr>
        <sz val="10"/>
        <rFont val="Arial"/>
        <family val="2"/>
      </rPr>
      <t>(Gt CO</t>
    </r>
    <r>
      <rPr>
        <vertAlign val="subscript"/>
        <sz val="10"/>
        <rFont val="Arial"/>
        <family val="2"/>
      </rPr>
      <t>2</t>
    </r>
    <r>
      <rPr>
        <sz val="10"/>
        <rFont val="Arial"/>
        <family val="2"/>
      </rPr>
      <t>)</t>
    </r>
  </si>
  <si>
    <r>
      <t>C ∆PE</t>
    </r>
    <r>
      <rPr>
        <b/>
        <vertAlign val="superscript"/>
        <sz val="10"/>
        <rFont val="Arial"/>
        <family val="2"/>
      </rPr>
      <t>DEq</t>
    </r>
    <r>
      <rPr>
        <b/>
        <sz val="10"/>
        <rFont val="Arial"/>
        <family val="2"/>
      </rPr>
      <t>/FE</t>
    </r>
    <r>
      <rPr>
        <b/>
        <vertAlign val="subscript"/>
        <sz val="10"/>
        <rFont val="Arial"/>
        <family val="2"/>
      </rPr>
      <t xml:space="preserve"> </t>
    </r>
    <r>
      <rPr>
        <sz val="10"/>
        <rFont val="Arial"/>
        <family val="2"/>
      </rPr>
      <t>(Gt CO</t>
    </r>
    <r>
      <rPr>
        <vertAlign val="subscript"/>
        <sz val="10"/>
        <rFont val="Arial"/>
        <family val="2"/>
      </rPr>
      <t>2</t>
    </r>
    <r>
      <rPr>
        <sz val="10"/>
        <rFont val="Arial"/>
        <family val="2"/>
      </rPr>
      <t>)</t>
    </r>
  </si>
  <si>
    <r>
      <t xml:space="preserve">C ∆FE/GWP </t>
    </r>
    <r>
      <rPr>
        <sz val="10"/>
        <rFont val="Arial"/>
        <family val="2"/>
      </rPr>
      <t>(Gt CO</t>
    </r>
    <r>
      <rPr>
        <vertAlign val="subscript"/>
        <sz val="10"/>
        <rFont val="Arial"/>
        <family val="2"/>
      </rPr>
      <t>2</t>
    </r>
    <r>
      <rPr>
        <sz val="10"/>
        <rFont val="Arial"/>
        <family val="2"/>
      </rPr>
      <t>)</t>
    </r>
  </si>
  <si>
    <r>
      <t xml:space="preserve">C ∆GWP/P </t>
    </r>
    <r>
      <rPr>
        <sz val="10"/>
        <rFont val="Arial"/>
        <family val="2"/>
      </rPr>
      <t>(Gt CO</t>
    </r>
    <r>
      <rPr>
        <vertAlign val="subscript"/>
        <sz val="10"/>
        <rFont val="Arial"/>
        <family val="2"/>
      </rPr>
      <t>2</t>
    </r>
    <r>
      <rPr>
        <sz val="10"/>
        <rFont val="Arial"/>
        <family val="2"/>
      </rPr>
      <t>)</t>
    </r>
  </si>
  <si>
    <r>
      <t xml:space="preserve">C ∆P  </t>
    </r>
    <r>
      <rPr>
        <sz val="10"/>
        <rFont val="Arial"/>
        <family val="2"/>
      </rPr>
      <t>(Gt CO</t>
    </r>
    <r>
      <rPr>
        <vertAlign val="subscript"/>
        <sz val="10"/>
        <rFont val="Arial"/>
        <family val="2"/>
      </rPr>
      <t>2</t>
    </r>
    <r>
      <rPr>
        <sz val="10"/>
        <rFont val="Arial"/>
        <family val="2"/>
      </rPr>
      <t>)</t>
    </r>
  </si>
  <si>
    <t>Savings</t>
  </si>
  <si>
    <t>Scenario:</t>
  </si>
  <si>
    <t>Decomposition of Mitigated Emissions: LMDI 1</t>
  </si>
  <si>
    <t>Energy Sector Carbon</t>
  </si>
  <si>
    <t>Net emissions (CO2 + other gases)</t>
  </si>
  <si>
    <t>Net emissions (CO2)</t>
  </si>
  <si>
    <t xml:space="preserve">Land Use </t>
  </si>
  <si>
    <t xml:space="preserve">Other Gases </t>
  </si>
  <si>
    <t>Difference</t>
  </si>
  <si>
    <t>Land use</t>
  </si>
  <si>
    <t>other gases</t>
  </si>
  <si>
    <t>CO2/CH4</t>
  </si>
  <si>
    <t>CO2/N2O</t>
  </si>
  <si>
    <t>Total</t>
  </si>
  <si>
    <t>Last modified: April 29th, 2019</t>
  </si>
  <si>
    <t>Ref Data input</t>
  </si>
  <si>
    <t>Contents</t>
  </si>
  <si>
    <t>Intervention Scenario:</t>
  </si>
  <si>
    <t>CCS = NFC 2010</t>
  </si>
  <si>
    <t xml:space="preserve">1) Base value for biomass </t>
  </si>
  <si>
    <r>
      <t>PE</t>
    </r>
    <r>
      <rPr>
        <b/>
        <vertAlign val="superscript"/>
        <sz val="12"/>
        <color indexed="10"/>
        <rFont val="Arial"/>
        <family val="2"/>
      </rPr>
      <t>FF</t>
    </r>
  </si>
  <si>
    <r>
      <t>PE</t>
    </r>
    <r>
      <rPr>
        <b/>
        <vertAlign val="superscript"/>
        <sz val="12"/>
        <color indexed="10"/>
        <rFont val="Arial"/>
        <family val="2"/>
      </rPr>
      <t>DEq</t>
    </r>
  </si>
  <si>
    <t xml:space="preserve">FE </t>
  </si>
  <si>
    <t xml:space="preserve">   Drivers of Global Emissions from the Energy Sector</t>
  </si>
  <si>
    <r>
      <t xml:space="preserve">  PE</t>
    </r>
    <r>
      <rPr>
        <b/>
        <vertAlign val="superscript"/>
        <sz val="12"/>
        <color indexed="10"/>
        <rFont val="Arial"/>
        <family val="2"/>
      </rPr>
      <t>FF</t>
    </r>
  </si>
  <si>
    <t xml:space="preserve"> P</t>
  </si>
  <si>
    <r>
      <t xml:space="preserve"> PE</t>
    </r>
    <r>
      <rPr>
        <b/>
        <vertAlign val="superscript"/>
        <sz val="12"/>
        <color indexed="10"/>
        <rFont val="Arial"/>
        <family val="2"/>
      </rPr>
      <t>FF</t>
    </r>
  </si>
  <si>
    <r>
      <t xml:space="preserve">     PE</t>
    </r>
    <r>
      <rPr>
        <b/>
        <vertAlign val="superscript"/>
        <sz val="12"/>
        <color indexed="10"/>
        <rFont val="Arial"/>
        <family val="2"/>
      </rPr>
      <t>DEq</t>
    </r>
  </si>
  <si>
    <t>1900-2014</t>
  </si>
  <si>
    <t>1995-2014</t>
  </si>
  <si>
    <t>%∆/yr</t>
  </si>
  <si>
    <t>Total GHG Equivalent</t>
  </si>
  <si>
    <t>Other Agents</t>
  </si>
  <si>
    <t>Land Use</t>
  </si>
  <si>
    <t>Industry (CO2)</t>
  </si>
  <si>
    <t xml:space="preserve">                </t>
  </si>
  <si>
    <t>emissions</t>
  </si>
  <si>
    <t xml:space="preserve">                warming agents</t>
  </si>
  <si>
    <t>CO2</t>
  </si>
  <si>
    <t xml:space="preserve">               (excluding bio-CCS)</t>
  </si>
  <si>
    <t>Total GHG equivalent</t>
  </si>
  <si>
    <t xml:space="preserve">               Other non-CO2 </t>
  </si>
  <si>
    <t xml:space="preserve"> Industry non-energy</t>
  </si>
  <si>
    <t xml:space="preserve">              Land Use</t>
  </si>
  <si>
    <t xml:space="preserve">         Biomass CCS</t>
  </si>
  <si>
    <t>NFC - CCS biomass energy</t>
  </si>
  <si>
    <t>Fig3ExpandKAYAfactorsDEq</t>
  </si>
  <si>
    <t>Fig4ExpandKAYAratiosDEq</t>
  </si>
  <si>
    <t>Fig6AdditiveDashboard</t>
  </si>
  <si>
    <t>Int Data input</t>
  </si>
  <si>
    <t xml:space="preserve">Ref Data </t>
  </si>
  <si>
    <t xml:space="preserve">Int Data </t>
  </si>
  <si>
    <t>Readme</t>
  </si>
  <si>
    <t>IndustryEmissionsAccountingRef</t>
  </si>
  <si>
    <t>IndustryEmissionsAccountingInt</t>
  </si>
  <si>
    <t>FossilEneEmissionsAccountingRef</t>
  </si>
  <si>
    <t>FossilEneEmissionsAccountingInt</t>
  </si>
  <si>
    <t>PEfossilRef</t>
  </si>
  <si>
    <t>PEfossilInt</t>
  </si>
  <si>
    <t>ExpKayaFactorsRef</t>
  </si>
  <si>
    <t>ExpKayaFactorsInt</t>
  </si>
  <si>
    <t>ExpKayaRatiosRef</t>
  </si>
  <si>
    <t>ExpKayaRatiosInt</t>
  </si>
  <si>
    <t>AvAnn%Delta</t>
  </si>
  <si>
    <t>HistoricalGrowthRates</t>
  </si>
  <si>
    <t>LMDI 1 MethodDEq</t>
  </si>
  <si>
    <t>MitTable(LMDI I)DEq</t>
  </si>
  <si>
    <t>TotalEmissions</t>
  </si>
  <si>
    <t>AdditiveDashboardData</t>
  </si>
  <si>
    <t>This sheet extracts relevant data from the input sheets</t>
  </si>
  <si>
    <t>Factors dashboard</t>
  </si>
  <si>
    <t>Ratios dashboard</t>
  </si>
  <si>
    <t>Dashboard with al GHG emissions</t>
  </si>
  <si>
    <t>Line chart wiith biomass energy and fossil energy CCS</t>
  </si>
  <si>
    <t>Separates Industrial CCS from Industrial process emissions</t>
  </si>
  <si>
    <t>Calculates TFC and NFC (separate CCS and industrial process emissions from fossil energy emissions)</t>
  </si>
  <si>
    <t>Calculates fossil fuel fraction of Primary Energy</t>
  </si>
  <si>
    <t>Data series of all Kaya factors</t>
  </si>
  <si>
    <t>Data series of all Kaya ratios</t>
  </si>
  <si>
    <t>calculates growth rates for Figure 5</t>
  </si>
  <si>
    <t>Growth rates for Kaya dashboards--derived from PFU historical data</t>
  </si>
  <si>
    <t>Calculations for figure 8</t>
  </si>
  <si>
    <t xml:space="preserve">table of results </t>
  </si>
  <si>
    <t>Emissions for non-CO2 GHG</t>
  </si>
  <si>
    <t>summary of all sources of GHG emissions</t>
  </si>
  <si>
    <t>Data series for additive dashboard data</t>
  </si>
  <si>
    <t xml:space="preserve">Paste data here. The variable names must be in column D, and the year labels must be in the first row, starting in column G. </t>
  </si>
  <si>
    <t>Fig7CCSgraph</t>
  </si>
  <si>
    <t>Emissions|CO2|Fossil Fuels and industry = TFC+TIC-ccsFossilEnergy-ccsbiomassEnergy-ccsFossilIndustry-ccsBiomassIndustry</t>
  </si>
  <si>
    <t>*note:</t>
  </si>
  <si>
    <t>Data Input</t>
  </si>
  <si>
    <t>Ratios</t>
  </si>
  <si>
    <t>Factors</t>
  </si>
  <si>
    <t>note: data sheets that contain chart series that are formatted as "areas" ('area" series and "ref data") need to have data cleared after last year of series so that the named range will shorten. No NA's should be left in cells in those sheets, they must be deleted.</t>
  </si>
  <si>
    <t>some named ranges refer to row 2 to scale series length--should be row 1 intstead (row 1 holds years)</t>
  </si>
  <si>
    <t>Biomass Energy CCS</t>
  </si>
  <si>
    <t>Areas For Dashboards</t>
  </si>
  <si>
    <t>NFC (Int - Ref)</t>
  </si>
  <si>
    <t>Biomass CCS (Int-Ref)</t>
  </si>
  <si>
    <t>Industry CO2 (Int - Ref)</t>
  </si>
  <si>
    <t>Industry CO2 indexed to NFC 2010 (Int - Ref)</t>
  </si>
  <si>
    <t>Land Use (Int - Ref)</t>
  </si>
  <si>
    <t>Other Agents (Int - Ref)</t>
  </si>
  <si>
    <t>Total GHG Equivalent (Int - Ref)</t>
  </si>
  <si>
    <t>Total GHG Equivalent indexed to NFC 2010 (Int - Ref)</t>
  </si>
  <si>
    <t>∆NFC</t>
  </si>
  <si>
    <t xml:space="preserve">  ∆(Biomass CCS)</t>
  </si>
  <si>
    <t xml:space="preserve"> ∆(Land Use)</t>
  </si>
  <si>
    <t xml:space="preserve">                      ∆(Industry CO2)</t>
  </si>
  <si>
    <t xml:space="preserve">        ∆(Other Agents)</t>
  </si>
  <si>
    <t xml:space="preserve">             ∆(Total)</t>
  </si>
  <si>
    <t xml:space="preserve">  Biomass CCS</t>
  </si>
  <si>
    <t xml:space="preserve">    Land Use</t>
  </si>
  <si>
    <t xml:space="preserve">     Industry CO2</t>
  </si>
  <si>
    <t xml:space="preserve">         Other Agents</t>
  </si>
  <si>
    <t xml:space="preserve">            Total</t>
  </si>
  <si>
    <t>∆P</t>
  </si>
  <si>
    <t>∆FE</t>
  </si>
  <si>
    <r>
      <t>∆PE</t>
    </r>
    <r>
      <rPr>
        <b/>
        <vertAlign val="superscript"/>
        <sz val="12"/>
        <color indexed="10"/>
        <rFont val="Arial"/>
        <family val="2"/>
      </rPr>
      <t>DEq</t>
    </r>
  </si>
  <si>
    <r>
      <t>∆PE</t>
    </r>
    <r>
      <rPr>
        <b/>
        <vertAlign val="subscript"/>
        <sz val="12"/>
        <color rgb="FFFF0000"/>
        <rFont val="Arial"/>
        <family val="2"/>
      </rPr>
      <t>FF</t>
    </r>
  </si>
  <si>
    <t xml:space="preserve"> ∆P</t>
  </si>
  <si>
    <r>
      <t>∆(PE</t>
    </r>
    <r>
      <rPr>
        <b/>
        <vertAlign val="superscript"/>
        <sz val="12"/>
        <color indexed="10"/>
        <rFont val="Arial"/>
        <family val="2"/>
      </rPr>
      <t>DEq</t>
    </r>
    <r>
      <rPr>
        <b/>
        <sz val="12"/>
        <color indexed="10"/>
        <rFont val="Arial"/>
        <family val="2"/>
      </rPr>
      <t>/FE)</t>
    </r>
  </si>
  <si>
    <r>
      <t>∆(PE</t>
    </r>
    <r>
      <rPr>
        <b/>
        <vertAlign val="subscript"/>
        <sz val="12"/>
        <color rgb="FFFF0000"/>
        <rFont val="Arial"/>
        <family val="2"/>
      </rPr>
      <t>FF</t>
    </r>
    <r>
      <rPr>
        <b/>
        <sz val="12"/>
        <color indexed="10"/>
        <rFont val="Arial"/>
        <family val="2"/>
      </rPr>
      <t>/PE</t>
    </r>
    <r>
      <rPr>
        <b/>
        <vertAlign val="superscript"/>
        <sz val="12"/>
        <color indexed="10"/>
        <rFont val="Arial"/>
        <family val="2"/>
      </rPr>
      <t>DEq</t>
    </r>
    <r>
      <rPr>
        <b/>
        <sz val="12"/>
        <color indexed="10"/>
        <rFont val="Arial"/>
        <family val="2"/>
      </rPr>
      <t xml:space="preserve">) </t>
    </r>
  </si>
  <si>
    <t>Emissions|CO2|Carbon Capture and Storage</t>
  </si>
  <si>
    <t>Emissions|CO2|Carbon Capture and Storage|Biomass</t>
  </si>
  <si>
    <t>Emissions|CO2|Fossil Fuels and Industry</t>
  </si>
  <si>
    <t>CCS Biomass Energy</t>
  </si>
  <si>
    <t>Interence Case</t>
  </si>
  <si>
    <t>(NFC - CCS biomass energy)/TFC</t>
  </si>
  <si>
    <t>CCS Biomass Energy (Gt)</t>
  </si>
  <si>
    <t>CCS Biomass Energy/NFC</t>
  </si>
  <si>
    <t>Fossil Energy CCS</t>
  </si>
  <si>
    <t xml:space="preserve">∆P  </t>
  </si>
  <si>
    <t>∆GWP/P</t>
  </si>
  <si>
    <t xml:space="preserve">∆FE/GWP </t>
  </si>
  <si>
    <t>check</t>
  </si>
  <si>
    <t>Cumulative CO2 (TFC) Ref</t>
  </si>
  <si>
    <t>Cumulative CO2 (TFC) Int</t>
  </si>
  <si>
    <t>Cumulative CO2 (NFC) Int</t>
  </si>
  <si>
    <t>∆PEDEq/FE (ESLF)</t>
  </si>
  <si>
    <t xml:space="preserve">    NFC</t>
  </si>
  <si>
    <t>indexed to 2010</t>
  </si>
  <si>
    <t>indexed to NFC  2010</t>
  </si>
  <si>
    <t>indexed to NFC 2010</t>
  </si>
  <si>
    <t>indexed to NFCref  2010</t>
  </si>
  <si>
    <t>indexed to NFC ref 2010</t>
  </si>
  <si>
    <t>NFC indexed to 2010 (Int - Ref)</t>
  </si>
  <si>
    <t>Biomass CCS indexed to 2010 (Int - Ref)</t>
  </si>
  <si>
    <t>Biomass CCS indexed to NFC 2010 (Int - Ref)</t>
  </si>
  <si>
    <t>Industry CO2 indexed to 2010 (Int - Ref)</t>
  </si>
  <si>
    <t>Land Use indexed to 2010 (Int - Ref)</t>
  </si>
  <si>
    <t>Land Use indexed to NFC 2010 (Int - Ref)</t>
  </si>
  <si>
    <t>Other Agents indexed to 2010 (Int - Ref)</t>
  </si>
  <si>
    <t>Other Agents indexed to NFC 2010 (Int - Ref)</t>
  </si>
  <si>
    <t>Total GHG Equivalent indexed to 2010 (Int - Ref)</t>
  </si>
  <si>
    <t>Energy Sector</t>
  </si>
  <si>
    <t>All Sectors</t>
  </si>
  <si>
    <t>WaterfallAllSectors</t>
  </si>
  <si>
    <t>Waterfall chart with all Anthropogenic emissions (includes Fossil and Biomass CCS)</t>
  </si>
  <si>
    <t>AreasForDashboardsFactors</t>
  </si>
  <si>
    <t>AreasForDashboardsRatios</t>
  </si>
  <si>
    <t>Data series for shaded areas in Kaya Factors dashboard</t>
  </si>
  <si>
    <t>Data series for shaded areas in Kaya Ratios dashboard</t>
  </si>
  <si>
    <t>WaterfallData</t>
  </si>
  <si>
    <t>Data series for Waterfall charts</t>
  </si>
  <si>
    <t>Land Use Ref</t>
  </si>
  <si>
    <t>Other Gases Ref</t>
  </si>
  <si>
    <t>Land Use Int</t>
  </si>
  <si>
    <t>Other Gases Int</t>
  </si>
  <si>
    <r>
      <t>∆PE</t>
    </r>
    <r>
      <rPr>
        <vertAlign val="superscript"/>
        <sz val="10"/>
        <rFont val="Arial"/>
        <family val="2"/>
      </rPr>
      <t>FF</t>
    </r>
    <r>
      <rPr>
        <sz val="10"/>
        <rFont val="Arial"/>
        <family val="2"/>
      </rPr>
      <t>/PE</t>
    </r>
    <r>
      <rPr>
        <vertAlign val="superscript"/>
        <sz val="10"/>
        <rFont val="Arial"/>
        <family val="2"/>
      </rPr>
      <t>DEq</t>
    </r>
    <r>
      <rPr>
        <sz val="10"/>
        <rFont val="Arial"/>
        <family val="2"/>
      </rPr>
      <t xml:space="preserve"> </t>
    </r>
  </si>
  <si>
    <r>
      <t>∆TFC/PE</t>
    </r>
    <r>
      <rPr>
        <vertAlign val="superscript"/>
        <sz val="10"/>
        <rFont val="Arial"/>
        <family val="2"/>
      </rPr>
      <t xml:space="preserve">FF </t>
    </r>
  </si>
  <si>
    <r>
      <t>∆PE</t>
    </r>
    <r>
      <rPr>
        <vertAlign val="superscript"/>
        <sz val="10"/>
        <color theme="1"/>
        <rFont val="Arial"/>
        <family val="2"/>
      </rPr>
      <t>FF</t>
    </r>
    <r>
      <rPr>
        <sz val="10"/>
        <color theme="1"/>
        <rFont val="Arial"/>
        <family val="2"/>
      </rPr>
      <t>/PE</t>
    </r>
    <r>
      <rPr>
        <vertAlign val="superscript"/>
        <sz val="10"/>
        <color theme="1"/>
        <rFont val="Arial"/>
        <family val="2"/>
      </rPr>
      <t>DEq</t>
    </r>
    <r>
      <rPr>
        <sz val="10"/>
        <color theme="1"/>
        <rFont val="Arial"/>
        <family val="2"/>
      </rPr>
      <t xml:space="preserve"> </t>
    </r>
  </si>
  <si>
    <r>
      <t>∆TFC/PE</t>
    </r>
    <r>
      <rPr>
        <vertAlign val="superscript"/>
        <sz val="10"/>
        <color theme="1"/>
        <rFont val="Arial"/>
        <family val="2"/>
      </rPr>
      <t xml:space="preserve">FF </t>
    </r>
  </si>
  <si>
    <t xml:space="preserve">∆Land Use </t>
  </si>
  <si>
    <t xml:space="preserve">∆Other Gases </t>
  </si>
  <si>
    <t>TFC + industry + land use+ other</t>
  </si>
  <si>
    <t>Fossil Energy CCS Int</t>
  </si>
  <si>
    <t>Biomass CCS Int</t>
  </si>
  <si>
    <t>Total Anthropogenic Emissions Int</t>
  </si>
  <si>
    <t>Net Anthropogenic Emissions Int</t>
  </si>
  <si>
    <t>Total Anthropogenic Emissions Ref</t>
  </si>
  <si>
    <t>Final Energy|Non-Energy Use|Coal</t>
  </si>
  <si>
    <t>Final Energy|Non-Energy Use|Gas</t>
  </si>
  <si>
    <t>Final Energy|Non-Energy Use|Oil</t>
  </si>
  <si>
    <t>ExpKayaFactors + ExpandedKayaRatios + AreasForDashboards + HistoricalGrowthRates + Total emissions datasheets control series length</t>
  </si>
  <si>
    <t>∆T</t>
  </si>
  <si>
    <t>small value to replace zero</t>
  </si>
  <si>
    <t>model</t>
  </si>
  <si>
    <t>scenario</t>
  </si>
  <si>
    <t>region</t>
  </si>
  <si>
    <t>variable</t>
  </si>
  <si>
    <t>unit</t>
  </si>
  <si>
    <t>Carbon Sequestration|CCS</t>
  </si>
  <si>
    <t>Carbon Sequestration|CCS|Biomass</t>
  </si>
  <si>
    <t xml:space="preserve">                       CO2 from Energy </t>
  </si>
  <si>
    <t>subannual</t>
  </si>
  <si>
    <t>meta</t>
  </si>
  <si>
    <r>
      <t xml:space="preserve">   PE</t>
    </r>
    <r>
      <rPr>
        <b/>
        <vertAlign val="superscript"/>
        <sz val="12"/>
        <color rgb="FFFF0000"/>
        <rFont val="Arial"/>
        <family val="2"/>
      </rPr>
      <t>DEq</t>
    </r>
  </si>
  <si>
    <t>Emissions|CO2</t>
  </si>
  <si>
    <t>Emissions|CO2|AFOLU</t>
  </si>
  <si>
    <t>Emissions|CO2|Energy</t>
  </si>
  <si>
    <t>billion US$2010/yr OR local currency</t>
  </si>
  <si>
    <t>IMAGE</t>
  </si>
  <si>
    <t>SSP2-Ref-SPA0-V17</t>
  </si>
  <si>
    <t>SSP2-Baseline</t>
  </si>
  <si>
    <t>foss+ind</t>
  </si>
  <si>
    <t xml:space="preserve">TFC (Total Fossil Carbon) build Total Fossil and Indudtry Carbon, then subtract total Industry carbon </t>
  </si>
  <si>
    <t>NFCI (Net Fossil Carbon)</t>
  </si>
  <si>
    <t>NFC (Net Fossil Carbon)</t>
  </si>
  <si>
    <t>TFC (Total Fossil Carbon)</t>
  </si>
  <si>
    <t>∆TFC</t>
  </si>
  <si>
    <r>
      <t>∆(TFC/PE</t>
    </r>
    <r>
      <rPr>
        <b/>
        <vertAlign val="subscript"/>
        <sz val="12"/>
        <color rgb="FFFF0000"/>
        <rFont val="Arial"/>
        <family val="2"/>
      </rPr>
      <t>FF</t>
    </r>
    <r>
      <rPr>
        <b/>
        <sz val="12"/>
        <color indexed="10"/>
        <rFont val="Arial"/>
        <family val="2"/>
      </rPr>
      <t>)</t>
    </r>
  </si>
  <si>
    <t>∆(NFC/TFC)</t>
  </si>
  <si>
    <t>billion US$2010/yr</t>
  </si>
  <si>
    <t>GDP deflator 2010/2005</t>
  </si>
  <si>
    <t>IMA15-TOT</t>
  </si>
  <si>
    <t xml:space="preserve">                 (NFC)</t>
  </si>
  <si>
    <t>x</t>
  </si>
  <si>
    <t>LineY</t>
  </si>
  <si>
    <t>Lines</t>
  </si>
  <si>
    <t>Label-</t>
  </si>
  <si>
    <t>Label+</t>
  </si>
  <si>
    <t>Invisible</t>
  </si>
  <si>
    <t>Delta-</t>
  </si>
  <si>
    <t>Delta+</t>
  </si>
  <si>
    <t>Base-</t>
  </si>
  <si>
    <t>Base+</t>
  </si>
  <si>
    <t>Pillars</t>
  </si>
  <si>
    <t>Flow</t>
  </si>
  <si>
    <t>Delta</t>
  </si>
  <si>
    <t>Pillar</t>
  </si>
  <si>
    <t>Label</t>
  </si>
  <si>
    <t>Ref</t>
  </si>
  <si>
    <t>NIC (Net Industry Carbon)</t>
  </si>
  <si>
    <t>Fossil Industry CCS</t>
  </si>
  <si>
    <t>Biomass Industry CCS</t>
  </si>
  <si>
    <t>Int</t>
  </si>
  <si>
    <t>∆TIC (Total Industry Carbon)</t>
  </si>
  <si>
    <t>Fossil CCS Int</t>
  </si>
  <si>
    <t xml:space="preserve">Industrial Process Emissions (TIC) Ref </t>
  </si>
  <si>
    <t>Industrial Process Emissions (NIC) Int</t>
  </si>
  <si>
    <t>Biomass Energy CCS Int</t>
  </si>
  <si>
    <t>Fossil Energy Int CCS</t>
  </si>
  <si>
    <t>fossil industry ccs int</t>
  </si>
  <si>
    <t>TIC</t>
  </si>
  <si>
    <t>TFC REF</t>
  </si>
  <si>
    <t>TFC INT</t>
  </si>
  <si>
    <t>NFC INT</t>
  </si>
  <si>
    <t>Biomass Energy CCS int</t>
  </si>
  <si>
    <t>Biomass Industry CCS Int</t>
  </si>
  <si>
    <t>∆Total Industry Carbon (TIC)</t>
  </si>
  <si>
    <t>Total Cumulative Reductions from Total Emissions Ref to Net Emissions Int</t>
  </si>
  <si>
    <t>Gt CO2-eq</t>
  </si>
  <si>
    <t>% of Total reductions</t>
  </si>
  <si>
    <t>Note: There is a small difference between the data in this table and those shown</t>
  </si>
  <si>
    <r>
      <t xml:space="preserve">in Fig 8 Mit Chart. Mit chart goes from </t>
    </r>
    <r>
      <rPr>
        <b/>
        <sz val="12"/>
        <color theme="1"/>
        <rFont val="Calibri (Body)"/>
      </rPr>
      <t>Net</t>
    </r>
    <r>
      <rPr>
        <sz val="12"/>
        <color theme="1"/>
        <rFont val="Calibri"/>
        <family val="2"/>
        <scheme val="minor"/>
      </rPr>
      <t xml:space="preserve"> Anthropogenic Ref (black line) to Net Anthropogenic Int (red line), whereas the the reductions in this table take us from </t>
    </r>
    <r>
      <rPr>
        <b/>
        <sz val="12"/>
        <color theme="1"/>
        <rFont val="Calibri"/>
        <family val="2"/>
        <scheme val="minor"/>
      </rPr>
      <t xml:space="preserve">Total </t>
    </r>
    <r>
      <rPr>
        <sz val="12"/>
        <color theme="1"/>
        <rFont val="Calibri"/>
        <family val="2"/>
        <scheme val="minor"/>
      </rPr>
      <t>Anthropogenic Ref to Net Anthropogenic Int. This will be noticable if there is CCS in the reference case.</t>
    </r>
  </si>
  <si>
    <t>Gt CO2 equivalent</t>
  </si>
  <si>
    <t>Total Emissions Ref</t>
  </si>
  <si>
    <t>Reference case cumulative emissions</t>
  </si>
  <si>
    <t>Net Emission Int</t>
  </si>
  <si>
    <t>Intervention case cumulative emissions</t>
  </si>
  <si>
    <t>Change in</t>
  </si>
  <si>
    <t>% of total/net</t>
  </si>
  <si>
    <t>PE/FE</t>
  </si>
  <si>
    <t>Peff/PE</t>
  </si>
  <si>
    <t>TFCI/Peff</t>
  </si>
  <si>
    <t>Industry carbon</t>
  </si>
  <si>
    <t>Other gases</t>
  </si>
  <si>
    <t>Intervention case</t>
  </si>
  <si>
    <t>Total/Net</t>
  </si>
  <si>
    <t>% of Ref case cumulative emissions</t>
  </si>
  <si>
    <t>2010 to 2050</t>
  </si>
  <si>
    <t>2050 to 2100</t>
  </si>
  <si>
    <t>2010 to 2100</t>
  </si>
  <si>
    <r>
      <t xml:space="preserve">Decomposition of  Emissions For </t>
    </r>
    <r>
      <rPr>
        <b/>
        <sz val="11"/>
        <rFont val="Arial"/>
        <family val="2"/>
      </rPr>
      <t>Reference Case</t>
    </r>
    <r>
      <rPr>
        <sz val="11"/>
        <rFont val="Arial"/>
        <family val="2"/>
      </rPr>
      <t>: LMDI 1</t>
    </r>
  </si>
  <si>
    <t>Ref Case Emissions Attribution</t>
  </si>
  <si>
    <t>INT</t>
  </si>
  <si>
    <t>base year</t>
  </si>
  <si>
    <t>cumulative</t>
  </si>
  <si>
    <t>delta total emissions/year</t>
  </si>
  <si>
    <t>All Sectors, Cumulative</t>
  </si>
  <si>
    <t>Energy Intensity of Economy</t>
  </si>
  <si>
    <t>Carbon Intensity of Fossil Energy</t>
  </si>
  <si>
    <t>Energy Supply Loss Factor</t>
  </si>
  <si>
    <t>Fossil Fuel Fraction</t>
  </si>
  <si>
    <t>Other Gases</t>
  </si>
  <si>
    <t>Total Net Emissions</t>
  </si>
  <si>
    <t>Economic Activity per Person</t>
  </si>
  <si>
    <t>Avg %∆/yr</t>
  </si>
  <si>
    <t>Primary Energy | Fossil total</t>
  </si>
  <si>
    <t>Subtract year n from year n-1 value, divide by 2020 value, then divide again by 10 and convert to a % to get annual decadal rate of change as % of 2020</t>
  </si>
  <si>
    <t>Absolute annual %∆ relative to 2020</t>
  </si>
  <si>
    <t>Same for 2020 to 2050</t>
  </si>
  <si>
    <t>Fig8MitChart(LMDI1corrected)DEq</t>
  </si>
  <si>
    <t>Stacked area chart for LMDI emissions attribution</t>
  </si>
  <si>
    <t>WaterfallVert</t>
  </si>
  <si>
    <t>Waterfall chart with all Anthropogenic emissions (includes Fossil and Biomass CCS)--vertical alignment</t>
  </si>
  <si>
    <t>Table of emissions reductions from Reference to Intervention case</t>
  </si>
  <si>
    <t>WaterfallVert2050</t>
  </si>
  <si>
    <t>Waterfall chart with all Anthropogenic emissions (includes Fossil and Biomass CCS)--to year 2050</t>
  </si>
  <si>
    <t>Savings2050</t>
  </si>
  <si>
    <t>Table of emissions reductions from Reference to Intervention case to year 2050</t>
  </si>
  <si>
    <t>EmissionsReductionsTable</t>
  </si>
  <si>
    <t>Similar to Savings</t>
  </si>
  <si>
    <t>WaterfallVertData</t>
  </si>
  <si>
    <t>Data for WaterfallVert</t>
  </si>
  <si>
    <t>WaterfallVertData2050</t>
  </si>
  <si>
    <t>Data for WaterfallVert2050</t>
  </si>
  <si>
    <t>RefDriversLMDI</t>
  </si>
  <si>
    <t>Bar Chart of LMDI attribution for cumulative emissions in the Reference case</t>
  </si>
  <si>
    <t>LMDItableRefAllSectors</t>
  </si>
  <si>
    <t>Table of RefDriversLMDI data</t>
  </si>
  <si>
    <t>WaterfallData2050</t>
  </si>
  <si>
    <t>Data series for Waterfall2050 charts</t>
  </si>
  <si>
    <t>LMDI 1 MethodRefCumulative</t>
  </si>
  <si>
    <t>LMDI calcs for RefDriversLMDI</t>
  </si>
  <si>
    <t>OtherGases</t>
  </si>
  <si>
    <t>Reference case citation:</t>
  </si>
  <si>
    <t>Intervention case citation:</t>
  </si>
  <si>
    <t>van Vuuren, Detlef P., Elke Stehfest, David E. H. J. Gernaat, Maarten van den Berg, David L. Bijl, Harmen Sytze de Boer, Vassilis Daioglou, Jonathan C. Doelman, Oreane Y. Edelenbosch, Mathijs Harmsen, Andries F. Hof, and Mariësse A. E. van Sluisveld. 2018. "Alternative pathways to the 1.5 °C target reduce the need for negative emission technologies." Nature Climate Change. 2018/04/13. [https://doi.org/10.1038/s41558-018-0119-8]</t>
  </si>
  <si>
    <t>2020 to 2050</t>
  </si>
  <si>
    <t>2020 to 2100</t>
  </si>
  <si>
    <t>Sum from 2020</t>
  </si>
  <si>
    <t>TFC/PEff estimate</t>
  </si>
  <si>
    <t>Calculated using EJ primary by fuel and</t>
  </si>
  <si>
    <t>emissions factors in column P, rows 18-20</t>
  </si>
  <si>
    <t xml:space="preserve">TFC estimate </t>
  </si>
  <si>
    <t>PE * TFC/PE from rows 12 and 21</t>
  </si>
  <si>
    <t>TIC estimate</t>
  </si>
  <si>
    <t>Difference between row 14 and row 26</t>
  </si>
  <si>
    <t>except for 2010 which we take from van Vuuren</t>
  </si>
  <si>
    <t>Emission factors</t>
  </si>
  <si>
    <t>EJ/year</t>
  </si>
  <si>
    <t>Sum primary energy fossil</t>
  </si>
  <si>
    <t>********RATIO OF TFCI/PEFF IN ROW 13 IS NOT USED IN FINAL DECOMPOSITION********</t>
  </si>
  <si>
    <t>TFCI</t>
  </si>
  <si>
    <t>TFCI/PEFF</t>
  </si>
  <si>
    <t>Industrial Process Carbon Emissions</t>
  </si>
  <si>
    <t xml:space="preserve">base year = 2020 </t>
  </si>
  <si>
    <t>note: start sum from 2021 since 2020 is the LMDI base year and will have divide by zero errors</t>
  </si>
  <si>
    <t>Sum from 2050</t>
  </si>
  <si>
    <t xml:space="preserve">                         emissions for Figure 1</t>
  </si>
  <si>
    <t xml:space="preserve">                         emissions for Figure 2</t>
  </si>
  <si>
    <t>Ratio Int/REF GDP</t>
  </si>
  <si>
    <t>Ratio Int/REF pop</t>
  </si>
  <si>
    <t>IMAGE 3.0.1</t>
  </si>
  <si>
    <t>Non-fossil</t>
  </si>
  <si>
    <t>Fossil gas</t>
  </si>
  <si>
    <t>Petroleum</t>
  </si>
  <si>
    <t>Coal</t>
  </si>
  <si>
    <t>Fossil fuel fraction</t>
  </si>
  <si>
    <t>PE non-fossil</t>
  </si>
  <si>
    <t>PE fossil</t>
  </si>
  <si>
    <t>Last modified: April 27th, 2022</t>
  </si>
  <si>
    <t>jgkoomey@gmail.com</t>
  </si>
  <si>
    <t>Jonathan Koomey</t>
  </si>
  <si>
    <t xml:space="preserve"> GNP</t>
  </si>
  <si>
    <t>GNP</t>
  </si>
  <si>
    <t>∆(GNP/P)</t>
  </si>
  <si>
    <t>∆(FE/GNP)</t>
  </si>
  <si>
    <t>GNP/P</t>
  </si>
  <si>
    <t>FE/GNP</t>
  </si>
  <si>
    <t>∆GNP/P</t>
  </si>
  <si>
    <t xml:space="preserve">∆FE/GNP </t>
  </si>
  <si>
    <r>
      <t>PE</t>
    </r>
    <r>
      <rPr>
        <vertAlign val="superscript"/>
        <sz val="12"/>
        <color theme="1"/>
        <rFont val="Calibri (Body)"/>
      </rPr>
      <t>DEq</t>
    </r>
    <r>
      <rPr>
        <sz val="12"/>
        <color theme="1"/>
        <rFont val="Calibri"/>
        <family val="2"/>
        <scheme val="minor"/>
      </rPr>
      <t>/GNP</t>
    </r>
  </si>
  <si>
    <r>
      <t>PE</t>
    </r>
    <r>
      <rPr>
        <vertAlign val="superscript"/>
        <sz val="12"/>
        <color theme="1"/>
        <rFont val="Calibri (Body)"/>
      </rPr>
      <t>DEq</t>
    </r>
    <r>
      <rPr>
        <sz val="12"/>
        <color theme="1"/>
        <rFont val="Calibri (Body)"/>
      </rPr>
      <t>/GNP</t>
    </r>
  </si>
  <si>
    <t>∆GNP</t>
  </si>
  <si>
    <t>Annual % ∆</t>
  </si>
  <si>
    <t>% of total fossil</t>
  </si>
  <si>
    <t>Emissions|HFC</t>
  </si>
  <si>
    <t>kt HFC134a-equiv/yr</t>
  </si>
  <si>
    <t>Emissions|PFC</t>
  </si>
  <si>
    <t>kt CF4/yr</t>
  </si>
  <si>
    <t>Emissions|SF6</t>
  </si>
  <si>
    <t>kt SF6/yr</t>
  </si>
  <si>
    <t>kt CF4-equiv/yr</t>
  </si>
  <si>
    <t>MESSAGE-GLOBIOM 1.0</t>
  </si>
  <si>
    <t>Diagnostics|MAGICC6|Harmonized Input|Emissions|HFC|HFC125</t>
  </si>
  <si>
    <t>kt HFC23/yr</t>
  </si>
  <si>
    <t/>
  </si>
  <si>
    <t>Diagnostics|MAGICC6|Harmonized Input|Emissions|HFC|HFC134a</t>
  </si>
  <si>
    <t>Diagnostics|MAGICC6|Harmonized Input|Emissions|HFC|HFC143a</t>
  </si>
  <si>
    <t>Diagnostics|MAGICC6|Harmonized Input|Emissions|HFC|HFC227ea</t>
  </si>
  <si>
    <t>Diagnostics|MAGICC6|Harmonized Input|Emissions|HFC|HFC23</t>
  </si>
  <si>
    <t>Diagnostics|MAGICC6|Harmonized Input|Emissions|HFC|HFC245ca</t>
  </si>
  <si>
    <t>Diagnostics|MAGICC6|Harmonized Input|Emissions|HFC|HFC32</t>
  </si>
  <si>
    <t>Diagnostics|MAGICC6|Harmonized Input|Emissions|HFC|HFC43-10</t>
  </si>
  <si>
    <t>Diagnostics|MAGICC6|Harmonized Input|Emissions|PFC</t>
  </si>
  <si>
    <t>Diagnostics|MAGICC6|Harmonized Input|Emissions|SF6</t>
  </si>
  <si>
    <t>Emissions|CF4</t>
  </si>
  <si>
    <t>CO2/HFC134a</t>
  </si>
  <si>
    <t>CO2/CF4</t>
  </si>
  <si>
    <t>CO2/SF6</t>
  </si>
  <si>
    <t>F-Gas Conversion</t>
  </si>
  <si>
    <t>From AR6</t>
  </si>
  <si>
    <t>SSP2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</si>
</sst>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 ##0"/>
    <numFmt numFmtId="165" formatCode="0.0"/>
    <numFmt numFmtId="166" formatCode="0.0%"/>
    <numFmt numFmtId="167" formatCode="0.000"/>
    <numFmt numFmtId="168" formatCode="0.000000"/>
    <numFmt numFmtId="169" formatCode="0.00000"/>
  </numFmts>
  <fonts count="88" x14ac:knownFonts="1">
    <font>
      <sz val="12"/>
      <color theme="1"/>
      <name val="Calibri"/>
      <family val="2"/>
      <scheme val="minor"/>
    </font>
    <font>
      <sz val="10"/>
      <name val="Arial"/>
      <family val="2"/>
    </font>
    <font>
      <sz val="11"/>
      <color theme="1"/>
      <name val="Calibri"/>
      <family val="2"/>
      <scheme val="minor"/>
    </font>
    <font>
      <sz val="10"/>
      <color theme="1"/>
      <name val="Arial"/>
      <family val="2"/>
    </font>
    <font>
      <b/>
      <sz val="16"/>
      <name val="Arial"/>
      <family val="2"/>
    </font>
    <font>
      <b/>
      <sz val="12"/>
      <name val="Arial"/>
      <family val="2"/>
    </font>
    <font>
      <b/>
      <sz val="11"/>
      <name val="Arial"/>
      <family val="2"/>
    </font>
    <font>
      <sz val="11"/>
      <name val="Arial"/>
      <family val="2"/>
    </font>
    <font>
      <sz val="12"/>
      <name val="Times New Roman"/>
      <family val="1"/>
    </font>
    <font>
      <u/>
      <sz val="10"/>
      <color indexed="12"/>
      <name val="Arial"/>
      <family val="2"/>
    </font>
    <font>
      <u/>
      <sz val="10"/>
      <name val="Arial"/>
      <family val="2"/>
    </font>
    <font>
      <sz val="12"/>
      <color theme="1"/>
      <name val="Calibri"/>
      <family val="2"/>
      <scheme val="minor"/>
    </font>
    <font>
      <b/>
      <sz val="12"/>
      <color theme="1"/>
      <name val="Calibri"/>
      <family val="2"/>
      <scheme val="minor"/>
    </font>
    <font>
      <b/>
      <sz val="20"/>
      <color theme="1"/>
      <name val="Calibri"/>
      <family val="2"/>
      <scheme val="minor"/>
    </font>
    <font>
      <b/>
      <sz val="10"/>
      <name val="Arial"/>
      <family val="2"/>
    </font>
    <font>
      <vertAlign val="superscript"/>
      <sz val="12"/>
      <color theme="1"/>
      <name val="Calibri (Body)"/>
    </font>
    <font>
      <b/>
      <vertAlign val="superscript"/>
      <sz val="12"/>
      <color theme="1"/>
      <name val="Calibri (Body)"/>
    </font>
    <font>
      <vertAlign val="subscript"/>
      <sz val="12"/>
      <color theme="1"/>
      <name val="Calibri (Body)"/>
    </font>
    <font>
      <b/>
      <vertAlign val="superscript"/>
      <sz val="10"/>
      <name val="Arial"/>
      <family val="2"/>
    </font>
    <font>
      <b/>
      <sz val="12"/>
      <color rgb="FF000000"/>
      <name val="Calibri"/>
      <family val="2"/>
      <scheme val="minor"/>
    </font>
    <font>
      <sz val="12"/>
      <color rgb="FF000000"/>
      <name val="Calibri"/>
      <family val="2"/>
      <scheme val="minor"/>
    </font>
    <font>
      <vertAlign val="superscript"/>
      <sz val="12"/>
      <color rgb="FF000000"/>
      <name val="Calibri (Body)"/>
    </font>
    <font>
      <vertAlign val="subscript"/>
      <sz val="12"/>
      <color rgb="FF000000"/>
      <name val="Calibri (Body)"/>
    </font>
    <font>
      <vertAlign val="subscript"/>
      <sz val="10"/>
      <name val="Arial"/>
      <family val="2"/>
    </font>
    <font>
      <b/>
      <vertAlign val="subscript"/>
      <sz val="10"/>
      <name val="Arial"/>
      <family val="2"/>
    </font>
    <font>
      <sz val="11"/>
      <color theme="0"/>
      <name val="Arial"/>
      <family val="2"/>
    </font>
    <font>
      <i/>
      <sz val="11"/>
      <name val="Arial"/>
      <family val="2"/>
    </font>
    <font>
      <sz val="16"/>
      <name val="Arial"/>
      <family val="2"/>
    </font>
    <font>
      <b/>
      <sz val="14"/>
      <color indexed="10"/>
      <name val="Arial"/>
      <family val="2"/>
    </font>
    <font>
      <b/>
      <sz val="14"/>
      <name val="Arial"/>
      <family val="2"/>
    </font>
    <font>
      <i/>
      <sz val="10"/>
      <name val="Arial"/>
      <family val="2"/>
    </font>
    <font>
      <i/>
      <sz val="10"/>
      <color indexed="18"/>
      <name val="Arial"/>
      <family val="2"/>
    </font>
    <font>
      <i/>
      <sz val="9"/>
      <name val="Arial"/>
      <family val="2"/>
    </font>
    <font>
      <i/>
      <sz val="10"/>
      <color indexed="63"/>
      <name val="Arial"/>
      <family val="2"/>
    </font>
    <font>
      <i/>
      <sz val="10"/>
      <color indexed="62"/>
      <name val="Arial"/>
      <family val="2"/>
    </font>
    <font>
      <sz val="9"/>
      <name val="Arial"/>
      <family val="2"/>
    </font>
    <font>
      <i/>
      <sz val="9"/>
      <color indexed="63"/>
      <name val="Arial"/>
      <family val="2"/>
    </font>
    <font>
      <b/>
      <sz val="12"/>
      <color indexed="10"/>
      <name val="Arial"/>
      <family val="2"/>
    </font>
    <font>
      <b/>
      <vertAlign val="superscript"/>
      <sz val="12"/>
      <color indexed="10"/>
      <name val="Arial"/>
      <family val="2"/>
    </font>
    <font>
      <sz val="10"/>
      <color indexed="10"/>
      <name val="Arial"/>
      <family val="2"/>
    </font>
    <font>
      <sz val="9"/>
      <color rgb="FF037F00"/>
      <name val="Arial"/>
      <family val="2"/>
    </font>
    <font>
      <sz val="9"/>
      <color rgb="FF008000"/>
      <name val="Arial"/>
      <family val="2"/>
    </font>
    <font>
      <sz val="10"/>
      <color rgb="FF008000"/>
      <name val="Arial"/>
      <family val="2"/>
    </font>
    <font>
      <i/>
      <sz val="8"/>
      <name val="Arial"/>
      <family val="2"/>
    </font>
    <font>
      <sz val="8"/>
      <name val="Arial"/>
      <family val="2"/>
    </font>
    <font>
      <sz val="8"/>
      <color rgb="FFFF0000"/>
      <name val="Arial"/>
      <family val="2"/>
    </font>
    <font>
      <i/>
      <sz val="8"/>
      <color rgb="FF0000FF"/>
      <name val="Arial"/>
      <family val="2"/>
    </font>
    <font>
      <i/>
      <sz val="8"/>
      <color indexed="63"/>
      <name val="Arial"/>
      <family val="2"/>
    </font>
    <font>
      <i/>
      <sz val="10"/>
      <color rgb="FF3366FF"/>
      <name val="Arial"/>
      <family val="2"/>
    </font>
    <font>
      <i/>
      <sz val="10"/>
      <color theme="9" tint="-0.249977111117893"/>
      <name val="Arial"/>
      <family val="2"/>
    </font>
    <font>
      <i/>
      <sz val="9"/>
      <color rgb="FF3366FF"/>
      <name val="Arial"/>
      <family val="2"/>
    </font>
    <font>
      <i/>
      <sz val="9"/>
      <color theme="9" tint="-0.249977111117893"/>
      <name val="Arial"/>
      <family val="2"/>
    </font>
    <font>
      <i/>
      <sz val="9"/>
      <color rgb="FF008000"/>
      <name val="Arial"/>
      <family val="2"/>
    </font>
    <font>
      <b/>
      <sz val="12"/>
      <color rgb="FFFF0000"/>
      <name val="Arial"/>
      <family val="2"/>
    </font>
    <font>
      <sz val="10"/>
      <color rgb="FFFF0000"/>
      <name val="Arial"/>
      <family val="2"/>
    </font>
    <font>
      <sz val="10"/>
      <color rgb="FF000000"/>
      <name val="Arial"/>
      <family val="2"/>
    </font>
    <font>
      <b/>
      <sz val="14"/>
      <color indexed="9"/>
      <name val="Arial"/>
      <family val="2"/>
    </font>
    <font>
      <sz val="8"/>
      <color rgb="FF000000"/>
      <name val="Arial"/>
      <family val="2"/>
    </font>
    <font>
      <i/>
      <sz val="9"/>
      <color rgb="FF3465FC"/>
      <name val="Arial"/>
      <family val="2"/>
    </font>
    <font>
      <b/>
      <sz val="10"/>
      <color rgb="FFFF0000"/>
      <name val="Arial"/>
      <family val="2"/>
    </font>
    <font>
      <i/>
      <sz val="10"/>
      <color theme="8" tint="-0.249977111117893"/>
      <name val="Arial"/>
      <family val="2"/>
    </font>
    <font>
      <i/>
      <sz val="10"/>
      <color rgb="FF008000"/>
      <name val="Arial"/>
      <family val="2"/>
    </font>
    <font>
      <sz val="11"/>
      <color theme="1"/>
      <name val="Arial"/>
      <family val="2"/>
    </font>
    <font>
      <b/>
      <sz val="20"/>
      <name val="Arial"/>
      <family val="2"/>
    </font>
    <font>
      <sz val="10"/>
      <name val="Arial"/>
      <family val="2"/>
    </font>
    <font>
      <b/>
      <vertAlign val="subscript"/>
      <sz val="12"/>
      <color rgb="FFFF0000"/>
      <name val="Arial"/>
      <family val="2"/>
    </font>
    <font>
      <vertAlign val="superscript"/>
      <sz val="10"/>
      <name val="Arial"/>
      <family val="2"/>
    </font>
    <font>
      <b/>
      <sz val="10"/>
      <color theme="1"/>
      <name val="Arial"/>
      <family val="2"/>
    </font>
    <font>
      <vertAlign val="superscript"/>
      <sz val="10"/>
      <color theme="1"/>
      <name val="Arial"/>
      <family val="2"/>
    </font>
    <font>
      <b/>
      <vertAlign val="superscript"/>
      <sz val="12"/>
      <color rgb="FFFF0000"/>
      <name val="Arial"/>
      <family val="2"/>
    </font>
    <font>
      <sz val="12"/>
      <color rgb="FFFFC000"/>
      <name val="Calibri"/>
      <family val="2"/>
      <scheme val="minor"/>
    </font>
    <font>
      <b/>
      <sz val="10"/>
      <color theme="4" tint="-0.249977111117893"/>
      <name val="Calibri"/>
      <family val="2"/>
      <scheme val="minor"/>
    </font>
    <font>
      <sz val="10"/>
      <color theme="4" tint="-0.249977111117893"/>
      <name val="Calibri"/>
      <family val="2"/>
      <scheme val="minor"/>
    </font>
    <font>
      <sz val="9"/>
      <color theme="1"/>
      <name val="Calibri"/>
      <family val="2"/>
      <scheme val="minor"/>
    </font>
    <font>
      <b/>
      <sz val="11"/>
      <color theme="1"/>
      <name val="Calibri"/>
      <family val="2"/>
      <scheme val="minor"/>
    </font>
    <font>
      <sz val="10"/>
      <color theme="1"/>
      <name val="Calibri"/>
      <family val="2"/>
      <scheme val="minor"/>
    </font>
    <font>
      <sz val="9"/>
      <color theme="0"/>
      <name val="Calibri"/>
      <family val="2"/>
      <scheme val="minor"/>
    </font>
    <font>
      <sz val="11"/>
      <color theme="0"/>
      <name val="Calibri"/>
      <family val="2"/>
      <scheme val="minor"/>
    </font>
    <font>
      <b/>
      <sz val="11"/>
      <color theme="0"/>
      <name val="Calibri"/>
      <family val="2"/>
      <scheme val="minor"/>
    </font>
    <font>
      <b/>
      <sz val="8"/>
      <color indexed="81"/>
      <name val="Tahoma"/>
      <family val="2"/>
    </font>
    <font>
      <sz val="8"/>
      <color indexed="81"/>
      <name val="Tahoma"/>
      <family val="2"/>
    </font>
    <font>
      <b/>
      <sz val="10"/>
      <color rgb="FF000000"/>
      <name val="Arial"/>
      <family val="2"/>
    </font>
    <font>
      <sz val="12"/>
      <color rgb="FFFF0000"/>
      <name val="Calibri"/>
      <family val="2"/>
      <scheme val="minor"/>
    </font>
    <font>
      <b/>
      <sz val="12"/>
      <color theme="1"/>
      <name val="Calibri (Body)"/>
    </font>
    <font>
      <sz val="12"/>
      <color theme="5"/>
      <name val="Calibri"/>
      <family val="2"/>
      <scheme val="minor"/>
    </font>
    <font>
      <b/>
      <sz val="8"/>
      <color rgb="FF000000"/>
      <name val="Tahoma"/>
      <family val="2"/>
    </font>
    <font>
      <sz val="8"/>
      <color rgb="FF000000"/>
      <name val="Tahoma"/>
      <family val="2"/>
    </font>
    <font>
      <sz val="12"/>
      <color theme="1"/>
      <name val="Calibri (Body)"/>
    </font>
  </fonts>
  <fills count="22">
    <fill>
      <patternFill patternType="none"/>
    </fill>
    <fill>
      <patternFill patternType="gray125"/>
    </fill>
    <fill>
      <patternFill patternType="solid">
        <fgColor theme="0"/>
        <bgColor indexed="64"/>
      </patternFill>
    </fill>
    <fill>
      <patternFill patternType="solid">
        <fgColor indexed="31"/>
      </patternFill>
    </fill>
    <fill>
      <patternFill patternType="solid">
        <fgColor indexed="43"/>
      </patternFill>
    </fill>
    <fill>
      <patternFill patternType="solid">
        <fgColor rgb="FFFFFF00"/>
        <bgColor indexed="64"/>
      </patternFill>
    </fill>
    <fill>
      <patternFill patternType="solid">
        <fgColor indexed="9"/>
        <bgColor indexed="64"/>
      </patternFill>
    </fill>
    <fill>
      <patternFill patternType="solid">
        <fgColor rgb="FFCCCCFF"/>
        <bgColor rgb="FF000000"/>
      </patternFill>
    </fill>
    <fill>
      <patternFill patternType="solid">
        <fgColor rgb="FFFF0000"/>
        <bgColor indexed="64"/>
      </patternFill>
    </fill>
    <fill>
      <patternFill patternType="solid">
        <fgColor rgb="FF008000"/>
        <bgColor indexed="64"/>
      </patternFill>
    </fill>
    <fill>
      <patternFill patternType="solid">
        <fgColor indexed="18"/>
        <bgColor indexed="64"/>
      </patternFill>
    </fill>
    <fill>
      <patternFill patternType="solid">
        <fgColor rgb="FFA2BD90"/>
        <bgColor rgb="FF000000"/>
      </patternFill>
    </fill>
    <fill>
      <patternFill patternType="solid">
        <fgColor rgb="FF3465FC"/>
        <bgColor indexed="64"/>
      </patternFill>
    </fill>
    <fill>
      <patternFill patternType="solid">
        <fgColor theme="7" tint="-0.249977111117893"/>
        <bgColor indexed="64"/>
      </patternFill>
    </fill>
    <fill>
      <patternFill patternType="solid">
        <fgColor rgb="FF7030A0"/>
        <bgColor indexed="64"/>
      </patternFill>
    </fill>
    <fill>
      <patternFill patternType="solid">
        <fgColor rgb="FF00B0F0"/>
        <bgColor indexed="64"/>
      </patternFill>
    </fill>
    <fill>
      <patternFill patternType="solid">
        <fgColor rgb="FFC1EFC5"/>
        <bgColor indexed="64"/>
      </patternFill>
    </fill>
    <fill>
      <patternFill patternType="solid">
        <fgColor rgb="FFD986C3"/>
        <bgColor indexed="64"/>
      </patternFill>
    </fill>
    <fill>
      <patternFill patternType="solid">
        <fgColor theme="0" tint="-0.14999847407452621"/>
        <bgColor indexed="64"/>
      </patternFill>
    </fill>
    <fill>
      <patternFill patternType="solid">
        <fgColor theme="4"/>
        <bgColor indexed="64"/>
      </patternFill>
    </fill>
    <fill>
      <patternFill patternType="solid">
        <fgColor rgb="FFEC452F"/>
        <bgColor indexed="64"/>
      </patternFill>
    </fill>
    <fill>
      <patternFill patternType="solid">
        <fgColor rgb="FF70359F"/>
        <bgColor indexed="64"/>
      </patternFill>
    </fill>
  </fills>
  <borders count="8">
    <border>
      <left/>
      <right/>
      <top/>
      <bottom/>
      <diagonal/>
    </border>
    <border>
      <left/>
      <right/>
      <top style="thin">
        <color auto="1"/>
      </top>
      <bottom/>
      <diagonal/>
    </border>
    <border>
      <left/>
      <right style="thin">
        <color auto="1"/>
      </right>
      <top style="thin">
        <color auto="1"/>
      </top>
      <bottom/>
      <diagonal/>
    </border>
    <border>
      <left/>
      <right style="thin">
        <color auto="1"/>
      </right>
      <top/>
      <bottom/>
      <diagonal/>
    </border>
    <border>
      <left/>
      <right/>
      <top/>
      <bottom style="thin">
        <color auto="1"/>
      </bottom>
      <diagonal/>
    </border>
    <border>
      <left/>
      <right style="thin">
        <color auto="1"/>
      </right>
      <top/>
      <bottom style="thin">
        <color auto="1"/>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auto="1"/>
      </left>
      <right/>
      <top style="thin">
        <color auto="1"/>
      </top>
      <bottom/>
      <diagonal/>
    </border>
  </borders>
  <cellStyleXfs count="8">
    <xf numFmtId="0" fontId="0" fillId="0" borderId="0"/>
    <xf numFmtId="0" fontId="1" fillId="0" borderId="0"/>
    <xf numFmtId="0" fontId="2" fillId="0" borderId="0"/>
    <xf numFmtId="0" fontId="9" fillId="0" borderId="0" applyNumberFormat="0" applyFill="0" applyBorder="0" applyAlignment="0" applyProtection="0">
      <alignment vertical="top"/>
      <protection locked="0"/>
    </xf>
    <xf numFmtId="0" fontId="11" fillId="0" borderId="0"/>
    <xf numFmtId="9" fontId="11" fillId="0" borderId="0" applyFont="0" applyFill="0" applyBorder="0" applyAlignment="0" applyProtection="0"/>
    <xf numFmtId="0" fontId="64" fillId="0" borderId="0"/>
    <xf numFmtId="0" fontId="1" fillId="0" borderId="0"/>
  </cellStyleXfs>
  <cellXfs count="298">
    <xf numFmtId="0" fontId="0" fillId="0" borderId="0" xfId="0"/>
    <xf numFmtId="0" fontId="1" fillId="0" borderId="0" xfId="1"/>
    <xf numFmtId="164" fontId="2" fillId="2" borderId="0" xfId="2" applyNumberFormat="1" applyFill="1"/>
    <xf numFmtId="0" fontId="1" fillId="0" borderId="0" xfId="1" applyFont="1"/>
    <xf numFmtId="0" fontId="1" fillId="3" borderId="0" xfId="1" applyFont="1" applyFill="1" applyAlignment="1">
      <alignment horizontal="left" vertical="top"/>
    </xf>
    <xf numFmtId="2" fontId="1" fillId="0" borderId="0" xfId="1" applyNumberFormat="1" applyFont="1"/>
    <xf numFmtId="2" fontId="4" fillId="0" borderId="0" xfId="1" applyNumberFormat="1" applyFont="1" applyFill="1" applyAlignment="1">
      <alignment vertical="center"/>
    </xf>
    <xf numFmtId="165" fontId="1" fillId="0" borderId="0" xfId="1" applyNumberFormat="1" applyFont="1"/>
    <xf numFmtId="0" fontId="1" fillId="0" borderId="0" xfId="1" applyFont="1" applyAlignment="1"/>
    <xf numFmtId="0" fontId="1" fillId="4" borderId="0" xfId="1" applyFont="1" applyFill="1" applyAlignment="1">
      <alignment wrapText="1"/>
    </xf>
    <xf numFmtId="0" fontId="1" fillId="3" borderId="0" xfId="1" applyFont="1" applyFill="1" applyAlignment="1">
      <alignment horizontal="center" vertical="top"/>
    </xf>
    <xf numFmtId="2" fontId="1" fillId="0" borderId="0" xfId="1" applyNumberFormat="1" applyFont="1" applyFill="1" applyAlignment="1">
      <alignment vertical="center"/>
    </xf>
    <xf numFmtId="2" fontId="5" fillId="0" borderId="0" xfId="1" applyNumberFormat="1" applyFont="1" applyFill="1" applyAlignment="1">
      <alignment vertical="center"/>
    </xf>
    <xf numFmtId="2" fontId="6" fillId="0" borderId="0" xfId="1" applyNumberFormat="1" applyFont="1" applyFill="1" applyAlignment="1">
      <alignment vertical="center"/>
    </xf>
    <xf numFmtId="2" fontId="7" fillId="0" borderId="0" xfId="1" applyNumberFormat="1" applyFont="1" applyFill="1" applyAlignment="1">
      <alignment vertical="center"/>
    </xf>
    <xf numFmtId="2" fontId="1" fillId="0" borderId="0" xfId="1" applyNumberFormat="1" applyFont="1" applyFill="1"/>
    <xf numFmtId="2" fontId="8" fillId="0" borderId="0" xfId="1" applyNumberFormat="1" applyFont="1" applyFill="1" applyAlignment="1">
      <alignment vertical="top"/>
    </xf>
    <xf numFmtId="2" fontId="10" fillId="0" borderId="0" xfId="3" applyNumberFormat="1" applyFont="1" applyFill="1" applyAlignment="1" applyProtection="1"/>
    <xf numFmtId="165" fontId="1" fillId="0" borderId="0" xfId="1" applyNumberFormat="1" applyFont="1" applyFill="1" applyAlignment="1">
      <alignment horizontal="left" vertical="top"/>
    </xf>
    <xf numFmtId="0" fontId="1" fillId="0" borderId="0" xfId="1" applyNumberFormat="1" applyFont="1" applyAlignment="1"/>
    <xf numFmtId="0" fontId="0" fillId="3" borderId="0" xfId="0" applyFont="1" applyFill="1" applyAlignment="1">
      <alignment horizontal="left" vertical="top"/>
    </xf>
    <xf numFmtId="0" fontId="12" fillId="0" borderId="0" xfId="0" applyFont="1"/>
    <xf numFmtId="0" fontId="13" fillId="0" borderId="0" xfId="0" applyFont="1"/>
    <xf numFmtId="0" fontId="12" fillId="0" borderId="1" xfId="0" applyFont="1" applyBorder="1"/>
    <xf numFmtId="0" fontId="0" fillId="0" borderId="0" xfId="0" applyFont="1"/>
    <xf numFmtId="2" fontId="0" fillId="0" borderId="0" xfId="0" applyNumberFormat="1"/>
    <xf numFmtId="2" fontId="0" fillId="3" borderId="0" xfId="0" applyNumberFormat="1" applyFill="1" applyAlignment="1">
      <alignment horizontal="left" vertical="top"/>
    </xf>
    <xf numFmtId="10" fontId="0" fillId="0" borderId="0" xfId="0" applyNumberFormat="1"/>
    <xf numFmtId="10" fontId="0" fillId="6" borderId="0" xfId="0" quotePrefix="1" applyNumberFormat="1" applyFill="1" applyBorder="1"/>
    <xf numFmtId="10" fontId="0" fillId="0" borderId="0" xfId="0" applyNumberFormat="1" applyBorder="1"/>
    <xf numFmtId="166" fontId="0" fillId="6" borderId="0" xfId="0" quotePrefix="1" applyNumberFormat="1" applyFill="1" applyBorder="1"/>
    <xf numFmtId="10" fontId="0" fillId="0" borderId="0" xfId="0" quotePrefix="1" applyNumberFormat="1" applyFill="1" applyBorder="1"/>
    <xf numFmtId="10" fontId="0" fillId="0" borderId="0" xfId="0" quotePrefix="1" applyNumberFormat="1" applyFill="1" applyBorder="1" applyAlignment="1">
      <alignment horizontal="right"/>
    </xf>
    <xf numFmtId="10" fontId="0" fillId="0" borderId="0" xfId="0" applyNumberFormat="1" applyAlignment="1">
      <alignment horizontal="right"/>
    </xf>
    <xf numFmtId="0" fontId="19" fillId="0" borderId="0" xfId="0" applyFont="1"/>
    <xf numFmtId="0" fontId="20" fillId="0" borderId="0" xfId="0" applyFont="1"/>
    <xf numFmtId="0" fontId="14" fillId="0" borderId="0" xfId="1" applyFont="1"/>
    <xf numFmtId="0" fontId="14" fillId="0" borderId="0" xfId="1" applyNumberFormat="1" applyFont="1"/>
    <xf numFmtId="0" fontId="14" fillId="0" borderId="0" xfId="1" applyNumberFormat="1" applyFont="1" applyBorder="1"/>
    <xf numFmtId="165" fontId="1" fillId="0" borderId="1" xfId="1" applyNumberFormat="1" applyBorder="1"/>
    <xf numFmtId="0" fontId="14" fillId="0" borderId="2" xfId="1" applyFont="1" applyBorder="1"/>
    <xf numFmtId="165" fontId="1" fillId="0" borderId="0" xfId="1" applyNumberFormat="1"/>
    <xf numFmtId="0" fontId="14" fillId="0" borderId="3" xfId="1" applyFont="1" applyBorder="1"/>
    <xf numFmtId="0" fontId="14" fillId="0" borderId="4" xfId="1" applyFont="1" applyBorder="1"/>
    <xf numFmtId="0" fontId="1" fillId="0" borderId="5" xfId="1" applyBorder="1"/>
    <xf numFmtId="0" fontId="6" fillId="0" borderId="0" xfId="1" applyFont="1"/>
    <xf numFmtId="2" fontId="1" fillId="0" borderId="0" xfId="1" applyNumberFormat="1"/>
    <xf numFmtId="2" fontId="20" fillId="7" borderId="0" xfId="0" applyNumberFormat="1" applyFont="1" applyFill="1" applyAlignment="1">
      <alignment horizontal="left" vertical="top"/>
    </xf>
    <xf numFmtId="0" fontId="1" fillId="0" borderId="0" xfId="1" applyAlignment="1">
      <alignment vertical="center"/>
    </xf>
    <xf numFmtId="0" fontId="7" fillId="0" borderId="0" xfId="1" applyFont="1"/>
    <xf numFmtId="0" fontId="7" fillId="0" borderId="0" xfId="1" applyFont="1" applyAlignment="1">
      <alignment vertical="center"/>
    </xf>
    <xf numFmtId="0" fontId="7" fillId="0" borderId="0" xfId="1" applyFont="1" applyFill="1" applyAlignment="1">
      <alignment vertical="center"/>
    </xf>
    <xf numFmtId="0" fontId="7" fillId="5" borderId="0" xfId="1" applyFont="1" applyFill="1" applyAlignment="1">
      <alignment horizontal="left" vertical="center"/>
    </xf>
    <xf numFmtId="0" fontId="25" fillId="8" borderId="0" xfId="1" applyFont="1" applyFill="1" applyAlignment="1">
      <alignment horizontal="left" vertical="center"/>
    </xf>
    <xf numFmtId="0" fontId="25" fillId="9" borderId="0" xfId="1" applyFont="1" applyFill="1"/>
    <xf numFmtId="0" fontId="1" fillId="0" borderId="0" xfId="1" applyFont="1" applyAlignment="1">
      <alignment vertical="center"/>
    </xf>
    <xf numFmtId="0" fontId="27" fillId="0" borderId="0" xfId="1" applyFont="1" applyAlignment="1">
      <alignment vertical="center"/>
    </xf>
    <xf numFmtId="0" fontId="28" fillId="0" borderId="0" xfId="1" applyFont="1" applyAlignment="1">
      <alignment vertical="center"/>
    </xf>
    <xf numFmtId="0" fontId="1" fillId="0" borderId="0" xfId="1" applyFont="1" applyFill="1" applyAlignment="1">
      <alignment vertical="center"/>
    </xf>
    <xf numFmtId="0" fontId="1" fillId="0" borderId="0" xfId="1" applyFill="1"/>
    <xf numFmtId="0" fontId="30" fillId="0" borderId="0" xfId="1" applyFont="1"/>
    <xf numFmtId="0" fontId="31" fillId="0" borderId="0" xfId="1" applyFont="1" applyFill="1"/>
    <xf numFmtId="0" fontId="32" fillId="0" borderId="0" xfId="1" applyFont="1"/>
    <xf numFmtId="0" fontId="33" fillId="0" borderId="0" xfId="1" applyFont="1" applyAlignment="1">
      <alignment horizontal="left"/>
    </xf>
    <xf numFmtId="0" fontId="31" fillId="0" borderId="0" xfId="1" applyFont="1"/>
    <xf numFmtId="0" fontId="31" fillId="0" borderId="0" xfId="1" applyFont="1" applyFill="1" applyAlignment="1">
      <alignment horizontal="left" indent="2"/>
    </xf>
    <xf numFmtId="0" fontId="31" fillId="0" borderId="0" xfId="1" applyFont="1" applyFill="1" applyAlignment="1">
      <alignment horizontal="left" indent="3"/>
    </xf>
    <xf numFmtId="0" fontId="34" fillId="0" borderId="0" xfId="1" applyFont="1"/>
    <xf numFmtId="0" fontId="30" fillId="0" borderId="0" xfId="1" applyFont="1" applyFill="1"/>
    <xf numFmtId="0" fontId="34" fillId="0" borderId="0" xfId="1" applyFont="1" applyFill="1"/>
    <xf numFmtId="0" fontId="5" fillId="0" borderId="0" xfId="1" applyFont="1" applyFill="1"/>
    <xf numFmtId="0" fontId="31" fillId="0" borderId="0" xfId="1" applyFont="1" applyAlignment="1">
      <alignment horizontal="left" indent="2"/>
    </xf>
    <xf numFmtId="0" fontId="33" fillId="0" borderId="0" xfId="1" applyFont="1" applyFill="1" applyAlignment="1">
      <alignment horizontal="left" indent="3"/>
    </xf>
    <xf numFmtId="0" fontId="35" fillId="0" borderId="0" xfId="1" applyFont="1" applyFill="1" applyAlignment="1">
      <alignment horizontal="left" indent="2"/>
    </xf>
    <xf numFmtId="0" fontId="36" fillId="0" borderId="0" xfId="1" applyFont="1" applyFill="1" applyAlignment="1">
      <alignment horizontal="left" indent="2"/>
    </xf>
    <xf numFmtId="0" fontId="35" fillId="0" borderId="0" xfId="1" applyFont="1" applyAlignment="1">
      <alignment horizontal="left" indent="2"/>
    </xf>
    <xf numFmtId="0" fontId="36" fillId="0" borderId="0" xfId="1" applyFont="1" applyAlignment="1">
      <alignment horizontal="left" indent="2"/>
    </xf>
    <xf numFmtId="0" fontId="37" fillId="0" borderId="0" xfId="1" applyFont="1" applyFill="1" applyAlignment="1">
      <alignment horizontal="center"/>
    </xf>
    <xf numFmtId="0" fontId="39" fillId="0" borderId="0" xfId="1" applyFont="1" applyFill="1"/>
    <xf numFmtId="0" fontId="37" fillId="0" borderId="0" xfId="1" applyFont="1" applyFill="1" applyAlignment="1"/>
    <xf numFmtId="0" fontId="37" fillId="0" borderId="0" xfId="1" applyFont="1" applyFill="1" applyAlignment="1">
      <alignment horizontal="left"/>
    </xf>
    <xf numFmtId="0" fontId="39" fillId="0" borderId="0" xfId="1" applyFont="1"/>
    <xf numFmtId="0" fontId="40" fillId="0" borderId="0" xfId="1" applyFont="1"/>
    <xf numFmtId="0" fontId="1" fillId="0" borderId="0" xfId="1" applyFill="1" applyBorder="1"/>
    <xf numFmtId="0" fontId="1" fillId="0" borderId="0" xfId="1" applyBorder="1"/>
    <xf numFmtId="0" fontId="41" fillId="0" borderId="0" xfId="1" applyFont="1" applyBorder="1"/>
    <xf numFmtId="0" fontId="42" fillId="0" borderId="0" xfId="1" applyFont="1" applyBorder="1"/>
    <xf numFmtId="0" fontId="43" fillId="6" borderId="0" xfId="1" quotePrefix="1" applyFont="1" applyFill="1" applyBorder="1"/>
    <xf numFmtId="166" fontId="44" fillId="0" borderId="0" xfId="1" applyNumberFormat="1" applyFont="1" applyFill="1" applyAlignment="1">
      <alignment horizontal="center"/>
    </xf>
    <xf numFmtId="0" fontId="44" fillId="0" borderId="0" xfId="1" applyFont="1" applyFill="1" applyAlignment="1">
      <alignment horizontal="left" indent="2"/>
    </xf>
    <xf numFmtId="0" fontId="44" fillId="0" borderId="0" xfId="1" applyFont="1" applyAlignment="1">
      <alignment horizontal="left" indent="2"/>
    </xf>
    <xf numFmtId="0" fontId="45" fillId="0" borderId="0" xfId="1" applyFont="1"/>
    <xf numFmtId="166" fontId="45" fillId="0" borderId="0" xfId="1" applyNumberFormat="1" applyFont="1" applyFill="1" applyAlignment="1">
      <alignment horizontal="right"/>
    </xf>
    <xf numFmtId="0" fontId="44" fillId="0" borderId="0" xfId="1" applyFont="1" applyFill="1"/>
    <xf numFmtId="166" fontId="44" fillId="0" borderId="0" xfId="1" applyNumberFormat="1" applyFont="1" applyFill="1" applyAlignment="1">
      <alignment horizontal="right"/>
    </xf>
    <xf numFmtId="49" fontId="46" fillId="0" borderId="0" xfId="1" applyNumberFormat="1" applyFont="1" applyAlignment="1">
      <alignment horizontal="left"/>
    </xf>
    <xf numFmtId="10" fontId="46" fillId="0" borderId="0" xfId="1" applyNumberFormat="1" applyFont="1" applyAlignment="1" applyProtection="1">
      <alignment horizontal="right"/>
      <protection locked="0"/>
    </xf>
    <xf numFmtId="166" fontId="43" fillId="6" borderId="0" xfId="1" quotePrefix="1" applyNumberFormat="1" applyFont="1" applyFill="1" applyBorder="1" applyAlignment="1">
      <alignment horizontal="right"/>
    </xf>
    <xf numFmtId="0" fontId="43" fillId="0" borderId="0" xfId="1" applyFont="1" applyAlignment="1">
      <alignment horizontal="center"/>
    </xf>
    <xf numFmtId="0" fontId="43" fillId="6" borderId="0" xfId="1" quotePrefix="1" applyFont="1" applyFill="1" applyBorder="1" applyAlignment="1"/>
    <xf numFmtId="10" fontId="47" fillId="0" borderId="0" xfId="1" applyNumberFormat="1" applyFont="1" applyAlignment="1">
      <alignment horizontal="right"/>
    </xf>
    <xf numFmtId="10" fontId="43" fillId="0" borderId="0" xfId="1" applyNumberFormat="1" applyFont="1" applyFill="1"/>
    <xf numFmtId="0" fontId="47" fillId="0" borderId="0" xfId="1" applyFont="1" applyAlignment="1">
      <alignment horizontal="left"/>
    </xf>
    <xf numFmtId="0" fontId="47" fillId="0" borderId="0" xfId="1" applyFont="1" applyFill="1" applyAlignment="1">
      <alignment horizontal="left" indent="4"/>
    </xf>
    <xf numFmtId="0" fontId="1" fillId="6" borderId="0" xfId="1" quotePrefix="1" applyFill="1" applyBorder="1"/>
    <xf numFmtId="0" fontId="48" fillId="0" borderId="0" xfId="1" applyFont="1"/>
    <xf numFmtId="10" fontId="48" fillId="0" borderId="0" xfId="1" applyNumberFormat="1" applyFont="1"/>
    <xf numFmtId="10" fontId="48" fillId="0" borderId="0" xfId="1" applyNumberFormat="1" applyFont="1" applyAlignment="1">
      <alignment horizontal="right"/>
    </xf>
    <xf numFmtId="0" fontId="49" fillId="0" borderId="0" xfId="1" applyFont="1"/>
    <xf numFmtId="10" fontId="50" fillId="0" borderId="0" xfId="1" applyNumberFormat="1" applyFont="1" applyAlignment="1">
      <alignment horizontal="left"/>
    </xf>
    <xf numFmtId="0" fontId="51" fillId="0" borderId="0" xfId="1" applyFont="1"/>
    <xf numFmtId="10" fontId="50" fillId="0" borderId="0" xfId="1" applyNumberFormat="1" applyFont="1"/>
    <xf numFmtId="10" fontId="50" fillId="0" borderId="0" xfId="1" applyNumberFormat="1" applyFont="1" applyFill="1"/>
    <xf numFmtId="0" fontId="52" fillId="0" borderId="0" xfId="1" applyFont="1"/>
    <xf numFmtId="10" fontId="52" fillId="0" borderId="0" xfId="1" applyNumberFormat="1" applyFont="1" applyAlignment="1">
      <alignment horizontal="right"/>
    </xf>
    <xf numFmtId="0" fontId="50" fillId="0" borderId="0" xfId="1" applyFont="1"/>
    <xf numFmtId="10" fontId="50" fillId="0" borderId="0" xfId="1" applyNumberFormat="1" applyFont="1" applyAlignment="1">
      <alignment horizontal="right"/>
    </xf>
    <xf numFmtId="10" fontId="52" fillId="0" borderId="0" xfId="1" applyNumberFormat="1" applyFont="1" applyAlignment="1">
      <alignment horizontal="left"/>
    </xf>
    <xf numFmtId="0" fontId="35" fillId="0" borderId="0" xfId="1" applyFont="1"/>
    <xf numFmtId="10" fontId="52" fillId="0" borderId="0" xfId="1" applyNumberFormat="1" applyFont="1"/>
    <xf numFmtId="10" fontId="52" fillId="0" borderId="0" xfId="1" applyNumberFormat="1" applyFont="1" applyFill="1" applyAlignment="1">
      <alignment horizontal="right"/>
    </xf>
    <xf numFmtId="0" fontId="32" fillId="6" borderId="0" xfId="1" quotePrefix="1" applyFont="1" applyFill="1" applyBorder="1"/>
    <xf numFmtId="166" fontId="35" fillId="0" borderId="0" xfId="1" applyNumberFormat="1" applyFont="1" applyFill="1" applyAlignment="1">
      <alignment horizontal="right"/>
    </xf>
    <xf numFmtId="0" fontId="1" fillId="0" borderId="0" xfId="1" applyAlignment="1">
      <alignment horizontal="center" vertical="center"/>
    </xf>
    <xf numFmtId="0" fontId="37" fillId="0" borderId="0" xfId="1" applyFont="1" applyFill="1" applyAlignment="1">
      <alignment horizontal="center" vertical="center"/>
    </xf>
    <xf numFmtId="0" fontId="53" fillId="0" borderId="0" xfId="1" applyFont="1" applyAlignment="1">
      <alignment horizontal="center" vertical="center"/>
    </xf>
    <xf numFmtId="0" fontId="1" fillId="2" borderId="0" xfId="1" applyFill="1" applyAlignment="1">
      <alignment vertical="center"/>
    </xf>
    <xf numFmtId="0" fontId="54" fillId="0" borderId="0" xfId="1" applyFont="1"/>
    <xf numFmtId="0" fontId="55" fillId="0" borderId="0" xfId="1" applyFont="1"/>
    <xf numFmtId="0" fontId="56" fillId="2" borderId="0" xfId="1" applyFont="1" applyFill="1" applyAlignment="1">
      <alignment vertical="center"/>
    </xf>
    <xf numFmtId="0" fontId="1" fillId="0" borderId="0" xfId="1" applyFill="1" applyAlignment="1">
      <alignment vertical="center"/>
    </xf>
    <xf numFmtId="0" fontId="1" fillId="10" borderId="0" xfId="1" applyFill="1" applyAlignment="1">
      <alignment vertical="center"/>
    </xf>
    <xf numFmtId="0" fontId="56" fillId="10" borderId="0" xfId="1" applyFont="1" applyFill="1" applyAlignment="1">
      <alignment vertical="center"/>
    </xf>
    <xf numFmtId="0" fontId="57" fillId="0" borderId="0" xfId="0" applyFont="1" applyAlignment="1">
      <alignment horizontal="center" vertical="center" readingOrder="1"/>
    </xf>
    <xf numFmtId="0" fontId="12" fillId="0" borderId="0" xfId="0" applyFont="1" applyBorder="1"/>
    <xf numFmtId="0" fontId="1" fillId="0" borderId="0" xfId="1" applyFill="1" applyAlignment="1">
      <alignment horizontal="center" vertical="center"/>
    </xf>
    <xf numFmtId="0" fontId="52" fillId="0" borderId="0" xfId="0" applyFont="1"/>
    <xf numFmtId="0" fontId="50" fillId="0" borderId="0" xfId="0" applyFont="1"/>
    <xf numFmtId="10" fontId="58" fillId="0" borderId="0" xfId="1" applyNumberFormat="1" applyFont="1" applyAlignment="1">
      <alignment horizontal="right"/>
    </xf>
    <xf numFmtId="0" fontId="58" fillId="0" borderId="0" xfId="1" applyFont="1"/>
    <xf numFmtId="10" fontId="58" fillId="0" borderId="0" xfId="1" applyNumberFormat="1" applyFont="1"/>
    <xf numFmtId="10" fontId="1" fillId="0" borderId="0" xfId="1" applyNumberFormat="1"/>
    <xf numFmtId="0" fontId="59" fillId="0" borderId="0" xfId="1" applyFont="1"/>
    <xf numFmtId="0" fontId="53" fillId="0" borderId="0" xfId="1" applyFont="1" applyFill="1" applyAlignment="1">
      <alignment horizontal="center"/>
    </xf>
    <xf numFmtId="0" fontId="53" fillId="0" borderId="0" xfId="1" applyFont="1" applyFill="1" applyAlignment="1"/>
    <xf numFmtId="0" fontId="53" fillId="0" borderId="0" xfId="1" applyFont="1" applyFill="1" applyAlignment="1">
      <alignment horizontal="left"/>
    </xf>
    <xf numFmtId="0" fontId="54" fillId="0" borderId="0" xfId="1" applyFont="1" applyFill="1"/>
    <xf numFmtId="0" fontId="54" fillId="0" borderId="0" xfId="1" applyFont="1" applyFill="1" applyBorder="1"/>
    <xf numFmtId="0" fontId="53" fillId="0" borderId="0" xfId="1" applyFont="1"/>
    <xf numFmtId="0" fontId="60" fillId="0" borderId="0" xfId="1" applyFont="1"/>
    <xf numFmtId="10" fontId="60" fillId="0" borderId="0" xfId="1" applyNumberFormat="1" applyFont="1" applyAlignment="1">
      <alignment horizontal="right"/>
    </xf>
    <xf numFmtId="10" fontId="60" fillId="0" borderId="0" xfId="1" applyNumberFormat="1" applyFont="1"/>
    <xf numFmtId="10" fontId="48" fillId="0" borderId="0" xfId="1" applyNumberFormat="1" applyFont="1" applyFill="1"/>
    <xf numFmtId="0" fontId="60" fillId="0" borderId="0" xfId="1" applyFont="1" applyFill="1"/>
    <xf numFmtId="10" fontId="61" fillId="0" borderId="0" xfId="1" applyNumberFormat="1" applyFont="1" applyAlignment="1">
      <alignment horizontal="left"/>
    </xf>
    <xf numFmtId="0" fontId="61" fillId="0" borderId="0" xfId="1" applyFont="1"/>
    <xf numFmtId="10" fontId="61" fillId="0" borderId="0" xfId="1" applyNumberFormat="1" applyFont="1"/>
    <xf numFmtId="0" fontId="61" fillId="6" borderId="0" xfId="1" quotePrefix="1" applyFont="1" applyFill="1" applyBorder="1"/>
    <xf numFmtId="10" fontId="61" fillId="0" borderId="0" xfId="1" applyNumberFormat="1" applyFont="1" applyFill="1" applyAlignment="1">
      <alignment horizontal="right"/>
    </xf>
    <xf numFmtId="0" fontId="61" fillId="0" borderId="0" xfId="1" applyFont="1" applyAlignment="1">
      <alignment horizontal="left"/>
    </xf>
    <xf numFmtId="10" fontId="61" fillId="0" borderId="0" xfId="1" applyNumberFormat="1" applyFont="1" applyAlignment="1">
      <alignment horizontal="right"/>
    </xf>
    <xf numFmtId="0" fontId="53" fillId="0" borderId="0" xfId="1" applyFont="1" applyAlignment="1">
      <alignment horizontal="right"/>
    </xf>
    <xf numFmtId="0" fontId="53" fillId="0" borderId="0" xfId="1" applyFont="1" applyAlignment="1">
      <alignment horizontal="center"/>
    </xf>
    <xf numFmtId="0" fontId="54" fillId="0" borderId="0" xfId="1" applyFont="1" applyAlignment="1">
      <alignment horizontal="center"/>
    </xf>
    <xf numFmtId="0" fontId="53" fillId="0" borderId="0" xfId="1" applyFont="1" applyFill="1" applyAlignment="1">
      <alignment horizontal="center" vertical="center"/>
    </xf>
    <xf numFmtId="0" fontId="37" fillId="0" borderId="0" xfId="1" applyFont="1" applyFill="1" applyAlignment="1">
      <alignment horizontal="left" indent="3"/>
    </xf>
    <xf numFmtId="0" fontId="56" fillId="0" borderId="0" xfId="1" applyFont="1" applyFill="1" applyAlignment="1">
      <alignment vertical="center"/>
    </xf>
    <xf numFmtId="0" fontId="25" fillId="12" borderId="0" xfId="1" applyFont="1" applyFill="1"/>
    <xf numFmtId="0" fontId="25" fillId="14" borderId="0" xfId="1" applyFont="1" applyFill="1" applyAlignment="1">
      <alignment horizontal="left" vertical="center"/>
    </xf>
    <xf numFmtId="0" fontId="25" fillId="15" borderId="0" xfId="1" applyFont="1" applyFill="1" applyAlignment="1">
      <alignment horizontal="left" vertical="center"/>
    </xf>
    <xf numFmtId="0" fontId="3" fillId="16" borderId="0" xfId="1" applyFont="1" applyFill="1" applyAlignment="1">
      <alignment vertical="center"/>
    </xf>
    <xf numFmtId="0" fontId="25" fillId="13" borderId="0" xfId="1" applyFont="1" applyFill="1" applyAlignment="1">
      <alignment vertical="center"/>
    </xf>
    <xf numFmtId="0" fontId="25" fillId="15" borderId="0" xfId="1" applyFont="1" applyFill="1" applyAlignment="1">
      <alignment vertical="center"/>
    </xf>
    <xf numFmtId="0" fontId="25" fillId="12" borderId="0" xfId="1" applyFont="1" applyFill="1" applyAlignment="1">
      <alignment vertical="center"/>
    </xf>
    <xf numFmtId="0" fontId="25" fillId="9" borderId="0" xfId="1" applyFont="1" applyFill="1" applyAlignment="1">
      <alignment vertical="center"/>
    </xf>
    <xf numFmtId="0" fontId="6" fillId="0" borderId="0" xfId="1" applyFont="1" applyAlignment="1">
      <alignment vertical="center"/>
    </xf>
    <xf numFmtId="0" fontId="4" fillId="0" borderId="0" xfId="1" applyFont="1" applyAlignment="1">
      <alignment vertical="center"/>
    </xf>
    <xf numFmtId="0" fontId="63" fillId="0" borderId="0" xfId="1" applyFont="1" applyAlignment="1">
      <alignment vertical="center"/>
    </xf>
    <xf numFmtId="2" fontId="12" fillId="0" borderId="0" xfId="0" applyNumberFormat="1" applyFont="1"/>
    <xf numFmtId="2" fontId="0" fillId="0" borderId="0" xfId="0" applyNumberFormat="1" applyFont="1"/>
    <xf numFmtId="2" fontId="12" fillId="0" borderId="1" xfId="0" applyNumberFormat="1" applyFont="1" applyBorder="1"/>
    <xf numFmtId="2" fontId="12" fillId="0" borderId="0" xfId="0" applyNumberFormat="1" applyFont="1" applyBorder="1"/>
    <xf numFmtId="2" fontId="14" fillId="0" borderId="0" xfId="1" applyNumberFormat="1" applyFont="1"/>
    <xf numFmtId="0" fontId="12" fillId="0" borderId="0" xfId="0" applyNumberFormat="1" applyFont="1"/>
    <xf numFmtId="0" fontId="0" fillId="0" borderId="0" xfId="0" applyNumberFormat="1"/>
    <xf numFmtId="0" fontId="0" fillId="0" borderId="0" xfId="0" applyNumberFormat="1" applyFont="1"/>
    <xf numFmtId="0" fontId="1" fillId="0" borderId="0" xfId="1" applyNumberFormat="1"/>
    <xf numFmtId="0" fontId="5" fillId="0" borderId="0" xfId="1" applyNumberFormat="1" applyFont="1"/>
    <xf numFmtId="0" fontId="1" fillId="3" borderId="0" xfId="1" applyNumberFormat="1" applyFill="1" applyAlignment="1">
      <alignment horizontal="center" vertical="top"/>
    </xf>
    <xf numFmtId="0" fontId="1" fillId="11" borderId="0" xfId="1" applyNumberFormat="1" applyFill="1" applyAlignment="1">
      <alignment horizontal="center" vertical="top"/>
    </xf>
    <xf numFmtId="0" fontId="14" fillId="0" borderId="0" xfId="0" applyFont="1"/>
    <xf numFmtId="0" fontId="29" fillId="0" borderId="0" xfId="1" applyFont="1"/>
    <xf numFmtId="167" fontId="1" fillId="0" borderId="0" xfId="1" applyNumberFormat="1" applyFont="1"/>
    <xf numFmtId="0" fontId="5" fillId="0" borderId="0" xfId="0" applyFont="1"/>
    <xf numFmtId="0" fontId="53" fillId="0" borderId="0" xfId="0" applyFont="1" applyFill="1" applyAlignment="1">
      <alignment horizontal="center"/>
    </xf>
    <xf numFmtId="0" fontId="53" fillId="0" borderId="0" xfId="0" applyFont="1" applyFill="1" applyAlignment="1">
      <alignment horizontal="left"/>
    </xf>
    <xf numFmtId="0" fontId="0" fillId="0" borderId="0" xfId="0" applyAlignment="1">
      <alignment horizontal="center"/>
    </xf>
    <xf numFmtId="0" fontId="37" fillId="0" borderId="0" xfId="0" applyFont="1" applyFill="1" applyAlignment="1">
      <alignment horizontal="center"/>
    </xf>
    <xf numFmtId="0" fontId="0" fillId="0" borderId="0" xfId="0" applyFill="1" applyAlignment="1">
      <alignment horizontal="center"/>
    </xf>
    <xf numFmtId="0" fontId="37" fillId="0" borderId="0" xfId="0" applyFont="1" applyFill="1" applyAlignment="1"/>
    <xf numFmtId="0" fontId="0" fillId="0" borderId="0" xfId="0" applyFill="1" applyBorder="1"/>
    <xf numFmtId="0" fontId="37" fillId="0" borderId="0" xfId="0" applyFont="1" applyFill="1" applyAlignment="1">
      <alignment horizontal="left"/>
    </xf>
    <xf numFmtId="0" fontId="0" fillId="0" borderId="0" xfId="0" applyFill="1"/>
    <xf numFmtId="0" fontId="59" fillId="0" borderId="0" xfId="1" applyFont="1" applyAlignment="1">
      <alignment vertical="center"/>
    </xf>
    <xf numFmtId="0" fontId="0" fillId="0" borderId="0" xfId="0" applyFont="1" applyBorder="1"/>
    <xf numFmtId="0" fontId="1" fillId="0" borderId="0" xfId="1" applyFont="1" applyAlignment="1">
      <alignment horizontal="left" vertical="center"/>
    </xf>
    <xf numFmtId="0" fontId="1" fillId="0" borderId="0" xfId="1" applyFill="1" applyAlignment="1">
      <alignment horizontal="left"/>
    </xf>
    <xf numFmtId="0" fontId="25" fillId="17" borderId="0" xfId="1" applyFont="1" applyFill="1" applyAlignment="1">
      <alignment horizontal="left" vertical="center"/>
    </xf>
    <xf numFmtId="0" fontId="1" fillId="0" borderId="3" xfId="0" applyFont="1" applyBorder="1"/>
    <xf numFmtId="0" fontId="67" fillId="0" borderId="3" xfId="1" applyFont="1" applyFill="1" applyBorder="1"/>
    <xf numFmtId="0" fontId="3" fillId="0" borderId="0" xfId="1" applyFont="1" applyFill="1" applyBorder="1"/>
    <xf numFmtId="0" fontId="3" fillId="0" borderId="3" xfId="0" applyFont="1" applyBorder="1"/>
    <xf numFmtId="0" fontId="3" fillId="0" borderId="3" xfId="1" applyFont="1" applyBorder="1"/>
    <xf numFmtId="0" fontId="53" fillId="0" borderId="0" xfId="1" applyFont="1" applyAlignment="1">
      <alignment horizontal="center" vertical="center"/>
    </xf>
    <xf numFmtId="2" fontId="3" fillId="0" borderId="0" xfId="1" applyNumberFormat="1" applyFont="1"/>
    <xf numFmtId="0" fontId="70" fillId="0" borderId="0" xfId="0" applyFont="1"/>
    <xf numFmtId="0" fontId="37" fillId="0" borderId="0" xfId="1" applyFont="1" applyAlignment="1">
      <alignment horizontal="center" vertical="center"/>
    </xf>
    <xf numFmtId="0" fontId="37" fillId="0" borderId="0" xfId="0" applyFont="1" applyAlignment="1">
      <alignment horizontal="center"/>
    </xf>
    <xf numFmtId="0" fontId="53" fillId="0" borderId="0" xfId="1" applyFont="1" applyAlignment="1">
      <alignment horizontal="center" vertical="center"/>
    </xf>
    <xf numFmtId="0" fontId="2" fillId="0" borderId="0" xfId="2"/>
    <xf numFmtId="0" fontId="71" fillId="0" borderId="0" xfId="2" applyFont="1"/>
    <xf numFmtId="0" fontId="11" fillId="0" borderId="0" xfId="2" applyFont="1"/>
    <xf numFmtId="0" fontId="72" fillId="0" borderId="0" xfId="2" applyFont="1"/>
    <xf numFmtId="2" fontId="73" fillId="18" borderId="0" xfId="2" applyNumberFormat="1" applyFont="1" applyFill="1" applyAlignment="1">
      <alignment horizontal="right" shrinkToFit="1"/>
    </xf>
    <xf numFmtId="0" fontId="73" fillId="18" borderId="0" xfId="2" applyFont="1" applyFill="1" applyAlignment="1">
      <alignment horizontal="right" shrinkToFit="1"/>
    </xf>
    <xf numFmtId="0" fontId="2" fillId="18" borderId="0" xfId="2" applyFill="1" applyAlignment="1">
      <alignment horizontal="right"/>
    </xf>
    <xf numFmtId="2" fontId="74" fillId="18" borderId="6" xfId="2" applyNumberFormat="1" applyFont="1" applyFill="1" applyBorder="1"/>
    <xf numFmtId="0" fontId="2" fillId="18" borderId="6" xfId="2" applyFill="1" applyBorder="1" applyAlignment="1">
      <alignment horizontal="center"/>
    </xf>
    <xf numFmtId="0" fontId="2" fillId="0" borderId="6" xfId="2" applyBorder="1"/>
    <xf numFmtId="2" fontId="73" fillId="0" borderId="0" xfId="2" applyNumberFormat="1" applyFont="1" applyAlignment="1">
      <alignment horizontal="right" shrinkToFit="1"/>
    </xf>
    <xf numFmtId="0" fontId="73" fillId="0" borderId="0" xfId="2" applyFont="1" applyAlignment="1">
      <alignment horizontal="right" shrinkToFit="1"/>
    </xf>
    <xf numFmtId="0" fontId="2" fillId="0" borderId="0" xfId="2" applyAlignment="1">
      <alignment horizontal="right"/>
    </xf>
    <xf numFmtId="0" fontId="2" fillId="0" borderId="6" xfId="2" applyBorder="1" applyAlignment="1">
      <alignment horizontal="center"/>
    </xf>
    <xf numFmtId="0" fontId="75" fillId="0" borderId="0" xfId="2" applyFont="1"/>
    <xf numFmtId="0" fontId="76" fillId="19" borderId="0" xfId="2" applyFont="1" applyFill="1" applyAlignment="1">
      <alignment horizontal="right"/>
    </xf>
    <xf numFmtId="0" fontId="77" fillId="19" borderId="0" xfId="2" applyFont="1" applyFill="1" applyAlignment="1">
      <alignment horizontal="right"/>
    </xf>
    <xf numFmtId="0" fontId="77" fillId="19" borderId="0" xfId="2" applyFont="1" applyFill="1" applyAlignment="1">
      <alignment horizontal="center"/>
    </xf>
    <xf numFmtId="0" fontId="78" fillId="19" borderId="0" xfId="2" applyFont="1" applyFill="1"/>
    <xf numFmtId="1" fontId="0" fillId="0" borderId="0" xfId="0" applyNumberFormat="1"/>
    <xf numFmtId="0" fontId="55" fillId="0" borderId="3" xfId="0" applyFont="1" applyBorder="1"/>
    <xf numFmtId="0" fontId="55" fillId="0" borderId="0" xfId="0" applyFont="1"/>
    <xf numFmtId="0" fontId="81" fillId="0" borderId="0" xfId="0" applyFont="1"/>
    <xf numFmtId="2" fontId="82" fillId="0" borderId="0" xfId="0" applyNumberFormat="1" applyFont="1"/>
    <xf numFmtId="0" fontId="82" fillId="0" borderId="0" xfId="0" applyFont="1"/>
    <xf numFmtId="0" fontId="12" fillId="0" borderId="0" xfId="0" applyFont="1" applyAlignment="1">
      <alignment wrapText="1"/>
    </xf>
    <xf numFmtId="165" fontId="0" fillId="0" borderId="0" xfId="0" applyNumberFormat="1"/>
    <xf numFmtId="0" fontId="84" fillId="0" borderId="0" xfId="0" applyFont="1"/>
    <xf numFmtId="9" fontId="0" fillId="0" borderId="0" xfId="0" applyNumberFormat="1"/>
    <xf numFmtId="0" fontId="67" fillId="0" borderId="3" xfId="1" applyFont="1" applyBorder="1"/>
    <xf numFmtId="0" fontId="3" fillId="0" borderId="0" xfId="1" applyFont="1"/>
    <xf numFmtId="0" fontId="67" fillId="0" borderId="0" xfId="1" applyFont="1"/>
    <xf numFmtId="0" fontId="1" fillId="0" borderId="3" xfId="1" applyBorder="1"/>
    <xf numFmtId="0" fontId="29" fillId="0" borderId="5" xfId="1" applyFont="1" applyBorder="1" applyAlignment="1">
      <alignment wrapText="1"/>
    </xf>
    <xf numFmtId="168" fontId="0" fillId="0" borderId="0" xfId="0" applyNumberFormat="1"/>
    <xf numFmtId="1" fontId="1" fillId="0" borderId="0" xfId="1" applyNumberFormat="1"/>
    <xf numFmtId="2" fontId="54" fillId="0" borderId="0" xfId="1" applyNumberFormat="1" applyFont="1"/>
    <xf numFmtId="169" fontId="0" fillId="0" borderId="0" xfId="0" applyNumberFormat="1"/>
    <xf numFmtId="165" fontId="1" fillId="0" borderId="7" xfId="1" applyNumberFormat="1" applyBorder="1"/>
    <xf numFmtId="0" fontId="1" fillId="0" borderId="4" xfId="1" applyBorder="1"/>
    <xf numFmtId="165" fontId="1" fillId="0" borderId="0" xfId="1" applyNumberFormat="1" applyBorder="1"/>
    <xf numFmtId="0" fontId="29" fillId="0" borderId="0" xfId="1" applyFont="1" applyBorder="1" applyAlignment="1">
      <alignment wrapText="1"/>
    </xf>
    <xf numFmtId="0" fontId="14" fillId="0" borderId="0" xfId="1" applyFont="1" applyBorder="1"/>
    <xf numFmtId="2" fontId="1" fillId="0" borderId="0" xfId="1" applyNumberFormat="1" applyAlignment="1">
      <alignment vertical="center"/>
    </xf>
    <xf numFmtId="0" fontId="1" fillId="3" borderId="0" xfId="1" applyFill="1" applyAlignment="1">
      <alignment horizontal="center" vertical="top"/>
    </xf>
    <xf numFmtId="10" fontId="1" fillId="0" borderId="0" xfId="5" applyNumberFormat="1" applyFont="1" applyFill="1" applyAlignment="1">
      <alignment horizontal="left" vertical="top"/>
    </xf>
    <xf numFmtId="0" fontId="0" fillId="3" borderId="0" xfId="0" applyFill="1" applyAlignment="1">
      <alignment horizontal="left" vertical="top"/>
    </xf>
    <xf numFmtId="165" fontId="1" fillId="0" borderId="0" xfId="1" applyNumberFormat="1" applyAlignment="1">
      <alignment horizontal="left" vertical="top"/>
    </xf>
    <xf numFmtId="166" fontId="1" fillId="0" borderId="0" xfId="5" applyNumberFormat="1" applyFont="1"/>
    <xf numFmtId="0" fontId="29" fillId="0" borderId="0" xfId="1" applyFont="1" applyAlignment="1">
      <alignment horizontal="left" vertical="center"/>
    </xf>
    <xf numFmtId="0" fontId="7" fillId="0" borderId="0" xfId="1" applyFont="1" applyAlignment="1">
      <alignment horizontal="left" vertical="center"/>
    </xf>
    <xf numFmtId="0" fontId="26" fillId="0" borderId="0" xfId="1" applyFont="1" applyAlignment="1">
      <alignment vertical="center"/>
    </xf>
    <xf numFmtId="0" fontId="7" fillId="0" borderId="0" xfId="1" applyFont="1" applyAlignment="1">
      <alignment horizontal="left" indent="15"/>
    </xf>
    <xf numFmtId="0" fontId="26" fillId="0" borderId="0" xfId="1" applyFont="1" applyAlignment="1">
      <alignment horizontal="left" vertical="center"/>
    </xf>
    <xf numFmtId="0" fontId="25" fillId="20" borderId="0" xfId="1" applyFont="1" applyFill="1" applyAlignment="1">
      <alignment horizontal="left" vertical="center"/>
    </xf>
    <xf numFmtId="0" fontId="62" fillId="0" borderId="0" xfId="0" applyFont="1" applyAlignment="1">
      <alignment horizontal="left" vertical="center"/>
    </xf>
    <xf numFmtId="0" fontId="25" fillId="21" borderId="0" xfId="0" applyFont="1" applyFill="1" applyAlignment="1">
      <alignment horizontal="left" vertical="center"/>
    </xf>
    <xf numFmtId="0" fontId="25" fillId="20" borderId="0" xfId="1" applyFont="1" applyFill="1" applyAlignment="1">
      <alignment vertical="center"/>
    </xf>
    <xf numFmtId="0" fontId="25" fillId="20" borderId="0" xfId="0" applyFont="1" applyFill="1" applyAlignment="1">
      <alignment horizontal="left" vertical="center"/>
    </xf>
    <xf numFmtId="0" fontId="62" fillId="0" borderId="0" xfId="1" applyFont="1" applyAlignment="1">
      <alignment horizontal="left" vertical="center"/>
    </xf>
    <xf numFmtId="0" fontId="62" fillId="0" borderId="0" xfId="1" applyFont="1" applyAlignment="1">
      <alignment vertical="center"/>
    </xf>
    <xf numFmtId="0" fontId="5" fillId="0" borderId="0" xfId="1" applyFont="1"/>
    <xf numFmtId="2" fontId="84" fillId="0" borderId="0" xfId="0" applyNumberFormat="1" applyFont="1"/>
    <xf numFmtId="0" fontId="0" fillId="0" borderId="0" xfId="0" applyAlignment="1">
      <alignment wrapText="1"/>
    </xf>
    <xf numFmtId="0" fontId="14" fillId="0" borderId="3" xfId="0" applyFont="1" applyBorder="1"/>
    <xf numFmtId="0" fontId="1" fillId="0" borderId="0" xfId="1" applyAlignment="1">
      <alignment horizontal="center"/>
    </xf>
    <xf numFmtId="167" fontId="1" fillId="0" borderId="0" xfId="1" applyNumberFormat="1" applyFont="1" applyAlignment="1">
      <alignment horizontal="center"/>
    </xf>
    <xf numFmtId="167" fontId="1" fillId="0" borderId="0" xfId="1" applyNumberFormat="1" applyFont="1" applyFill="1" applyAlignment="1">
      <alignment horizontal="center" vertical="top"/>
    </xf>
    <xf numFmtId="2" fontId="4" fillId="0" borderId="0" xfId="1" applyNumberFormat="1" applyFont="1" applyAlignment="1">
      <alignment vertical="center"/>
    </xf>
    <xf numFmtId="2" fontId="5" fillId="0" borderId="0" xfId="1" applyNumberFormat="1" applyFont="1" applyAlignment="1">
      <alignment vertical="center"/>
    </xf>
    <xf numFmtId="2" fontId="6" fillId="0" borderId="0" xfId="1" applyNumberFormat="1" applyFont="1" applyAlignment="1">
      <alignment vertical="center"/>
    </xf>
    <xf numFmtId="2" fontId="8" fillId="0" borderId="0" xfId="1" applyNumberFormat="1" applyFont="1" applyAlignment="1">
      <alignment vertical="top"/>
    </xf>
    <xf numFmtId="2" fontId="9" fillId="0" borderId="0" xfId="3" applyNumberFormat="1" applyFill="1" applyAlignment="1" applyProtection="1"/>
    <xf numFmtId="0" fontId="87" fillId="0" borderId="0" xfId="0" applyFont="1"/>
    <xf numFmtId="9" fontId="0" fillId="0" borderId="0" xfId="5" applyFont="1"/>
    <xf numFmtId="166" fontId="0" fillId="0" borderId="0" xfId="5" applyNumberFormat="1" applyFont="1"/>
    <xf numFmtId="0" fontId="53" fillId="0" borderId="0" xfId="1" applyFont="1" applyAlignment="1">
      <alignment horizontal="center" vertical="center"/>
    </xf>
    <xf numFmtId="0" fontId="7" fillId="0" borderId="0" xfId="1" applyFont="1" applyAlignment="1">
      <alignment wrapText="1"/>
    </xf>
    <xf numFmtId="0" fontId="0" fillId="0" borderId="0" xfId="0" applyAlignment="1"/>
  </cellXfs>
  <cellStyles count="8">
    <cellStyle name="Hyperlink" xfId="3" builtinId="8"/>
    <cellStyle name="Normal" xfId="0" builtinId="0"/>
    <cellStyle name="Normal 11" xfId="7" xr:uid="{BA9C5BBA-04EF-164D-BDF2-BE04DD755D42}"/>
    <cellStyle name="Normal 2" xfId="1" xr:uid="{9B42B362-6956-B148-A285-8F75EA65B1C3}"/>
    <cellStyle name="Normal 2 2" xfId="4" xr:uid="{C4B811FF-6E26-C348-BD86-42578E775134}"/>
    <cellStyle name="Normal 3" xfId="2" xr:uid="{36E80170-5442-1F4F-BDFC-D398D2D735C3}"/>
    <cellStyle name="Normal 4" xfId="6" xr:uid="{20645924-BE7E-F147-B60C-A1F7CCB9A349}"/>
    <cellStyle name="Percent" xfId="5" builtinId="5"/>
  </cellStyles>
  <dxfs count="6">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s>
  <tableStyles count="0" defaultTableStyle="TableStyleMedium2" defaultPivotStyle="PivotStyleLight16"/>
  <colors>
    <mruColors>
      <color rgb="FFAB7942"/>
      <color rgb="FF942092"/>
      <color rgb="FFA1F5FF"/>
      <color rgb="FFFF9300"/>
      <color rgb="FFFF3824"/>
      <color rgb="FF1DFF01"/>
      <color rgb="FFDB8600"/>
      <color rgb="FFE21A00"/>
      <color rgb="FFD03A00"/>
      <color rgb="FF15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chartsheet" Target="chartsheets/sheet2.xml"/><Relationship Id="rId18" Type="http://schemas.openxmlformats.org/officeDocument/2006/relationships/worksheet" Target="worksheets/sheet14.xml"/><Relationship Id="rId26" Type="http://schemas.openxmlformats.org/officeDocument/2006/relationships/worksheet" Target="worksheets/sheet20.xml"/><Relationship Id="rId39" Type="http://schemas.openxmlformats.org/officeDocument/2006/relationships/worksheet" Target="worksheets/sheet33.xml"/><Relationship Id="rId21" Type="http://schemas.openxmlformats.org/officeDocument/2006/relationships/worksheet" Target="worksheets/sheet16.xml"/><Relationship Id="rId34" Type="http://schemas.openxmlformats.org/officeDocument/2006/relationships/worksheet" Target="worksheets/sheet28.xml"/><Relationship Id="rId42" Type="http://schemas.openxmlformats.org/officeDocument/2006/relationships/worksheet" Target="worksheets/sheet36.xml"/><Relationship Id="rId47" Type="http://schemas.openxmlformats.org/officeDocument/2006/relationships/worksheet" Target="worksheets/sheet41.xml"/><Relationship Id="rId50" Type="http://schemas.openxmlformats.org/officeDocument/2006/relationships/externalLink" Target="externalLinks/externalLink3.xml"/><Relationship Id="rId55" Type="http://schemas.openxmlformats.org/officeDocument/2006/relationships/externalLink" Target="externalLinks/externalLink8.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2.xml"/><Relationship Id="rId29" Type="http://schemas.openxmlformats.org/officeDocument/2006/relationships/worksheet" Target="worksheets/sheet23.xml"/><Relationship Id="rId11" Type="http://schemas.openxmlformats.org/officeDocument/2006/relationships/worksheet" Target="worksheets/sheet11.xml"/><Relationship Id="rId24" Type="http://schemas.openxmlformats.org/officeDocument/2006/relationships/worksheet" Target="worksheets/sheet18.xml"/><Relationship Id="rId32" Type="http://schemas.openxmlformats.org/officeDocument/2006/relationships/worksheet" Target="worksheets/sheet26.xml"/><Relationship Id="rId37" Type="http://schemas.openxmlformats.org/officeDocument/2006/relationships/worksheet" Target="worksheets/sheet31.xml"/><Relationship Id="rId40" Type="http://schemas.openxmlformats.org/officeDocument/2006/relationships/worksheet" Target="worksheets/sheet34.xml"/><Relationship Id="rId45" Type="http://schemas.openxmlformats.org/officeDocument/2006/relationships/worksheet" Target="worksheets/sheet39.xml"/><Relationship Id="rId53" Type="http://schemas.openxmlformats.org/officeDocument/2006/relationships/externalLink" Target="externalLinks/externalLink6.xml"/><Relationship Id="rId58" Type="http://schemas.openxmlformats.org/officeDocument/2006/relationships/styles" Target="styles.xml"/><Relationship Id="rId5" Type="http://schemas.openxmlformats.org/officeDocument/2006/relationships/worksheet" Target="worksheets/sheet5.xml"/><Relationship Id="rId19" Type="http://schemas.openxmlformats.org/officeDocument/2006/relationships/chartsheet" Target="chartsheets/sheet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hartsheet" Target="chartsheets/sheet3.xml"/><Relationship Id="rId22" Type="http://schemas.openxmlformats.org/officeDocument/2006/relationships/worksheet" Target="worksheets/sheet17.xml"/><Relationship Id="rId27" Type="http://schemas.openxmlformats.org/officeDocument/2006/relationships/worksheet" Target="worksheets/sheet21.xml"/><Relationship Id="rId30" Type="http://schemas.openxmlformats.org/officeDocument/2006/relationships/worksheet" Target="worksheets/sheet24.xml"/><Relationship Id="rId35" Type="http://schemas.openxmlformats.org/officeDocument/2006/relationships/worksheet" Target="worksheets/sheet29.xml"/><Relationship Id="rId43" Type="http://schemas.openxmlformats.org/officeDocument/2006/relationships/worksheet" Target="worksheets/sheet37.xml"/><Relationship Id="rId48" Type="http://schemas.openxmlformats.org/officeDocument/2006/relationships/externalLink" Target="externalLinks/externalLink1.xml"/><Relationship Id="rId56" Type="http://schemas.openxmlformats.org/officeDocument/2006/relationships/externalLink" Target="externalLinks/externalLink9.xml"/><Relationship Id="rId8" Type="http://schemas.openxmlformats.org/officeDocument/2006/relationships/worksheet" Target="worksheets/sheet8.xml"/><Relationship Id="rId51" Type="http://schemas.openxmlformats.org/officeDocument/2006/relationships/externalLink" Target="externalLinks/externalLink4.xml"/><Relationship Id="rId3" Type="http://schemas.openxmlformats.org/officeDocument/2006/relationships/worksheet" Target="worksheets/sheet3.xml"/><Relationship Id="rId12" Type="http://schemas.openxmlformats.org/officeDocument/2006/relationships/chartsheet" Target="chartsheets/sheet1.xml"/><Relationship Id="rId17" Type="http://schemas.openxmlformats.org/officeDocument/2006/relationships/worksheet" Target="worksheets/sheet13.xml"/><Relationship Id="rId25" Type="http://schemas.openxmlformats.org/officeDocument/2006/relationships/worksheet" Target="worksheets/sheet19.xml"/><Relationship Id="rId33" Type="http://schemas.openxmlformats.org/officeDocument/2006/relationships/worksheet" Target="worksheets/sheet27.xml"/><Relationship Id="rId38" Type="http://schemas.openxmlformats.org/officeDocument/2006/relationships/worksheet" Target="worksheets/sheet32.xml"/><Relationship Id="rId46" Type="http://schemas.openxmlformats.org/officeDocument/2006/relationships/worksheet" Target="worksheets/sheet40.xml"/><Relationship Id="rId59" Type="http://schemas.openxmlformats.org/officeDocument/2006/relationships/sharedStrings" Target="sharedStrings.xml"/><Relationship Id="rId20" Type="http://schemas.openxmlformats.org/officeDocument/2006/relationships/worksheet" Target="worksheets/sheet15.xml"/><Relationship Id="rId41" Type="http://schemas.openxmlformats.org/officeDocument/2006/relationships/worksheet" Target="worksheets/sheet35.xml"/><Relationship Id="rId54" Type="http://schemas.openxmlformats.org/officeDocument/2006/relationships/externalLink" Target="externalLinks/externalLink7.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chartsheet" Target="chartsheets/sheet4.xml"/><Relationship Id="rId23" Type="http://schemas.openxmlformats.org/officeDocument/2006/relationships/chartsheet" Target="chartsheets/sheet6.xml"/><Relationship Id="rId28" Type="http://schemas.openxmlformats.org/officeDocument/2006/relationships/worksheet" Target="worksheets/sheet22.xml"/><Relationship Id="rId36" Type="http://schemas.openxmlformats.org/officeDocument/2006/relationships/worksheet" Target="worksheets/sheet30.xml"/><Relationship Id="rId49" Type="http://schemas.openxmlformats.org/officeDocument/2006/relationships/externalLink" Target="externalLinks/externalLink2.xml"/><Relationship Id="rId57" Type="http://schemas.openxmlformats.org/officeDocument/2006/relationships/theme" Target="theme/theme1.xml"/><Relationship Id="rId10" Type="http://schemas.openxmlformats.org/officeDocument/2006/relationships/worksheet" Target="worksheets/sheet10.xml"/><Relationship Id="rId31" Type="http://schemas.openxmlformats.org/officeDocument/2006/relationships/worksheet" Target="worksheets/sheet25.xml"/><Relationship Id="rId44" Type="http://schemas.openxmlformats.org/officeDocument/2006/relationships/worksheet" Target="worksheets/sheet38.xml"/><Relationship Id="rId52" Type="http://schemas.openxmlformats.org/officeDocument/2006/relationships/externalLink" Target="externalLinks/externalLink5.xml"/><Relationship Id="rId60"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openxmlformats.org/officeDocument/2006/relationships/chartUserShapes" Target="../drawings/drawing2.xml"/><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2" Type="http://schemas.openxmlformats.org/officeDocument/2006/relationships/chartUserShapes" Target="../drawings/drawing3.xml"/><Relationship Id="rId1" Type="http://schemas.openxmlformats.org/officeDocument/2006/relationships/themeOverride" Target="../theme/themeOverride2.xml"/></Relationships>
</file>

<file path=xl/charts/_rels/chart3.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3.xml"/></Relationships>
</file>

<file path=xl/charts/_rels/chart4.xml.rels><?xml version="1.0" encoding="UTF-8" standalone="yes"?>
<Relationships xmlns="http://schemas.openxmlformats.org/package/2006/relationships"><Relationship Id="rId2" Type="http://schemas.openxmlformats.org/officeDocument/2006/relationships/chartUserShapes" Target="../drawings/drawing5.xml"/><Relationship Id="rId1" Type="http://schemas.openxmlformats.org/officeDocument/2006/relationships/themeOverride" Target="../theme/themeOverride4.xml"/></Relationships>
</file>

<file path=xl/charts/_rels/chart5.xml.rels><?xml version="1.0" encoding="UTF-8" standalone="yes"?>
<Relationships xmlns="http://schemas.openxmlformats.org/package/2006/relationships"><Relationship Id="rId2" Type="http://schemas.openxmlformats.org/officeDocument/2006/relationships/chartUserShapes" Target="../drawings/drawing6.xml"/><Relationship Id="rId1" Type="http://schemas.openxmlformats.org/officeDocument/2006/relationships/themeOverride" Target="../theme/themeOverride5.xml"/></Relationships>
</file>

<file path=xl/charts/_rels/chart6.xml.rels><?xml version="1.0" encoding="UTF-8" standalone="yes"?>
<Relationships xmlns="http://schemas.openxmlformats.org/package/2006/relationships"><Relationship Id="rId2" Type="http://schemas.openxmlformats.org/officeDocument/2006/relationships/chartUserShapes" Target="../drawings/drawing7.xml"/><Relationship Id="rId1" Type="http://schemas.openxmlformats.org/officeDocument/2006/relationships/themeOverride" Target="../theme/themeOverride6.xml"/></Relationships>
</file>

<file path=xl/charts/_rels/chart7.xml.rels><?xml version="1.0" encoding="UTF-8" standalone="yes"?>
<Relationships xmlns="http://schemas.openxmlformats.org/package/2006/relationships"><Relationship Id="rId2" Type="http://schemas.openxmlformats.org/officeDocument/2006/relationships/chartUserShapes" Target="../drawings/drawing8.xml"/><Relationship Id="rId1" Type="http://schemas.openxmlformats.org/officeDocument/2006/relationships/themeOverride" Target="../theme/themeOverride7.xml"/></Relationships>
</file>

<file path=xl/charts/_rels/chart8.xml.rels><?xml version="1.0" encoding="UTF-8" standalone="yes"?>
<Relationships xmlns="http://schemas.openxmlformats.org/package/2006/relationships"><Relationship Id="rId2" Type="http://schemas.openxmlformats.org/officeDocument/2006/relationships/chartUserShapes" Target="../drawings/drawing9.xml"/><Relationship Id="rId1" Type="http://schemas.openxmlformats.org/officeDocument/2006/relationships/themeOverride" Target="../theme/themeOverride8.xml"/></Relationships>
</file>

<file path=xl/charts/_rels/chart9.xml.rels><?xml version="1.0" encoding="UTF-8" standalone="yes"?>
<Relationships xmlns="http://schemas.openxmlformats.org/package/2006/relationships"><Relationship Id="rId2" Type="http://schemas.openxmlformats.org/officeDocument/2006/relationships/chartUserShapes" Target="../drawings/drawing10.xml"/><Relationship Id="rId1" Type="http://schemas.openxmlformats.org/officeDocument/2006/relationships/themeOverride" Target="../theme/themeOverride9.xml"/></Relationships>
</file>

<file path=xl/charts/_rels/chart10.xml.rels><?xml version="1.0" encoding="UTF-8" standalone="yes"?>
<Relationships xmlns="http://schemas.openxmlformats.org/package/2006/relationships"><Relationship Id="rId2" Type="http://schemas.openxmlformats.org/officeDocument/2006/relationships/chartUserShapes" Target="../drawings/drawing11.xml"/><Relationship Id="rId1" Type="http://schemas.openxmlformats.org/officeDocument/2006/relationships/themeOverride" Target="../theme/themeOverride10.xml"/></Relationships>
</file>

<file path=xl/charts/_rels/chart11.xml.rels><?xml version="1.0" encoding="UTF-8" standalone="yes"?>
<Relationships xmlns="http://schemas.openxmlformats.org/package/2006/relationships"><Relationship Id="rId2" Type="http://schemas.openxmlformats.org/officeDocument/2006/relationships/chartUserShapes" Target="../drawings/drawing12.xml"/><Relationship Id="rId1" Type="http://schemas.openxmlformats.org/officeDocument/2006/relationships/themeOverride" Target="../theme/themeOverride11.xml"/></Relationships>
</file>

<file path=xl/charts/_rels/chart12.xml.rels><?xml version="1.0" encoding="UTF-8" standalone="yes"?>
<Relationships xmlns="http://schemas.openxmlformats.org/package/2006/relationships"><Relationship Id="rId2" Type="http://schemas.openxmlformats.org/officeDocument/2006/relationships/chartUserShapes" Target="../drawings/drawing13.xml"/><Relationship Id="rId1" Type="http://schemas.openxmlformats.org/officeDocument/2006/relationships/themeOverride" Target="../theme/themeOverride12.xml"/></Relationships>
</file>

<file path=xl/charts/_rels/chart13.xml.rels><?xml version="1.0" encoding="UTF-8" standalone="yes"?>
<Relationships xmlns="http://schemas.openxmlformats.org/package/2006/relationships"><Relationship Id="rId2" Type="http://schemas.openxmlformats.org/officeDocument/2006/relationships/chartUserShapes" Target="../drawings/drawing14.xml"/><Relationship Id="rId1" Type="http://schemas.openxmlformats.org/officeDocument/2006/relationships/themeOverride" Target="../theme/themeOverride13.xml"/></Relationships>
</file>

<file path=xl/charts/_rels/chart14.xml.rels><?xml version="1.0" encoding="UTF-8" standalone="yes"?>
<Relationships xmlns="http://schemas.openxmlformats.org/package/2006/relationships"><Relationship Id="rId2" Type="http://schemas.openxmlformats.org/officeDocument/2006/relationships/chartUserShapes" Target="../drawings/drawing15.xml"/><Relationship Id="rId1" Type="http://schemas.openxmlformats.org/officeDocument/2006/relationships/themeOverride" Target="../theme/themeOverride14.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16.xml"/><Relationship Id="rId1" Type="http://schemas.openxmlformats.org/officeDocument/2006/relationships/themeOverride" Target="../theme/themeOverride15.xml"/></Relationships>
</file>

<file path=xl/charts/_rels/chart16.xml.rels><?xml version="1.0" encoding="UTF-8" standalone="yes"?>
<Relationships xmlns="http://schemas.openxmlformats.org/package/2006/relationships"><Relationship Id="rId2" Type="http://schemas.openxmlformats.org/officeDocument/2006/relationships/chartUserShapes" Target="../drawings/drawing17.xml"/><Relationship Id="rId1" Type="http://schemas.openxmlformats.org/officeDocument/2006/relationships/themeOverride" Target="../theme/themeOverride16.xml"/></Relationships>
</file>

<file path=xl/charts/_rels/chart17.xml.rels><?xml version="1.0" encoding="UTF-8" standalone="yes"?>
<Relationships xmlns="http://schemas.openxmlformats.org/package/2006/relationships"><Relationship Id="rId2" Type="http://schemas.openxmlformats.org/officeDocument/2006/relationships/chartUserShapes" Target="../drawings/drawing18.xml"/><Relationship Id="rId1" Type="http://schemas.openxmlformats.org/officeDocument/2006/relationships/themeOverride" Target="../theme/themeOverride17.xml"/></Relationships>
</file>

<file path=xl/charts/_rels/chart18.xml.rels><?xml version="1.0" encoding="UTF-8" standalone="yes"?>
<Relationships xmlns="http://schemas.openxmlformats.org/package/2006/relationships"><Relationship Id="rId2" Type="http://schemas.openxmlformats.org/officeDocument/2006/relationships/chartUserShapes" Target="../drawings/drawing19.xml"/><Relationship Id="rId1" Type="http://schemas.openxmlformats.org/officeDocument/2006/relationships/themeOverride" Target="../theme/themeOverride18.xml"/></Relationships>
</file>

<file path=xl/charts/_rels/chart19.xml.rels><?xml version="1.0" encoding="UTF-8" standalone="yes"?>
<Relationships xmlns="http://schemas.openxmlformats.org/package/2006/relationships"><Relationship Id="rId2" Type="http://schemas.openxmlformats.org/officeDocument/2006/relationships/chartUserShapes" Target="../drawings/drawing20.xml"/><Relationship Id="rId1" Type="http://schemas.openxmlformats.org/officeDocument/2006/relationships/themeOverride" Target="../theme/themeOverride19.xml"/></Relationships>
</file>

<file path=xl/charts/_rels/chart20.xml.rels><?xml version="1.0" encoding="UTF-8" standalone="yes"?>
<Relationships xmlns="http://schemas.openxmlformats.org/package/2006/relationships"><Relationship Id="rId2" Type="http://schemas.openxmlformats.org/officeDocument/2006/relationships/chartUserShapes" Target="../drawings/drawing21.xml"/><Relationship Id="rId1" Type="http://schemas.openxmlformats.org/officeDocument/2006/relationships/themeOverride" Target="../theme/themeOverride20.xml"/></Relationships>
</file>

<file path=xl/charts/_rels/chart21.xml.rels><?xml version="1.0" encoding="UTF-8" standalone="yes"?>
<Relationships xmlns="http://schemas.openxmlformats.org/package/2006/relationships"><Relationship Id="rId2" Type="http://schemas.openxmlformats.org/officeDocument/2006/relationships/chartUserShapes" Target="../drawings/drawing22.xml"/><Relationship Id="rId1" Type="http://schemas.openxmlformats.org/officeDocument/2006/relationships/themeOverride" Target="../theme/themeOverride21.xml"/></Relationships>
</file>

<file path=xl/charts/_rels/chart22.xml.rels><?xml version="1.0" encoding="UTF-8" standalone="yes"?>
<Relationships xmlns="http://schemas.openxmlformats.org/package/2006/relationships"><Relationship Id="rId3" Type="http://schemas.openxmlformats.org/officeDocument/2006/relationships/chartUserShapes" Target="../drawings/drawing24.xml"/><Relationship Id="rId2" Type="http://schemas.microsoft.com/office/2011/relationships/chartColorStyle" Target="colors1.xml"/><Relationship Id="rId1" Type="http://schemas.microsoft.com/office/2011/relationships/chartStyle" Target="style1.xml"/></Relationships>
</file>

<file path=xl/charts/_rels/chart23.xml.rels><?xml version="1.0" encoding="UTF-8" standalone="yes"?>
<Relationships xmlns="http://schemas.openxmlformats.org/package/2006/relationships"><Relationship Id="rId3" Type="http://schemas.openxmlformats.org/officeDocument/2006/relationships/chartUserShapes" Target="../drawings/drawing26.xml"/><Relationship Id="rId2" Type="http://schemas.microsoft.com/office/2011/relationships/chartColorStyle" Target="colors2.xml"/><Relationship Id="rId1" Type="http://schemas.microsoft.com/office/2011/relationships/chartStyle" Target="style2.xml"/></Relationships>
</file>

<file path=xl/charts/_rels/chart24.xml.rels><?xml version="1.0" encoding="UTF-8" standalone="yes"?>
<Relationships xmlns="http://schemas.openxmlformats.org/package/2006/relationships"><Relationship Id="rId3" Type="http://schemas.openxmlformats.org/officeDocument/2006/relationships/chartUserShapes" Target="../drawings/drawing27.xml"/><Relationship Id="rId2" Type="http://schemas.microsoft.com/office/2011/relationships/chartColorStyle" Target="colors3.xml"/><Relationship Id="rId1" Type="http://schemas.microsoft.com/office/2011/relationships/chartStyle" Target="style3.xml"/></Relationships>
</file>

<file path=xl/charts/_rels/chart25.xml.rels><?xml version="1.0" encoding="UTF-8" standalone="yes"?>
<Relationships xmlns="http://schemas.openxmlformats.org/package/2006/relationships"><Relationship Id="rId2" Type="http://schemas.openxmlformats.org/officeDocument/2006/relationships/chartUserShapes" Target="../drawings/drawing29.xml"/><Relationship Id="rId1" Type="http://schemas.openxmlformats.org/officeDocument/2006/relationships/themeOverride" Target="../theme/themeOverride22.xml"/></Relationships>
</file>

<file path=xl/charts/_rels/chart26.xml.rels><?xml version="1.0" encoding="UTF-8" standalone="yes"?>
<Relationships xmlns="http://schemas.openxmlformats.org/package/2006/relationships"><Relationship Id="rId2" Type="http://schemas.openxmlformats.org/officeDocument/2006/relationships/chartUserShapes" Target="../drawings/drawing30.xml"/><Relationship Id="rId1" Type="http://schemas.openxmlformats.org/officeDocument/2006/relationships/themeOverride" Target="../theme/themeOverride23.xml"/></Relationships>
</file>

<file path=xl/charts/_rels/chart27.xml.rels><?xml version="1.0" encoding="UTF-8" standalone="yes"?>
<Relationships xmlns="http://schemas.openxmlformats.org/package/2006/relationships"><Relationship Id="rId2" Type="http://schemas.openxmlformats.org/officeDocument/2006/relationships/chartUserShapes" Target="../drawings/drawing31.xml"/><Relationship Id="rId1" Type="http://schemas.openxmlformats.org/officeDocument/2006/relationships/themeOverride" Target="../theme/themeOverride24.xml"/></Relationships>
</file>

<file path=xl/charts/_rels/chart28.xml.rels><?xml version="1.0" encoding="UTF-8" standalone="yes"?>
<Relationships xmlns="http://schemas.openxmlformats.org/package/2006/relationships"><Relationship Id="rId2" Type="http://schemas.openxmlformats.org/officeDocument/2006/relationships/chartUserShapes" Target="../drawings/drawing32.xml"/><Relationship Id="rId1" Type="http://schemas.openxmlformats.org/officeDocument/2006/relationships/themeOverride" Target="../theme/themeOverride25.xml"/></Relationships>
</file>

<file path=xl/charts/_rels/chart29.xml.rels><?xml version="1.0" encoding="UTF-8" standalone="yes"?>
<Relationships xmlns="http://schemas.openxmlformats.org/package/2006/relationships"><Relationship Id="rId2" Type="http://schemas.openxmlformats.org/officeDocument/2006/relationships/chartUserShapes" Target="../drawings/drawing33.xml"/><Relationship Id="rId1" Type="http://schemas.openxmlformats.org/officeDocument/2006/relationships/themeOverride" Target="../theme/themeOverride26.xml"/></Relationships>
</file>

<file path=xl/charts/_rels/chart30.xml.rels><?xml version="1.0" encoding="UTF-8" standalone="yes"?>
<Relationships xmlns="http://schemas.openxmlformats.org/package/2006/relationships"><Relationship Id="rId2" Type="http://schemas.openxmlformats.org/officeDocument/2006/relationships/chartUserShapes" Target="../drawings/drawing34.xml"/><Relationship Id="rId1" Type="http://schemas.openxmlformats.org/officeDocument/2006/relationships/themeOverride" Target="../theme/themeOverride27.xml"/></Relationships>
</file>

<file path=xl/charts/_rels/chart31.xml.rels><?xml version="1.0" encoding="UTF-8" standalone="yes"?>
<Relationships xmlns="http://schemas.openxmlformats.org/package/2006/relationships"><Relationship Id="rId2" Type="http://schemas.openxmlformats.org/officeDocument/2006/relationships/chartUserShapes" Target="../drawings/drawing35.xml"/><Relationship Id="rId1" Type="http://schemas.openxmlformats.org/officeDocument/2006/relationships/themeOverride" Target="../theme/themeOverride28.xml"/></Relationships>
</file>

<file path=xl/charts/_rels/chart32.xml.rels><?xml version="1.0" encoding="UTF-8" standalone="yes"?>
<Relationships xmlns="http://schemas.openxmlformats.org/package/2006/relationships"><Relationship Id="rId2" Type="http://schemas.openxmlformats.org/officeDocument/2006/relationships/chartUserShapes" Target="../drawings/drawing36.xml"/><Relationship Id="rId1" Type="http://schemas.openxmlformats.org/officeDocument/2006/relationships/themeOverride" Target="../theme/themeOverride29.xml"/></Relationships>
</file>

<file path=xl/charts/_rels/chart33.xml.rels><?xml version="1.0" encoding="UTF-8" standalone="yes"?>
<Relationships xmlns="http://schemas.openxmlformats.org/package/2006/relationships"><Relationship Id="rId2" Type="http://schemas.openxmlformats.org/officeDocument/2006/relationships/chartUserShapes" Target="../drawings/drawing37.xml"/><Relationship Id="rId1" Type="http://schemas.openxmlformats.org/officeDocument/2006/relationships/themeOverride" Target="../theme/themeOverride30.xml"/></Relationships>
</file>

<file path=xl/charts/_rels/chart34.xml.rels><?xml version="1.0" encoding="UTF-8" standalone="yes"?>
<Relationships xmlns="http://schemas.openxmlformats.org/package/2006/relationships"><Relationship Id="rId2" Type="http://schemas.openxmlformats.org/officeDocument/2006/relationships/chartUserShapes" Target="../drawings/drawing38.xml"/><Relationship Id="rId1" Type="http://schemas.openxmlformats.org/officeDocument/2006/relationships/themeOverride" Target="../theme/themeOverride31.xml"/></Relationships>
</file>

<file path=xl/charts/_rels/chart35.xml.rels><?xml version="1.0" encoding="UTF-8" standalone="yes"?>
<Relationships xmlns="http://schemas.openxmlformats.org/package/2006/relationships"><Relationship Id="rId2" Type="http://schemas.openxmlformats.org/officeDocument/2006/relationships/chartUserShapes" Target="../drawings/drawing39.xml"/><Relationship Id="rId1" Type="http://schemas.openxmlformats.org/officeDocument/2006/relationships/themeOverride" Target="../theme/themeOverride32.xml"/></Relationships>
</file>

<file path=xl/charts/_rels/chart36.xml.rels><?xml version="1.0" encoding="UTF-8" standalone="yes"?>
<Relationships xmlns="http://schemas.openxmlformats.org/package/2006/relationships"><Relationship Id="rId2" Type="http://schemas.openxmlformats.org/officeDocument/2006/relationships/chartUserShapes" Target="../drawings/drawing40.xml"/><Relationship Id="rId1" Type="http://schemas.openxmlformats.org/officeDocument/2006/relationships/themeOverride" Target="../theme/themeOverride33.xml"/></Relationships>
</file>

<file path=xl/charts/_rels/chart37.xml.rels><?xml version="1.0" encoding="UTF-8" standalone="yes"?>
<Relationships xmlns="http://schemas.openxmlformats.org/package/2006/relationships"><Relationship Id="rId2" Type="http://schemas.openxmlformats.org/officeDocument/2006/relationships/chartUserShapes" Target="../drawings/drawing41.xml"/><Relationship Id="rId1" Type="http://schemas.openxmlformats.org/officeDocument/2006/relationships/themeOverride" Target="../theme/themeOverride34.xml"/></Relationships>
</file>

<file path=xl/charts/_rels/chart38.xml.rels><?xml version="1.0" encoding="UTF-8" standalone="yes"?>
<Relationships xmlns="http://schemas.openxmlformats.org/package/2006/relationships"><Relationship Id="rId2" Type="http://schemas.openxmlformats.org/officeDocument/2006/relationships/chartUserShapes" Target="../drawings/drawing42.xml"/><Relationship Id="rId1" Type="http://schemas.openxmlformats.org/officeDocument/2006/relationships/themeOverride" Target="../theme/themeOverride35.xml"/></Relationships>
</file>

<file path=xl/charts/_rels/chart39.xml.rels><?xml version="1.0" encoding="UTF-8" standalone="yes"?>
<Relationships xmlns="http://schemas.openxmlformats.org/package/2006/relationships"><Relationship Id="rId2" Type="http://schemas.openxmlformats.org/officeDocument/2006/relationships/chartUserShapes" Target="../drawings/drawing43.xml"/><Relationship Id="rId1" Type="http://schemas.openxmlformats.org/officeDocument/2006/relationships/themeOverride" Target="../theme/themeOverride36.xml"/></Relationships>
</file>

<file path=xl/charts/_rels/chart40.xml.rels><?xml version="1.0" encoding="UTF-8" standalone="yes"?>
<Relationships xmlns="http://schemas.openxmlformats.org/package/2006/relationships"><Relationship Id="rId2" Type="http://schemas.openxmlformats.org/officeDocument/2006/relationships/chartUserShapes" Target="../drawings/drawing44.xml"/><Relationship Id="rId1" Type="http://schemas.openxmlformats.org/officeDocument/2006/relationships/themeOverride" Target="../theme/themeOverride37.xml"/></Relationships>
</file>

<file path=xl/charts/_rels/chart41.xml.rels><?xml version="1.0" encoding="UTF-8" standalone="yes"?>
<Relationships xmlns="http://schemas.openxmlformats.org/package/2006/relationships"><Relationship Id="rId2" Type="http://schemas.openxmlformats.org/officeDocument/2006/relationships/chartUserShapes" Target="../drawings/drawing45.xml"/><Relationship Id="rId1" Type="http://schemas.openxmlformats.org/officeDocument/2006/relationships/themeOverride" Target="../theme/themeOverride38.xml"/></Relationships>
</file>

<file path=xl/charts/_rels/chart42.xml.rels><?xml version="1.0" encoding="UTF-8" standalone="yes"?>
<Relationships xmlns="http://schemas.openxmlformats.org/package/2006/relationships"><Relationship Id="rId2" Type="http://schemas.openxmlformats.org/officeDocument/2006/relationships/chartUserShapes" Target="../drawings/drawing46.xml"/><Relationship Id="rId1" Type="http://schemas.openxmlformats.org/officeDocument/2006/relationships/themeOverride" Target="../theme/themeOverride39.xml"/></Relationships>
</file>

<file path=xl/charts/_rels/chart43.xml.rels><?xml version="1.0" encoding="UTF-8" standalone="yes"?>
<Relationships xmlns="http://schemas.openxmlformats.org/package/2006/relationships"><Relationship Id="rId2" Type="http://schemas.openxmlformats.org/officeDocument/2006/relationships/chartUserShapes" Target="../drawings/drawing47.xml"/><Relationship Id="rId1" Type="http://schemas.openxmlformats.org/officeDocument/2006/relationships/themeOverride" Target="../theme/themeOverride40.xml"/></Relationships>
</file>

<file path=xl/charts/_rels/chart44.xml.rels><?xml version="1.0" encoding="UTF-8" standalone="yes"?>
<Relationships xmlns="http://schemas.openxmlformats.org/package/2006/relationships"><Relationship Id="rId2" Type="http://schemas.openxmlformats.org/officeDocument/2006/relationships/chartUserShapes" Target="../drawings/drawing48.xml"/><Relationship Id="rId1" Type="http://schemas.openxmlformats.org/officeDocument/2006/relationships/themeOverride" Target="../theme/themeOverride41.xml"/></Relationships>
</file>

<file path=xl/charts/_rels/chart45.xml.rels><?xml version="1.0" encoding="UTF-8" standalone="yes"?>
<Relationships xmlns="http://schemas.openxmlformats.org/package/2006/relationships"><Relationship Id="rId2" Type="http://schemas.openxmlformats.org/officeDocument/2006/relationships/chartUserShapes" Target="../drawings/drawing49.xml"/><Relationship Id="rId1" Type="http://schemas.openxmlformats.org/officeDocument/2006/relationships/themeOverride" Target="../theme/themeOverride42.xml"/></Relationships>
</file>

<file path=xl/charts/_rels/chart46.xml.rels><?xml version="1.0" encoding="UTF-8" standalone="yes"?>
<Relationships xmlns="http://schemas.openxmlformats.org/package/2006/relationships"><Relationship Id="rId2" Type="http://schemas.openxmlformats.org/officeDocument/2006/relationships/chartUserShapes" Target="../drawings/drawing51.xml"/><Relationship Id="rId1" Type="http://schemas.openxmlformats.org/officeDocument/2006/relationships/themeOverride" Target="../theme/themeOverride43.xml"/></Relationships>
</file>

<file path=xl/charts/_rels/chart47.xml.rels><?xml version="1.0" encoding="UTF-8" standalone="yes"?>
<Relationships xmlns="http://schemas.openxmlformats.org/package/2006/relationships"><Relationship Id="rId2" Type="http://schemas.openxmlformats.org/officeDocument/2006/relationships/chartUserShapes" Target="../drawings/drawing52.xml"/><Relationship Id="rId1" Type="http://schemas.openxmlformats.org/officeDocument/2006/relationships/themeOverride" Target="../theme/themeOverride44.xml"/></Relationships>
</file>

<file path=xl/charts/_rels/chart48.xml.rels><?xml version="1.0" encoding="UTF-8" standalone="yes"?>
<Relationships xmlns="http://schemas.openxmlformats.org/package/2006/relationships"><Relationship Id="rId2" Type="http://schemas.openxmlformats.org/officeDocument/2006/relationships/chartUserShapes" Target="../drawings/drawing53.xml"/><Relationship Id="rId1" Type="http://schemas.openxmlformats.org/officeDocument/2006/relationships/themeOverride" Target="../theme/themeOverride45.xml"/></Relationships>
</file>

<file path=xl/charts/_rels/chart49.xml.rels><?xml version="1.0" encoding="UTF-8" standalone="yes"?>
<Relationships xmlns="http://schemas.openxmlformats.org/package/2006/relationships"><Relationship Id="rId2" Type="http://schemas.openxmlformats.org/officeDocument/2006/relationships/chartUserShapes" Target="../drawings/drawing54.xml"/><Relationship Id="rId1" Type="http://schemas.openxmlformats.org/officeDocument/2006/relationships/themeOverride" Target="../theme/themeOverride46.xml"/></Relationships>
</file>

<file path=xl/charts/_rels/chart50.xml.rels><?xml version="1.0" encoding="UTF-8" standalone="yes"?>
<Relationships xmlns="http://schemas.openxmlformats.org/package/2006/relationships"><Relationship Id="rId2" Type="http://schemas.openxmlformats.org/officeDocument/2006/relationships/chartUserShapes" Target="../drawings/drawing55.xml"/><Relationship Id="rId1" Type="http://schemas.openxmlformats.org/officeDocument/2006/relationships/themeOverride" Target="../theme/themeOverride47.xml"/></Relationships>
</file>

<file path=xl/charts/_rels/chart51.xml.rels><?xml version="1.0" encoding="UTF-8" standalone="yes"?>
<Relationships xmlns="http://schemas.openxmlformats.org/package/2006/relationships"><Relationship Id="rId2" Type="http://schemas.openxmlformats.org/officeDocument/2006/relationships/chartUserShapes" Target="../drawings/drawing56.xml"/><Relationship Id="rId1" Type="http://schemas.openxmlformats.org/officeDocument/2006/relationships/themeOverride" Target="../theme/themeOverride48.xml"/></Relationships>
</file>

<file path=xl/charts/_rels/chart52.xml.rels><?xml version="1.0" encoding="UTF-8" standalone="yes"?>
<Relationships xmlns="http://schemas.openxmlformats.org/package/2006/relationships"><Relationship Id="rId2" Type="http://schemas.openxmlformats.org/officeDocument/2006/relationships/chartUserShapes" Target="../drawings/drawing57.xml"/><Relationship Id="rId1" Type="http://schemas.openxmlformats.org/officeDocument/2006/relationships/themeOverride" Target="../theme/themeOverride49.xml"/></Relationships>
</file>

<file path=xl/charts/_rels/chart53.xml.rels><?xml version="1.0" encoding="UTF-8" standalone="yes"?>
<Relationships xmlns="http://schemas.openxmlformats.org/package/2006/relationships"><Relationship Id="rId2" Type="http://schemas.openxmlformats.org/officeDocument/2006/relationships/chartUserShapes" Target="../drawings/drawing58.xml"/><Relationship Id="rId1" Type="http://schemas.openxmlformats.org/officeDocument/2006/relationships/themeOverride" Target="../theme/themeOverride50.xml"/></Relationships>
</file>

<file path=xl/charts/_rels/chart54.xml.rels><?xml version="1.0" encoding="UTF-8" standalone="yes"?>
<Relationships xmlns="http://schemas.openxmlformats.org/package/2006/relationships"><Relationship Id="rId2" Type="http://schemas.openxmlformats.org/officeDocument/2006/relationships/chartUserShapes" Target="../drawings/drawing59.xml"/><Relationship Id="rId1" Type="http://schemas.openxmlformats.org/officeDocument/2006/relationships/themeOverride" Target="../theme/themeOverride51.xml"/></Relationships>
</file>

<file path=xl/charts/_rels/chart55.xml.rels><?xml version="1.0" encoding="UTF-8" standalone="yes"?>
<Relationships xmlns="http://schemas.openxmlformats.org/package/2006/relationships"><Relationship Id="rId2" Type="http://schemas.openxmlformats.org/officeDocument/2006/relationships/chartUserShapes" Target="../drawings/drawing60.xml"/><Relationship Id="rId1" Type="http://schemas.openxmlformats.org/officeDocument/2006/relationships/themeOverride" Target="../theme/themeOverride52.xml"/></Relationships>
</file>

<file path=xl/charts/_rels/chart56.xml.rels><?xml version="1.0" encoding="UTF-8" standalone="yes"?>
<Relationships xmlns="http://schemas.openxmlformats.org/package/2006/relationships"><Relationship Id="rId2" Type="http://schemas.openxmlformats.org/officeDocument/2006/relationships/chartUserShapes" Target="../drawings/drawing61.xml"/><Relationship Id="rId1" Type="http://schemas.openxmlformats.org/officeDocument/2006/relationships/themeOverride" Target="../theme/themeOverride53.xml"/></Relationships>
</file>

<file path=xl/charts/_rels/chart57.xml.rels><?xml version="1.0" encoding="UTF-8" standalone="yes"?>
<Relationships xmlns="http://schemas.openxmlformats.org/package/2006/relationships"><Relationship Id="rId2" Type="http://schemas.openxmlformats.org/officeDocument/2006/relationships/chartUserShapes" Target="../drawings/drawing62.xml"/><Relationship Id="rId1" Type="http://schemas.openxmlformats.org/officeDocument/2006/relationships/themeOverride" Target="../theme/themeOverride54.xml"/></Relationships>
</file>

<file path=xl/charts/_rels/chart58.xml.rels><?xml version="1.0" encoding="UTF-8" standalone="yes"?>
<Relationships xmlns="http://schemas.openxmlformats.org/package/2006/relationships"><Relationship Id="rId2" Type="http://schemas.openxmlformats.org/officeDocument/2006/relationships/chartUserShapes" Target="../drawings/drawing63.xml"/><Relationship Id="rId1" Type="http://schemas.openxmlformats.org/officeDocument/2006/relationships/themeOverride" Target="../theme/themeOverride55.xml"/></Relationships>
</file>

<file path=xl/charts/_rels/chart59.xml.rels><?xml version="1.0" encoding="UTF-8" standalone="yes"?>
<Relationships xmlns="http://schemas.openxmlformats.org/package/2006/relationships"><Relationship Id="rId2" Type="http://schemas.openxmlformats.org/officeDocument/2006/relationships/chartUserShapes" Target="../drawings/drawing64.xml"/><Relationship Id="rId1" Type="http://schemas.openxmlformats.org/officeDocument/2006/relationships/themeOverride" Target="../theme/themeOverride56.xml"/></Relationships>
</file>

<file path=xl/charts/_rels/chart60.xml.rels><?xml version="1.0" encoding="UTF-8" standalone="yes"?>
<Relationships xmlns="http://schemas.openxmlformats.org/package/2006/relationships"><Relationship Id="rId2" Type="http://schemas.openxmlformats.org/officeDocument/2006/relationships/chartUserShapes" Target="../drawings/drawing65.xml"/><Relationship Id="rId1" Type="http://schemas.openxmlformats.org/officeDocument/2006/relationships/themeOverride" Target="../theme/themeOverride57.xml"/></Relationships>
</file>

<file path=xl/charts/_rels/chart61.xml.rels><?xml version="1.0" encoding="UTF-8" standalone="yes"?>
<Relationships xmlns="http://schemas.openxmlformats.org/package/2006/relationships"><Relationship Id="rId2" Type="http://schemas.openxmlformats.org/officeDocument/2006/relationships/chartUserShapes" Target="../drawings/drawing66.xml"/><Relationship Id="rId1" Type="http://schemas.openxmlformats.org/officeDocument/2006/relationships/themeOverride" Target="../theme/themeOverride58.xml"/></Relationships>
</file>

<file path=xl/charts/_rels/chart62.xml.rels><?xml version="1.0" encoding="UTF-8" standalone="yes"?>
<Relationships xmlns="http://schemas.openxmlformats.org/package/2006/relationships"><Relationship Id="rId2" Type="http://schemas.openxmlformats.org/officeDocument/2006/relationships/chartUserShapes" Target="../drawings/drawing67.xml"/><Relationship Id="rId1" Type="http://schemas.openxmlformats.org/officeDocument/2006/relationships/themeOverride" Target="../theme/themeOverride59.xml"/></Relationships>
</file>

<file path=xl/charts/_rels/chart63.xml.rels><?xml version="1.0" encoding="UTF-8" standalone="yes"?>
<Relationships xmlns="http://schemas.openxmlformats.org/package/2006/relationships"><Relationship Id="rId2" Type="http://schemas.openxmlformats.org/officeDocument/2006/relationships/chartUserShapes" Target="../drawings/drawing68.xml"/><Relationship Id="rId1" Type="http://schemas.openxmlformats.org/officeDocument/2006/relationships/themeOverride" Target="../theme/themeOverride60.xml"/></Relationships>
</file>

<file path=xl/charts/_rels/chart64.xml.rels><?xml version="1.0" encoding="UTF-8" standalone="yes"?>
<Relationships xmlns="http://schemas.openxmlformats.org/package/2006/relationships"><Relationship Id="rId2" Type="http://schemas.openxmlformats.org/officeDocument/2006/relationships/chartUserShapes" Target="../drawings/drawing69.xml"/><Relationship Id="rId1" Type="http://schemas.openxmlformats.org/officeDocument/2006/relationships/themeOverride" Target="../theme/themeOverride61.xml"/></Relationships>
</file>

<file path=xl/charts/_rels/chart65.xml.rels><?xml version="1.0" encoding="UTF-8" standalone="yes"?>
<Relationships xmlns="http://schemas.openxmlformats.org/package/2006/relationships"><Relationship Id="rId2" Type="http://schemas.openxmlformats.org/officeDocument/2006/relationships/chartUserShapes" Target="../drawings/drawing70.xml"/><Relationship Id="rId1" Type="http://schemas.openxmlformats.org/officeDocument/2006/relationships/themeOverride" Target="../theme/themeOverride62.xml"/></Relationships>
</file>

<file path=xl/charts/_rels/chart66.xml.rels><?xml version="1.0" encoding="UTF-8" standalone="yes"?>
<Relationships xmlns="http://schemas.openxmlformats.org/package/2006/relationships"><Relationship Id="rId2" Type="http://schemas.openxmlformats.org/officeDocument/2006/relationships/chartUserShapes" Target="../drawings/drawing71.xml"/><Relationship Id="rId1" Type="http://schemas.openxmlformats.org/officeDocument/2006/relationships/themeOverride" Target="../theme/themeOverride63.xml"/></Relationships>
</file>

<file path=xl/charts/_rels/chart67.xml.rels><?xml version="1.0" encoding="UTF-8" standalone="yes"?>
<Relationships xmlns="http://schemas.openxmlformats.org/package/2006/relationships"><Relationship Id="rId2" Type="http://schemas.openxmlformats.org/officeDocument/2006/relationships/chartUserShapes" Target="../drawings/drawing72.xml"/><Relationship Id="rId1" Type="http://schemas.openxmlformats.org/officeDocument/2006/relationships/themeOverride" Target="../theme/themeOverride64.xml"/></Relationships>
</file>

<file path=xl/charts/_rels/chart68.xml.rels><?xml version="1.0" encoding="UTF-8" standalone="yes"?>
<Relationships xmlns="http://schemas.openxmlformats.org/package/2006/relationships"><Relationship Id="rId2" Type="http://schemas.openxmlformats.org/officeDocument/2006/relationships/chartUserShapes" Target="../drawings/drawing73.xml"/><Relationship Id="rId1" Type="http://schemas.openxmlformats.org/officeDocument/2006/relationships/themeOverride" Target="../theme/themeOverride65.xml"/></Relationships>
</file>

<file path=xl/charts/_rels/chart69.xml.rels><?xml version="1.0" encoding="UTF-8" standalone="yes"?>
<Relationships xmlns="http://schemas.openxmlformats.org/package/2006/relationships"><Relationship Id="rId2" Type="http://schemas.openxmlformats.org/officeDocument/2006/relationships/chartUserShapes" Target="../drawings/drawing74.xml"/><Relationship Id="rId1" Type="http://schemas.openxmlformats.org/officeDocument/2006/relationships/themeOverride" Target="../theme/themeOverride66.xml"/></Relationships>
</file>

<file path=xl/charts/_rels/chart70.xml.rels><?xml version="1.0" encoding="UTF-8" standalone="yes"?>
<Relationships xmlns="http://schemas.openxmlformats.org/package/2006/relationships"><Relationship Id="rId1" Type="http://schemas.openxmlformats.org/officeDocument/2006/relationships/themeOverride" Target="../theme/themeOverride67.xml"/></Relationships>
</file>

<file path=xl/charts/_rels/chart71.xml.rels><?xml version="1.0" encoding="UTF-8" standalone="yes"?>
<Relationships xmlns="http://schemas.openxmlformats.org/package/2006/relationships"><Relationship Id="rId1" Type="http://schemas.openxmlformats.org/officeDocument/2006/relationships/chartUserShapes" Target="../drawings/drawing76.xml"/></Relationships>
</file>

<file path=xl/charts/_rels/chart72.xml.rels><?xml version="1.0" encoding="UTF-8" standalone="yes"?>
<Relationships xmlns="http://schemas.openxmlformats.org/package/2006/relationships"><Relationship Id="rId1" Type="http://schemas.openxmlformats.org/officeDocument/2006/relationships/chartUserShapes" Target="../drawings/drawing77.xml"/></Relationships>
</file>

<file path=xl/charts/_rels/chart73.xml.rels><?xml version="1.0" encoding="UTF-8" standalone="yes"?>
<Relationships xmlns="http://schemas.openxmlformats.org/package/2006/relationships"><Relationship Id="rId1" Type="http://schemas.openxmlformats.org/officeDocument/2006/relationships/chartUserShapes" Target="../drawings/drawing78.xml"/></Relationships>
</file>

<file path=xl/charts/_rels/chart74.xml.rels><?xml version="1.0" encoding="UTF-8" standalone="yes"?>
<Relationships xmlns="http://schemas.openxmlformats.org/package/2006/relationships"><Relationship Id="rId1" Type="http://schemas.openxmlformats.org/officeDocument/2006/relationships/chartUserShapes" Target="../drawings/drawing79.xml"/></Relationships>
</file>

<file path=xl/charts/_rels/chart75.xml.rels><?xml version="1.0" encoding="UTF-8" standalone="yes"?>
<Relationships xmlns="http://schemas.openxmlformats.org/package/2006/relationships"><Relationship Id="rId1" Type="http://schemas.openxmlformats.org/officeDocument/2006/relationships/chartUserShapes" Target="../drawings/drawing80.xml"/></Relationships>
</file>

<file path=xl/charts/_rels/chart76.xml.rels><?xml version="1.0" encoding="UTF-8" standalone="yes"?>
<Relationships xmlns="http://schemas.openxmlformats.org/package/2006/relationships"><Relationship Id="rId1" Type="http://schemas.openxmlformats.org/officeDocument/2006/relationships/chartUserShapes" Target="../drawings/drawing81.xml"/></Relationships>
</file>

<file path=xl/charts/_rels/chart77.xml.rels><?xml version="1.0" encoding="UTF-8" standalone="yes"?>
<Relationships xmlns="http://schemas.openxmlformats.org/package/2006/relationships"><Relationship Id="rId1" Type="http://schemas.openxmlformats.org/officeDocument/2006/relationships/chartUserShapes" Target="../drawings/drawing82.xml"/></Relationships>
</file>

<file path=xl/charts/_rels/chart78.xml.rels><?xml version="1.0" encoding="UTF-8" standalone="yes"?>
<Relationships xmlns="http://schemas.openxmlformats.org/package/2006/relationships"><Relationship Id="rId1" Type="http://schemas.openxmlformats.org/officeDocument/2006/relationships/chartUserShapes" Target="../drawings/drawing83.xml"/></Relationships>
</file>

<file path=xl/charts/_rels/chart79.xml.rels><?xml version="1.0" encoding="UTF-8" standalone="yes"?>
<Relationships xmlns="http://schemas.openxmlformats.org/package/2006/relationships"><Relationship Id="rId1" Type="http://schemas.openxmlformats.org/officeDocument/2006/relationships/chartUserShapes" Target="../drawings/drawing84.xml"/></Relationships>
</file>

<file path=xl/charts/_rels/chart80.xml.rels><?xml version="1.0" encoding="UTF-8" standalone="yes"?>
<Relationships xmlns="http://schemas.openxmlformats.org/package/2006/relationships"><Relationship Id="rId1" Type="http://schemas.openxmlformats.org/officeDocument/2006/relationships/chartUserShapes" Target="../drawings/drawing85.xml"/></Relationships>
</file>

<file path=xl/charts/_rels/chart81.xml.rels><?xml version="1.0" encoding="UTF-8" standalone="yes"?>
<Relationships xmlns="http://schemas.openxmlformats.org/package/2006/relationships"><Relationship Id="rId1" Type="http://schemas.openxmlformats.org/officeDocument/2006/relationships/chartUserShapes" Target="../drawings/drawing86.xml"/></Relationships>
</file>

<file path=xl/charts/_rels/chart82.xml.rels><?xml version="1.0" encoding="UTF-8" standalone="yes"?>
<Relationships xmlns="http://schemas.openxmlformats.org/package/2006/relationships"><Relationship Id="rId1" Type="http://schemas.openxmlformats.org/officeDocument/2006/relationships/chartUserShapes" Target="../drawings/drawing87.xml"/></Relationships>
</file>

<file path=xl/charts/_rels/chart83.xml.rels><?xml version="1.0" encoding="UTF-8" standalone="yes"?>
<Relationships xmlns="http://schemas.openxmlformats.org/package/2006/relationships"><Relationship Id="rId1" Type="http://schemas.openxmlformats.org/officeDocument/2006/relationships/chartUserShapes" Target="../drawings/drawing88.xml"/></Relationships>
</file>

<file path=xl/charts/_rels/chart84.xml.rels><?xml version="1.0" encoding="UTF-8" standalone="yes"?>
<Relationships xmlns="http://schemas.openxmlformats.org/package/2006/relationships"><Relationship Id="rId1" Type="http://schemas.openxmlformats.org/officeDocument/2006/relationships/chartUserShapes" Target="../drawings/drawing89.xml"/></Relationships>
</file>

<file path=xl/charts/_rels/chart85.xml.rels><?xml version="1.0" encoding="UTF-8" standalone="yes"?>
<Relationships xmlns="http://schemas.openxmlformats.org/package/2006/relationships"><Relationship Id="rId1" Type="http://schemas.openxmlformats.org/officeDocument/2006/relationships/chartUserShapes" Target="../drawings/drawing90.xml"/></Relationships>
</file>

<file path=xl/charts/_rels/chart86.xml.rels><?xml version="1.0" encoding="UTF-8" standalone="yes"?>
<Relationships xmlns="http://schemas.openxmlformats.org/package/2006/relationships"><Relationship Id="rId1" Type="http://schemas.openxmlformats.org/officeDocument/2006/relationships/chartUserShapes" Target="../drawings/drawing91.xml"/></Relationships>
</file>

<file path=xl/charts/_rels/chart87.xml.rels><?xml version="1.0" encoding="UTF-8" standalone="yes"?>
<Relationships xmlns="http://schemas.openxmlformats.org/package/2006/relationships"><Relationship Id="rId1" Type="http://schemas.openxmlformats.org/officeDocument/2006/relationships/chartUserShapes" Target="../drawings/drawing92.xml"/></Relationships>
</file>

<file path=xl/charts/_rels/chart88.xml.rels><?xml version="1.0" encoding="UTF-8" standalone="yes"?>
<Relationships xmlns="http://schemas.openxmlformats.org/package/2006/relationships"><Relationship Id="rId1" Type="http://schemas.openxmlformats.org/officeDocument/2006/relationships/chartUserShapes" Target="../drawings/drawing93.xml"/></Relationships>
</file>

<file path=xl/charts/_rels/chart89.xml.rels><?xml version="1.0" encoding="UTF-8" standalone="yes"?>
<Relationships xmlns="http://schemas.openxmlformats.org/package/2006/relationships"><Relationship Id="rId1" Type="http://schemas.openxmlformats.org/officeDocument/2006/relationships/chartUserShapes" Target="../drawings/drawing94.xml"/></Relationships>
</file>

<file path=xl/charts/_rels/chart90.xml.rels><?xml version="1.0" encoding="UTF-8" standalone="yes"?>
<Relationships xmlns="http://schemas.openxmlformats.org/package/2006/relationships"><Relationship Id="rId1" Type="http://schemas.openxmlformats.org/officeDocument/2006/relationships/chartUserShapes" Target="../drawings/drawing95.xml"/></Relationships>
</file>

<file path=xl/charts/_rels/chart91.xml.rels><?xml version="1.0" encoding="UTF-8" standalone="yes"?>
<Relationships xmlns="http://schemas.openxmlformats.org/package/2006/relationships"><Relationship Id="rId1" Type="http://schemas.openxmlformats.org/officeDocument/2006/relationships/chartUserShapes" Target="../drawings/drawing96.xml"/></Relationships>
</file>

<file path=xl/charts/_rels/chart92.xml.rels><?xml version="1.0" encoding="UTF-8" standalone="yes"?>
<Relationships xmlns="http://schemas.openxmlformats.org/package/2006/relationships"><Relationship Id="rId1" Type="http://schemas.openxmlformats.org/officeDocument/2006/relationships/chartUserShapes" Target="../drawings/drawing97.xml"/></Relationships>
</file>

<file path=xl/charts/_rels/chart93.xml.rels><?xml version="1.0" encoding="UTF-8" standalone="yes"?>
<Relationships xmlns="http://schemas.openxmlformats.org/package/2006/relationships"><Relationship Id="rId1" Type="http://schemas.openxmlformats.org/officeDocument/2006/relationships/chartUserShapes" Target="../drawings/drawing98.xml"/></Relationships>
</file>

<file path=xl/charts/_rels/chart94.xml.rels><?xml version="1.0" encoding="UTF-8" standalone="yes"?>
<Relationships xmlns="http://schemas.openxmlformats.org/package/2006/relationships"><Relationship Id="rId1" Type="http://schemas.openxmlformats.org/officeDocument/2006/relationships/chartUserShapes" Target="../drawings/drawing99.xml"/></Relationships>
</file>

<file path=xl/charts/_rels/chart95.xml.rels><?xml version="1.0" encoding="UTF-8" standalone="yes"?>
<Relationships xmlns="http://schemas.openxmlformats.org/package/2006/relationships"><Relationship Id="rId1" Type="http://schemas.openxmlformats.org/officeDocument/2006/relationships/chartUserShapes" Target="../drawings/drawing100.xml"/></Relationships>
</file>

<file path=xl/charts/_rels/chart96.xml.rels><?xml version="1.0" encoding="UTF-8" standalone="yes"?>
<Relationships xmlns="http://schemas.openxmlformats.org/package/2006/relationships"><Relationship Id="rId1" Type="http://schemas.openxmlformats.org/officeDocument/2006/relationships/chartUserShapes" Target="../drawings/drawing101.xml"/></Relationships>
</file>

<file path=xl/charts/_rels/chart97.xml.rels><?xml version="1.0" encoding="UTF-8" standalone="yes"?>
<Relationships xmlns="http://schemas.openxmlformats.org/package/2006/relationships"><Relationship Id="rId1" Type="http://schemas.openxmlformats.org/officeDocument/2006/relationships/chartUserShapes" Target="../drawings/drawing102.xml"/></Relationships>
</file>

<file path=xl/charts/_rels/chart98.xml.rels><?xml version="1.0" encoding="UTF-8" standalone="yes"?>
<Relationships xmlns="http://schemas.openxmlformats.org/package/2006/relationships"><Relationship Id="rId1" Type="http://schemas.openxmlformats.org/officeDocument/2006/relationships/chartUserShapes" Target="../drawings/drawing103.xml"/></Relationships>
</file>

<file path=xl/charts/_rels/chart99.xml.rels><?xml version="1.0" encoding="UTF-8" standalone="yes"?>
<Relationships xmlns="http://schemas.openxmlformats.org/package/2006/relationships"><Relationship Id="rId2" Type="http://schemas.openxmlformats.org/officeDocument/2006/relationships/chartUserShapes" Target="../drawings/drawing105.xml"/><Relationship Id="rId1" Type="http://schemas.openxmlformats.org/officeDocument/2006/relationships/themeOverride" Target="../theme/themeOverride68.xml"/></Relationships>
</file>

<file path=xl/charts/_rels/chart100.xml.rels><?xml version="1.0" encoding="UTF-8" standalone="yes"?>
<Relationships xmlns="http://schemas.openxmlformats.org/package/2006/relationships"><Relationship Id="rId2" Type="http://schemas.openxmlformats.org/officeDocument/2006/relationships/chartUserShapes" Target="../drawings/drawing107.xml"/><Relationship Id="rId1" Type="http://schemas.openxmlformats.org/officeDocument/2006/relationships/themeOverride" Target="../theme/themeOverride69.xml"/></Relationships>
</file>

<file path=xl/charts/_rels/chart101.xml.rels><?xml version="1.0" encoding="UTF-8" standalone="yes"?>
<Relationships xmlns="http://schemas.openxmlformats.org/package/2006/relationships"><Relationship Id="rId1" Type="http://schemas.openxmlformats.org/officeDocument/2006/relationships/chartUserShapes" Target="../drawings/drawing109.xml"/></Relationships>
</file>

<file path=xl/charts/_rels/chart102.xml.rels><?xml version="1.0" encoding="UTF-8" standalone="yes"?>
<Relationships xmlns="http://schemas.openxmlformats.org/package/2006/relationships"><Relationship Id="rId1" Type="http://schemas.openxmlformats.org/officeDocument/2006/relationships/chartUserShapes" Target="../drawings/drawing111.xml"/></Relationships>
</file>

<file path=xl/charts/_rels/chart103.xml.rels><?xml version="1.0" encoding="UTF-8" standalone="yes"?>
<Relationships xmlns="http://schemas.openxmlformats.org/package/2006/relationships"><Relationship Id="rId1" Type="http://schemas.openxmlformats.org/officeDocument/2006/relationships/chartUserShapes" Target="../drawings/drawing113.xml"/></Relationships>
</file>

<file path=xl/charts/_rels/chart104.xml.rels><?xml version="1.0" encoding="UTF-8" standalone="yes"?>
<Relationships xmlns="http://schemas.openxmlformats.org/package/2006/relationships"><Relationship Id="rId3" Type="http://schemas.openxmlformats.org/officeDocument/2006/relationships/chartUserShapes" Target="../drawings/drawing115.xml"/><Relationship Id="rId2" Type="http://schemas.microsoft.com/office/2011/relationships/chartColorStyle" Target="colors5.xml"/><Relationship Id="rId1" Type="http://schemas.microsoft.com/office/2011/relationships/chartStyle" Target="style5.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000" b="1" i="0" u="none" strike="noStrike" baseline="0">
                <a:solidFill>
                  <a:srgbClr val="000000"/>
                </a:solidFill>
                <a:latin typeface="Arial"/>
                <a:ea typeface="Arial"/>
                <a:cs typeface="Arial"/>
              </a:defRPr>
            </a:pPr>
            <a:r>
              <a:rPr lang="en-US"/>
              <a:t>Energy Supply </a:t>
            </a:r>
          </a:p>
          <a:p>
            <a:pPr>
              <a:defRPr sz="1000" b="1" i="0" u="none" strike="noStrike" baseline="0">
                <a:solidFill>
                  <a:srgbClr val="000000"/>
                </a:solidFill>
                <a:latin typeface="Arial"/>
                <a:ea typeface="Arial"/>
                <a:cs typeface="Arial"/>
              </a:defRPr>
            </a:pPr>
            <a:r>
              <a:rPr lang="en-US"/>
              <a:t>Loss Factor</a:t>
            </a:r>
          </a:p>
        </c:rich>
      </c:tx>
      <c:layout>
        <c:manualLayout>
          <c:xMode val="edge"/>
          <c:yMode val="edge"/>
          <c:x val="0.27286770839691549"/>
          <c:y val="4.6731975966267734E-2"/>
        </c:manualLayout>
      </c:layout>
      <c:overlay val="0"/>
      <c:spPr>
        <a:noFill/>
        <a:ln w="25400">
          <a:noFill/>
        </a:ln>
      </c:spPr>
    </c:title>
    <c:autoTitleDeleted val="0"/>
    <c:plotArea>
      <c:layout>
        <c:manualLayout>
          <c:layoutTarget val="inner"/>
          <c:xMode val="edge"/>
          <c:yMode val="edge"/>
          <c:x val="0.224671407353151"/>
          <c:y val="0.211764654418198"/>
          <c:w val="0.60800830128792005"/>
          <c:h val="0.69313735783027097"/>
        </c:manualLayout>
      </c:layout>
      <c:lineChart>
        <c:grouping val="standard"/>
        <c:varyColors val="0"/>
        <c:ser>
          <c:idx val="0"/>
          <c:order val="0"/>
          <c:tx>
            <c:v>Reference case</c:v>
          </c:tx>
          <c:spPr>
            <a:ln w="12700">
              <a:solidFill>
                <a:sysClr val="windowText" lastClr="000000"/>
              </a:solidFill>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[0]!PEdeqperFEchngRef</c:f>
              <c:numCache>
                <c:formatCode>0.00</c:formatCode>
                <c:ptCount val="10"/>
                <c:pt idx="1">
                  <c:v>2.1516927401187976E-3</c:v>
                </c:pt>
                <c:pt idx="2">
                  <c:v>4.7608979205731325E-4</c:v>
                </c:pt>
                <c:pt idx="3">
                  <c:v>-1.2447201809849364E-3</c:v>
                </c:pt>
                <c:pt idx="4">
                  <c:v>-8.4472049584079104E-4</c:v>
                </c:pt>
                <c:pt idx="5">
                  <c:v>-9.4793915553592796E-4</c:v>
                </c:pt>
                <c:pt idx="6">
                  <c:v>-7.9988501394961616E-4</c:v>
                </c:pt>
                <c:pt idx="7">
                  <c:v>-2.0765236637825251E-4</c:v>
                </c:pt>
                <c:pt idx="8">
                  <c:v>8.5997124785732642E-4</c:v>
                </c:pt>
                <c:pt idx="9">
                  <c:v>1.2556259008588669E-3</c:v>
                </c:pt>
              </c:numCache>
            </c:numRef>
          </c:val>
          <c:smooth val="0"/>
          <c:extLst>
            <c:ext xmlns:c16="http://schemas.microsoft.com/office/drawing/2014/chart" uri="{C3380CC4-5D6E-409C-BE32-E72D297353CC}">
              <c16:uniqueId val="{00000000-B8D3-6849-ACB9-5F0DB5AAA424}"/>
            </c:ext>
          </c:extLst>
        </c:ser>
        <c:ser>
          <c:idx val="1"/>
          <c:order val="1"/>
          <c:tx>
            <c:v>Line for Intervention Case</c:v>
          </c:tx>
          <c:spPr>
            <a:ln w="28575">
              <a:solidFill>
                <a:srgbClr val="C00000"/>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[0]!PEdeqperFEchngInt</c:f>
              <c:numCache>
                <c:formatCode>0.00</c:formatCode>
                <c:ptCount val="10"/>
                <c:pt idx="1">
                  <c:v>1.8768929436359515E-3</c:v>
                </c:pt>
                <c:pt idx="2">
                  <c:v>-4.3395015296219626E-3</c:v>
                </c:pt>
                <c:pt idx="3">
                  <c:v>-9.0950292343954207E-3</c:v>
                </c:pt>
                <c:pt idx="4">
                  <c:v>2.5517753772607479E-3</c:v>
                </c:pt>
                <c:pt idx="5">
                  <c:v>1.7982957244704915E-3</c:v>
                </c:pt>
                <c:pt idx="6">
                  <c:v>6.920809766909666E-3</c:v>
                </c:pt>
                <c:pt idx="7">
                  <c:v>2.2892649229566647E-3</c:v>
                </c:pt>
                <c:pt idx="8">
                  <c:v>-4.8944499857062388E-4</c:v>
                </c:pt>
                <c:pt idx="9">
                  <c:v>1.9274038097355521E-3</c:v>
                </c:pt>
              </c:numCache>
            </c:numRef>
          </c:val>
          <c:smooth val="0"/>
          <c:extLst>
            <c:ext xmlns:c16="http://schemas.microsoft.com/office/drawing/2014/chart" uri="{C3380CC4-5D6E-409C-BE32-E72D297353CC}">
              <c16:uniqueId val="{00000001-B8D3-6849-ACB9-5F0DB5AAA424}"/>
            </c:ext>
          </c:extLst>
        </c:ser>
        <c:ser>
          <c:idx val="2"/>
          <c:order val="2"/>
          <c:tx>
            <c:v>rate1</c:v>
          </c:tx>
          <c:spPr>
            <a:ln w="19050" cmpd="sng">
              <a:no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[0]!PEdeqperFErate1</c:f>
              <c:numCache>
                <c:formatCode>0.00%</c:formatCode>
                <c:ptCount val="10"/>
                <c:pt idx="0">
                  <c:v>2.0153774592224227E-3</c:v>
                </c:pt>
                <c:pt idx="1">
                  <c:v>2.0153774592224227E-3</c:v>
                </c:pt>
                <c:pt idx="2">
                  <c:v>2.0153774592224227E-3</c:v>
                </c:pt>
                <c:pt idx="3">
                  <c:v>2.0153774592224227E-3</c:v>
                </c:pt>
                <c:pt idx="4">
                  <c:v>2.0153774592224227E-3</c:v>
                </c:pt>
                <c:pt idx="5">
                  <c:v>2.0153774592224227E-3</c:v>
                </c:pt>
                <c:pt idx="6">
                  <c:v>2.0153774592224227E-3</c:v>
                </c:pt>
                <c:pt idx="7">
                  <c:v>2.0153774592224227E-3</c:v>
                </c:pt>
                <c:pt idx="8">
                  <c:v>2.0153774592224227E-3</c:v>
                </c:pt>
                <c:pt idx="9">
                  <c:v>2.0153774592224227E-3</c:v>
                </c:pt>
              </c:numCache>
            </c:numRef>
          </c:val>
          <c:smooth val="0"/>
          <c:extLst>
            <c:ext xmlns:c16="http://schemas.microsoft.com/office/drawing/2014/chart" uri="{C3380CC4-5D6E-409C-BE32-E72D297353CC}">
              <c16:uniqueId val="{00000002-B8D3-6849-ACB9-5F0DB5AAA424}"/>
            </c:ext>
          </c:extLst>
        </c:ser>
        <c:ser>
          <c:idx val="3"/>
          <c:order val="3"/>
          <c:tx>
            <c:v>rate2</c:v>
          </c:tx>
          <c:spPr>
            <a:ln w="19050" cmpd="sng">
              <a:no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[0]!PEdeqperFErate2</c:f>
              <c:numCache>
                <c:formatCode>0.00%</c:formatCode>
                <c:ptCount val="10"/>
                <c:pt idx="0">
                  <c:v>2.4377147280183475E-3</c:v>
                </c:pt>
                <c:pt idx="1">
                  <c:v>2.4377147280183475E-3</c:v>
                </c:pt>
                <c:pt idx="2">
                  <c:v>2.4377147280183475E-3</c:v>
                </c:pt>
                <c:pt idx="3">
                  <c:v>2.4377147280183475E-3</c:v>
                </c:pt>
                <c:pt idx="4">
                  <c:v>2.4377147280183475E-3</c:v>
                </c:pt>
                <c:pt idx="5">
                  <c:v>2.4377147280183475E-3</c:v>
                </c:pt>
                <c:pt idx="6">
                  <c:v>2.4377147280183475E-3</c:v>
                </c:pt>
                <c:pt idx="7">
                  <c:v>2.4377147280183475E-3</c:v>
                </c:pt>
                <c:pt idx="8">
                  <c:v>2.4377147280183475E-3</c:v>
                </c:pt>
                <c:pt idx="9">
                  <c:v>2.4377147280183475E-3</c:v>
                </c:pt>
              </c:numCache>
            </c:numRef>
          </c:val>
          <c:smooth val="0"/>
          <c:extLst>
            <c:ext xmlns:c16="http://schemas.microsoft.com/office/drawing/2014/chart" uri="{C3380CC4-5D6E-409C-BE32-E72D297353CC}">
              <c16:uniqueId val="{00000003-B8D3-6849-ACB9-5F0DB5AAA424}"/>
            </c:ext>
          </c:extLst>
        </c:ser>
        <c:dLbls>
          <c:showLegendKey val="0"/>
          <c:showVal val="0"/>
          <c:showCatName val="0"/>
          <c:showSerName val="0"/>
          <c:showPercent val="0"/>
          <c:showBubbleSize val="0"/>
        </c:dLbls>
        <c:smooth val="0"/>
        <c:axId val="-1642852896"/>
        <c:axId val="-1642849632"/>
      </c:lineChart>
      <c:catAx>
        <c:axId val="-1642852896"/>
        <c:scaling>
          <c:orientation val="minMax"/>
        </c:scaling>
        <c:delete val="0"/>
        <c:axPos val="b"/>
        <c:numFmt formatCode="General" sourceLinked="1"/>
        <c:majorTickMark val="none"/>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2849632"/>
        <c:crosses val="autoZero"/>
        <c:auto val="1"/>
        <c:lblAlgn val="ctr"/>
        <c:lblOffset val="100"/>
        <c:tickLblSkip val="9"/>
        <c:tickMarkSkip val="1"/>
        <c:noMultiLvlLbl val="0"/>
      </c:catAx>
      <c:valAx>
        <c:axId val="-1642849632"/>
        <c:scaling>
          <c:orientation val="minMax"/>
          <c:max val="0.05"/>
          <c:min val="-0.05"/>
        </c:scaling>
        <c:delete val="0"/>
        <c:axPos val="l"/>
        <c:majorGridlines>
          <c:spPr>
            <a:ln w="3175">
              <a:solidFill>
                <a:schemeClr val="bg1">
                  <a:lumMod val="65000"/>
                </a:schemeClr>
              </a:solidFill>
              <a:prstDash val="sysDash"/>
            </a:ln>
          </c:spPr>
        </c:majorGridlines>
        <c:title>
          <c:tx>
            <c:rich>
              <a:bodyPr/>
              <a:lstStyle/>
              <a:p>
                <a:pPr>
                  <a:defRPr sz="800" b="0" i="0" u="none" strike="noStrike" baseline="0">
                    <a:solidFill>
                      <a:srgbClr val="000000"/>
                    </a:solidFill>
                    <a:latin typeface="Arial"/>
                    <a:ea typeface="Arial"/>
                    <a:cs typeface="Arial"/>
                  </a:defRPr>
                </a:pPr>
                <a:r>
                  <a:rPr lang="en-US"/>
                  <a:t>Annual Rate of Change</a:t>
                </a:r>
              </a:p>
            </c:rich>
          </c:tx>
          <c:layout>
            <c:manualLayout>
              <c:xMode val="edge"/>
              <c:yMode val="edge"/>
              <c:x val="2.7210861757561901E-2"/>
              <c:y val="0.288235294117646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2852896"/>
        <c:crosses val="autoZero"/>
        <c:crossBetween val="midCat"/>
        <c:majorUnit val="0.01"/>
        <c:minorUnit val="0.01"/>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 verticalDpi="1200"/>
  </c:printSettings>
  <c:userShapes r:id="rId2"/>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000" b="1" i="0" u="none" strike="noStrike" baseline="0">
                <a:solidFill>
                  <a:srgbClr val="000000"/>
                </a:solidFill>
                <a:latin typeface="Arial"/>
                <a:ea typeface="Arial"/>
                <a:cs typeface="Arial"/>
              </a:defRPr>
            </a:pPr>
            <a:r>
              <a:rPr lang="en-US"/>
              <a:t>Fraction Disposed</a:t>
            </a:r>
          </a:p>
          <a:p>
            <a:pPr>
              <a:defRPr sz="1000" b="1" i="0" u="none" strike="noStrike" baseline="0">
                <a:solidFill>
                  <a:srgbClr val="000000"/>
                </a:solidFill>
                <a:latin typeface="Arial"/>
                <a:ea typeface="Arial"/>
                <a:cs typeface="Arial"/>
              </a:defRPr>
            </a:pPr>
            <a:r>
              <a:rPr lang="en-US"/>
              <a:t>to Atmosphere </a:t>
            </a:r>
          </a:p>
        </c:rich>
      </c:tx>
      <c:layout>
        <c:manualLayout>
          <c:xMode val="edge"/>
          <c:yMode val="edge"/>
          <c:x val="0.249611379222758"/>
          <c:y val="2.16797900262467E-3"/>
        </c:manualLayout>
      </c:layout>
      <c:overlay val="0"/>
      <c:spPr>
        <a:noFill/>
        <a:ln w="25400">
          <a:noFill/>
        </a:ln>
      </c:spPr>
    </c:title>
    <c:autoTitleDeleted val="0"/>
    <c:plotArea>
      <c:layout>
        <c:manualLayout>
          <c:layoutTarget val="inner"/>
          <c:xMode val="edge"/>
          <c:yMode val="edge"/>
          <c:x val="0.22936703073406101"/>
          <c:y val="0.167922572178478"/>
          <c:w val="0.60689859542899904"/>
          <c:h val="0.67081977252843406"/>
        </c:manualLayout>
      </c:layout>
      <c:areaChart>
        <c:grouping val="stacked"/>
        <c:varyColors val="0"/>
        <c:ser>
          <c:idx val="1"/>
          <c:order val="0"/>
          <c:tx>
            <c:v>reference scenario area</c:v>
          </c:tx>
          <c:spPr>
            <a:noFill/>
            <a:ln w="12700">
              <a:noFill/>
              <a:prstDash val="solid"/>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[0]!NFCperTFCRef</c:f>
              <c:numCache>
                <c:formatCode>0.00</c:formatCode>
                <c:ptCount val="10"/>
                <c:pt idx="0">
                  <c:v>1</c:v>
                </c:pt>
                <c:pt idx="1">
                  <c:v>1</c:v>
                </c:pt>
                <c:pt idx="2">
                  <c:v>1</c:v>
                </c:pt>
                <c:pt idx="3">
                  <c:v>1</c:v>
                </c:pt>
                <c:pt idx="4">
                  <c:v>1</c:v>
                </c:pt>
                <c:pt idx="5">
                  <c:v>1</c:v>
                </c:pt>
                <c:pt idx="6">
                  <c:v>1</c:v>
                </c:pt>
                <c:pt idx="7">
                  <c:v>1</c:v>
                </c:pt>
                <c:pt idx="8">
                  <c:v>1</c:v>
                </c:pt>
                <c:pt idx="9">
                  <c:v>1</c:v>
                </c:pt>
              </c:numCache>
            </c:numRef>
          </c:val>
          <c:extLst>
            <c:ext xmlns:c16="http://schemas.microsoft.com/office/drawing/2014/chart" uri="{C3380CC4-5D6E-409C-BE32-E72D297353CC}">
              <c16:uniqueId val="{00000000-748C-E14C-813F-3AAAAF300D96}"/>
            </c:ext>
          </c:extLst>
        </c:ser>
        <c:ser>
          <c:idx val="0"/>
          <c:order val="1"/>
          <c:tx>
            <c:v>Intervention scenario</c:v>
          </c:tx>
          <c:spPr>
            <a:solidFill>
              <a:srgbClr val="A1F4FF"/>
            </a:solidFill>
            <a:ln w="12700">
              <a:solidFill>
                <a:sysClr val="windowText" lastClr="000000"/>
              </a:solidFill>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[0]!AreaNFC_TFC</c:f>
              <c:numCache>
                <c:formatCode>General</c:formatCode>
                <c:ptCount val="10"/>
                <c:pt idx="0">
                  <c:v>0</c:v>
                </c:pt>
                <c:pt idx="1">
                  <c:v>-1.1258968232363831E-3</c:v>
                </c:pt>
                <c:pt idx="2">
                  <c:v>-6.1888774135854918E-2</c:v>
                </c:pt>
                <c:pt idx="3">
                  <c:v>-0.21179335977533897</c:v>
                </c:pt>
                <c:pt idx="4">
                  <c:v>-0.35107223682439015</c:v>
                </c:pt>
                <c:pt idx="5">
                  <c:v>-0.49852626033660641</c:v>
                </c:pt>
                <c:pt idx="6">
                  <c:v>-0.63162083835447258</c:v>
                </c:pt>
                <c:pt idx="7">
                  <c:v>-0.67151058384419637</c:v>
                </c:pt>
                <c:pt idx="8">
                  <c:v>-0.6638756733198441</c:v>
                </c:pt>
                <c:pt idx="9">
                  <c:v>-0.6549966352746559</c:v>
                </c:pt>
              </c:numCache>
            </c:numRef>
          </c:val>
          <c:extLst>
            <c:ext xmlns:c16="http://schemas.microsoft.com/office/drawing/2014/chart" uri="{C3380CC4-5D6E-409C-BE32-E72D297353CC}">
              <c16:uniqueId val="{00000001-748C-E14C-813F-3AAAAF300D96}"/>
            </c:ext>
          </c:extLst>
        </c:ser>
        <c:dLbls>
          <c:showLegendKey val="0"/>
          <c:showVal val="0"/>
          <c:showCatName val="0"/>
          <c:showSerName val="0"/>
          <c:showPercent val="0"/>
          <c:showBubbleSize val="0"/>
        </c:dLbls>
        <c:axId val="-1687519472"/>
        <c:axId val="-1686351152"/>
      </c:areaChart>
      <c:lineChart>
        <c:grouping val="standard"/>
        <c:varyColors val="0"/>
        <c:ser>
          <c:idx val="2"/>
          <c:order val="2"/>
          <c:tx>
            <c:v>Intervention scenario Line</c:v>
          </c:tx>
          <c:spPr>
            <a:ln w="28575">
              <a:solidFill>
                <a:srgbClr val="C00000"/>
              </a:solidFill>
              <a:prstDash val="solid"/>
            </a:ln>
          </c:spPr>
          <c:marker>
            <c:symbol val="none"/>
          </c:marker>
          <c:cat>
            <c:numRef>
              <c:f>ExpKayaFactorsRef!$E$10:$N$10</c:f>
              <c:numCache>
                <c:formatCode>0.00</c:formatCode>
                <c:ptCount val="10"/>
              </c:numCache>
            </c:numRef>
          </c:cat>
          <c:val>
            <c:numRef>
              <c:f>[0]!NFCperTFCInt</c:f>
              <c:numCache>
                <c:formatCode>0.00</c:formatCode>
                <c:ptCount val="10"/>
                <c:pt idx="0">
                  <c:v>1</c:v>
                </c:pt>
                <c:pt idx="1">
                  <c:v>0.99887410317676362</c:v>
                </c:pt>
                <c:pt idx="2">
                  <c:v>0.93811122586414508</c:v>
                </c:pt>
                <c:pt idx="3">
                  <c:v>0.78820664022466103</c:v>
                </c:pt>
                <c:pt idx="4">
                  <c:v>0.64892776317560985</c:v>
                </c:pt>
                <c:pt idx="5">
                  <c:v>0.50147373966339359</c:v>
                </c:pt>
                <c:pt idx="6">
                  <c:v>0.36837916164552736</c:v>
                </c:pt>
                <c:pt idx="7">
                  <c:v>0.32848941615580363</c:v>
                </c:pt>
                <c:pt idx="8">
                  <c:v>0.3361243266801559</c:v>
                </c:pt>
                <c:pt idx="9">
                  <c:v>0.34500336472534404</c:v>
                </c:pt>
              </c:numCache>
            </c:numRef>
          </c:val>
          <c:smooth val="0"/>
          <c:extLst>
            <c:ext xmlns:c16="http://schemas.microsoft.com/office/drawing/2014/chart" uri="{C3380CC4-5D6E-409C-BE32-E72D297353CC}">
              <c16:uniqueId val="{00000002-748C-E14C-813F-3AAAAF300D96}"/>
            </c:ext>
          </c:extLst>
        </c:ser>
        <c:ser>
          <c:idx val="3"/>
          <c:order val="3"/>
          <c:tx>
            <c:v>reference scenario line</c:v>
          </c:tx>
          <c:spPr>
            <a:ln w="12700">
              <a:noFill/>
              <a:prstDash val="solid"/>
            </a:ln>
          </c:spPr>
          <c:marker>
            <c:symbol val="none"/>
          </c:marker>
          <c:cat>
            <c:numRef>
              <c:f>ExpKayaFactorsRef!$E$10:$N$10</c:f>
              <c:numCache>
                <c:formatCode>0.00</c:formatCode>
                <c:ptCount val="10"/>
              </c:numCache>
            </c:numRef>
          </c:cat>
          <c:val>
            <c:numRef>
              <c:f>[0]!NFCperTFCRef</c:f>
              <c:numCache>
                <c:formatCode>0.00</c:formatCode>
                <c:ptCount val="10"/>
                <c:pt idx="0">
                  <c:v>1</c:v>
                </c:pt>
                <c:pt idx="1">
                  <c:v>1</c:v>
                </c:pt>
                <c:pt idx="2">
                  <c:v>1</c:v>
                </c:pt>
                <c:pt idx="3">
                  <c:v>1</c:v>
                </c:pt>
                <c:pt idx="4">
                  <c:v>1</c:v>
                </c:pt>
                <c:pt idx="5">
                  <c:v>1</c:v>
                </c:pt>
                <c:pt idx="6">
                  <c:v>1</c:v>
                </c:pt>
                <c:pt idx="7">
                  <c:v>1</c:v>
                </c:pt>
                <c:pt idx="8">
                  <c:v>1</c:v>
                </c:pt>
                <c:pt idx="9">
                  <c:v>1</c:v>
                </c:pt>
              </c:numCache>
            </c:numRef>
          </c:val>
          <c:smooth val="0"/>
          <c:extLst>
            <c:ext xmlns:c16="http://schemas.microsoft.com/office/drawing/2014/chart" uri="{C3380CC4-5D6E-409C-BE32-E72D297353CC}">
              <c16:uniqueId val="{00000003-748C-E14C-813F-3AAAAF300D96}"/>
            </c:ext>
          </c:extLst>
        </c:ser>
        <c:ser>
          <c:idx val="5"/>
          <c:order val="4"/>
          <c:marker>
            <c:symbol val="none"/>
          </c:marker>
          <c:cat>
            <c:numRef>
              <c:f>ExpKayaFactorsRef!$E$10:$N$10</c:f>
              <c:numCache>
                <c:formatCode>0.00</c:formatCode>
                <c:ptCount val="10"/>
              </c:numCache>
            </c:numRef>
          </c:cat>
          <c:val>
            <c:numRef>
              <c:f>ExpKayaFactorsRef!$E$10:$N$10</c:f>
              <c:numCache>
                <c:formatCode>0.00</c:formatCode>
                <c:ptCount val="10"/>
              </c:numCache>
            </c:numRef>
          </c:val>
          <c:smooth val="0"/>
          <c:extLst>
            <c:ext xmlns:c16="http://schemas.microsoft.com/office/drawing/2014/chart" uri="{C3380CC4-5D6E-409C-BE32-E72D297353CC}">
              <c16:uniqueId val="{00000004-748C-E14C-813F-3AAAAF300D96}"/>
            </c:ext>
          </c:extLst>
        </c:ser>
        <c:dLbls>
          <c:showLegendKey val="0"/>
          <c:showVal val="0"/>
          <c:showCatName val="0"/>
          <c:showSerName val="0"/>
          <c:showPercent val="0"/>
          <c:showBubbleSize val="0"/>
        </c:dLbls>
        <c:marker val="1"/>
        <c:smooth val="0"/>
        <c:axId val="-1687519472"/>
        <c:axId val="-1686351152"/>
      </c:lineChart>
      <c:catAx>
        <c:axId val="-1687519472"/>
        <c:scaling>
          <c:orientation val="minMax"/>
        </c:scaling>
        <c:delete val="0"/>
        <c:axPos val="b"/>
        <c:numFmt formatCode="General" sourceLinked="1"/>
        <c:majorTickMark val="none"/>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86351152"/>
        <c:crosses val="autoZero"/>
        <c:auto val="1"/>
        <c:lblAlgn val="ctr"/>
        <c:lblOffset val="100"/>
        <c:tickLblSkip val="9"/>
        <c:tickMarkSkip val="1"/>
        <c:noMultiLvlLbl val="0"/>
      </c:catAx>
      <c:valAx>
        <c:axId val="-1686351152"/>
        <c:scaling>
          <c:orientation val="minMax"/>
          <c:max val="1"/>
        </c:scaling>
        <c:delete val="0"/>
        <c:axPos val="l"/>
        <c:title>
          <c:tx>
            <c:rich>
              <a:bodyPr/>
              <a:lstStyle/>
              <a:p>
                <a:pPr>
                  <a:defRPr sz="800" b="0" i="0" u="none" strike="noStrike" baseline="0">
                    <a:solidFill>
                      <a:srgbClr val="000000"/>
                    </a:solidFill>
                    <a:latin typeface="Arial"/>
                    <a:ea typeface="Arial"/>
                    <a:cs typeface="Arial"/>
                  </a:defRPr>
                </a:pPr>
                <a:r>
                  <a:rPr lang="en-US"/>
                  <a:t>Fraction Not Sequestered</a:t>
                </a:r>
              </a:p>
            </c:rich>
          </c:tx>
          <c:layout>
            <c:manualLayout>
              <c:xMode val="edge"/>
              <c:yMode val="edge"/>
              <c:x val="3.4482874740283997E-2"/>
              <c:y val="0.23780434703321399"/>
            </c:manualLayout>
          </c:layout>
          <c:overlay val="0"/>
          <c:spPr>
            <a:noFill/>
            <a:ln w="25400">
              <a:noFill/>
            </a:ln>
          </c:spPr>
        </c:title>
        <c:numFmt formatCode="0.0" sourceLinked="0"/>
        <c:majorTickMark val="out"/>
        <c:minorTickMark val="cross"/>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87519472"/>
        <c:crosses val="autoZero"/>
        <c:crossBetween val="midCat"/>
        <c:majorUnit val="0.5"/>
        <c:minorUnit val="0.25"/>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 verticalDpi="1200"/>
  </c:printSettings>
  <c:userShapes r:id="rId2"/>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000" b="1" i="0" u="none" strike="noStrike" baseline="0">
                <a:solidFill>
                  <a:srgbClr val="000000"/>
                </a:solidFill>
                <a:latin typeface="Arial"/>
                <a:ea typeface="Arial"/>
                <a:cs typeface="Arial"/>
              </a:defRPr>
            </a:pPr>
            <a:r>
              <a:rPr lang="en-US"/>
              <a:t>Carbon Intensity of </a:t>
            </a:r>
          </a:p>
          <a:p>
            <a:pPr>
              <a:defRPr sz="1000" b="1" i="0" u="none" strike="noStrike" baseline="0">
                <a:solidFill>
                  <a:srgbClr val="000000"/>
                </a:solidFill>
                <a:latin typeface="Arial"/>
                <a:ea typeface="Arial"/>
                <a:cs typeface="Arial"/>
              </a:defRPr>
            </a:pPr>
            <a:r>
              <a:rPr lang="en-US"/>
              <a:t>Fossil Energy Supply</a:t>
            </a:r>
          </a:p>
        </c:rich>
      </c:tx>
      <c:layout>
        <c:manualLayout>
          <c:xMode val="edge"/>
          <c:yMode val="edge"/>
          <c:x val="0.206672085344171"/>
          <c:y val="4.4685039370078701E-3"/>
        </c:manualLayout>
      </c:layout>
      <c:overlay val="0"/>
      <c:spPr>
        <a:noFill/>
        <a:ln w="25400">
          <a:noFill/>
        </a:ln>
      </c:spPr>
    </c:title>
    <c:autoTitleDeleted val="0"/>
    <c:plotArea>
      <c:layout>
        <c:manualLayout>
          <c:layoutTarget val="inner"/>
          <c:xMode val="edge"/>
          <c:yMode val="edge"/>
          <c:x val="0.22721971043942099"/>
          <c:y val="0.167512248468941"/>
          <c:w val="0.60393141986284005"/>
          <c:h val="0.67053193350831097"/>
        </c:manualLayout>
      </c:layout>
      <c:areaChart>
        <c:grouping val="stacked"/>
        <c:varyColors val="0"/>
        <c:ser>
          <c:idx val="2"/>
          <c:order val="0"/>
          <c:tx>
            <c:v>Reference case</c:v>
          </c:tx>
          <c:spPr>
            <a:noFill/>
            <a:ln>
              <a:noFill/>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[0]!TFCperPEffRef</c:f>
              <c:numCache>
                <c:formatCode>0.00</c:formatCode>
                <c:ptCount val="10"/>
                <c:pt idx="0">
                  <c:v>70.809223457492806</c:v>
                </c:pt>
                <c:pt idx="1">
                  <c:v>72.66908654603688</c:v>
                </c:pt>
                <c:pt idx="2">
                  <c:v>72.890883419106402</c:v>
                </c:pt>
                <c:pt idx="3">
                  <c:v>72.567464850194185</c:v>
                </c:pt>
                <c:pt idx="4">
                  <c:v>72.266403819653618</c:v>
                </c:pt>
                <c:pt idx="5">
                  <c:v>71.675915512519595</c:v>
                </c:pt>
                <c:pt idx="6">
                  <c:v>72.396571674596771</c:v>
                </c:pt>
                <c:pt idx="7">
                  <c:v>73.244974333014838</c:v>
                </c:pt>
                <c:pt idx="8">
                  <c:v>74.641929933170829</c:v>
                </c:pt>
                <c:pt idx="9">
                  <c:v>76.434424487093352</c:v>
                </c:pt>
              </c:numCache>
            </c:numRef>
          </c:val>
          <c:extLst>
            <c:ext xmlns:c16="http://schemas.microsoft.com/office/drawing/2014/chart" uri="{C3380CC4-5D6E-409C-BE32-E72D297353CC}">
              <c16:uniqueId val="{00000000-B618-F24F-A856-D073B7E0FF1F}"/>
            </c:ext>
          </c:extLst>
        </c:ser>
        <c:ser>
          <c:idx val="0"/>
          <c:order val="1"/>
          <c:tx>
            <c:v>Area for Intervention case</c:v>
          </c:tx>
          <c:spPr>
            <a:solidFill>
              <a:srgbClr val="A1F4FF"/>
            </a:solidFill>
            <a:ln>
              <a:solidFill>
                <a:sysClr val="windowText" lastClr="000000"/>
              </a:solidFill>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[0]!AreaTFC_PEff</c:f>
              <c:numCache>
                <c:formatCode>General</c:formatCode>
                <c:ptCount val="10"/>
                <c:pt idx="0">
                  <c:v>-7.9784689616602122E-2</c:v>
                </c:pt>
                <c:pt idx="1">
                  <c:v>-1.550721921012439</c:v>
                </c:pt>
                <c:pt idx="2">
                  <c:v>-5.1165558608221318</c:v>
                </c:pt>
                <c:pt idx="3">
                  <c:v>-11.641991596812929</c:v>
                </c:pt>
                <c:pt idx="4">
                  <c:v>-16.767401104898781</c:v>
                </c:pt>
                <c:pt idx="5">
                  <c:v>-17.066709887682741</c:v>
                </c:pt>
                <c:pt idx="6">
                  <c:v>-17.59038922905799</c:v>
                </c:pt>
                <c:pt idx="7">
                  <c:v>-19.31826626994701</c:v>
                </c:pt>
                <c:pt idx="8">
                  <c:v>-20.298678490516359</c:v>
                </c:pt>
                <c:pt idx="9">
                  <c:v>-20.029947772067366</c:v>
                </c:pt>
              </c:numCache>
            </c:numRef>
          </c:val>
          <c:extLst>
            <c:ext xmlns:c16="http://schemas.microsoft.com/office/drawing/2014/chart" uri="{C3380CC4-5D6E-409C-BE32-E72D297353CC}">
              <c16:uniqueId val="{00000001-B618-F24F-A856-D073B7E0FF1F}"/>
            </c:ext>
          </c:extLst>
        </c:ser>
        <c:dLbls>
          <c:showLegendKey val="0"/>
          <c:showVal val="0"/>
          <c:showCatName val="0"/>
          <c:showSerName val="0"/>
          <c:showPercent val="0"/>
          <c:showBubbleSize val="0"/>
        </c:dLbls>
        <c:axId val="-1665764288"/>
        <c:axId val="-1686207616"/>
      </c:areaChart>
      <c:lineChart>
        <c:grouping val="standard"/>
        <c:varyColors val="0"/>
        <c:ser>
          <c:idx val="1"/>
          <c:order val="2"/>
          <c:tx>
            <c:v>Line for Intervention Case</c:v>
          </c:tx>
          <c:spPr>
            <a:ln w="19050">
              <a:solidFill>
                <a:srgbClr val="FF0000"/>
              </a:solidFill>
            </a:ln>
          </c:spPr>
          <c:marker>
            <c:symbol val="none"/>
          </c:marker>
          <c:val>
            <c:numRef>
              <c:f>[0]!TFCperPEffInt</c:f>
              <c:numCache>
                <c:formatCode>0.00</c:formatCode>
                <c:ptCount val="10"/>
                <c:pt idx="0">
                  <c:v>70.729438767876204</c:v>
                </c:pt>
                <c:pt idx="1">
                  <c:v>71.118364625024441</c:v>
                </c:pt>
                <c:pt idx="2">
                  <c:v>67.77432755828427</c:v>
                </c:pt>
                <c:pt idx="3">
                  <c:v>60.925473253381256</c:v>
                </c:pt>
                <c:pt idx="4">
                  <c:v>55.499002714754837</c:v>
                </c:pt>
                <c:pt idx="5">
                  <c:v>54.609205624836854</c:v>
                </c:pt>
                <c:pt idx="6">
                  <c:v>54.806182445538781</c:v>
                </c:pt>
                <c:pt idx="7">
                  <c:v>53.926708063067828</c:v>
                </c:pt>
                <c:pt idx="8">
                  <c:v>54.34325144265447</c:v>
                </c:pt>
                <c:pt idx="9">
                  <c:v>56.404476715025986</c:v>
                </c:pt>
              </c:numCache>
            </c:numRef>
          </c:val>
          <c:smooth val="0"/>
          <c:extLst>
            <c:ext xmlns:c16="http://schemas.microsoft.com/office/drawing/2014/chart" uri="{C3380CC4-5D6E-409C-BE32-E72D297353CC}">
              <c16:uniqueId val="{00000002-B618-F24F-A856-D073B7E0FF1F}"/>
            </c:ext>
          </c:extLst>
        </c:ser>
        <c:ser>
          <c:idx val="3"/>
          <c:order val="3"/>
          <c:tx>
            <c:v>proj1</c:v>
          </c:tx>
          <c:spPr>
            <a:ln>
              <a:solidFill>
                <a:srgbClr val="3C8105"/>
              </a:solidFill>
              <a:prstDash val="sysDash"/>
            </a:ln>
          </c:spPr>
          <c:marker>
            <c:symbol val="none"/>
          </c:marker>
          <c:val>
            <c:numRef>
              <c:f>[0]!TFCperPEffproj1</c:f>
              <c:numCache>
                <c:formatCode>General</c:formatCode>
                <c:ptCount val="10"/>
                <c:pt idx="0">
                  <c:v>70.809223457492806</c:v>
                </c:pt>
                <c:pt idx="1">
                  <c:v>71.910967609571813</c:v>
                </c:pt>
                <c:pt idx="2">
                  <c:v>73.0298541636907</c:v>
                </c:pt>
                <c:pt idx="3">
                  <c:v>74.166149844158511</c:v>
                </c:pt>
                <c:pt idx="4">
                  <c:v>75.32012552533611</c:v>
                </c:pt>
                <c:pt idx="5">
                  <c:v>76.492056296208219</c:v>
                </c:pt>
                <c:pt idx="6">
                  <c:v>77.682221525960188</c:v>
                </c:pt>
                <c:pt idx="7">
                  <c:v>78.890904930574976</c:v>
                </c:pt>
                <c:pt idx="8">
                  <c:v>80.118394640466491</c:v>
                </c:pt>
                <c:pt idx="9">
                  <c:v>81.364983269165137</c:v>
                </c:pt>
              </c:numCache>
            </c:numRef>
          </c:val>
          <c:smooth val="0"/>
          <c:extLst>
            <c:ext xmlns:c16="http://schemas.microsoft.com/office/drawing/2014/chart" uri="{C3380CC4-5D6E-409C-BE32-E72D297353CC}">
              <c16:uniqueId val="{00000003-B618-F24F-A856-D073B7E0FF1F}"/>
            </c:ext>
          </c:extLst>
        </c:ser>
        <c:ser>
          <c:idx val="4"/>
          <c:order val="4"/>
          <c:tx>
            <c:v>proj2</c:v>
          </c:tx>
          <c:spPr>
            <a:ln>
              <a:solidFill>
                <a:srgbClr val="3465FC"/>
              </a:solidFill>
              <a:prstDash val="sysDash"/>
            </a:ln>
          </c:spPr>
          <c:marker>
            <c:symbol val="none"/>
          </c:marker>
          <c:val>
            <c:numRef>
              <c:f>[0]!TFCperPEffproj2</c:f>
              <c:numCache>
                <c:formatCode>General</c:formatCode>
                <c:ptCount val="10"/>
                <c:pt idx="0">
                  <c:v>70.809223457492806</c:v>
                </c:pt>
                <c:pt idx="1">
                  <c:v>71.361846417496551</c:v>
                </c:pt>
                <c:pt idx="2">
                  <c:v>71.91878226388728</c:v>
                </c:pt>
                <c:pt idx="3">
                  <c:v>72.480064656122423</c:v>
                </c:pt>
                <c:pt idx="4">
                  <c:v>73.045727516350993</c:v>
                </c:pt>
                <c:pt idx="5">
                  <c:v>73.615805031463765</c:v>
                </c:pt>
                <c:pt idx="6">
                  <c:v>74.19033165515944</c:v>
                </c:pt>
                <c:pt idx="7">
                  <c:v>74.769342110026884</c:v>
                </c:pt>
                <c:pt idx="8">
                  <c:v>75.352871389643681</c:v>
                </c:pt>
                <c:pt idx="9">
                  <c:v>75.940954760691014</c:v>
                </c:pt>
              </c:numCache>
            </c:numRef>
          </c:val>
          <c:smooth val="0"/>
          <c:extLst>
            <c:ext xmlns:c16="http://schemas.microsoft.com/office/drawing/2014/chart" uri="{C3380CC4-5D6E-409C-BE32-E72D297353CC}">
              <c16:uniqueId val="{00000004-B618-F24F-A856-D073B7E0FF1F}"/>
            </c:ext>
          </c:extLst>
        </c:ser>
        <c:dLbls>
          <c:showLegendKey val="0"/>
          <c:showVal val="0"/>
          <c:showCatName val="0"/>
          <c:showSerName val="0"/>
          <c:showPercent val="0"/>
          <c:showBubbleSize val="0"/>
        </c:dLbls>
        <c:marker val="1"/>
        <c:smooth val="0"/>
        <c:axId val="-1665764288"/>
        <c:axId val="-1686207616"/>
      </c:lineChart>
      <c:catAx>
        <c:axId val="-1665764288"/>
        <c:scaling>
          <c:orientation val="minMax"/>
        </c:scaling>
        <c:delete val="0"/>
        <c:axPos val="b"/>
        <c:numFmt formatCode="General" sourceLinked="1"/>
        <c:majorTickMark val="none"/>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86207616"/>
        <c:crosses val="autoZero"/>
        <c:auto val="1"/>
        <c:lblAlgn val="ctr"/>
        <c:lblOffset val="100"/>
        <c:tickLblSkip val="9"/>
        <c:tickMarkSkip val="1"/>
        <c:noMultiLvlLbl val="0"/>
      </c:catAx>
      <c:valAx>
        <c:axId val="-1686207616"/>
        <c:scaling>
          <c:orientation val="minMax"/>
          <c:min val="0"/>
        </c:scaling>
        <c:delete val="0"/>
        <c:axPos val="l"/>
        <c:title>
          <c:tx>
            <c:rich>
              <a:bodyPr/>
              <a:lstStyle/>
              <a:p>
                <a:pPr>
                  <a:defRPr sz="800" b="0" i="0" u="none" strike="noStrike" baseline="0">
                    <a:solidFill>
                      <a:srgbClr val="000000"/>
                    </a:solidFill>
                    <a:latin typeface="Arial"/>
                    <a:ea typeface="Arial"/>
                    <a:cs typeface="Arial"/>
                  </a:defRPr>
                </a:pPr>
                <a:r>
                  <a:rPr lang="en-US"/>
                  <a:t>CO2 per unit of fossil PE (MtCO2/EJ)</a:t>
                </a:r>
              </a:p>
            </c:rich>
          </c:tx>
          <c:layout>
            <c:manualLayout>
              <c:xMode val="edge"/>
              <c:yMode val="edge"/>
              <c:x val="1.9883415735823702E-3"/>
              <c:y val="0.1084540682414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65764288"/>
        <c:crosses val="autoZero"/>
        <c:crossBetween val="midCat"/>
        <c:majorUnit val="100"/>
        <c:minorUnit val="9.73512470242269E-2"/>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 verticalDpi="1200"/>
  </c:printSettings>
  <c:userShapes r:id="rId2"/>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000" b="1" i="0" u="none" strike="noStrike" baseline="0">
                <a:solidFill>
                  <a:srgbClr val="000000"/>
                </a:solidFill>
                <a:latin typeface="Arial"/>
                <a:ea typeface="Arial"/>
                <a:cs typeface="Arial"/>
              </a:defRPr>
            </a:pPr>
            <a:r>
              <a:rPr lang="en-US"/>
              <a:t>Energy Intensity</a:t>
            </a:r>
          </a:p>
          <a:p>
            <a:pPr>
              <a:defRPr sz="1000" b="1" i="0" u="none" strike="noStrike" baseline="0">
                <a:solidFill>
                  <a:srgbClr val="000000"/>
                </a:solidFill>
                <a:latin typeface="Arial"/>
                <a:ea typeface="Arial"/>
                <a:cs typeface="Arial"/>
              </a:defRPr>
            </a:pPr>
            <a:r>
              <a:rPr lang="en-US"/>
              <a:t>of Economic Activity</a:t>
            </a:r>
          </a:p>
        </c:rich>
      </c:tx>
      <c:layout>
        <c:manualLayout>
          <c:xMode val="edge"/>
          <c:yMode val="edge"/>
          <c:x val="0.184024384048768"/>
          <c:y val="8.1504811898512695E-3"/>
        </c:manualLayout>
      </c:layout>
      <c:overlay val="0"/>
      <c:spPr>
        <a:noFill/>
        <a:ln w="25400">
          <a:noFill/>
        </a:ln>
      </c:spPr>
    </c:title>
    <c:autoTitleDeleted val="0"/>
    <c:plotArea>
      <c:layout>
        <c:manualLayout>
          <c:layoutTarget val="inner"/>
          <c:xMode val="edge"/>
          <c:yMode val="edge"/>
          <c:x val="0.23146558293116601"/>
          <c:y val="0.16513692038495201"/>
          <c:w val="0.60144780289560595"/>
          <c:h val="0.68047375328084003"/>
        </c:manualLayout>
      </c:layout>
      <c:areaChart>
        <c:grouping val="stacked"/>
        <c:varyColors val="0"/>
        <c:ser>
          <c:idx val="0"/>
          <c:order val="0"/>
          <c:tx>
            <c:v>Reference case</c:v>
          </c:tx>
          <c:spPr>
            <a:noFill/>
            <a:ln w="12700">
              <a:noFill/>
              <a:prstDash val="solid"/>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[0]!FEperGWPRef</c:f>
              <c:numCache>
                <c:formatCode>0.00</c:formatCode>
                <c:ptCount val="10"/>
                <c:pt idx="0">
                  <c:v>4.8881986641254178</c:v>
                </c:pt>
                <c:pt idx="1">
                  <c:v>3.785090672076461</c:v>
                </c:pt>
                <c:pt idx="2">
                  <c:v>3.0096676660541926</c:v>
                </c:pt>
                <c:pt idx="3">
                  <c:v>2.6137239853503771</c:v>
                </c:pt>
                <c:pt idx="4">
                  <c:v>2.3365353266329931</c:v>
                </c:pt>
                <c:pt idx="5">
                  <c:v>2.1328361375101297</c:v>
                </c:pt>
                <c:pt idx="6">
                  <c:v>1.9288233877938881</c:v>
                </c:pt>
                <c:pt idx="7">
                  <c:v>1.7411165660960337</c:v>
                </c:pt>
                <c:pt idx="8">
                  <c:v>1.5625579324616352</c:v>
                </c:pt>
                <c:pt idx="9">
                  <c:v>1.4049040446769456</c:v>
                </c:pt>
              </c:numCache>
            </c:numRef>
          </c:val>
          <c:extLst>
            <c:ext xmlns:c16="http://schemas.microsoft.com/office/drawing/2014/chart" uri="{C3380CC4-5D6E-409C-BE32-E72D297353CC}">
              <c16:uniqueId val="{00000000-B175-9140-95FD-0F79405DBED9}"/>
            </c:ext>
          </c:extLst>
        </c:ser>
        <c:ser>
          <c:idx val="1"/>
          <c:order val="1"/>
          <c:tx>
            <c:v>Area for Intervention Case</c:v>
          </c:tx>
          <c:spPr>
            <a:solidFill>
              <a:srgbClr val="A1F4FF"/>
            </a:solidFill>
            <a:ln w="12700">
              <a:solidFill>
                <a:sysClr val="windowText" lastClr="000000"/>
              </a:solidFill>
              <a:prstDash val="solid"/>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[0]!AreaFE_GWP</c:f>
              <c:numCache>
                <c:formatCode>General</c:formatCode>
                <c:ptCount val="10"/>
                <c:pt idx="0">
                  <c:v>-3.6238207059846594E-2</c:v>
                </c:pt>
                <c:pt idx="1">
                  <c:v>-0.52074628461391992</c:v>
                </c:pt>
                <c:pt idx="2">
                  <c:v>-1.1096523313866664</c:v>
                </c:pt>
                <c:pt idx="3">
                  <c:v>-1.2775922563444095</c:v>
                </c:pt>
                <c:pt idx="4">
                  <c:v>-1.2066708614458439</c:v>
                </c:pt>
                <c:pt idx="5">
                  <c:v>-1.1102322646115246</c:v>
                </c:pt>
                <c:pt idx="6">
                  <c:v>-0.99626823755812655</c:v>
                </c:pt>
                <c:pt idx="7">
                  <c:v>-0.88050723621183091</c:v>
                </c:pt>
                <c:pt idx="8">
                  <c:v>-0.77129137120975666</c:v>
                </c:pt>
                <c:pt idx="9">
                  <c:v>-0.67205904477120171</c:v>
                </c:pt>
              </c:numCache>
            </c:numRef>
          </c:val>
          <c:extLst>
            <c:ext xmlns:c16="http://schemas.microsoft.com/office/drawing/2014/chart" uri="{C3380CC4-5D6E-409C-BE32-E72D297353CC}">
              <c16:uniqueId val="{00000001-B175-9140-95FD-0F79405DBED9}"/>
            </c:ext>
          </c:extLst>
        </c:ser>
        <c:dLbls>
          <c:showLegendKey val="0"/>
          <c:showVal val="0"/>
          <c:showCatName val="0"/>
          <c:showSerName val="0"/>
          <c:showPercent val="0"/>
          <c:showBubbleSize val="0"/>
        </c:dLbls>
        <c:axId val="-1686220624"/>
        <c:axId val="-1686208784"/>
      </c:areaChart>
      <c:lineChart>
        <c:grouping val="standard"/>
        <c:varyColors val="0"/>
        <c:ser>
          <c:idx val="2"/>
          <c:order val="2"/>
          <c:tx>
            <c:v>Line for Intervention Case</c:v>
          </c:tx>
          <c:spPr>
            <a:ln w="28575">
              <a:solidFill>
                <a:srgbClr val="C00000"/>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[0]!FEperGWPInt</c:f>
              <c:numCache>
                <c:formatCode>0.00</c:formatCode>
                <c:ptCount val="10"/>
                <c:pt idx="0">
                  <c:v>4.8519604570655712</c:v>
                </c:pt>
                <c:pt idx="1">
                  <c:v>3.2643443874625411</c:v>
                </c:pt>
                <c:pt idx="2">
                  <c:v>1.9000153346675261</c:v>
                </c:pt>
                <c:pt idx="3">
                  <c:v>1.3361317290059675</c:v>
                </c:pt>
                <c:pt idx="4">
                  <c:v>1.1298644651871492</c:v>
                </c:pt>
                <c:pt idx="5">
                  <c:v>1.0226038728986051</c:v>
                </c:pt>
                <c:pt idx="6">
                  <c:v>0.93255515023576152</c:v>
                </c:pt>
                <c:pt idx="7">
                  <c:v>0.8606093298842028</c:v>
                </c:pt>
                <c:pt idx="8">
                  <c:v>0.79126656125187855</c:v>
                </c:pt>
                <c:pt idx="9">
                  <c:v>0.73284499990574392</c:v>
                </c:pt>
              </c:numCache>
            </c:numRef>
          </c:val>
          <c:smooth val="0"/>
          <c:extLst>
            <c:ext xmlns:c16="http://schemas.microsoft.com/office/drawing/2014/chart" uri="{C3380CC4-5D6E-409C-BE32-E72D297353CC}">
              <c16:uniqueId val="{00000002-B175-9140-95FD-0F79405DBED9}"/>
            </c:ext>
          </c:extLst>
        </c:ser>
        <c:ser>
          <c:idx val="3"/>
          <c:order val="3"/>
          <c:tx>
            <c:v>proj1</c:v>
          </c:tx>
          <c:spPr>
            <a:ln w="19050" cmpd="sng">
              <a:solidFill>
                <a:srgbClr val="008000"/>
              </a:solid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[0]!FEperGWPproj1</c:f>
              <c:numCache>
                <c:formatCode>General</c:formatCode>
                <c:ptCount val="10"/>
                <c:pt idx="0">
                  <c:v>4.8881986641254178</c:v>
                </c:pt>
                <c:pt idx="1">
                  <c:v>4.5058444116278009</c:v>
                </c:pt>
                <c:pt idx="2">
                  <c:v>4.1533978581514903</c:v>
                </c:pt>
                <c:pt idx="3">
                  <c:v>3.828519627437672</c:v>
                </c:pt>
                <c:pt idx="4">
                  <c:v>3.5290533289288546</c:v>
                </c:pt>
                <c:pt idx="5">
                  <c:v>3.2530112446515291</c:v>
                </c:pt>
                <c:pt idx="6">
                  <c:v>2.9985611356689774</c:v>
                </c:pt>
                <c:pt idx="7">
                  <c:v>2.7640140805315925</c:v>
                </c:pt>
                <c:pt idx="8">
                  <c:v>2.5478132650020071</c:v>
                </c:pt>
                <c:pt idx="9">
                  <c:v>2.3485236486464394</c:v>
                </c:pt>
              </c:numCache>
            </c:numRef>
          </c:val>
          <c:smooth val="0"/>
          <c:extLst>
            <c:ext xmlns:c16="http://schemas.microsoft.com/office/drawing/2014/chart" uri="{C3380CC4-5D6E-409C-BE32-E72D297353CC}">
              <c16:uniqueId val="{00000003-B175-9140-95FD-0F79405DBED9}"/>
            </c:ext>
          </c:extLst>
        </c:ser>
        <c:ser>
          <c:idx val="5"/>
          <c:order val="4"/>
          <c:tx>
            <c:v>proj2</c:v>
          </c:tx>
          <c:spPr>
            <a:ln w="19050" cmpd="sng">
              <a:solidFill>
                <a:srgbClr val="3366FF"/>
              </a:solid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[0]!FEperGWPproj2</c:f>
              <c:numCache>
                <c:formatCode>General</c:formatCode>
                <c:ptCount val="10"/>
                <c:pt idx="0">
                  <c:v>4.8881986641254178</c:v>
                </c:pt>
                <c:pt idx="1">
                  <c:v>4.0656199098705184</c:v>
                </c:pt>
                <c:pt idx="2">
                  <c:v>3.3814634770972285</c:v>
                </c:pt>
                <c:pt idx="3">
                  <c:v>2.8124358647453196</c:v>
                </c:pt>
                <c:pt idx="4">
                  <c:v>2.3391633672458916</c:v>
                </c:pt>
                <c:pt idx="5">
                  <c:v>1.9455324572034736</c:v>
                </c:pt>
                <c:pt idx="6">
                  <c:v>1.6181411674930262</c:v>
                </c:pt>
                <c:pt idx="7">
                  <c:v>1.345842793956457</c:v>
                </c:pt>
                <c:pt idx="8">
                  <c:v>1.1193663831263527</c:v>
                </c:pt>
                <c:pt idx="9">
                  <c:v>0.93100108370748624</c:v>
                </c:pt>
              </c:numCache>
            </c:numRef>
          </c:val>
          <c:smooth val="0"/>
          <c:extLst>
            <c:ext xmlns:c16="http://schemas.microsoft.com/office/drawing/2014/chart" uri="{C3380CC4-5D6E-409C-BE32-E72D297353CC}">
              <c16:uniqueId val="{00000004-B175-9140-95FD-0F79405DBED9}"/>
            </c:ext>
          </c:extLst>
        </c:ser>
        <c:dLbls>
          <c:showLegendKey val="0"/>
          <c:showVal val="0"/>
          <c:showCatName val="0"/>
          <c:showSerName val="0"/>
          <c:showPercent val="0"/>
          <c:showBubbleSize val="0"/>
        </c:dLbls>
        <c:marker val="1"/>
        <c:smooth val="0"/>
        <c:axId val="-1686220624"/>
        <c:axId val="-1686208784"/>
      </c:lineChart>
      <c:catAx>
        <c:axId val="-1686220624"/>
        <c:scaling>
          <c:orientation val="minMax"/>
        </c:scaling>
        <c:delete val="0"/>
        <c:axPos val="b"/>
        <c:numFmt formatCode="General" sourceLinked="1"/>
        <c:majorTickMark val="none"/>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86208784"/>
        <c:crosses val="autoZero"/>
        <c:auto val="1"/>
        <c:lblAlgn val="ctr"/>
        <c:lblOffset val="100"/>
        <c:tickLblSkip val="9"/>
        <c:tickMarkSkip val="1"/>
        <c:noMultiLvlLbl val="0"/>
      </c:catAx>
      <c:valAx>
        <c:axId val="-1686208784"/>
        <c:scaling>
          <c:orientation val="minMax"/>
          <c:max val="6"/>
          <c:min val="0"/>
        </c:scaling>
        <c:delete val="0"/>
        <c:axPos val="l"/>
        <c:title>
          <c:tx>
            <c:rich>
              <a:bodyPr rot="-5400000" vert="horz"/>
              <a:lstStyle/>
              <a:p>
                <a:pPr marL="0" marR="0" indent="0" algn="ctr" defTabSz="914400" rtl="0" eaLnBrk="1" fontAlgn="auto" latinLnBrk="0" hangingPunct="1">
                  <a:lnSpc>
                    <a:spcPct val="100000"/>
                  </a:lnSpc>
                  <a:spcBef>
                    <a:spcPts val="0"/>
                  </a:spcBef>
                  <a:spcAft>
                    <a:spcPts val="0"/>
                  </a:spcAft>
                  <a:buClrTx/>
                  <a:buSzTx/>
                  <a:buFontTx/>
                  <a:buNone/>
                  <a:tabLst/>
                  <a:defRPr sz="800" b="0" i="0" u="none" strike="noStrike" kern="1200" baseline="0">
                    <a:solidFill>
                      <a:srgbClr val="000000"/>
                    </a:solidFill>
                    <a:latin typeface="Arial"/>
                    <a:ea typeface="Arial"/>
                    <a:cs typeface="Arial"/>
                  </a:defRPr>
                </a:pPr>
                <a:r>
                  <a:rPr lang="en-US" sz="800" b="0" i="0" kern="1200" baseline="0">
                    <a:solidFill>
                      <a:srgbClr val="000000"/>
                    </a:solidFill>
                    <a:effectLst/>
                    <a:latin typeface="Arial" panose="020B0604020202020204" pitchFamily="34" charset="0"/>
                    <a:ea typeface="Arial" panose="020B0604020202020204" pitchFamily="34" charset="0"/>
                    <a:cs typeface="Arial" panose="020B0604020202020204" pitchFamily="34" charset="0"/>
                  </a:rPr>
                  <a:t>Energy Use/$GWP (EJ/US$2010B)</a:t>
                </a:r>
                <a:endParaRPr lang="en-US">
                  <a:effectLst/>
                </a:endParaRPr>
              </a:p>
            </c:rich>
          </c:tx>
          <c:layout>
            <c:manualLayout>
              <c:xMode val="edge"/>
              <c:yMode val="edge"/>
              <c:x val="7.3074422148844298E-2"/>
              <c:y val="0.1496706036745409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86220624"/>
        <c:crosses val="autoZero"/>
        <c:crossBetween val="midCat"/>
        <c:majorUnit val="2"/>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 verticalDpi="1200"/>
  </c:printSettings>
  <c:userShapes r:id="rId2"/>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000" b="1" i="0" u="none" strike="noStrike" baseline="0">
                <a:solidFill>
                  <a:srgbClr val="000000"/>
                </a:solidFill>
                <a:latin typeface="Arial"/>
                <a:ea typeface="Arial"/>
                <a:cs typeface="Arial"/>
              </a:defRPr>
            </a:pPr>
            <a:r>
              <a:rPr lang="en-US"/>
              <a:t>Energy Supply Loss Factor</a:t>
            </a:r>
          </a:p>
        </c:rich>
      </c:tx>
      <c:layout>
        <c:manualLayout>
          <c:xMode val="edge"/>
          <c:yMode val="edge"/>
          <c:x val="0.20188214376428801"/>
          <c:y val="7.7252843394575599E-3"/>
        </c:manualLayout>
      </c:layout>
      <c:overlay val="0"/>
      <c:spPr>
        <a:noFill/>
        <a:ln w="25400">
          <a:noFill/>
        </a:ln>
      </c:spPr>
    </c:title>
    <c:autoTitleDeleted val="0"/>
    <c:plotArea>
      <c:layout>
        <c:manualLayout>
          <c:layoutTarget val="inner"/>
          <c:xMode val="edge"/>
          <c:yMode val="edge"/>
          <c:x val="0.22461173803162829"/>
          <c:y val="0.16857305336832898"/>
          <c:w val="0.60189128778257595"/>
          <c:h val="0.67310892388451404"/>
        </c:manualLayout>
      </c:layout>
      <c:areaChart>
        <c:grouping val="stacked"/>
        <c:varyColors val="0"/>
        <c:ser>
          <c:idx val="0"/>
          <c:order val="0"/>
          <c:tx>
            <c:v>Reference case</c:v>
          </c:tx>
          <c:spPr>
            <a:noFill/>
            <a:ln w="12700">
              <a:noFill/>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[0]!PEdeqperFERef</c:f>
              <c:numCache>
                <c:formatCode>0.00</c:formatCode>
                <c:ptCount val="10"/>
                <c:pt idx="0">
                  <c:v>1.375178461283006</c:v>
                </c:pt>
                <c:pt idx="1">
                  <c:v>1.4047680763981099</c:v>
                </c:pt>
                <c:pt idx="2">
                  <c:v>1.4113151606748491</c:v>
                </c:pt>
                <c:pt idx="3">
                  <c:v>1.3941980368427014</c:v>
                </c:pt>
                <c:pt idx="4">
                  <c:v>1.3825816225258558</c:v>
                </c:pt>
                <c:pt idx="5">
                  <c:v>1.3695457674328577</c:v>
                </c:pt>
                <c:pt idx="6">
                  <c:v>1.358545921005992</c:v>
                </c:pt>
                <c:pt idx="7">
                  <c:v>1.3556903303892138</c:v>
                </c:pt>
                <c:pt idx="8">
                  <c:v>1.3675164697629745</c:v>
                </c:pt>
                <c:pt idx="9">
                  <c:v>1.3847835667058763</c:v>
                </c:pt>
              </c:numCache>
            </c:numRef>
          </c:val>
          <c:extLst>
            <c:ext xmlns:c16="http://schemas.microsoft.com/office/drawing/2014/chart" uri="{C3380CC4-5D6E-409C-BE32-E72D297353CC}">
              <c16:uniqueId val="{00000000-D2C1-F548-A433-47E1D704679B}"/>
            </c:ext>
          </c:extLst>
        </c:ser>
        <c:ser>
          <c:idx val="2"/>
          <c:order val="2"/>
          <c:tx>
            <c:v>Area</c:v>
          </c:tx>
          <c:spPr>
            <a:solidFill>
              <a:srgbClr val="A1F4FF"/>
            </a:solidFill>
            <a:ln w="12700">
              <a:solidFill>
                <a:sysClr val="windowText" lastClr="000000"/>
              </a:solidFill>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[0]!AreaPEdeq_FE</c:f>
              <c:numCache>
                <c:formatCode>General</c:formatCode>
                <c:ptCount val="10"/>
                <c:pt idx="0">
                  <c:v>1.8085134537413339E-3</c:v>
                </c:pt>
                <c:pt idx="1">
                  <c:v>-1.9365302977423227E-3</c:v>
                </c:pt>
                <c:pt idx="2">
                  <c:v>-6.8237985405877888E-2</c:v>
                </c:pt>
                <c:pt idx="3">
                  <c:v>-0.17635822947985447</c:v>
                </c:pt>
                <c:pt idx="4">
                  <c:v>-0.1296042005935889</c:v>
                </c:pt>
                <c:pt idx="5">
                  <c:v>-9.1806047607384311E-2</c:v>
                </c:pt>
                <c:pt idx="6">
                  <c:v>1.4492447856136126E-2</c:v>
                </c:pt>
                <c:pt idx="7">
                  <c:v>4.8870918279244835E-2</c:v>
                </c:pt>
                <c:pt idx="8">
                  <c:v>3.0305185026666237E-2</c:v>
                </c:pt>
                <c:pt idx="9">
                  <c:v>3.9578187494402783E-2</c:v>
                </c:pt>
              </c:numCache>
            </c:numRef>
          </c:val>
          <c:extLst>
            <c:ext xmlns:c16="http://schemas.microsoft.com/office/drawing/2014/chart" uri="{C3380CC4-5D6E-409C-BE32-E72D297353CC}">
              <c16:uniqueId val="{00000001-D2C1-F548-A433-47E1D704679B}"/>
            </c:ext>
          </c:extLst>
        </c:ser>
        <c:dLbls>
          <c:showLegendKey val="0"/>
          <c:showVal val="0"/>
          <c:showCatName val="0"/>
          <c:showSerName val="0"/>
          <c:showPercent val="0"/>
          <c:showBubbleSize val="0"/>
        </c:dLbls>
        <c:axId val="-1765598496"/>
        <c:axId val="-1765596176"/>
      </c:areaChart>
      <c:lineChart>
        <c:grouping val="standard"/>
        <c:varyColors val="0"/>
        <c:ser>
          <c:idx val="1"/>
          <c:order val="1"/>
          <c:tx>
            <c:v>Intervention case</c:v>
          </c:tx>
          <c:spPr>
            <a:ln>
              <a:solidFill>
                <a:srgbClr val="C00000"/>
              </a:solidFill>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[0]!PEdeqperFEInt</c:f>
              <c:numCache>
                <c:formatCode>0.00</c:formatCode>
                <c:ptCount val="10"/>
                <c:pt idx="0">
                  <c:v>1.3769869747367474</c:v>
                </c:pt>
                <c:pt idx="1">
                  <c:v>1.4028315461003675</c:v>
                </c:pt>
                <c:pt idx="2">
                  <c:v>1.3430771752689712</c:v>
                </c:pt>
                <c:pt idx="3">
                  <c:v>1.2178398073628469</c:v>
                </c:pt>
                <c:pt idx="4">
                  <c:v>1.2529774219322669</c:v>
                </c:pt>
                <c:pt idx="5">
                  <c:v>1.2777397198254734</c:v>
                </c:pt>
                <c:pt idx="6">
                  <c:v>1.3730383688621282</c:v>
                </c:pt>
                <c:pt idx="7">
                  <c:v>1.4045612486684587</c:v>
                </c:pt>
                <c:pt idx="8">
                  <c:v>1.3978216547896407</c:v>
                </c:pt>
                <c:pt idx="9">
                  <c:v>1.4243617542002791</c:v>
                </c:pt>
              </c:numCache>
            </c:numRef>
          </c:val>
          <c:smooth val="0"/>
          <c:extLst>
            <c:ext xmlns:c16="http://schemas.microsoft.com/office/drawing/2014/chart" uri="{C3380CC4-5D6E-409C-BE32-E72D297353CC}">
              <c16:uniqueId val="{00000002-D2C1-F548-A433-47E1D704679B}"/>
            </c:ext>
          </c:extLst>
        </c:ser>
        <c:ser>
          <c:idx val="3"/>
          <c:order val="3"/>
          <c:tx>
            <c:v>proj1</c:v>
          </c:tx>
          <c:spPr>
            <a:ln>
              <a:solidFill>
                <a:srgbClr val="3C8105"/>
              </a:solid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[0]!PEdeqperFEproj1</c:f>
              <c:numCache>
                <c:formatCode>General</c:formatCode>
                <c:ptCount val="10"/>
                <c:pt idx="0">
                  <c:v>1.375178461283006</c:v>
                </c:pt>
                <c:pt idx="1">
                  <c:v>1.4031462068204634</c:v>
                </c:pt>
                <c:pt idx="2">
                  <c:v>1.4316827474724967</c:v>
                </c:pt>
                <c:pt idx="3">
                  <c:v>1.4607996511319108</c:v>
                </c:pt>
                <c:pt idx="4">
                  <c:v>1.4905087209539809</c:v>
                </c:pt>
                <c:pt idx="5">
                  <c:v>1.5208220001411126</c:v>
                </c:pt>
                <c:pt idx="6">
                  <c:v>1.5517517768248097</c:v>
                </c:pt>
                <c:pt idx="7">
                  <c:v>1.5833105890469292</c:v>
                </c:pt>
                <c:pt idx="8">
                  <c:v>1.6155112298422429</c:v>
                </c:pt>
                <c:pt idx="9">
                  <c:v>1.6483667524243657</c:v>
                </c:pt>
              </c:numCache>
            </c:numRef>
          </c:val>
          <c:smooth val="0"/>
          <c:extLst>
            <c:ext xmlns:c16="http://schemas.microsoft.com/office/drawing/2014/chart" uri="{C3380CC4-5D6E-409C-BE32-E72D297353CC}">
              <c16:uniqueId val="{00000003-D2C1-F548-A433-47E1D704679B}"/>
            </c:ext>
          </c:extLst>
        </c:ser>
        <c:ser>
          <c:idx val="4"/>
          <c:order val="4"/>
          <c:tx>
            <c:v>proj2</c:v>
          </c:tx>
          <c:spPr>
            <a:ln>
              <a:solidFill>
                <a:srgbClr val="3465FC"/>
              </a:solid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[0]!PEdeqperFEproj2</c:f>
              <c:numCache>
                <c:formatCode>General</c:formatCode>
                <c:ptCount val="10"/>
                <c:pt idx="0">
                  <c:v>1.375178461283006</c:v>
                </c:pt>
                <c:pt idx="1">
                  <c:v>1.409071526906795</c:v>
                </c:pt>
                <c:pt idx="2">
                  <c:v>1.4437999313100371</c:v>
                </c:pt>
                <c:pt idx="3">
                  <c:v>1.4793842625057556</c:v>
                </c:pt>
                <c:pt idx="4">
                  <c:v>1.5158456159253897</c:v>
                </c:pt>
                <c:pt idx="5">
                  <c:v>1.5532056069247826</c:v>
                </c:pt>
                <c:pt idx="6">
                  <c:v>1.5914863835983963</c:v>
                </c:pt>
                <c:pt idx="7">
                  <c:v>1.6307106399093496</c:v>
                </c:pt>
                <c:pt idx="8">
                  <c:v>1.6709016291430621</c:v>
                </c:pt>
                <c:pt idx="9">
                  <c:v>1.7120831776924812</c:v>
                </c:pt>
              </c:numCache>
            </c:numRef>
          </c:val>
          <c:smooth val="0"/>
          <c:extLst>
            <c:ext xmlns:c16="http://schemas.microsoft.com/office/drawing/2014/chart" uri="{C3380CC4-5D6E-409C-BE32-E72D297353CC}">
              <c16:uniqueId val="{00000004-D2C1-F548-A433-47E1D704679B}"/>
            </c:ext>
          </c:extLst>
        </c:ser>
        <c:dLbls>
          <c:showLegendKey val="0"/>
          <c:showVal val="0"/>
          <c:showCatName val="0"/>
          <c:showSerName val="0"/>
          <c:showPercent val="0"/>
          <c:showBubbleSize val="0"/>
        </c:dLbls>
        <c:marker val="1"/>
        <c:smooth val="0"/>
        <c:axId val="-1765598496"/>
        <c:axId val="-1765596176"/>
      </c:lineChart>
      <c:catAx>
        <c:axId val="-1765598496"/>
        <c:scaling>
          <c:orientation val="minMax"/>
        </c:scaling>
        <c:delete val="0"/>
        <c:axPos val="b"/>
        <c:numFmt formatCode="General" sourceLinked="1"/>
        <c:majorTickMark val="none"/>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5596176"/>
        <c:crosses val="autoZero"/>
        <c:auto val="1"/>
        <c:lblAlgn val="ctr"/>
        <c:lblOffset val="100"/>
        <c:tickLblSkip val="9"/>
        <c:tickMarkSkip val="1"/>
        <c:noMultiLvlLbl val="0"/>
      </c:catAx>
      <c:valAx>
        <c:axId val="-1765596176"/>
        <c:scaling>
          <c:orientation val="minMax"/>
          <c:max val="3"/>
          <c:min val="0"/>
        </c:scaling>
        <c:delete val="0"/>
        <c:axPos val="l"/>
        <c:title>
          <c:tx>
            <c:rich>
              <a:bodyPr/>
              <a:lstStyle/>
              <a:p>
                <a:pPr>
                  <a:defRPr sz="800" b="0" i="0" u="none" strike="noStrike" baseline="0">
                    <a:solidFill>
                      <a:srgbClr val="000000"/>
                    </a:solidFill>
                    <a:latin typeface="Arial"/>
                    <a:ea typeface="Arial"/>
                    <a:cs typeface="Arial"/>
                  </a:defRPr>
                </a:pPr>
                <a:r>
                  <a:rPr lang="en-US"/>
                  <a:t>Primary Energy/Final Energy</a:t>
                </a:r>
              </a:p>
            </c:rich>
          </c:tx>
          <c:layout>
            <c:manualLayout>
              <c:xMode val="edge"/>
              <c:yMode val="edge"/>
              <c:x val="2.1901866595060267E-2"/>
              <c:y val="0.17630577427821523"/>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5598496"/>
        <c:crosses val="autoZero"/>
        <c:crossBetween val="midCat"/>
        <c:majorUnit val="1"/>
        <c:minorUnit val="0.05"/>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 verticalDpi="1200"/>
  </c:printSettings>
  <c:userShapes r:id="rId2"/>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000" b="1" i="0" u="none" strike="noStrike" baseline="0">
                <a:solidFill>
                  <a:srgbClr val="000000"/>
                </a:solidFill>
                <a:latin typeface="Arial"/>
                <a:ea typeface="Arial"/>
                <a:cs typeface="Arial"/>
              </a:defRPr>
            </a:pPr>
            <a:r>
              <a:rPr lang="en-US"/>
              <a:t>Economic Welfare</a:t>
            </a:r>
          </a:p>
          <a:p>
            <a:pPr>
              <a:defRPr sz="1000" b="1" i="0" u="none" strike="noStrike" baseline="0">
                <a:solidFill>
                  <a:srgbClr val="000000"/>
                </a:solidFill>
                <a:latin typeface="Arial"/>
                <a:ea typeface="Arial"/>
                <a:cs typeface="Arial"/>
              </a:defRPr>
            </a:pPr>
            <a:r>
              <a:rPr lang="en-US"/>
              <a:t>(GNP per Capita)</a:t>
            </a:r>
          </a:p>
        </c:rich>
      </c:tx>
      <c:layout>
        <c:manualLayout>
          <c:xMode val="edge"/>
          <c:yMode val="edge"/>
          <c:x val="0.29143416070952782"/>
          <c:y val="1.3280839895013125E-2"/>
        </c:manualLayout>
      </c:layout>
      <c:overlay val="0"/>
      <c:spPr>
        <a:noFill/>
        <a:ln w="25400">
          <a:noFill/>
        </a:ln>
      </c:spPr>
    </c:title>
    <c:autoTitleDeleted val="0"/>
    <c:plotArea>
      <c:layout>
        <c:manualLayout>
          <c:layoutTarget val="inner"/>
          <c:xMode val="edge"/>
          <c:yMode val="edge"/>
          <c:x val="0.28219486630875984"/>
          <c:y val="0.16857305336832898"/>
          <c:w val="0.60189128778257595"/>
          <c:h val="0.67310892388451404"/>
        </c:manualLayout>
      </c:layout>
      <c:areaChart>
        <c:grouping val="stacked"/>
        <c:varyColors val="0"/>
        <c:ser>
          <c:idx val="0"/>
          <c:order val="0"/>
          <c:tx>
            <c:v>Reference case</c:v>
          </c:tx>
          <c:spPr>
            <a:noFill/>
            <a:ln w="12700">
              <a:noFill/>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[0]!GWPperPRef</c:f>
              <c:numCache>
                <c:formatCode>0.00</c:formatCode>
                <c:ptCount val="10"/>
                <c:pt idx="0">
                  <c:v>10879.842592952973</c:v>
                </c:pt>
                <c:pt idx="1">
                  <c:v>14568.519187601125</c:v>
                </c:pt>
                <c:pt idx="2">
                  <c:v>19128.274242202668</c:v>
                </c:pt>
                <c:pt idx="3">
                  <c:v>23409.973814089757</c:v>
                </c:pt>
                <c:pt idx="4">
                  <c:v>27874.876834667815</c:v>
                </c:pt>
                <c:pt idx="5">
                  <c:v>32936.227752199971</c:v>
                </c:pt>
                <c:pt idx="6">
                  <c:v>39113.319159858984</c:v>
                </c:pt>
                <c:pt idx="7">
                  <c:v>46376.255347387611</c:v>
                </c:pt>
                <c:pt idx="8">
                  <c:v>54968.206924792466</c:v>
                </c:pt>
                <c:pt idx="9">
                  <c:v>65039.571443528832</c:v>
                </c:pt>
              </c:numCache>
            </c:numRef>
          </c:val>
          <c:extLst>
            <c:ext xmlns:c16="http://schemas.microsoft.com/office/drawing/2014/chart" uri="{C3380CC4-5D6E-409C-BE32-E72D297353CC}">
              <c16:uniqueId val="{00000000-440C-6241-943F-8C2D58FB6036}"/>
            </c:ext>
          </c:extLst>
        </c:ser>
        <c:ser>
          <c:idx val="2"/>
          <c:order val="2"/>
          <c:tx>
            <c:v>Area</c:v>
          </c:tx>
          <c:spPr>
            <a:solidFill>
              <a:srgbClr val="A1F4FF"/>
            </a:solidFill>
            <a:ln w="12700">
              <a:solidFill>
                <a:sysClr val="windowText" lastClr="000000"/>
              </a:solidFill>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[0]!AreaGWP_P</c:f>
              <c:numCache>
                <c:formatCode>General</c:formatCode>
                <c:ptCount val="10"/>
                <c:pt idx="0">
                  <c:v>76.554530028502995</c:v>
                </c:pt>
                <c:pt idx="1">
                  <c:v>210.51009377883929</c:v>
                </c:pt>
                <c:pt idx="2">
                  <c:v>460.77893697666877</c:v>
                </c:pt>
                <c:pt idx="3">
                  <c:v>796.06455357867162</c:v>
                </c:pt>
                <c:pt idx="4">
                  <c:v>1212.124342358733</c:v>
                </c:pt>
                <c:pt idx="5">
                  <c:v>1638.8821056333181</c:v>
                </c:pt>
                <c:pt idx="6">
                  <c:v>2054.9182316126607</c:v>
                </c:pt>
                <c:pt idx="7">
                  <c:v>2431.9527082522909</c:v>
                </c:pt>
                <c:pt idx="8">
                  <c:v>2708.13657210151</c:v>
                </c:pt>
                <c:pt idx="9">
                  <c:v>2845.8319891963401</c:v>
                </c:pt>
              </c:numCache>
            </c:numRef>
          </c:val>
          <c:extLst>
            <c:ext xmlns:c16="http://schemas.microsoft.com/office/drawing/2014/chart" uri="{C3380CC4-5D6E-409C-BE32-E72D297353CC}">
              <c16:uniqueId val="{00000001-440C-6241-943F-8C2D58FB6036}"/>
            </c:ext>
          </c:extLst>
        </c:ser>
        <c:dLbls>
          <c:showLegendKey val="0"/>
          <c:showVal val="0"/>
          <c:showCatName val="0"/>
          <c:showSerName val="0"/>
          <c:showPercent val="0"/>
          <c:showBubbleSize val="0"/>
        </c:dLbls>
        <c:axId val="-1765598496"/>
        <c:axId val="-1765596176"/>
      </c:areaChart>
      <c:lineChart>
        <c:grouping val="standard"/>
        <c:varyColors val="0"/>
        <c:ser>
          <c:idx val="1"/>
          <c:order val="1"/>
          <c:tx>
            <c:v>GDP per capita</c:v>
          </c:tx>
          <c:spPr>
            <a:ln>
              <a:solidFill>
                <a:srgbClr val="C00000"/>
              </a:solidFill>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[0]!GWPperPInt</c:f>
              <c:numCache>
                <c:formatCode>0.00</c:formatCode>
                <c:ptCount val="10"/>
                <c:pt idx="0">
                  <c:v>10956.397122981476</c:v>
                </c:pt>
                <c:pt idx="1">
                  <c:v>14779.029281379964</c:v>
                </c:pt>
                <c:pt idx="2">
                  <c:v>19589.053179179336</c:v>
                </c:pt>
                <c:pt idx="3">
                  <c:v>24206.038367668429</c:v>
                </c:pt>
                <c:pt idx="4">
                  <c:v>29087.001177026548</c:v>
                </c:pt>
                <c:pt idx="5">
                  <c:v>34575.109857833289</c:v>
                </c:pt>
                <c:pt idx="6">
                  <c:v>41168.237391471645</c:v>
                </c:pt>
                <c:pt idx="7">
                  <c:v>48808.208055639901</c:v>
                </c:pt>
                <c:pt idx="8">
                  <c:v>57676.343496893976</c:v>
                </c:pt>
                <c:pt idx="9">
                  <c:v>67885.403432725172</c:v>
                </c:pt>
              </c:numCache>
            </c:numRef>
          </c:val>
          <c:smooth val="0"/>
          <c:extLst>
            <c:ext xmlns:c16="http://schemas.microsoft.com/office/drawing/2014/chart" uri="{C3380CC4-5D6E-409C-BE32-E72D297353CC}">
              <c16:uniqueId val="{00000002-440C-6241-943F-8C2D58FB6036}"/>
            </c:ext>
          </c:extLst>
        </c:ser>
        <c:ser>
          <c:idx val="3"/>
          <c:order val="3"/>
          <c:tx>
            <c:v>proj1</c:v>
          </c:tx>
          <c:spPr>
            <a:ln>
              <a:solidFill>
                <a:srgbClr val="3C8105"/>
              </a:solid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[0]!GWPperPproj1</c:f>
              <c:numCache>
                <c:formatCode>General</c:formatCode>
                <c:ptCount val="10"/>
                <c:pt idx="0">
                  <c:v>10879.842592952973</c:v>
                </c:pt>
                <c:pt idx="1">
                  <c:v>12886.150650073936</c:v>
                </c:pt>
                <c:pt idx="2">
                  <c:v>15262.433914618923</c:v>
                </c:pt>
                <c:pt idx="3">
                  <c:v>18076.918028020522</c:v>
                </c:pt>
                <c:pt idx="4">
                  <c:v>21410.409848115785</c:v>
                </c:pt>
                <c:pt idx="5">
                  <c:v>25358.617500711774</c:v>
                </c:pt>
                <c:pt idx="6">
                  <c:v>30034.898262538289</c:v>
                </c:pt>
                <c:pt idx="7">
                  <c:v>35573.513170254853</c:v>
                </c:pt>
                <c:pt idx="8">
                  <c:v>42133.481798827597</c:v>
                </c:pt>
                <c:pt idx="9">
                  <c:v>49903.147884098013</c:v>
                </c:pt>
              </c:numCache>
            </c:numRef>
          </c:val>
          <c:smooth val="0"/>
          <c:extLst>
            <c:ext xmlns:c16="http://schemas.microsoft.com/office/drawing/2014/chart" uri="{C3380CC4-5D6E-409C-BE32-E72D297353CC}">
              <c16:uniqueId val="{00000003-440C-6241-943F-8C2D58FB6036}"/>
            </c:ext>
          </c:extLst>
        </c:ser>
        <c:ser>
          <c:idx val="4"/>
          <c:order val="4"/>
          <c:tx>
            <c:v>proj2</c:v>
          </c:tx>
          <c:spPr>
            <a:ln>
              <a:solidFill>
                <a:srgbClr val="3465FC"/>
              </a:solid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[0]!GWPperPproj2</c:f>
              <c:numCache>
                <c:formatCode>General</c:formatCode>
                <c:ptCount val="10"/>
                <c:pt idx="0">
                  <c:v>10879.842592952973</c:v>
                </c:pt>
                <c:pt idx="1">
                  <c:v>14004.09161220315</c:v>
                </c:pt>
                <c:pt idx="2">
                  <c:v>18025.49809038642</c:v>
                </c:pt>
                <c:pt idx="3">
                  <c:v>23201.689220841054</c:v>
                </c:pt>
                <c:pt idx="4">
                  <c:v>29864.272265940574</c:v>
                </c:pt>
                <c:pt idx="5">
                  <c:v>38440.078628977397</c:v>
                </c:pt>
                <c:pt idx="6">
                  <c:v>49478.508360880915</c:v>
                </c:pt>
                <c:pt idx="7">
                  <c:v>63686.726898947782</c:v>
                </c:pt>
                <c:pt idx="8">
                  <c:v>81974.968879780223</c:v>
                </c:pt>
                <c:pt idx="9">
                  <c:v>105514.85136774961</c:v>
                </c:pt>
              </c:numCache>
            </c:numRef>
          </c:val>
          <c:smooth val="0"/>
          <c:extLst>
            <c:ext xmlns:c16="http://schemas.microsoft.com/office/drawing/2014/chart" uri="{C3380CC4-5D6E-409C-BE32-E72D297353CC}">
              <c16:uniqueId val="{00000004-440C-6241-943F-8C2D58FB6036}"/>
            </c:ext>
          </c:extLst>
        </c:ser>
        <c:dLbls>
          <c:showLegendKey val="0"/>
          <c:showVal val="0"/>
          <c:showCatName val="0"/>
          <c:showSerName val="0"/>
          <c:showPercent val="0"/>
          <c:showBubbleSize val="0"/>
        </c:dLbls>
        <c:marker val="1"/>
        <c:smooth val="0"/>
        <c:axId val="-1765598496"/>
        <c:axId val="-1765596176"/>
      </c:lineChart>
      <c:catAx>
        <c:axId val="-1765598496"/>
        <c:scaling>
          <c:orientation val="minMax"/>
        </c:scaling>
        <c:delete val="0"/>
        <c:axPos val="b"/>
        <c:numFmt formatCode="General" sourceLinked="1"/>
        <c:majorTickMark val="none"/>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5596176"/>
        <c:crosses val="autoZero"/>
        <c:auto val="1"/>
        <c:lblAlgn val="ctr"/>
        <c:lblOffset val="100"/>
        <c:tickLblSkip val="9"/>
        <c:tickMarkSkip val="1"/>
        <c:noMultiLvlLbl val="0"/>
      </c:catAx>
      <c:valAx>
        <c:axId val="-1765596176"/>
        <c:scaling>
          <c:orientation val="minMax"/>
          <c:max val="50000"/>
          <c:min val="0"/>
        </c:scaling>
        <c:delete val="0"/>
        <c:axPos val="l"/>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800" b="0" i="0" u="none" strike="noStrike" kern="1200" baseline="0">
                    <a:solidFill>
                      <a:srgbClr val="000000"/>
                    </a:solidFill>
                    <a:latin typeface="Arial"/>
                    <a:ea typeface="Arial"/>
                    <a:cs typeface="Arial"/>
                  </a:defRPr>
                </a:pPr>
                <a:r>
                  <a:rPr lang="en-US" sz="800" b="0" i="0" u="none" strike="noStrike" baseline="0">
                    <a:effectLst/>
                  </a:rPr>
                  <a:t>GWP/capita (US$2010/person)</a:t>
                </a:r>
                <a:r>
                  <a:rPr lang="en-US" sz="800" b="0" i="0" u="none" strike="noStrike" baseline="0"/>
                  <a:t> </a:t>
                </a:r>
                <a:endParaRPr lang="en-US"/>
              </a:p>
            </c:rich>
          </c:tx>
          <c:layout>
            <c:manualLayout>
              <c:xMode val="edge"/>
              <c:yMode val="edge"/>
              <c:x val="2.739452804501585E-3"/>
              <c:y val="0.19454286964129486"/>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5598496"/>
        <c:crosses val="autoZero"/>
        <c:crossBetween val="midCat"/>
        <c:majorUnit val="10000"/>
        <c:minorUnit val="0.05"/>
      </c:valAx>
      <c:spPr>
        <a:noFill/>
        <a:ln w="12700">
          <a:solidFill>
            <a:sysClr val="windowText" lastClr="000000"/>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 verticalDpi="1200"/>
  </c:printSettings>
  <c:userShapes r:id="rId2"/>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000" b="1" i="0" u="none" strike="noStrike" baseline="0">
                <a:solidFill>
                  <a:srgbClr val="000000"/>
                </a:solidFill>
                <a:latin typeface="Arial"/>
                <a:ea typeface="Arial"/>
                <a:cs typeface="Arial"/>
              </a:defRPr>
            </a:pPr>
            <a:r>
              <a:rPr lang="en-US"/>
              <a:t>Carbon Intensity of </a:t>
            </a:r>
          </a:p>
          <a:p>
            <a:pPr>
              <a:defRPr sz="1000" b="1" i="0" u="none" strike="noStrike" baseline="0">
                <a:solidFill>
                  <a:srgbClr val="000000"/>
                </a:solidFill>
                <a:latin typeface="Arial"/>
                <a:ea typeface="Arial"/>
                <a:cs typeface="Arial"/>
              </a:defRPr>
            </a:pPr>
            <a:r>
              <a:rPr lang="en-US"/>
              <a:t>Energy Supply</a:t>
            </a:r>
          </a:p>
        </c:rich>
      </c:tx>
      <c:layout>
        <c:manualLayout>
          <c:xMode val="edge"/>
          <c:yMode val="edge"/>
          <c:x val="0.20826813472982075"/>
          <c:y val="4.6731846019247597E-2"/>
        </c:manualLayout>
      </c:layout>
      <c:overlay val="0"/>
      <c:spPr>
        <a:noFill/>
        <a:ln w="25400">
          <a:noFill/>
        </a:ln>
      </c:spPr>
    </c:title>
    <c:autoTitleDeleted val="0"/>
    <c:plotArea>
      <c:layout>
        <c:manualLayout>
          <c:layoutTarget val="inner"/>
          <c:xMode val="edge"/>
          <c:yMode val="edge"/>
          <c:x val="0.224671407353151"/>
          <c:y val="0.211764654418198"/>
          <c:w val="0.60800830128792005"/>
          <c:h val="0.69313735783027097"/>
        </c:manualLayout>
      </c:layout>
      <c:lineChart>
        <c:grouping val="standard"/>
        <c:varyColors val="0"/>
        <c:ser>
          <c:idx val="0"/>
          <c:order val="0"/>
          <c:tx>
            <c:v>Reference case</c:v>
          </c:tx>
          <c:spPr>
            <a:ln w="12700">
              <a:solidFill>
                <a:srgbClr val="000000"/>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[0]!TFCperPEffchngRef</c:f>
              <c:numCache>
                <c:formatCode>0.00</c:formatCode>
                <c:ptCount val="10"/>
                <c:pt idx="1">
                  <c:v>2.6265830886573146E-3</c:v>
                </c:pt>
                <c:pt idx="2">
                  <c:v>3.1323161339661895E-4</c:v>
                </c:pt>
                <c:pt idx="3">
                  <c:v>-4.5674638573937643E-4</c:v>
                </c:pt>
                <c:pt idx="4">
                  <c:v>-4.2517205505197364E-4</c:v>
                </c:pt>
                <c:pt idx="5">
                  <c:v>-8.339143946247303E-4</c:v>
                </c:pt>
                <c:pt idx="6">
                  <c:v>1.0177433488022794E-3</c:v>
                </c:pt>
                <c:pt idx="7">
                  <c:v>1.1981527504356377E-3</c:v>
                </c:pt>
                <c:pt idx="8">
                  <c:v>1.9728441182448376E-3</c:v>
                </c:pt>
                <c:pt idx="9">
                  <c:v>2.5314421856335828E-3</c:v>
                </c:pt>
              </c:numCache>
            </c:numRef>
          </c:val>
          <c:smooth val="0"/>
          <c:extLst>
            <c:ext xmlns:c16="http://schemas.microsoft.com/office/drawing/2014/chart" uri="{C3380CC4-5D6E-409C-BE32-E72D297353CC}">
              <c16:uniqueId val="{00000000-FCF0-B141-BCBF-34356AFEACEA}"/>
            </c:ext>
          </c:extLst>
        </c:ser>
        <c:ser>
          <c:idx val="1"/>
          <c:order val="1"/>
          <c:tx>
            <c:v>Line for Intervention Case</c:v>
          </c:tx>
          <c:spPr>
            <a:ln w="28575">
              <a:solidFill>
                <a:srgbClr val="C00000"/>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[0]!TFCperPEffchngInt</c:f>
              <c:numCache>
                <c:formatCode>0.00</c:formatCode>
                <c:ptCount val="10"/>
                <c:pt idx="1">
                  <c:v>5.4987833061228674E-4</c:v>
                </c:pt>
                <c:pt idx="2">
                  <c:v>-4.7279281795446128E-3</c:v>
                </c:pt>
                <c:pt idx="3">
                  <c:v>-9.6831735472692835E-3</c:v>
                </c:pt>
                <c:pt idx="4">
                  <c:v>-7.6721526893989787E-3</c:v>
                </c:pt>
                <c:pt idx="5">
                  <c:v>-1.2580293374561747E-3</c:v>
                </c:pt>
                <c:pt idx="6">
                  <c:v>2.7849340265285663E-4</c:v>
                </c:pt>
                <c:pt idx="7">
                  <c:v>-1.2434346967706907E-3</c:v>
                </c:pt>
                <c:pt idx="8">
                  <c:v>5.8892504569939708E-4</c:v>
                </c:pt>
                <c:pt idx="9">
                  <c:v>2.9142395419482392E-3</c:v>
                </c:pt>
              </c:numCache>
            </c:numRef>
          </c:val>
          <c:smooth val="0"/>
          <c:extLst>
            <c:ext xmlns:c16="http://schemas.microsoft.com/office/drawing/2014/chart" uri="{C3380CC4-5D6E-409C-BE32-E72D297353CC}">
              <c16:uniqueId val="{00000001-FCF0-B141-BCBF-34356AFEACEA}"/>
            </c:ext>
          </c:extLst>
        </c:ser>
        <c:ser>
          <c:idx val="2"/>
          <c:order val="2"/>
          <c:tx>
            <c:v>rate1</c:v>
          </c:tx>
          <c:spPr>
            <a:ln w="19050" cmpd="sng">
              <a:no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[0]!TFCperPEffrate1</c:f>
              <c:numCache>
                <c:formatCode>0.00%</c:formatCode>
                <c:ptCount val="10"/>
                <c:pt idx="0">
                  <c:v>1.5451450911869724E-3</c:v>
                </c:pt>
                <c:pt idx="1">
                  <c:v>1.5451450911869724E-3</c:v>
                </c:pt>
                <c:pt idx="2">
                  <c:v>1.5451450911869724E-3</c:v>
                </c:pt>
                <c:pt idx="3">
                  <c:v>1.5451450911869724E-3</c:v>
                </c:pt>
                <c:pt idx="4">
                  <c:v>1.5451450911869724E-3</c:v>
                </c:pt>
                <c:pt idx="5">
                  <c:v>1.5451450911869724E-3</c:v>
                </c:pt>
                <c:pt idx="6">
                  <c:v>1.5451450911869724E-3</c:v>
                </c:pt>
                <c:pt idx="7">
                  <c:v>1.5451450911869724E-3</c:v>
                </c:pt>
                <c:pt idx="8">
                  <c:v>1.5451450911869724E-3</c:v>
                </c:pt>
                <c:pt idx="9">
                  <c:v>1.5451450911869724E-3</c:v>
                </c:pt>
              </c:numCache>
            </c:numRef>
          </c:val>
          <c:smooth val="0"/>
          <c:extLst>
            <c:ext xmlns:c16="http://schemas.microsoft.com/office/drawing/2014/chart" uri="{C3380CC4-5D6E-409C-BE32-E72D297353CC}">
              <c16:uniqueId val="{00000002-FCF0-B141-BCBF-34356AFEACEA}"/>
            </c:ext>
          </c:extLst>
        </c:ser>
        <c:ser>
          <c:idx val="3"/>
          <c:order val="3"/>
          <c:tx>
            <c:v>rate2</c:v>
          </c:tx>
          <c:spPr>
            <a:ln w="19050" cmpd="sng">
              <a:no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[0]!TFCperPEffrate2</c:f>
              <c:numCache>
                <c:formatCode>0.00%</c:formatCode>
                <c:ptCount val="10"/>
                <c:pt idx="0">
                  <c:v>7.7771181949937152E-4</c:v>
                </c:pt>
                <c:pt idx="1">
                  <c:v>7.7771181949937152E-4</c:v>
                </c:pt>
                <c:pt idx="2">
                  <c:v>7.7771181949937152E-4</c:v>
                </c:pt>
                <c:pt idx="3">
                  <c:v>7.7771181949937152E-4</c:v>
                </c:pt>
                <c:pt idx="4">
                  <c:v>7.7771181949937152E-4</c:v>
                </c:pt>
                <c:pt idx="5">
                  <c:v>7.7771181949937152E-4</c:v>
                </c:pt>
                <c:pt idx="6">
                  <c:v>7.7771181949937152E-4</c:v>
                </c:pt>
                <c:pt idx="7">
                  <c:v>7.7771181949937152E-4</c:v>
                </c:pt>
                <c:pt idx="8">
                  <c:v>7.7771181949937152E-4</c:v>
                </c:pt>
                <c:pt idx="9">
                  <c:v>7.7771181949937152E-4</c:v>
                </c:pt>
              </c:numCache>
            </c:numRef>
          </c:val>
          <c:smooth val="0"/>
          <c:extLst>
            <c:ext xmlns:c16="http://schemas.microsoft.com/office/drawing/2014/chart" uri="{C3380CC4-5D6E-409C-BE32-E72D297353CC}">
              <c16:uniqueId val="{00000003-FCF0-B141-BCBF-34356AFEACEA}"/>
            </c:ext>
          </c:extLst>
        </c:ser>
        <c:dLbls>
          <c:showLegendKey val="0"/>
          <c:showVal val="0"/>
          <c:showCatName val="0"/>
          <c:showSerName val="0"/>
          <c:showPercent val="0"/>
          <c:showBubbleSize val="0"/>
        </c:dLbls>
        <c:smooth val="0"/>
        <c:axId val="-1642852896"/>
        <c:axId val="-1642849632"/>
      </c:lineChart>
      <c:catAx>
        <c:axId val="-1642852896"/>
        <c:scaling>
          <c:orientation val="minMax"/>
        </c:scaling>
        <c:delete val="0"/>
        <c:axPos val="b"/>
        <c:numFmt formatCode="General" sourceLinked="1"/>
        <c:majorTickMark val="none"/>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2849632"/>
        <c:crosses val="autoZero"/>
        <c:auto val="1"/>
        <c:lblAlgn val="ctr"/>
        <c:lblOffset val="100"/>
        <c:tickLblSkip val="9"/>
        <c:tickMarkSkip val="1"/>
        <c:noMultiLvlLbl val="0"/>
      </c:catAx>
      <c:valAx>
        <c:axId val="-1642849632"/>
        <c:scaling>
          <c:orientation val="minMax"/>
          <c:max val="0.2"/>
          <c:min val="-5.000000000000001E-2"/>
        </c:scaling>
        <c:delete val="0"/>
        <c:axPos val="l"/>
        <c:majorGridlines>
          <c:spPr>
            <a:ln w="3175">
              <a:solidFill>
                <a:schemeClr val="bg1">
                  <a:lumMod val="65000"/>
                </a:schemeClr>
              </a:solidFill>
              <a:prstDash val="sysDash"/>
            </a:ln>
          </c:spPr>
        </c:majorGridlines>
        <c:title>
          <c:tx>
            <c:rich>
              <a:bodyPr/>
              <a:lstStyle/>
              <a:p>
                <a:pPr>
                  <a:defRPr sz="800" b="0" i="0" u="none" strike="noStrike" baseline="0">
                    <a:solidFill>
                      <a:srgbClr val="000000"/>
                    </a:solidFill>
                    <a:latin typeface="Arial"/>
                    <a:ea typeface="Arial"/>
                    <a:cs typeface="Arial"/>
                  </a:defRPr>
                </a:pPr>
                <a:r>
                  <a:rPr lang="en-US"/>
                  <a:t>Annual Rate of Change</a:t>
                </a:r>
              </a:p>
            </c:rich>
          </c:tx>
          <c:layout>
            <c:manualLayout>
              <c:xMode val="edge"/>
              <c:yMode val="edge"/>
              <c:x val="2.7210861757561901E-2"/>
              <c:y val="0.288235294117646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2852896"/>
        <c:crosses val="autoZero"/>
        <c:crossBetween val="midCat"/>
        <c:majorUnit val="5.000000000000001E-2"/>
        <c:minorUnit val="0.01"/>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 verticalDpi="1200"/>
  </c:printSettings>
  <c:userShapes r:id="rId2"/>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000" b="1" i="0" u="none" strike="noStrike" baseline="0">
                <a:solidFill>
                  <a:srgbClr val="000000"/>
                </a:solidFill>
                <a:latin typeface="Arial"/>
                <a:ea typeface="Arial"/>
                <a:cs typeface="Arial"/>
              </a:defRPr>
            </a:pPr>
            <a:r>
              <a:rPr lang="en-US"/>
              <a:t>Fraction Disposed</a:t>
            </a:r>
          </a:p>
          <a:p>
            <a:pPr>
              <a:defRPr sz="1000" b="1" i="0" u="none" strike="noStrike" baseline="0">
                <a:solidFill>
                  <a:srgbClr val="000000"/>
                </a:solidFill>
                <a:latin typeface="Arial"/>
                <a:ea typeface="Arial"/>
                <a:cs typeface="Arial"/>
              </a:defRPr>
            </a:pPr>
            <a:r>
              <a:rPr lang="en-US"/>
              <a:t>to Atmosphere </a:t>
            </a:r>
          </a:p>
        </c:rich>
      </c:tx>
      <c:layout>
        <c:manualLayout>
          <c:xMode val="edge"/>
          <c:yMode val="edge"/>
          <c:x val="0.20826813472982075"/>
          <c:y val="4.6731846019247597E-2"/>
        </c:manualLayout>
      </c:layout>
      <c:overlay val="0"/>
      <c:spPr>
        <a:noFill/>
        <a:ln w="25400">
          <a:noFill/>
        </a:ln>
      </c:spPr>
    </c:title>
    <c:autoTitleDeleted val="0"/>
    <c:plotArea>
      <c:layout>
        <c:manualLayout>
          <c:layoutTarget val="inner"/>
          <c:xMode val="edge"/>
          <c:yMode val="edge"/>
          <c:x val="0.224671407353151"/>
          <c:y val="0.211764654418198"/>
          <c:w val="0.60800830128792005"/>
          <c:h val="0.69313735783027097"/>
        </c:manualLayout>
      </c:layout>
      <c:lineChart>
        <c:grouping val="standard"/>
        <c:varyColors val="0"/>
        <c:ser>
          <c:idx val="0"/>
          <c:order val="0"/>
          <c:tx>
            <c:v>reference scenario</c:v>
          </c:tx>
          <c:spPr>
            <a:ln w="12700">
              <a:solidFill>
                <a:srgbClr val="000000"/>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[0]!NFCperTFCchngRef</c:f>
              <c:numCache>
                <c:formatCode>0.00</c:formatCode>
                <c:ptCount val="10"/>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0-6917-0845-BAC8-A491EA6A26FF}"/>
            </c:ext>
          </c:extLst>
        </c:ser>
        <c:ser>
          <c:idx val="1"/>
          <c:order val="1"/>
          <c:tx>
            <c:v>Intervention scenario Line</c:v>
          </c:tx>
          <c:spPr>
            <a:ln w="28575">
              <a:solidFill>
                <a:srgbClr val="C00000"/>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[0]!NFCperTFCchngInt</c:f>
              <c:numCache>
                <c:formatCode>0.00</c:formatCode>
                <c:ptCount val="10"/>
                <c:pt idx="1">
                  <c:v>-1.1258968232363831E-4</c:v>
                </c:pt>
                <c:pt idx="2">
                  <c:v>-6.0762877312618537E-3</c:v>
                </c:pt>
                <c:pt idx="3">
                  <c:v>-1.4990458563948405E-2</c:v>
                </c:pt>
                <c:pt idx="4">
                  <c:v>-1.3927887704905117E-2</c:v>
                </c:pt>
                <c:pt idx="5">
                  <c:v>-1.4745402351221626E-2</c:v>
                </c:pt>
                <c:pt idx="6">
                  <c:v>-1.3309457801786623E-2</c:v>
                </c:pt>
                <c:pt idx="7">
                  <c:v>-3.9889745489723738E-3</c:v>
                </c:pt>
                <c:pt idx="8">
                  <c:v>7.6349105243522786E-4</c:v>
                </c:pt>
                <c:pt idx="9">
                  <c:v>8.8790380451881366E-4</c:v>
                </c:pt>
              </c:numCache>
            </c:numRef>
          </c:val>
          <c:smooth val="0"/>
          <c:extLst>
            <c:ext xmlns:c16="http://schemas.microsoft.com/office/drawing/2014/chart" uri="{C3380CC4-5D6E-409C-BE32-E72D297353CC}">
              <c16:uniqueId val="{00000001-6917-0845-BAC8-A491EA6A26FF}"/>
            </c:ext>
          </c:extLst>
        </c:ser>
        <c:ser>
          <c:idx val="2"/>
          <c:order val="2"/>
          <c:marker>
            <c:symbol val="none"/>
          </c:marker>
          <c:val>
            <c:numRef>
              <c:f>ExpKayaFactorsInt!$E$11:$N$11</c:f>
              <c:numCache>
                <c:formatCode>0.00</c:formatCode>
                <c:ptCount val="10"/>
              </c:numCache>
            </c:numRef>
          </c:val>
          <c:smooth val="0"/>
          <c:extLst>
            <c:ext xmlns:c16="http://schemas.microsoft.com/office/drawing/2014/chart" uri="{C3380CC4-5D6E-409C-BE32-E72D297353CC}">
              <c16:uniqueId val="{00000002-6917-0845-BAC8-A491EA6A26FF}"/>
            </c:ext>
          </c:extLst>
        </c:ser>
        <c:dLbls>
          <c:showLegendKey val="0"/>
          <c:showVal val="0"/>
          <c:showCatName val="0"/>
          <c:showSerName val="0"/>
          <c:showPercent val="0"/>
          <c:showBubbleSize val="0"/>
        </c:dLbls>
        <c:smooth val="0"/>
        <c:axId val="-1642852896"/>
        <c:axId val="-1642849632"/>
      </c:lineChart>
      <c:catAx>
        <c:axId val="-1642852896"/>
        <c:scaling>
          <c:orientation val="minMax"/>
        </c:scaling>
        <c:delete val="0"/>
        <c:axPos val="b"/>
        <c:numFmt formatCode="General" sourceLinked="1"/>
        <c:majorTickMark val="none"/>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2849632"/>
        <c:crosses val="autoZero"/>
        <c:auto val="1"/>
        <c:lblAlgn val="ctr"/>
        <c:lblOffset val="100"/>
        <c:tickLblSkip val="9"/>
        <c:tickMarkSkip val="1"/>
        <c:noMultiLvlLbl val="0"/>
      </c:catAx>
      <c:valAx>
        <c:axId val="-1642849632"/>
        <c:scaling>
          <c:orientation val="minMax"/>
          <c:max val="0.05"/>
          <c:min val="-0.05"/>
        </c:scaling>
        <c:delete val="0"/>
        <c:axPos val="l"/>
        <c:majorGridlines>
          <c:spPr>
            <a:ln w="3175">
              <a:solidFill>
                <a:schemeClr val="bg1">
                  <a:lumMod val="65000"/>
                </a:schemeClr>
              </a:solidFill>
              <a:prstDash val="sysDash"/>
            </a:ln>
          </c:spPr>
        </c:majorGridlines>
        <c:title>
          <c:tx>
            <c:rich>
              <a:bodyPr/>
              <a:lstStyle/>
              <a:p>
                <a:pPr>
                  <a:defRPr sz="800" b="0" i="0" u="none" strike="noStrike" baseline="0">
                    <a:solidFill>
                      <a:srgbClr val="000000"/>
                    </a:solidFill>
                    <a:latin typeface="Arial"/>
                    <a:ea typeface="Arial"/>
                    <a:cs typeface="Arial"/>
                  </a:defRPr>
                </a:pPr>
                <a:r>
                  <a:rPr lang="en-US"/>
                  <a:t>Annual Rate of Change</a:t>
                </a:r>
              </a:p>
            </c:rich>
          </c:tx>
          <c:layout>
            <c:manualLayout>
              <c:xMode val="edge"/>
              <c:yMode val="edge"/>
              <c:x val="2.7210861757561901E-2"/>
              <c:y val="0.288235294117646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2852896"/>
        <c:crosses val="autoZero"/>
        <c:crossBetween val="midCat"/>
        <c:majorUnit val="0.01"/>
        <c:minorUnit val="0.01"/>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 verticalDpi="1200"/>
  </c:printSettings>
  <c:userShapes r:id="rId2"/>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000" b="1" i="0" u="none" strike="noStrike" baseline="0">
                <a:solidFill>
                  <a:srgbClr val="000000"/>
                </a:solidFill>
                <a:latin typeface="Arial"/>
                <a:ea typeface="Arial"/>
                <a:cs typeface="Arial"/>
              </a:defRPr>
            </a:pPr>
            <a:r>
              <a:rPr lang="en-US"/>
              <a:t>Energy Intensity</a:t>
            </a:r>
          </a:p>
          <a:p>
            <a:pPr>
              <a:defRPr sz="1000" b="1" i="0" u="none" strike="noStrike" baseline="0">
                <a:solidFill>
                  <a:srgbClr val="000000"/>
                </a:solidFill>
                <a:latin typeface="Arial"/>
                <a:ea typeface="Arial"/>
                <a:cs typeface="Arial"/>
              </a:defRPr>
            </a:pPr>
            <a:r>
              <a:rPr lang="en-US"/>
              <a:t>of Economic Activity</a:t>
            </a:r>
          </a:p>
        </c:rich>
      </c:tx>
      <c:layout>
        <c:manualLayout>
          <c:xMode val="edge"/>
          <c:yMode val="edge"/>
          <c:x val="0.20826813472982075"/>
          <c:y val="4.6731846019247597E-2"/>
        </c:manualLayout>
      </c:layout>
      <c:overlay val="0"/>
      <c:spPr>
        <a:noFill/>
        <a:ln w="25400">
          <a:noFill/>
        </a:ln>
      </c:spPr>
    </c:title>
    <c:autoTitleDeleted val="0"/>
    <c:plotArea>
      <c:layout>
        <c:manualLayout>
          <c:layoutTarget val="inner"/>
          <c:xMode val="edge"/>
          <c:yMode val="edge"/>
          <c:x val="0.224671407353151"/>
          <c:y val="0.211764654418198"/>
          <c:w val="0.60800830128792005"/>
          <c:h val="0.69313735783027097"/>
        </c:manualLayout>
      </c:layout>
      <c:lineChart>
        <c:grouping val="standard"/>
        <c:varyColors val="0"/>
        <c:ser>
          <c:idx val="0"/>
          <c:order val="0"/>
          <c:tx>
            <c:v>Reference case</c:v>
          </c:tx>
          <c:spPr>
            <a:ln w="12700">
              <a:solidFill>
                <a:srgbClr val="000000"/>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[0]!FEperGWPchngRef</c:f>
              <c:numCache>
                <c:formatCode>0.00</c:formatCode>
                <c:ptCount val="10"/>
                <c:pt idx="1">
                  <c:v>-2.2566758592376519E-2</c:v>
                </c:pt>
                <c:pt idx="2">
                  <c:v>-1.5863164721866004E-2</c:v>
                </c:pt>
                <c:pt idx="3">
                  <c:v>-8.0999915901465627E-3</c:v>
                </c:pt>
                <c:pt idx="4">
                  <c:v>-5.6705686033523299E-3</c:v>
                </c:pt>
                <c:pt idx="5">
                  <c:v>-4.1671626527337285E-3</c:v>
                </c:pt>
                <c:pt idx="6">
                  <c:v>-4.1735772977783215E-3</c:v>
                </c:pt>
                <c:pt idx="7">
                  <c:v>-3.839999856704644E-3</c:v>
                </c:pt>
                <c:pt idx="8">
                  <c:v>-3.6528514060781467E-3</c:v>
                </c:pt>
                <c:pt idx="9">
                  <c:v>-3.2251939542006433E-3</c:v>
                </c:pt>
              </c:numCache>
            </c:numRef>
          </c:val>
          <c:smooth val="0"/>
          <c:extLst>
            <c:ext xmlns:c16="http://schemas.microsoft.com/office/drawing/2014/chart" uri="{C3380CC4-5D6E-409C-BE32-E72D297353CC}">
              <c16:uniqueId val="{00000000-B7DF-EA44-A1F4-B728B54913E1}"/>
            </c:ext>
          </c:extLst>
        </c:ser>
        <c:ser>
          <c:idx val="1"/>
          <c:order val="1"/>
          <c:tx>
            <c:v>Line for Stabilization Case</c:v>
          </c:tx>
          <c:spPr>
            <a:ln w="28575">
              <a:solidFill>
                <a:srgbClr val="C00000"/>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[0]!FEperGWPchngInt</c:f>
              <c:numCache>
                <c:formatCode>0.00</c:formatCode>
                <c:ptCount val="10"/>
                <c:pt idx="1">
                  <c:v>-3.2721125484258547E-2</c:v>
                </c:pt>
                <c:pt idx="2">
                  <c:v>-2.8119129676917251E-2</c:v>
                </c:pt>
                <c:pt idx="3">
                  <c:v>-1.1621768368709894E-2</c:v>
                </c:pt>
                <c:pt idx="4">
                  <c:v>-4.2512148572531275E-3</c:v>
                </c:pt>
                <c:pt idx="5">
                  <c:v>-2.2106650134039738E-3</c:v>
                </c:pt>
                <c:pt idx="6">
                  <c:v>-1.8559244960809997E-3</c:v>
                </c:pt>
                <c:pt idx="7">
                  <c:v>-1.4828195940218153E-3</c:v>
                </c:pt>
                <c:pt idx="8">
                  <c:v>-1.4291701106373448E-3</c:v>
                </c:pt>
                <c:pt idx="9">
                  <c:v>-1.2040815637946799E-3</c:v>
                </c:pt>
              </c:numCache>
            </c:numRef>
          </c:val>
          <c:smooth val="0"/>
          <c:extLst>
            <c:ext xmlns:c16="http://schemas.microsoft.com/office/drawing/2014/chart" uri="{C3380CC4-5D6E-409C-BE32-E72D297353CC}">
              <c16:uniqueId val="{00000001-B7DF-EA44-A1F4-B728B54913E1}"/>
            </c:ext>
          </c:extLst>
        </c:ser>
        <c:ser>
          <c:idx val="2"/>
          <c:order val="2"/>
          <c:tx>
            <c:v>rate1</c:v>
          </c:tx>
          <c:spPr>
            <a:ln w="19050" cmpd="sng">
              <a:no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[0]!FEperGWPrate1</c:f>
              <c:numCache>
                <c:formatCode>0.00%</c:formatCode>
                <c:ptCount val="10"/>
                <c:pt idx="0">
                  <c:v>-8.1117757387337841E-3</c:v>
                </c:pt>
                <c:pt idx="1">
                  <c:v>-8.1117757387337841E-3</c:v>
                </c:pt>
                <c:pt idx="2">
                  <c:v>-8.1117757387337841E-3</c:v>
                </c:pt>
                <c:pt idx="3">
                  <c:v>-8.1117757387337841E-3</c:v>
                </c:pt>
                <c:pt idx="4">
                  <c:v>-8.1117757387337841E-3</c:v>
                </c:pt>
                <c:pt idx="5">
                  <c:v>-8.1117757387337841E-3</c:v>
                </c:pt>
                <c:pt idx="6">
                  <c:v>-8.1117757387337841E-3</c:v>
                </c:pt>
                <c:pt idx="7">
                  <c:v>-8.1117757387337841E-3</c:v>
                </c:pt>
                <c:pt idx="8">
                  <c:v>-8.1117757387337841E-3</c:v>
                </c:pt>
                <c:pt idx="9">
                  <c:v>-8.1117757387337841E-3</c:v>
                </c:pt>
              </c:numCache>
            </c:numRef>
          </c:val>
          <c:smooth val="0"/>
          <c:extLst>
            <c:ext xmlns:c16="http://schemas.microsoft.com/office/drawing/2014/chart" uri="{C3380CC4-5D6E-409C-BE32-E72D297353CC}">
              <c16:uniqueId val="{00000002-B7DF-EA44-A1F4-B728B54913E1}"/>
            </c:ext>
          </c:extLst>
        </c:ser>
        <c:ser>
          <c:idx val="3"/>
          <c:order val="3"/>
          <c:tx>
            <c:v>rate2</c:v>
          </c:tx>
          <c:spPr>
            <a:ln w="19050" cmpd="sng">
              <a:no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[0]!FEperGWPrate2</c:f>
              <c:numCache>
                <c:formatCode>0.00%</c:formatCode>
                <c:ptCount val="10"/>
                <c:pt idx="0">
                  <c:v>-1.8257046810357003E-2</c:v>
                </c:pt>
                <c:pt idx="1">
                  <c:v>-1.8257046810357003E-2</c:v>
                </c:pt>
                <c:pt idx="2">
                  <c:v>-1.8257046810357003E-2</c:v>
                </c:pt>
                <c:pt idx="3">
                  <c:v>-1.8257046810357003E-2</c:v>
                </c:pt>
                <c:pt idx="4">
                  <c:v>-1.8257046810357003E-2</c:v>
                </c:pt>
                <c:pt idx="5">
                  <c:v>-1.8257046810357003E-2</c:v>
                </c:pt>
                <c:pt idx="6">
                  <c:v>-1.8257046810357003E-2</c:v>
                </c:pt>
                <c:pt idx="7">
                  <c:v>-1.8257046810357003E-2</c:v>
                </c:pt>
                <c:pt idx="8">
                  <c:v>-1.8257046810357003E-2</c:v>
                </c:pt>
                <c:pt idx="9">
                  <c:v>-1.8257046810357003E-2</c:v>
                </c:pt>
              </c:numCache>
            </c:numRef>
          </c:val>
          <c:smooth val="0"/>
          <c:extLst>
            <c:ext xmlns:c16="http://schemas.microsoft.com/office/drawing/2014/chart" uri="{C3380CC4-5D6E-409C-BE32-E72D297353CC}">
              <c16:uniqueId val="{00000003-B7DF-EA44-A1F4-B728B54913E1}"/>
            </c:ext>
          </c:extLst>
        </c:ser>
        <c:dLbls>
          <c:showLegendKey val="0"/>
          <c:showVal val="0"/>
          <c:showCatName val="0"/>
          <c:showSerName val="0"/>
          <c:showPercent val="0"/>
          <c:showBubbleSize val="0"/>
        </c:dLbls>
        <c:smooth val="0"/>
        <c:axId val="-1642852896"/>
        <c:axId val="-1642849632"/>
      </c:lineChart>
      <c:catAx>
        <c:axId val="-1642852896"/>
        <c:scaling>
          <c:orientation val="minMax"/>
        </c:scaling>
        <c:delete val="0"/>
        <c:axPos val="b"/>
        <c:numFmt formatCode="General" sourceLinked="1"/>
        <c:majorTickMark val="none"/>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2849632"/>
        <c:crosses val="autoZero"/>
        <c:auto val="1"/>
        <c:lblAlgn val="ctr"/>
        <c:lblOffset val="100"/>
        <c:tickLblSkip val="9"/>
        <c:tickMarkSkip val="1"/>
        <c:noMultiLvlLbl val="0"/>
      </c:catAx>
      <c:valAx>
        <c:axId val="-1642849632"/>
        <c:scaling>
          <c:orientation val="minMax"/>
          <c:max val="0.05"/>
          <c:min val="-5.000000000000001E-2"/>
        </c:scaling>
        <c:delete val="0"/>
        <c:axPos val="l"/>
        <c:majorGridlines>
          <c:spPr>
            <a:ln w="3175">
              <a:solidFill>
                <a:schemeClr val="bg1">
                  <a:lumMod val="65000"/>
                </a:schemeClr>
              </a:solidFill>
              <a:prstDash val="sysDash"/>
            </a:ln>
          </c:spPr>
        </c:majorGridlines>
        <c:title>
          <c:tx>
            <c:rich>
              <a:bodyPr/>
              <a:lstStyle/>
              <a:p>
                <a:pPr>
                  <a:defRPr sz="800" b="0" i="0" u="none" strike="noStrike" baseline="0">
                    <a:solidFill>
                      <a:srgbClr val="000000"/>
                    </a:solidFill>
                    <a:latin typeface="Arial"/>
                    <a:ea typeface="Arial"/>
                    <a:cs typeface="Arial"/>
                  </a:defRPr>
                </a:pPr>
                <a:r>
                  <a:rPr lang="en-US" sz="800" b="0" i="0" u="none" strike="noStrike" baseline="0">
                    <a:effectLst/>
                  </a:rPr>
                  <a:t>Annual Rate of Change</a:t>
                </a:r>
                <a:r>
                  <a:rPr lang="en-US" sz="800" b="0" i="0" u="none" strike="noStrike" baseline="0"/>
                  <a:t> </a:t>
                </a:r>
                <a:endParaRPr lang="en-US"/>
              </a:p>
            </c:rich>
          </c:tx>
          <c:layout>
            <c:manualLayout>
              <c:xMode val="edge"/>
              <c:yMode val="edge"/>
              <c:x val="2.7210861757561901E-2"/>
              <c:y val="0.288235294117646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2852896"/>
        <c:crosses val="autoZero"/>
        <c:crossBetween val="midCat"/>
        <c:majorUnit val="0.01"/>
        <c:minorUnit val="0.01"/>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 verticalDpi="1200"/>
  </c:printSettings>
  <c:userShapes r:id="rId2"/>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000" b="1" i="0" u="none" strike="noStrike" baseline="0">
                <a:solidFill>
                  <a:srgbClr val="000000"/>
                </a:solidFill>
                <a:latin typeface="Arial"/>
                <a:ea typeface="Arial"/>
                <a:cs typeface="Arial"/>
              </a:defRPr>
            </a:pPr>
            <a:r>
              <a:rPr lang="en-US"/>
              <a:t>Economic Welfare</a:t>
            </a:r>
          </a:p>
          <a:p>
            <a:pPr>
              <a:defRPr sz="1000" b="1" i="0" u="none" strike="noStrike" baseline="0">
                <a:solidFill>
                  <a:srgbClr val="000000"/>
                </a:solidFill>
                <a:latin typeface="Arial"/>
                <a:ea typeface="Arial"/>
                <a:cs typeface="Arial"/>
              </a:defRPr>
            </a:pPr>
            <a:r>
              <a:rPr lang="en-US"/>
              <a:t>(GWP per Capita)</a:t>
            </a:r>
          </a:p>
        </c:rich>
      </c:tx>
      <c:layout>
        <c:manualLayout>
          <c:xMode val="edge"/>
          <c:yMode val="edge"/>
          <c:x val="0.20826813472982075"/>
          <c:y val="4.6731846019247597E-2"/>
        </c:manualLayout>
      </c:layout>
      <c:overlay val="0"/>
      <c:spPr>
        <a:noFill/>
        <a:ln w="25400">
          <a:noFill/>
        </a:ln>
      </c:spPr>
    </c:title>
    <c:autoTitleDeleted val="0"/>
    <c:plotArea>
      <c:layout>
        <c:manualLayout>
          <c:layoutTarget val="inner"/>
          <c:xMode val="edge"/>
          <c:yMode val="edge"/>
          <c:x val="0.224671407353151"/>
          <c:y val="0.211764654418198"/>
          <c:w val="0.60800830128792005"/>
          <c:h val="0.69313735783027097"/>
        </c:manualLayout>
      </c:layout>
      <c:lineChart>
        <c:grouping val="standard"/>
        <c:varyColors val="0"/>
        <c:ser>
          <c:idx val="0"/>
          <c:order val="0"/>
          <c:tx>
            <c:v>Reference case</c:v>
          </c:tx>
          <c:spPr>
            <a:ln w="12700">
              <a:solidFill>
                <a:srgbClr val="000000"/>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[0]!GWPperPchngRef</c:f>
              <c:numCache>
                <c:formatCode>0.00</c:formatCode>
                <c:ptCount val="10"/>
                <c:pt idx="1">
                  <c:v>3.3903768029119825E-2</c:v>
                </c:pt>
                <c:pt idx="2">
                  <c:v>4.1910119706648701E-2</c:v>
                </c:pt>
                <c:pt idx="3">
                  <c:v>3.9354425721750852E-2</c:v>
                </c:pt>
                <c:pt idx="4">
                  <c:v>4.1038305310317991E-2</c:v>
                </c:pt>
                <c:pt idx="5">
                  <c:v>4.6520442499880139E-2</c:v>
                </c:pt>
                <c:pt idx="6">
                  <c:v>5.6775558606518825E-2</c:v>
                </c:pt>
                <c:pt idx="7">
                  <c:v>6.6755893989063161E-2</c:v>
                </c:pt>
                <c:pt idx="8">
                  <c:v>7.8971285696449164E-2</c:v>
                </c:pt>
                <c:pt idx="9">
                  <c:v>9.2569027839242174E-2</c:v>
                </c:pt>
              </c:numCache>
            </c:numRef>
          </c:val>
          <c:smooth val="0"/>
          <c:extLst>
            <c:ext xmlns:c16="http://schemas.microsoft.com/office/drawing/2014/chart" uri="{C3380CC4-5D6E-409C-BE32-E72D297353CC}">
              <c16:uniqueId val="{00000000-D082-594B-8C8A-52195270EBBA}"/>
            </c:ext>
          </c:extLst>
        </c:ser>
        <c:ser>
          <c:idx val="1"/>
          <c:order val="1"/>
          <c:tx>
            <c:v>GDP per capita</c:v>
          </c:tx>
          <c:spPr>
            <a:ln w="28575">
              <a:solidFill>
                <a:srgbClr val="C00000"/>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[0]!GWPperPchngInt</c:f>
              <c:numCache>
                <c:formatCode>0.00</c:formatCode>
                <c:ptCount val="10"/>
                <c:pt idx="1">
                  <c:v>3.4889499855571743E-2</c:v>
                </c:pt>
                <c:pt idx="2">
                  <c:v>4.3901511088076182E-2</c:v>
                </c:pt>
                <c:pt idx="3">
                  <c:v>4.2139629813205501E-2</c:v>
                </c:pt>
                <c:pt idx="4">
                  <c:v>4.4548976771936338E-2</c:v>
                </c:pt>
                <c:pt idx="5">
                  <c:v>5.0090450530450532E-2</c:v>
                </c:pt>
                <c:pt idx="6">
                  <c:v>6.0176054770860854E-2</c:v>
                </c:pt>
                <c:pt idx="7">
                  <c:v>6.9730684078100055E-2</c:v>
                </c:pt>
                <c:pt idx="8">
                  <c:v>8.0940251998102647E-2</c:v>
                </c:pt>
                <c:pt idx="9">
                  <c:v>9.3178987775254046E-2</c:v>
                </c:pt>
              </c:numCache>
            </c:numRef>
          </c:val>
          <c:smooth val="0"/>
          <c:extLst>
            <c:ext xmlns:c16="http://schemas.microsoft.com/office/drawing/2014/chart" uri="{C3380CC4-5D6E-409C-BE32-E72D297353CC}">
              <c16:uniqueId val="{00000001-D082-594B-8C8A-52195270EBBA}"/>
            </c:ext>
          </c:extLst>
        </c:ser>
        <c:ser>
          <c:idx val="2"/>
          <c:order val="2"/>
          <c:tx>
            <c:v>rate1</c:v>
          </c:tx>
          <c:spPr>
            <a:ln w="19050" cmpd="sng">
              <a:no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[0]!GWPperPrate1</c:f>
              <c:numCache>
                <c:formatCode>0.00%</c:formatCode>
                <c:ptCount val="10"/>
                <c:pt idx="0">
                  <c:v>1.7068161340146881E-2</c:v>
                </c:pt>
                <c:pt idx="1">
                  <c:v>1.7068161340146881E-2</c:v>
                </c:pt>
                <c:pt idx="2">
                  <c:v>1.7068161340146881E-2</c:v>
                </c:pt>
                <c:pt idx="3">
                  <c:v>1.7068161340146881E-2</c:v>
                </c:pt>
                <c:pt idx="4">
                  <c:v>1.7068161340146881E-2</c:v>
                </c:pt>
                <c:pt idx="5">
                  <c:v>1.7068161340146881E-2</c:v>
                </c:pt>
                <c:pt idx="6">
                  <c:v>1.7068161340146881E-2</c:v>
                </c:pt>
                <c:pt idx="7">
                  <c:v>1.7068161340146881E-2</c:v>
                </c:pt>
                <c:pt idx="8">
                  <c:v>1.7068161340146881E-2</c:v>
                </c:pt>
                <c:pt idx="9">
                  <c:v>1.7068161340146881E-2</c:v>
                </c:pt>
              </c:numCache>
            </c:numRef>
          </c:val>
          <c:smooth val="0"/>
          <c:extLst>
            <c:ext xmlns:c16="http://schemas.microsoft.com/office/drawing/2014/chart" uri="{C3380CC4-5D6E-409C-BE32-E72D297353CC}">
              <c16:uniqueId val="{00000002-D082-594B-8C8A-52195270EBBA}"/>
            </c:ext>
          </c:extLst>
        </c:ser>
        <c:ser>
          <c:idx val="3"/>
          <c:order val="3"/>
          <c:tx>
            <c:v>rate2</c:v>
          </c:tx>
          <c:spPr>
            <a:ln w="19050" cmpd="sng">
              <a:no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[0]!GWPperPrate2</c:f>
              <c:numCache>
                <c:formatCode>0.00%</c:formatCode>
                <c:ptCount val="10"/>
                <c:pt idx="0">
                  <c:v>2.5565099356545273E-2</c:v>
                </c:pt>
                <c:pt idx="1">
                  <c:v>2.5565099356545273E-2</c:v>
                </c:pt>
                <c:pt idx="2">
                  <c:v>2.5565099356545273E-2</c:v>
                </c:pt>
                <c:pt idx="3">
                  <c:v>2.5565099356545273E-2</c:v>
                </c:pt>
                <c:pt idx="4">
                  <c:v>2.5565099356545273E-2</c:v>
                </c:pt>
                <c:pt idx="5">
                  <c:v>2.5565099356545273E-2</c:v>
                </c:pt>
                <c:pt idx="6">
                  <c:v>2.5565099356545273E-2</c:v>
                </c:pt>
                <c:pt idx="7">
                  <c:v>2.5565099356545273E-2</c:v>
                </c:pt>
                <c:pt idx="8">
                  <c:v>2.5565099356545273E-2</c:v>
                </c:pt>
                <c:pt idx="9">
                  <c:v>2.5565099356545273E-2</c:v>
                </c:pt>
              </c:numCache>
            </c:numRef>
          </c:val>
          <c:smooth val="0"/>
          <c:extLst>
            <c:ext xmlns:c16="http://schemas.microsoft.com/office/drawing/2014/chart" uri="{C3380CC4-5D6E-409C-BE32-E72D297353CC}">
              <c16:uniqueId val="{00000003-D082-594B-8C8A-52195270EBBA}"/>
            </c:ext>
          </c:extLst>
        </c:ser>
        <c:dLbls>
          <c:showLegendKey val="0"/>
          <c:showVal val="0"/>
          <c:showCatName val="0"/>
          <c:showSerName val="0"/>
          <c:showPercent val="0"/>
          <c:showBubbleSize val="0"/>
        </c:dLbls>
        <c:smooth val="0"/>
        <c:axId val="-1642852896"/>
        <c:axId val="-1642849632"/>
      </c:lineChart>
      <c:catAx>
        <c:axId val="-1642852896"/>
        <c:scaling>
          <c:orientation val="minMax"/>
        </c:scaling>
        <c:delete val="0"/>
        <c:axPos val="b"/>
        <c:numFmt formatCode="General" sourceLinked="1"/>
        <c:majorTickMark val="none"/>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2849632"/>
        <c:crosses val="autoZero"/>
        <c:auto val="1"/>
        <c:lblAlgn val="ctr"/>
        <c:lblOffset val="100"/>
        <c:tickLblSkip val="9"/>
        <c:tickMarkSkip val="1"/>
        <c:noMultiLvlLbl val="0"/>
      </c:catAx>
      <c:valAx>
        <c:axId val="-1642849632"/>
        <c:scaling>
          <c:orientation val="minMax"/>
          <c:max val="0.05"/>
          <c:min val="-0.05"/>
        </c:scaling>
        <c:delete val="0"/>
        <c:axPos val="l"/>
        <c:majorGridlines>
          <c:spPr>
            <a:ln w="3175">
              <a:solidFill>
                <a:schemeClr val="bg1">
                  <a:lumMod val="65000"/>
                </a:schemeClr>
              </a:solidFill>
              <a:prstDash val="sysDash"/>
            </a:ln>
          </c:spPr>
        </c:majorGridlines>
        <c:title>
          <c:tx>
            <c:rich>
              <a:bodyPr/>
              <a:lstStyle/>
              <a:p>
                <a:pPr>
                  <a:defRPr sz="800" b="0" i="0" u="none" strike="noStrike" baseline="0">
                    <a:solidFill>
                      <a:srgbClr val="000000"/>
                    </a:solidFill>
                    <a:latin typeface="Arial"/>
                    <a:ea typeface="Arial"/>
                    <a:cs typeface="Arial"/>
                  </a:defRPr>
                </a:pPr>
                <a:r>
                  <a:rPr lang="en-US" sz="800" b="0" i="0" u="none" strike="noStrike" baseline="0">
                    <a:effectLst/>
                  </a:rPr>
                  <a:t>Annual Rate of Change</a:t>
                </a:r>
                <a:r>
                  <a:rPr lang="en-US" sz="800" b="0" i="0" u="none" strike="noStrike" baseline="0"/>
                  <a:t> </a:t>
                </a:r>
                <a:endParaRPr lang="en-US"/>
              </a:p>
            </c:rich>
          </c:tx>
          <c:layout>
            <c:manualLayout>
              <c:xMode val="edge"/>
              <c:yMode val="edge"/>
              <c:x val="2.7210861757561901E-2"/>
              <c:y val="0.288235294117646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2852896"/>
        <c:crosses val="autoZero"/>
        <c:crossBetween val="midCat"/>
        <c:majorUnit val="0.01"/>
        <c:minorUnit val="0.01"/>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 verticalDpi="1200"/>
  </c:printSettings>
  <c:userShapes r:id="rId2"/>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b="1"/>
              <a:t>Population</a:t>
            </a:r>
          </a:p>
        </c:rich>
      </c:tx>
      <c:layout>
        <c:manualLayout>
          <c:xMode val="edge"/>
          <c:yMode val="edge"/>
          <c:x val="0.34002082804165601"/>
          <c:y val="4.4444444444444398E-2"/>
        </c:manualLayout>
      </c:layout>
      <c:overlay val="0"/>
    </c:title>
    <c:autoTitleDeleted val="0"/>
    <c:plotArea>
      <c:layout>
        <c:manualLayout>
          <c:layoutTarget val="inner"/>
          <c:xMode val="edge"/>
          <c:yMode val="edge"/>
          <c:x val="0.229590551181102"/>
          <c:y val="0.176248031496063"/>
          <c:w val="0.60464363728727399"/>
          <c:h val="0.67409186351705996"/>
        </c:manualLayout>
      </c:layout>
      <c:areaChart>
        <c:grouping val="stacked"/>
        <c:varyColors val="0"/>
        <c:ser>
          <c:idx val="0"/>
          <c:order val="0"/>
          <c:tx>
            <c:v>Reference case</c:v>
          </c:tx>
          <c:spPr>
            <a:noFill/>
            <a:ln>
              <a:solidFill>
                <a:sysClr val="windowText" lastClr="000000"/>
              </a:solidFill>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[0]!PopRef</c:f>
              <c:numCache>
                <c:formatCode>0.00</c:formatCode>
                <c:ptCount val="10"/>
                <c:pt idx="0">
                  <c:v>6.9217978520000001</c:v>
                </c:pt>
                <c:pt idx="1">
                  <c:v>7.6715019529999999</c:v>
                </c:pt>
                <c:pt idx="2">
                  <c:v>8.3276826170000007</c:v>
                </c:pt>
                <c:pt idx="3">
                  <c:v>8.8571757810000005</c:v>
                </c:pt>
                <c:pt idx="4">
                  <c:v>9.2425429690000005</c:v>
                </c:pt>
                <c:pt idx="5">
                  <c:v>9.4599677730000007</c:v>
                </c:pt>
                <c:pt idx="6">
                  <c:v>9.5310947269999993</c:v>
                </c:pt>
                <c:pt idx="7">
                  <c:v>9.4802275389999995</c:v>
                </c:pt>
                <c:pt idx="8">
                  <c:v>9.3257070310000003</c:v>
                </c:pt>
                <c:pt idx="9">
                  <c:v>9.1032343749999995</c:v>
                </c:pt>
              </c:numCache>
            </c:numRef>
          </c:val>
          <c:extLst>
            <c:ext xmlns:c16="http://schemas.microsoft.com/office/drawing/2014/chart" uri="{C3380CC4-5D6E-409C-BE32-E72D297353CC}">
              <c16:uniqueId val="{00000000-C39A-D447-85C2-B806AC777503}"/>
            </c:ext>
          </c:extLst>
        </c:ser>
        <c:ser>
          <c:idx val="4"/>
          <c:order val="4"/>
          <c:tx>
            <c:v>Area</c:v>
          </c:tx>
          <c:spPr>
            <a:solidFill>
              <a:srgbClr val="A1F5FF"/>
            </a:solidFill>
            <a:ln>
              <a:solidFill>
                <a:sysClr val="windowText" lastClr="000000"/>
              </a:solidFill>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AreasForDashboardsRatios!$E$2:$N$2</c:f>
              <c:numCache>
                <c:formatCode>General</c:formatCode>
                <c:ptCount val="10"/>
                <c:pt idx="0">
                  <c:v>-4.3749981415430739E-10</c:v>
                </c:pt>
                <c:pt idx="1">
                  <c:v>-9.5396972531250235E-2</c:v>
                </c:pt>
                <c:pt idx="2">
                  <c:v>-0.26574462871875149</c:v>
                </c:pt>
                <c:pt idx="3">
                  <c:v>-0.46841308568749973</c:v>
                </c:pt>
                <c:pt idx="4">
                  <c:v>-0.71204296900000053</c:v>
                </c:pt>
                <c:pt idx="5">
                  <c:v>-0.9677919917500013</c:v>
                </c:pt>
                <c:pt idx="6">
                  <c:v>-1.2321445316874993</c:v>
                </c:pt>
                <c:pt idx="7">
                  <c:v>-1.5128403319687491</c:v>
                </c:pt>
                <c:pt idx="8">
                  <c:v>-1.8152529294375004</c:v>
                </c:pt>
                <c:pt idx="9">
                  <c:v>-2.1452456054687499</c:v>
                </c:pt>
              </c:numCache>
            </c:numRef>
          </c:val>
          <c:extLst>
            <c:ext xmlns:c16="http://schemas.microsoft.com/office/drawing/2014/chart" uri="{C3380CC4-5D6E-409C-BE32-E72D297353CC}">
              <c16:uniqueId val="{00000001-C39A-D447-85C2-B806AC777503}"/>
            </c:ext>
          </c:extLst>
        </c:ser>
        <c:dLbls>
          <c:showLegendKey val="0"/>
          <c:showVal val="0"/>
          <c:showCatName val="0"/>
          <c:showSerName val="0"/>
          <c:showPercent val="0"/>
          <c:showBubbleSize val="0"/>
        </c:dLbls>
        <c:axId val="-1642923760"/>
        <c:axId val="-1642920496"/>
      </c:areaChart>
      <c:lineChart>
        <c:grouping val="standard"/>
        <c:varyColors val="0"/>
        <c:ser>
          <c:idx val="1"/>
          <c:order val="1"/>
          <c:tx>
            <c:v>Mitigation Case</c:v>
          </c:tx>
          <c:spPr>
            <a:ln w="28575">
              <a:solidFill>
                <a:srgbClr val="C00000"/>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[0]!PopInt</c:f>
              <c:numCache>
                <c:formatCode>0.00</c:formatCode>
                <c:ptCount val="10"/>
                <c:pt idx="0">
                  <c:v>6.9217978515625003</c:v>
                </c:pt>
                <c:pt idx="1">
                  <c:v>7.5761049804687497</c:v>
                </c:pt>
                <c:pt idx="2">
                  <c:v>8.0619379882812492</c:v>
                </c:pt>
                <c:pt idx="3">
                  <c:v>8.3887626953125007</c:v>
                </c:pt>
                <c:pt idx="4">
                  <c:v>8.5305</c:v>
                </c:pt>
                <c:pt idx="5">
                  <c:v>8.4921757812499994</c:v>
                </c:pt>
                <c:pt idx="6">
                  <c:v>8.2989501953125</c:v>
                </c:pt>
                <c:pt idx="7">
                  <c:v>7.9673872070312504</c:v>
                </c:pt>
                <c:pt idx="8">
                  <c:v>7.5104541015624999</c:v>
                </c:pt>
                <c:pt idx="9">
                  <c:v>6.9579887695312497</c:v>
                </c:pt>
              </c:numCache>
            </c:numRef>
          </c:val>
          <c:smooth val="0"/>
          <c:extLst>
            <c:ext xmlns:c16="http://schemas.microsoft.com/office/drawing/2014/chart" uri="{C3380CC4-5D6E-409C-BE32-E72D297353CC}">
              <c16:uniqueId val="{00000002-C39A-D447-85C2-B806AC777503}"/>
            </c:ext>
          </c:extLst>
        </c:ser>
        <c:ser>
          <c:idx val="2"/>
          <c:order val="2"/>
          <c:tx>
            <c:v>proj1</c:v>
          </c:tx>
          <c:spPr>
            <a:ln w="19050" cmpd="sng">
              <a:solidFill>
                <a:srgbClr val="008000"/>
              </a:solid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[0]!Pproj1</c:f>
              <c:numCache>
                <c:formatCode>General</c:formatCode>
                <c:ptCount val="10"/>
                <c:pt idx="0">
                  <c:v>6.9217978520000001</c:v>
                </c:pt>
                <c:pt idx="1">
                  <c:v>7.9025930608181971</c:v>
                </c:pt>
                <c:pt idx="2">
                  <c:v>9.0223636142230301</c:v>
                </c:pt>
                <c:pt idx="3">
                  <c:v>10.300801845771312</c:v>
                </c:pt>
                <c:pt idx="4">
                  <c:v>11.760390425694803</c:v>
                </c:pt>
                <c:pt idx="5">
                  <c:v>13.426797742114777</c:v>
                </c:pt>
                <c:pt idx="6">
                  <c:v>15.32932930642969</c:v>
                </c:pt>
                <c:pt idx="7">
                  <c:v>17.501443121310658</c:v>
                </c:pt>
                <c:pt idx="8">
                  <c:v>19.981338074588713</c:v>
                </c:pt>
                <c:pt idx="9">
                  <c:v>22.81262570655425</c:v>
                </c:pt>
              </c:numCache>
            </c:numRef>
          </c:val>
          <c:smooth val="0"/>
          <c:extLst>
            <c:ext xmlns:c16="http://schemas.microsoft.com/office/drawing/2014/chart" uri="{C3380CC4-5D6E-409C-BE32-E72D297353CC}">
              <c16:uniqueId val="{00000003-C39A-D447-85C2-B806AC777503}"/>
            </c:ext>
          </c:extLst>
        </c:ser>
        <c:ser>
          <c:idx val="3"/>
          <c:order val="3"/>
          <c:tx>
            <c:v>proj2</c:v>
          </c:tx>
          <c:spPr>
            <a:ln w="19050" cmpd="sng">
              <a:solidFill>
                <a:srgbClr val="3366FF"/>
              </a:solid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[0]!Pproj2</c:f>
              <c:numCache>
                <c:formatCode>General</c:formatCode>
                <c:ptCount val="10"/>
                <c:pt idx="0">
                  <c:v>6.9217978520000001</c:v>
                </c:pt>
                <c:pt idx="1">
                  <c:v>7.839139256025204</c:v>
                </c:pt>
                <c:pt idx="2">
                  <c:v>8.8780553245424922</c:v>
                </c:pt>
                <c:pt idx="3">
                  <c:v>10.054658269408332</c:v>
                </c:pt>
                <c:pt idx="4">
                  <c:v>11.387195643522427</c:v>
                </c:pt>
                <c:pt idx="5">
                  <c:v>12.896333336198655</c:v>
                </c:pt>
                <c:pt idx="6">
                  <c:v>14.60547607372995</c:v>
                </c:pt>
                <c:pt idx="7">
                  <c:v>16.541130395686295</c:v>
                </c:pt>
                <c:pt idx="8">
                  <c:v>18.733315736227333</c:v>
                </c:pt>
                <c:pt idx="9">
                  <c:v>21.21602998575613</c:v>
                </c:pt>
              </c:numCache>
            </c:numRef>
          </c:val>
          <c:smooth val="0"/>
          <c:extLst>
            <c:ext xmlns:c16="http://schemas.microsoft.com/office/drawing/2014/chart" uri="{C3380CC4-5D6E-409C-BE32-E72D297353CC}">
              <c16:uniqueId val="{00000004-C39A-D447-85C2-B806AC777503}"/>
            </c:ext>
          </c:extLst>
        </c:ser>
        <c:dLbls>
          <c:showLegendKey val="0"/>
          <c:showVal val="0"/>
          <c:showCatName val="0"/>
          <c:showSerName val="0"/>
          <c:showPercent val="0"/>
          <c:showBubbleSize val="0"/>
        </c:dLbls>
        <c:marker val="1"/>
        <c:smooth val="0"/>
        <c:axId val="-1642923760"/>
        <c:axId val="-1642920496"/>
      </c:lineChart>
      <c:catAx>
        <c:axId val="-1642923760"/>
        <c:scaling>
          <c:orientation val="minMax"/>
        </c:scaling>
        <c:delete val="0"/>
        <c:axPos val="b"/>
        <c:numFmt formatCode="General" sourceLinked="1"/>
        <c:majorTickMark val="none"/>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2920496"/>
        <c:crosses val="autoZero"/>
        <c:auto val="1"/>
        <c:lblAlgn val="ctr"/>
        <c:lblOffset val="100"/>
        <c:tickLblSkip val="9"/>
        <c:tickMarkSkip val="1"/>
        <c:noMultiLvlLbl val="0"/>
      </c:catAx>
      <c:valAx>
        <c:axId val="-1642920496"/>
        <c:scaling>
          <c:orientation val="minMax"/>
          <c:max val="20"/>
          <c:min val="0"/>
        </c:scaling>
        <c:delete val="0"/>
        <c:axPos val="l"/>
        <c:title>
          <c:tx>
            <c:rich>
              <a:bodyPr rot="-5400000" vert="horz" anchor="b" anchorCtr="1"/>
              <a:lstStyle/>
              <a:p>
                <a:pPr>
                  <a:defRPr/>
                </a:pPr>
                <a:r>
                  <a:rPr lang="en-US"/>
                  <a:t>Billions</a:t>
                </a:r>
              </a:p>
            </c:rich>
          </c:tx>
          <c:layout>
            <c:manualLayout>
              <c:xMode val="edge"/>
              <c:yMode val="edge"/>
              <c:x val="1.4998270565016601E-2"/>
              <c:y val="0.456806649168854"/>
            </c:manualLayout>
          </c:layout>
          <c:overlay val="0"/>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2923760"/>
        <c:crossesAt val="0"/>
        <c:crossBetween val="midCat"/>
        <c:majorUnit val="5"/>
        <c:minorUnit val="0.5"/>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1200" verticalDpi="1200"/>
  </c:printSettings>
  <c:userShapes r:id="rId2"/>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231154686309373"/>
          <c:y val="0.18121872265966699"/>
          <c:w val="0.60308001016002"/>
          <c:h val="0.66327296587926499"/>
        </c:manualLayout>
      </c:layout>
      <c:lineChart>
        <c:grouping val="standard"/>
        <c:varyColors val="0"/>
        <c:ser>
          <c:idx val="0"/>
          <c:order val="0"/>
          <c:tx>
            <c:v>Reference case</c:v>
          </c:tx>
          <c:spPr>
            <a:ln w="19050">
              <a:solidFill>
                <a:srgbClr val="000000"/>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[0]!PopindexRef</c:f>
              <c:numCache>
                <c:formatCode>0.00</c:formatCode>
                <c:ptCount val="10"/>
                <c:pt idx="0">
                  <c:v>1</c:v>
                </c:pt>
                <c:pt idx="1">
                  <c:v>1.1083106032608825</c:v>
                </c:pt>
                <c:pt idx="2">
                  <c:v>1.2031097693200881</c:v>
                </c:pt>
                <c:pt idx="3">
                  <c:v>1.2796062483160771</c:v>
                </c:pt>
                <c:pt idx="4">
                  <c:v>1.3352806838081004</c:v>
                </c:pt>
                <c:pt idx="5">
                  <c:v>1.3666922922729701</c:v>
                </c:pt>
                <c:pt idx="6">
                  <c:v>1.3769680841294814</c:v>
                </c:pt>
                <c:pt idx="7">
                  <c:v>1.3696192436854771</c:v>
                </c:pt>
                <c:pt idx="8">
                  <c:v>1.3472954903335423</c:v>
                </c:pt>
                <c:pt idx="9">
                  <c:v>1.3151546129550273</c:v>
                </c:pt>
              </c:numCache>
            </c:numRef>
          </c:val>
          <c:smooth val="0"/>
          <c:extLst>
            <c:ext xmlns:c16="http://schemas.microsoft.com/office/drawing/2014/chart" uri="{C3380CC4-5D6E-409C-BE32-E72D297353CC}">
              <c16:uniqueId val="{00000000-DBDA-5F40-AD20-95979373D899}"/>
            </c:ext>
          </c:extLst>
        </c:ser>
        <c:ser>
          <c:idx val="1"/>
          <c:order val="1"/>
          <c:tx>
            <c:v>Mitigation Case</c:v>
          </c:tx>
          <c:spPr>
            <a:ln w="28575">
              <a:solidFill>
                <a:srgbClr val="C00000"/>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[0]!PopindexInt</c:f>
              <c:numCache>
                <c:formatCode>0.00</c:formatCode>
                <c:ptCount val="10"/>
                <c:pt idx="0">
                  <c:v>1</c:v>
                </c:pt>
                <c:pt idx="1">
                  <c:v>1.0945284943215365</c:v>
                </c:pt>
                <c:pt idx="2">
                  <c:v>1.1647173409523044</c:v>
                </c:pt>
                <c:pt idx="3">
                  <c:v>1.2119340777076946</c:v>
                </c:pt>
                <c:pt idx="4">
                  <c:v>1.2324110271545068</c:v>
                </c:pt>
                <c:pt idx="5">
                  <c:v>1.2268742837286137</c:v>
                </c:pt>
                <c:pt idx="6">
                  <c:v>1.1989587637898333</c:v>
                </c:pt>
                <c:pt idx="7">
                  <c:v>1.1510574821587318</c:v>
                </c:pt>
                <c:pt idx="8">
                  <c:v>1.085043837254958</c:v>
                </c:pt>
                <c:pt idx="9">
                  <c:v>1.0052285430382195</c:v>
                </c:pt>
              </c:numCache>
            </c:numRef>
          </c:val>
          <c:smooth val="0"/>
          <c:extLst>
            <c:ext xmlns:c16="http://schemas.microsoft.com/office/drawing/2014/chart" uri="{C3380CC4-5D6E-409C-BE32-E72D297353CC}">
              <c16:uniqueId val="{00000001-DBDA-5F40-AD20-95979373D899}"/>
            </c:ext>
          </c:extLst>
        </c:ser>
        <c:ser>
          <c:idx val="2"/>
          <c:order val="2"/>
          <c:tx>
            <c:v>proj1</c:v>
          </c:tx>
          <c:spPr>
            <a:ln w="19050" cmpd="sng">
              <a:solidFill>
                <a:srgbClr val="008000"/>
              </a:solid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[0]!Pprojindex1</c:f>
              <c:numCache>
                <c:formatCode>General</c:formatCode>
                <c:ptCount val="10"/>
                <c:pt idx="0">
                  <c:v>1</c:v>
                </c:pt>
                <c:pt idx="1">
                  <c:v>1.1416965981655769</c:v>
                </c:pt>
                <c:pt idx="2">
                  <c:v>1.3034711222628508</c:v>
                </c:pt>
                <c:pt idx="3">
                  <c:v>1.4881685460945635</c:v>
                </c:pt>
                <c:pt idx="4">
                  <c:v>1.6990369665731757</c:v>
                </c:pt>
                <c:pt idx="5">
                  <c:v>1.9397847248941558</c:v>
                </c:pt>
                <c:pt idx="6">
                  <c:v>2.2146456215852073</c:v>
                </c:pt>
                <c:pt idx="7">
                  <c:v>2.5284533723061204</c:v>
                </c:pt>
                <c:pt idx="8">
                  <c:v>2.8867266137821788</c:v>
                </c:pt>
                <c:pt idx="9">
                  <c:v>3.2957659547891485</c:v>
                </c:pt>
              </c:numCache>
            </c:numRef>
          </c:val>
          <c:smooth val="0"/>
          <c:extLst>
            <c:ext xmlns:c16="http://schemas.microsoft.com/office/drawing/2014/chart" uri="{C3380CC4-5D6E-409C-BE32-E72D297353CC}">
              <c16:uniqueId val="{00000002-DBDA-5F40-AD20-95979373D899}"/>
            </c:ext>
          </c:extLst>
        </c:ser>
        <c:ser>
          <c:idx val="3"/>
          <c:order val="3"/>
          <c:tx>
            <c:v>proj2</c:v>
          </c:tx>
          <c:spPr>
            <a:ln w="19050" cmpd="sng">
              <a:solidFill>
                <a:srgbClr val="3366FF"/>
              </a:solid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[0]!Pprojindex2</c:f>
              <c:numCache>
                <c:formatCode>General</c:formatCode>
                <c:ptCount val="10"/>
                <c:pt idx="0">
                  <c:v>1</c:v>
                </c:pt>
                <c:pt idx="1">
                  <c:v>1.1325293548929842</c:v>
                </c:pt>
                <c:pt idx="2">
                  <c:v>1.2826227396943191</c:v>
                </c:pt>
                <c:pt idx="3">
                  <c:v>1.4526079039570792</c:v>
                </c:pt>
                <c:pt idx="4">
                  <c:v>1.6451210923809609</c:v>
                </c:pt>
                <c:pt idx="5">
                  <c:v>1.8631479294750513</c:v>
                </c:pt>
                <c:pt idx="6">
                  <c:v>2.1100697226385789</c:v>
                </c:pt>
                <c:pt idx="7">
                  <c:v>2.3897159017590881</c:v>
                </c:pt>
                <c:pt idx="8">
                  <c:v>2.7064234085967263</c:v>
                </c:pt>
                <c:pt idx="9">
                  <c:v>3.0651039570053218</c:v>
                </c:pt>
              </c:numCache>
            </c:numRef>
          </c:val>
          <c:smooth val="0"/>
          <c:extLst>
            <c:ext xmlns:c16="http://schemas.microsoft.com/office/drawing/2014/chart" uri="{C3380CC4-5D6E-409C-BE32-E72D297353CC}">
              <c16:uniqueId val="{00000003-DBDA-5F40-AD20-95979373D899}"/>
            </c:ext>
          </c:extLst>
        </c:ser>
        <c:dLbls>
          <c:showLegendKey val="0"/>
          <c:showVal val="0"/>
          <c:showCatName val="0"/>
          <c:showSerName val="0"/>
          <c:showPercent val="0"/>
          <c:showBubbleSize val="0"/>
        </c:dLbls>
        <c:smooth val="0"/>
        <c:axId val="-1642887488"/>
        <c:axId val="-1642884224"/>
      </c:lineChart>
      <c:catAx>
        <c:axId val="-1642887488"/>
        <c:scaling>
          <c:orientation val="minMax"/>
        </c:scaling>
        <c:delete val="0"/>
        <c:axPos val="b"/>
        <c:numFmt formatCode="General" sourceLinked="1"/>
        <c:majorTickMark val="none"/>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2884224"/>
        <c:crosses val="autoZero"/>
        <c:auto val="1"/>
        <c:lblAlgn val="ctr"/>
        <c:lblOffset val="100"/>
        <c:tickLblSkip val="9"/>
        <c:tickMarkSkip val="1"/>
        <c:noMultiLvlLbl val="0"/>
      </c:catAx>
      <c:valAx>
        <c:axId val="-1642884224"/>
        <c:scaling>
          <c:orientation val="minMax"/>
          <c:max val="6"/>
          <c:min val="0"/>
        </c:scaling>
        <c:delete val="0"/>
        <c:axPos val="l"/>
        <c:title>
          <c:tx>
            <c:rich>
              <a:bodyPr rot="-5400000" vert="horz"/>
              <a:lstStyle/>
              <a:p>
                <a:pPr marL="0" marR="0" indent="0" algn="ctr" defTabSz="914400" rtl="0" eaLnBrk="1" fontAlgn="auto" latinLnBrk="0" hangingPunct="1">
                  <a:lnSpc>
                    <a:spcPct val="100000"/>
                  </a:lnSpc>
                  <a:spcBef>
                    <a:spcPts val="0"/>
                  </a:spcBef>
                  <a:spcAft>
                    <a:spcPts val="0"/>
                  </a:spcAft>
                  <a:buClrTx/>
                  <a:buSzTx/>
                  <a:buFontTx/>
                  <a:buNone/>
                  <a:tabLst/>
                  <a:defRPr sz="800" b="0" i="0" u="none" strike="noStrike" kern="1200" baseline="0">
                    <a:solidFill>
                      <a:srgbClr val="000000"/>
                    </a:solidFill>
                    <a:latin typeface="Arial"/>
                    <a:ea typeface="Arial"/>
                    <a:cs typeface="Arial"/>
                  </a:defRPr>
                </a:pPr>
                <a:r>
                  <a:rPr lang="en-US" sz="800" b="0" i="0" kern="1200" baseline="0">
                    <a:solidFill>
                      <a:srgbClr val="000000"/>
                    </a:solidFill>
                    <a:effectLst/>
                    <a:latin typeface="Arial" panose="020B0604020202020204" pitchFamily="34" charset="0"/>
                    <a:ea typeface="Arial" panose="020B0604020202020204" pitchFamily="34" charset="0"/>
                    <a:cs typeface="Arial" panose="020B0604020202020204" pitchFamily="34" charset="0"/>
                  </a:rPr>
                  <a:t> Population (2010=1)</a:t>
                </a:r>
                <a:endParaRPr lang="en-US">
                  <a:effectLst/>
                </a:endParaRPr>
              </a:p>
            </c:rich>
          </c:tx>
          <c:layout>
            <c:manualLayout>
              <c:xMode val="edge"/>
              <c:yMode val="edge"/>
              <c:x val="2.1039593887973301E-2"/>
              <c:y val="0.25310498687664001"/>
            </c:manualLayout>
          </c:layout>
          <c:overlay val="0"/>
        </c:title>
        <c:numFmt formatCode="#,##0" sourceLinked="0"/>
        <c:majorTickMark val="out"/>
        <c:minorTickMark val="out"/>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2887488"/>
        <c:crosses val="autoZero"/>
        <c:crossBetween val="midCat"/>
        <c:majorUnit val="1"/>
        <c:minorUnit val="1"/>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1200" verticalDpi="1200"/>
  </c:printSettings>
  <c:userShapes r:id="rId2"/>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000" b="1" i="0" u="none" strike="noStrike" baseline="0">
                <a:solidFill>
                  <a:srgbClr val="000000"/>
                </a:solidFill>
                <a:latin typeface="Arial"/>
                <a:ea typeface="Arial"/>
                <a:cs typeface="Arial"/>
              </a:defRPr>
            </a:pPr>
            <a:r>
              <a:rPr lang="en-US"/>
              <a:t>Population</a:t>
            </a:r>
          </a:p>
        </c:rich>
      </c:tx>
      <c:layout>
        <c:manualLayout>
          <c:xMode val="edge"/>
          <c:yMode val="edge"/>
          <c:x val="0.34013611670634197"/>
          <c:y val="5.2287401574803098E-2"/>
        </c:manualLayout>
      </c:layout>
      <c:overlay val="0"/>
      <c:spPr>
        <a:noFill/>
        <a:ln w="25400">
          <a:noFill/>
        </a:ln>
      </c:spPr>
    </c:title>
    <c:autoTitleDeleted val="0"/>
    <c:plotArea>
      <c:layout>
        <c:manualLayout>
          <c:layoutTarget val="inner"/>
          <c:xMode val="edge"/>
          <c:yMode val="edge"/>
          <c:x val="0.22467154539362089"/>
          <c:y val="0.21176472104088159"/>
          <c:w val="0.60800830128792005"/>
          <c:h val="0.69313735783027097"/>
        </c:manualLayout>
      </c:layout>
      <c:lineChart>
        <c:grouping val="standard"/>
        <c:varyColors val="0"/>
        <c:ser>
          <c:idx val="0"/>
          <c:order val="0"/>
          <c:tx>
            <c:v>Reference case</c:v>
          </c:tx>
          <c:spPr>
            <a:ln w="12700">
              <a:solidFill>
                <a:srgbClr val="000000"/>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[0]!PopchngRef</c:f>
              <c:numCache>
                <c:formatCode>0.00</c:formatCode>
                <c:ptCount val="10"/>
                <c:pt idx="1">
                  <c:v>1.0831060326088238E-2</c:v>
                </c:pt>
                <c:pt idx="2">
                  <c:v>9.4799166059205617E-3</c:v>
                </c:pt>
                <c:pt idx="3">
                  <c:v>7.6496478995989005E-3</c:v>
                </c:pt>
                <c:pt idx="4">
                  <c:v>5.5674435492023382E-3</c:v>
                </c:pt>
                <c:pt idx="5">
                  <c:v>3.1411608464869713E-3</c:v>
                </c:pt>
                <c:pt idx="6">
                  <c:v>1.0275791856511236E-3</c:v>
                </c:pt>
                <c:pt idx="7">
                  <c:v>-7.3488404440043135E-4</c:v>
                </c:pt>
                <c:pt idx="8">
                  <c:v>-2.2323753351934667E-3</c:v>
                </c:pt>
                <c:pt idx="9">
                  <c:v>-3.2140877378515034E-3</c:v>
                </c:pt>
              </c:numCache>
            </c:numRef>
          </c:val>
          <c:smooth val="0"/>
          <c:extLst>
            <c:ext xmlns:c16="http://schemas.microsoft.com/office/drawing/2014/chart" uri="{C3380CC4-5D6E-409C-BE32-E72D297353CC}">
              <c16:uniqueId val="{00000000-27B9-6446-9430-249FDDA1860F}"/>
            </c:ext>
          </c:extLst>
        </c:ser>
        <c:ser>
          <c:idx val="1"/>
          <c:order val="1"/>
          <c:tx>
            <c:v>Mitigation Case</c:v>
          </c:tx>
          <c:spPr>
            <a:ln w="28575">
              <a:solidFill>
                <a:srgbClr val="C00000"/>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[0]!PopchngInt</c:f>
              <c:numCache>
                <c:formatCode>0.00</c:formatCode>
                <c:ptCount val="10"/>
                <c:pt idx="1">
                  <c:v>9.4528494321536507E-3</c:v>
                </c:pt>
                <c:pt idx="2">
                  <c:v>7.0188846630767961E-3</c:v>
                </c:pt>
                <c:pt idx="3">
                  <c:v>4.7216736755390128E-3</c:v>
                </c:pt>
                <c:pt idx="4">
                  <c:v>2.0476949446812287E-3</c:v>
                </c:pt>
                <c:pt idx="5">
                  <c:v>-5.5367434258932343E-4</c:v>
                </c:pt>
                <c:pt idx="6">
                  <c:v>-2.7915519938780265E-3</c:v>
                </c:pt>
                <c:pt idx="7">
                  <c:v>-4.7901281631101645E-3</c:v>
                </c:pt>
                <c:pt idx="8">
                  <c:v>-6.6013644903773682E-3</c:v>
                </c:pt>
                <c:pt idx="9">
                  <c:v>-7.9815294216738619E-3</c:v>
                </c:pt>
              </c:numCache>
            </c:numRef>
          </c:val>
          <c:smooth val="0"/>
          <c:extLst>
            <c:ext xmlns:c16="http://schemas.microsoft.com/office/drawing/2014/chart" uri="{C3380CC4-5D6E-409C-BE32-E72D297353CC}">
              <c16:uniqueId val="{00000001-27B9-6446-9430-249FDDA1860F}"/>
            </c:ext>
          </c:extLst>
        </c:ser>
        <c:ser>
          <c:idx val="2"/>
          <c:order val="2"/>
          <c:tx>
            <c:v>rate1</c:v>
          </c:tx>
          <c:spPr>
            <a:ln w="19050" cmpd="sng">
              <a:no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[0]!Prate1</c:f>
              <c:numCache>
                <c:formatCode>0.00%</c:formatCode>
                <c:ptCount val="10"/>
                <c:pt idx="0">
                  <c:v>1.33397307876435E-2</c:v>
                </c:pt>
                <c:pt idx="1">
                  <c:v>1.33397307876435E-2</c:v>
                </c:pt>
                <c:pt idx="2">
                  <c:v>1.33397307876435E-2</c:v>
                </c:pt>
                <c:pt idx="3">
                  <c:v>1.33397307876435E-2</c:v>
                </c:pt>
                <c:pt idx="4">
                  <c:v>1.33397307876435E-2</c:v>
                </c:pt>
                <c:pt idx="5">
                  <c:v>1.33397307876435E-2</c:v>
                </c:pt>
                <c:pt idx="6">
                  <c:v>1.33397307876435E-2</c:v>
                </c:pt>
                <c:pt idx="7">
                  <c:v>1.33397307876435E-2</c:v>
                </c:pt>
                <c:pt idx="8">
                  <c:v>1.33397307876435E-2</c:v>
                </c:pt>
                <c:pt idx="9">
                  <c:v>1.33397307876435E-2</c:v>
                </c:pt>
              </c:numCache>
            </c:numRef>
          </c:val>
          <c:smooth val="0"/>
          <c:extLst>
            <c:ext xmlns:c16="http://schemas.microsoft.com/office/drawing/2014/chart" uri="{C3380CC4-5D6E-409C-BE32-E72D297353CC}">
              <c16:uniqueId val="{00000002-27B9-6446-9430-249FDDA1860F}"/>
            </c:ext>
          </c:extLst>
        </c:ser>
        <c:ser>
          <c:idx val="3"/>
          <c:order val="3"/>
          <c:tx>
            <c:v>rate2</c:v>
          </c:tx>
          <c:spPr>
            <a:ln w="19050" cmpd="sng">
              <a:no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[0]!Prate2</c:f>
              <c:numCache>
                <c:formatCode>0.00%</c:formatCode>
                <c:ptCount val="10"/>
                <c:pt idx="0">
                  <c:v>1.2523115485857383E-2</c:v>
                </c:pt>
                <c:pt idx="1">
                  <c:v>1.2523115485857383E-2</c:v>
                </c:pt>
                <c:pt idx="2">
                  <c:v>1.2523115485857383E-2</c:v>
                </c:pt>
                <c:pt idx="3">
                  <c:v>1.2523115485857383E-2</c:v>
                </c:pt>
                <c:pt idx="4">
                  <c:v>1.2523115485857383E-2</c:v>
                </c:pt>
                <c:pt idx="5">
                  <c:v>1.2523115485857383E-2</c:v>
                </c:pt>
                <c:pt idx="6">
                  <c:v>1.2523115485857383E-2</c:v>
                </c:pt>
                <c:pt idx="7">
                  <c:v>1.2523115485857383E-2</c:v>
                </c:pt>
                <c:pt idx="8">
                  <c:v>1.2523115485857383E-2</c:v>
                </c:pt>
                <c:pt idx="9">
                  <c:v>1.2523115485857383E-2</c:v>
                </c:pt>
              </c:numCache>
            </c:numRef>
          </c:val>
          <c:smooth val="0"/>
          <c:extLst>
            <c:ext xmlns:c16="http://schemas.microsoft.com/office/drawing/2014/chart" uri="{C3380CC4-5D6E-409C-BE32-E72D297353CC}">
              <c16:uniqueId val="{00000003-27B9-6446-9430-249FDDA1860F}"/>
            </c:ext>
          </c:extLst>
        </c:ser>
        <c:dLbls>
          <c:showLegendKey val="0"/>
          <c:showVal val="0"/>
          <c:showCatName val="0"/>
          <c:showSerName val="0"/>
          <c:showPercent val="0"/>
          <c:showBubbleSize val="0"/>
        </c:dLbls>
        <c:smooth val="0"/>
        <c:axId val="-1642852896"/>
        <c:axId val="-1642849632"/>
      </c:lineChart>
      <c:catAx>
        <c:axId val="-1642852896"/>
        <c:scaling>
          <c:orientation val="minMax"/>
        </c:scaling>
        <c:delete val="0"/>
        <c:axPos val="b"/>
        <c:numFmt formatCode="General" sourceLinked="1"/>
        <c:majorTickMark val="none"/>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2849632"/>
        <c:crosses val="autoZero"/>
        <c:auto val="1"/>
        <c:lblAlgn val="ctr"/>
        <c:lblOffset val="100"/>
        <c:tickLblSkip val="9"/>
        <c:tickMarkSkip val="1"/>
        <c:noMultiLvlLbl val="0"/>
      </c:catAx>
      <c:valAx>
        <c:axId val="-1642849632"/>
        <c:scaling>
          <c:orientation val="minMax"/>
          <c:max val="0.05"/>
          <c:min val="-0.05"/>
        </c:scaling>
        <c:delete val="0"/>
        <c:axPos val="l"/>
        <c:majorGridlines>
          <c:spPr>
            <a:ln w="3175">
              <a:solidFill>
                <a:schemeClr val="bg1">
                  <a:lumMod val="65000"/>
                </a:schemeClr>
              </a:solidFill>
              <a:prstDash val="sysDash"/>
            </a:ln>
          </c:spPr>
        </c:majorGridlines>
        <c:title>
          <c:tx>
            <c:rich>
              <a:bodyPr/>
              <a:lstStyle/>
              <a:p>
                <a:pPr>
                  <a:defRPr sz="800" b="0" i="0" u="none" strike="noStrike" baseline="0">
                    <a:solidFill>
                      <a:srgbClr val="000000"/>
                    </a:solidFill>
                    <a:latin typeface="Arial"/>
                    <a:ea typeface="Arial"/>
                    <a:cs typeface="Arial"/>
                  </a:defRPr>
                </a:pPr>
                <a:r>
                  <a:rPr lang="en-US"/>
                  <a:t>Annual Rate of Change</a:t>
                </a:r>
              </a:p>
            </c:rich>
          </c:tx>
          <c:layout>
            <c:manualLayout>
              <c:xMode val="edge"/>
              <c:yMode val="edge"/>
              <c:x val="2.7210861757561901E-2"/>
              <c:y val="0.288235294117646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2852896"/>
        <c:crosses val="autoZero"/>
        <c:crossBetween val="midCat"/>
        <c:majorUnit val="0.01"/>
        <c:minorUnit val="0.01"/>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 verticalDpi="1200"/>
  </c:printSettings>
  <c:userShapes r:id="rId2"/>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000" b="1" i="0" u="none" strike="noStrike" baseline="0">
                <a:solidFill>
                  <a:srgbClr val="000000"/>
                </a:solidFill>
                <a:latin typeface="Arial"/>
                <a:ea typeface="Arial"/>
                <a:cs typeface="Arial"/>
              </a:defRPr>
            </a:pPr>
            <a:r>
              <a:rPr lang="en-US"/>
              <a:t>Fossil Fuel Fraction</a:t>
            </a:r>
          </a:p>
        </c:rich>
      </c:tx>
      <c:layout>
        <c:manualLayout>
          <c:xMode val="edge"/>
          <c:yMode val="edge"/>
          <c:x val="0.20188214376428801"/>
          <c:y val="7.7252843394575599E-3"/>
        </c:manualLayout>
      </c:layout>
      <c:overlay val="0"/>
      <c:spPr>
        <a:noFill/>
        <a:ln w="25400">
          <a:noFill/>
        </a:ln>
      </c:spPr>
    </c:title>
    <c:autoTitleDeleted val="0"/>
    <c:plotArea>
      <c:layout>
        <c:manualLayout>
          <c:layoutTarget val="inner"/>
          <c:xMode val="edge"/>
          <c:yMode val="edge"/>
          <c:x val="0.23102209804419599"/>
          <c:y val="0.16857305336832901"/>
          <c:w val="0.60189128778257595"/>
          <c:h val="0.67310892388451404"/>
        </c:manualLayout>
      </c:layout>
      <c:areaChart>
        <c:grouping val="stacked"/>
        <c:varyColors val="0"/>
        <c:ser>
          <c:idx val="0"/>
          <c:order val="0"/>
          <c:tx>
            <c:v>Reference case</c:v>
          </c:tx>
          <c:spPr>
            <a:noFill/>
            <a:ln w="12700">
              <a:noFill/>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[0]!PEffperPEdeqRef</c:f>
              <c:numCache>
                <c:formatCode>0.00</c:formatCode>
                <c:ptCount val="10"/>
                <c:pt idx="0">
                  <c:v>0.85060341362881065</c:v>
                </c:pt>
                <c:pt idx="1">
                  <c:v>0.84334185416428931</c:v>
                </c:pt>
                <c:pt idx="2">
                  <c:v>0.83494210452710382</c:v>
                </c:pt>
                <c:pt idx="3">
                  <c:v>0.81411340290131473</c:v>
                </c:pt>
                <c:pt idx="4">
                  <c:v>0.80889571916540337</c:v>
                </c:pt>
                <c:pt idx="5">
                  <c:v>0.82244693228204069</c:v>
                </c:pt>
                <c:pt idx="6">
                  <c:v>0.81311804509185615</c:v>
                </c:pt>
                <c:pt idx="7">
                  <c:v>0.79782071414392741</c:v>
                </c:pt>
                <c:pt idx="8">
                  <c:v>0.79045583960897325</c:v>
                </c:pt>
                <c:pt idx="9">
                  <c:v>0.78717489716685785</c:v>
                </c:pt>
              </c:numCache>
            </c:numRef>
          </c:val>
          <c:extLst>
            <c:ext xmlns:c16="http://schemas.microsoft.com/office/drawing/2014/chart" uri="{C3380CC4-5D6E-409C-BE32-E72D297353CC}">
              <c16:uniqueId val="{00000000-0BFD-2944-87D6-BF2EB0256D2D}"/>
            </c:ext>
          </c:extLst>
        </c:ser>
        <c:ser>
          <c:idx val="1"/>
          <c:order val="1"/>
          <c:tx>
            <c:v>Intervention case area</c:v>
          </c:tx>
          <c:spPr>
            <a:solidFill>
              <a:srgbClr val="A1F4FF"/>
            </a:solidFill>
            <a:ln>
              <a:solidFill>
                <a:sysClr val="windowText" lastClr="000000"/>
              </a:solidFill>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[0]!AreaPEff_PEdeq</c:f>
              <c:numCache>
                <c:formatCode>General</c:formatCode>
                <c:ptCount val="10"/>
                <c:pt idx="0">
                  <c:v>3.1979871566950591E-3</c:v>
                </c:pt>
                <c:pt idx="1">
                  <c:v>-4.361958020432366E-2</c:v>
                </c:pt>
                <c:pt idx="2">
                  <c:v>-9.9369734081787175E-2</c:v>
                </c:pt>
                <c:pt idx="3">
                  <c:v>-0.23822743642269384</c:v>
                </c:pt>
                <c:pt idx="4">
                  <c:v>-0.36468103521047573</c:v>
                </c:pt>
                <c:pt idx="5">
                  <c:v>-0.4081144752006704</c:v>
                </c:pt>
                <c:pt idx="6">
                  <c:v>-0.40234856035960159</c:v>
                </c:pt>
                <c:pt idx="7">
                  <c:v>-0.43131170357172749</c:v>
                </c:pt>
                <c:pt idx="8">
                  <c:v>-0.46524027429255393</c:v>
                </c:pt>
                <c:pt idx="9">
                  <c:v>-0.47313182119195707</c:v>
                </c:pt>
              </c:numCache>
            </c:numRef>
          </c:val>
          <c:extLst>
            <c:ext xmlns:c16="http://schemas.microsoft.com/office/drawing/2014/chart" uri="{C3380CC4-5D6E-409C-BE32-E72D297353CC}">
              <c16:uniqueId val="{00000001-0BFD-2944-87D6-BF2EB0256D2D}"/>
            </c:ext>
          </c:extLst>
        </c:ser>
        <c:dLbls>
          <c:showLegendKey val="0"/>
          <c:showVal val="0"/>
          <c:showCatName val="0"/>
          <c:showSerName val="0"/>
          <c:showPercent val="0"/>
          <c:showBubbleSize val="0"/>
        </c:dLbls>
        <c:axId val="-1765598496"/>
        <c:axId val="-1765596176"/>
      </c:areaChart>
      <c:lineChart>
        <c:grouping val="standard"/>
        <c:varyColors val="0"/>
        <c:ser>
          <c:idx val="2"/>
          <c:order val="2"/>
          <c:tx>
            <c:v>Line for Intervention Case</c:v>
          </c:tx>
          <c:spPr>
            <a:ln w="25400">
              <a:solidFill>
                <a:srgbClr val="FF0000"/>
              </a:solidFill>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[0]!PEffperPEdeqInt</c:f>
              <c:numCache>
                <c:formatCode>0.00</c:formatCode>
                <c:ptCount val="10"/>
                <c:pt idx="0">
                  <c:v>0.8538014007855057</c:v>
                </c:pt>
                <c:pt idx="1">
                  <c:v>0.79972227395996565</c:v>
                </c:pt>
                <c:pt idx="2">
                  <c:v>0.73557237044531665</c:v>
                </c:pt>
                <c:pt idx="3">
                  <c:v>0.57588596647862089</c:v>
                </c:pt>
                <c:pt idx="4">
                  <c:v>0.44421468395492764</c:v>
                </c:pt>
                <c:pt idx="5">
                  <c:v>0.41433245708137029</c:v>
                </c:pt>
                <c:pt idx="6">
                  <c:v>0.41076948473225455</c:v>
                </c:pt>
                <c:pt idx="7">
                  <c:v>0.36650901057219992</c:v>
                </c:pt>
                <c:pt idx="8">
                  <c:v>0.32521556531641932</c:v>
                </c:pt>
                <c:pt idx="9">
                  <c:v>0.31404307597490078</c:v>
                </c:pt>
              </c:numCache>
            </c:numRef>
          </c:val>
          <c:smooth val="0"/>
          <c:extLst>
            <c:ext xmlns:c16="http://schemas.microsoft.com/office/drawing/2014/chart" uri="{C3380CC4-5D6E-409C-BE32-E72D297353CC}">
              <c16:uniqueId val="{00000002-0BFD-2944-87D6-BF2EB0256D2D}"/>
            </c:ext>
          </c:extLst>
        </c:ser>
        <c:ser>
          <c:idx val="3"/>
          <c:order val="3"/>
          <c:tx>
            <c:v>proj1</c:v>
          </c:tx>
          <c:spPr>
            <a:ln>
              <a:solidFill>
                <a:srgbClr val="3C8105"/>
              </a:solid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[0]!PEffperPEdeqproj1</c:f>
              <c:numCache>
                <c:formatCode>General</c:formatCode>
                <c:ptCount val="10"/>
                <c:pt idx="0">
                  <c:v>0.85060341362881065</c:v>
                </c:pt>
                <c:pt idx="1">
                  <c:v>0.84706826558057302</c:v>
                </c:pt>
                <c:pt idx="2">
                  <c:v>0.84354780977495125</c:v>
                </c:pt>
                <c:pt idx="3">
                  <c:v>0.84004198515028972</c:v>
                </c:pt>
                <c:pt idx="4">
                  <c:v>0.83655073089870768</c:v>
                </c:pt>
                <c:pt idx="5">
                  <c:v>0.83307398646504505</c:v>
                </c:pt>
                <c:pt idx="6">
                  <c:v>0.82961169154581182</c:v>
                </c:pt>
                <c:pt idx="7">
                  <c:v>0.826163786088142</c:v>
                </c:pt>
                <c:pt idx="8">
                  <c:v>0.82273021028875226</c:v>
                </c:pt>
                <c:pt idx="9">
                  <c:v>0.81931090459290457</c:v>
                </c:pt>
              </c:numCache>
            </c:numRef>
          </c:val>
          <c:smooth val="0"/>
          <c:extLst>
            <c:ext xmlns:c16="http://schemas.microsoft.com/office/drawing/2014/chart" uri="{C3380CC4-5D6E-409C-BE32-E72D297353CC}">
              <c16:uniqueId val="{00000003-0BFD-2944-87D6-BF2EB0256D2D}"/>
            </c:ext>
          </c:extLst>
        </c:ser>
        <c:ser>
          <c:idx val="4"/>
          <c:order val="4"/>
          <c:tx>
            <c:v>proj2</c:v>
          </c:tx>
          <c:spPr>
            <a:ln>
              <a:solidFill>
                <a:srgbClr val="3465FC"/>
              </a:solid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[0]!PEffperPEdeqproj2</c:f>
              <c:numCache>
                <c:formatCode>General</c:formatCode>
                <c:ptCount val="10"/>
                <c:pt idx="0">
                  <c:v>0.85060341362881065</c:v>
                </c:pt>
                <c:pt idx="1">
                  <c:v>0.85068418545405555</c:v>
                </c:pt>
                <c:pt idx="2">
                  <c:v>0.85076496494925291</c:v>
                </c:pt>
                <c:pt idx="3">
                  <c:v>0.85084575211513103</c:v>
                </c:pt>
                <c:pt idx="4">
                  <c:v>0.85092654695241832</c:v>
                </c:pt>
                <c:pt idx="5">
                  <c:v>0.85100734946184331</c:v>
                </c:pt>
                <c:pt idx="6">
                  <c:v>0.85108815964413442</c:v>
                </c:pt>
                <c:pt idx="7">
                  <c:v>0.85116897750002041</c:v>
                </c:pt>
                <c:pt idx="8">
                  <c:v>0.85124980303022979</c:v>
                </c:pt>
                <c:pt idx="9">
                  <c:v>0.85133063623549143</c:v>
                </c:pt>
              </c:numCache>
            </c:numRef>
          </c:val>
          <c:smooth val="0"/>
          <c:extLst>
            <c:ext xmlns:c16="http://schemas.microsoft.com/office/drawing/2014/chart" uri="{C3380CC4-5D6E-409C-BE32-E72D297353CC}">
              <c16:uniqueId val="{00000004-0BFD-2944-87D6-BF2EB0256D2D}"/>
            </c:ext>
          </c:extLst>
        </c:ser>
        <c:dLbls>
          <c:showLegendKey val="0"/>
          <c:showVal val="0"/>
          <c:showCatName val="0"/>
          <c:showSerName val="0"/>
          <c:showPercent val="0"/>
          <c:showBubbleSize val="0"/>
        </c:dLbls>
        <c:marker val="1"/>
        <c:smooth val="0"/>
        <c:axId val="-1765598496"/>
        <c:axId val="-1765596176"/>
      </c:lineChart>
      <c:catAx>
        <c:axId val="-1765598496"/>
        <c:scaling>
          <c:orientation val="minMax"/>
        </c:scaling>
        <c:delete val="0"/>
        <c:axPos val="b"/>
        <c:numFmt formatCode="General" sourceLinked="1"/>
        <c:majorTickMark val="none"/>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5596176"/>
        <c:crosses val="autoZero"/>
        <c:auto val="1"/>
        <c:lblAlgn val="ctr"/>
        <c:lblOffset val="100"/>
        <c:tickLblSkip val="9"/>
        <c:tickMarkSkip val="1"/>
        <c:noMultiLvlLbl val="0"/>
      </c:catAx>
      <c:valAx>
        <c:axId val="-1765596176"/>
        <c:scaling>
          <c:orientation val="minMax"/>
          <c:max val="3"/>
          <c:min val="0"/>
        </c:scaling>
        <c:delete val="0"/>
        <c:axPos val="l"/>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800" b="0" i="0" u="none" strike="noStrike" kern="1200" baseline="0">
                    <a:solidFill>
                      <a:srgbClr val="000000"/>
                    </a:solidFill>
                    <a:latin typeface="Arial"/>
                    <a:ea typeface="Arial"/>
                    <a:cs typeface="Arial"/>
                  </a:defRPr>
                </a:pPr>
                <a:r>
                  <a:rPr lang="en-US" sz="800" b="0" i="0" kern="1200" baseline="0">
                    <a:solidFill>
                      <a:srgbClr val="000000"/>
                    </a:solidFill>
                    <a:effectLst/>
                    <a:latin typeface="Arial" panose="020B0604020202020204" pitchFamily="34" charset="0"/>
                    <a:ea typeface="Arial" panose="020B0604020202020204" pitchFamily="34" charset="0"/>
                    <a:cs typeface="Arial" panose="020B0604020202020204" pitchFamily="34" charset="0"/>
                  </a:rPr>
                  <a:t>PE Fossil/PE</a:t>
                </a:r>
                <a:r>
                  <a:rPr lang="en-US" sz="800" b="0" i="0" kern="1200" baseline="0">
                    <a:solidFill>
                      <a:srgbClr val="FFFFFF"/>
                    </a:solidFill>
                    <a:effectLst/>
                    <a:latin typeface="Arial" panose="020B0604020202020204" pitchFamily="34" charset="0"/>
                    <a:ea typeface="Arial" panose="020B0604020202020204" pitchFamily="34" charset="0"/>
                    <a:cs typeface="Arial" panose="020B0604020202020204" pitchFamily="34" charset="0"/>
                  </a:rPr>
                  <a:t>.</a:t>
                </a:r>
                <a:endParaRPr lang="en-US">
                  <a:effectLst/>
                </a:endParaRPr>
              </a:p>
              <a:p>
                <a:pPr marL="0" marR="0" lvl="0" indent="0" algn="ctr" defTabSz="914400" rtl="0" eaLnBrk="1" fontAlgn="auto" latinLnBrk="0" hangingPunct="1">
                  <a:lnSpc>
                    <a:spcPct val="100000"/>
                  </a:lnSpc>
                  <a:spcBef>
                    <a:spcPts val="0"/>
                  </a:spcBef>
                  <a:spcAft>
                    <a:spcPts val="0"/>
                  </a:spcAft>
                  <a:buClrTx/>
                  <a:buSzTx/>
                  <a:buFontTx/>
                  <a:buNone/>
                  <a:tabLst/>
                  <a:defRPr sz="800" b="0" i="0" u="none" strike="noStrike" kern="1200" baseline="0">
                    <a:solidFill>
                      <a:srgbClr val="000000"/>
                    </a:solidFill>
                    <a:latin typeface="Arial"/>
                    <a:ea typeface="Arial"/>
                    <a:cs typeface="Arial"/>
                  </a:defRPr>
                </a:pPr>
                <a:endParaRPr lang="en-US"/>
              </a:p>
            </c:rich>
          </c:tx>
          <c:layout>
            <c:manualLayout>
              <c:xMode val="edge"/>
              <c:yMode val="edge"/>
              <c:x val="3.472237294449175E-2"/>
              <c:y val="0.35009842519685042"/>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5598496"/>
        <c:crosses val="autoZero"/>
        <c:crossBetween val="midCat"/>
        <c:majorUnit val="1"/>
        <c:minorUnit val="0.05"/>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 verticalDpi="1200"/>
  </c:printSettings>
  <c:userShapes r:id="rId2"/>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000" b="1" i="0" u="none" strike="noStrike" baseline="0">
                <a:solidFill>
                  <a:srgbClr val="000000"/>
                </a:solidFill>
                <a:latin typeface="Arial"/>
                <a:ea typeface="Arial"/>
                <a:cs typeface="Arial"/>
              </a:defRPr>
            </a:pPr>
            <a:r>
              <a:rPr lang="en-US"/>
              <a:t>Fossil Fuel Fraction</a:t>
            </a:r>
          </a:p>
        </c:rich>
      </c:tx>
      <c:layout>
        <c:manualLayout>
          <c:xMode val="edge"/>
          <c:yMode val="edge"/>
          <c:x val="0.20826813472982075"/>
          <c:y val="4.6731846019247597E-2"/>
        </c:manualLayout>
      </c:layout>
      <c:overlay val="0"/>
      <c:spPr>
        <a:noFill/>
        <a:ln w="25400">
          <a:noFill/>
        </a:ln>
      </c:spPr>
    </c:title>
    <c:autoTitleDeleted val="0"/>
    <c:plotArea>
      <c:layout>
        <c:manualLayout>
          <c:layoutTarget val="inner"/>
          <c:xMode val="edge"/>
          <c:yMode val="edge"/>
          <c:x val="0.224671407353151"/>
          <c:y val="0.211764654418198"/>
          <c:w val="0.60800830128792005"/>
          <c:h val="0.69313735783027097"/>
        </c:manualLayout>
      </c:layout>
      <c:lineChart>
        <c:grouping val="standard"/>
        <c:varyColors val="0"/>
        <c:ser>
          <c:idx val="0"/>
          <c:order val="0"/>
          <c:tx>
            <c:v>Reference case</c:v>
          </c:tx>
          <c:spPr>
            <a:ln w="12700">
              <a:solidFill>
                <a:srgbClr val="000000"/>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[0]!PEffperPEdeqchngRef</c:f>
              <c:numCache>
                <c:formatCode>0.00</c:formatCode>
                <c:ptCount val="10"/>
                <c:pt idx="1">
                  <c:v>-8.5369507671528865E-4</c:v>
                </c:pt>
                <c:pt idx="2">
                  <c:v>-9.8750481159613529E-4</c:v>
                </c:pt>
                <c:pt idx="3">
                  <c:v>-2.4486971592237688E-3</c:v>
                </c:pt>
                <c:pt idx="4">
                  <c:v>-6.1340968685416912E-4</c:v>
                </c:pt>
                <c:pt idx="5">
                  <c:v>1.5931294066673994E-3</c:v>
                </c:pt>
                <c:pt idx="6">
                  <c:v>-1.0967375677915531E-3</c:v>
                </c:pt>
                <c:pt idx="7">
                  <c:v>-1.7984093060087621E-3</c:v>
                </c:pt>
                <c:pt idx="8">
                  <c:v>-8.6584116839296722E-4</c:v>
                </c:pt>
                <c:pt idx="9">
                  <c:v>-3.8571940689943648E-4</c:v>
                </c:pt>
              </c:numCache>
            </c:numRef>
          </c:val>
          <c:smooth val="0"/>
          <c:extLst>
            <c:ext xmlns:c16="http://schemas.microsoft.com/office/drawing/2014/chart" uri="{C3380CC4-5D6E-409C-BE32-E72D297353CC}">
              <c16:uniqueId val="{00000000-0492-9542-B44B-294B0F3074EA}"/>
            </c:ext>
          </c:extLst>
        </c:ser>
        <c:ser>
          <c:idx val="1"/>
          <c:order val="1"/>
          <c:tx>
            <c:v>Line for Intervention Case</c:v>
          </c:tx>
          <c:spPr>
            <a:ln w="28575">
              <a:solidFill>
                <a:srgbClr val="C00000"/>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[0]!PEffperPEdeqchngInt</c:f>
              <c:numCache>
                <c:formatCode>0.00</c:formatCode>
                <c:ptCount val="10"/>
                <c:pt idx="1">
                  <c:v>-6.33392341307788E-3</c:v>
                </c:pt>
                <c:pt idx="2">
                  <c:v>-7.5134455689145566E-3</c:v>
                </c:pt>
                <c:pt idx="3">
                  <c:v>-1.8702991564523399E-2</c:v>
                </c:pt>
                <c:pt idx="4">
                  <c:v>-1.5421769325109372E-2</c:v>
                </c:pt>
                <c:pt idx="5">
                  <c:v>-3.4999037066541943E-3</c:v>
                </c:pt>
                <c:pt idx="6">
                  <c:v>-4.1730692241050013E-4</c:v>
                </c:pt>
                <c:pt idx="7">
                  <c:v>-5.1839308437927794E-3</c:v>
                </c:pt>
                <c:pt idx="8">
                  <c:v>-4.8364227580079194E-3</c:v>
                </c:pt>
                <c:pt idx="9">
                  <c:v>-1.3085583288150785E-3</c:v>
                </c:pt>
              </c:numCache>
            </c:numRef>
          </c:val>
          <c:smooth val="0"/>
          <c:extLst>
            <c:ext xmlns:c16="http://schemas.microsoft.com/office/drawing/2014/chart" uri="{C3380CC4-5D6E-409C-BE32-E72D297353CC}">
              <c16:uniqueId val="{00000001-0492-9542-B44B-294B0F3074EA}"/>
            </c:ext>
          </c:extLst>
        </c:ser>
        <c:ser>
          <c:idx val="2"/>
          <c:order val="2"/>
          <c:tx>
            <c:v>rate1</c:v>
          </c:tx>
          <c:spPr>
            <a:ln w="19050" cmpd="sng">
              <a:no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[0]!PEffperPEdeqrate1</c:f>
              <c:numCache>
                <c:formatCode>0.00%</c:formatCode>
                <c:ptCount val="10"/>
                <c:pt idx="0">
                  <c:v>-4.1638405816923907E-4</c:v>
                </c:pt>
                <c:pt idx="1">
                  <c:v>-4.1638405816923907E-4</c:v>
                </c:pt>
                <c:pt idx="2">
                  <c:v>-4.1638405816923907E-4</c:v>
                </c:pt>
                <c:pt idx="3">
                  <c:v>-4.1638405816923907E-4</c:v>
                </c:pt>
                <c:pt idx="4">
                  <c:v>-4.1638405816923907E-4</c:v>
                </c:pt>
                <c:pt idx="5">
                  <c:v>-4.1638405816923907E-4</c:v>
                </c:pt>
                <c:pt idx="6">
                  <c:v>-4.1638405816923907E-4</c:v>
                </c:pt>
                <c:pt idx="7">
                  <c:v>-4.1638405816923907E-4</c:v>
                </c:pt>
                <c:pt idx="8">
                  <c:v>-4.1638405816923907E-4</c:v>
                </c:pt>
                <c:pt idx="9">
                  <c:v>-4.1638405816923907E-4</c:v>
                </c:pt>
              </c:numCache>
            </c:numRef>
          </c:val>
          <c:smooth val="0"/>
          <c:extLst>
            <c:ext xmlns:c16="http://schemas.microsoft.com/office/drawing/2014/chart" uri="{C3380CC4-5D6E-409C-BE32-E72D297353CC}">
              <c16:uniqueId val="{00000002-0492-9542-B44B-294B0F3074EA}"/>
            </c:ext>
          </c:extLst>
        </c:ser>
        <c:ser>
          <c:idx val="3"/>
          <c:order val="3"/>
          <c:tx>
            <c:v>rate2</c:v>
          </c:tx>
          <c:spPr>
            <a:ln w="19050" cmpd="sng">
              <a:no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[0]!PEffperPEdeqrate2</c:f>
              <c:numCache>
                <c:formatCode>0.00%</c:formatCode>
                <c:ptCount val="10"/>
                <c:pt idx="0">
                  <c:v>9.4954208600395162E-6</c:v>
                </c:pt>
                <c:pt idx="1">
                  <c:v>9.4954208600395162E-6</c:v>
                </c:pt>
                <c:pt idx="2">
                  <c:v>9.4954208600395162E-6</c:v>
                </c:pt>
                <c:pt idx="3">
                  <c:v>9.4954208600395162E-6</c:v>
                </c:pt>
                <c:pt idx="4">
                  <c:v>9.4954208600395162E-6</c:v>
                </c:pt>
                <c:pt idx="5">
                  <c:v>9.4954208600395162E-6</c:v>
                </c:pt>
                <c:pt idx="6">
                  <c:v>9.4954208600395162E-6</c:v>
                </c:pt>
                <c:pt idx="7">
                  <c:v>9.4954208600395162E-6</c:v>
                </c:pt>
                <c:pt idx="8">
                  <c:v>9.4954208600395162E-6</c:v>
                </c:pt>
                <c:pt idx="9">
                  <c:v>9.4954208600395162E-6</c:v>
                </c:pt>
              </c:numCache>
            </c:numRef>
          </c:val>
          <c:smooth val="0"/>
          <c:extLst>
            <c:ext xmlns:c16="http://schemas.microsoft.com/office/drawing/2014/chart" uri="{C3380CC4-5D6E-409C-BE32-E72D297353CC}">
              <c16:uniqueId val="{00000003-0492-9542-B44B-294B0F3074EA}"/>
            </c:ext>
          </c:extLst>
        </c:ser>
        <c:dLbls>
          <c:showLegendKey val="0"/>
          <c:showVal val="0"/>
          <c:showCatName val="0"/>
          <c:showSerName val="0"/>
          <c:showPercent val="0"/>
          <c:showBubbleSize val="0"/>
        </c:dLbls>
        <c:smooth val="0"/>
        <c:axId val="-1642852896"/>
        <c:axId val="-1642849632"/>
      </c:lineChart>
      <c:catAx>
        <c:axId val="-1642852896"/>
        <c:scaling>
          <c:orientation val="minMax"/>
        </c:scaling>
        <c:delete val="0"/>
        <c:axPos val="b"/>
        <c:numFmt formatCode="General" sourceLinked="1"/>
        <c:majorTickMark val="none"/>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2849632"/>
        <c:crosses val="autoZero"/>
        <c:auto val="1"/>
        <c:lblAlgn val="ctr"/>
        <c:lblOffset val="100"/>
        <c:tickLblSkip val="9"/>
        <c:tickMarkSkip val="1"/>
        <c:noMultiLvlLbl val="0"/>
      </c:catAx>
      <c:valAx>
        <c:axId val="-1642849632"/>
        <c:scaling>
          <c:orientation val="minMax"/>
          <c:max val="5.000000000000001E-2"/>
          <c:min val="-5.000000000000001E-2"/>
        </c:scaling>
        <c:delete val="0"/>
        <c:axPos val="l"/>
        <c:majorGridlines>
          <c:spPr>
            <a:ln w="3175">
              <a:solidFill>
                <a:schemeClr val="bg1">
                  <a:lumMod val="65000"/>
                </a:schemeClr>
              </a:solidFill>
              <a:prstDash val="sysDash"/>
            </a:ln>
          </c:spPr>
        </c:majorGridlines>
        <c:title>
          <c:tx>
            <c:rich>
              <a:bodyPr/>
              <a:lstStyle/>
              <a:p>
                <a:pPr>
                  <a:defRPr sz="800" b="0" i="0" u="none" strike="noStrike" baseline="0">
                    <a:solidFill>
                      <a:srgbClr val="000000"/>
                    </a:solidFill>
                    <a:latin typeface="Arial"/>
                    <a:ea typeface="Arial"/>
                    <a:cs typeface="Arial"/>
                  </a:defRPr>
                </a:pPr>
                <a:r>
                  <a:rPr lang="en-US"/>
                  <a:t>Annual Rate of Change</a:t>
                </a:r>
              </a:p>
            </c:rich>
          </c:tx>
          <c:layout>
            <c:manualLayout>
              <c:xMode val="edge"/>
              <c:yMode val="edge"/>
              <c:x val="2.7210861757561901E-2"/>
              <c:y val="0.288235294117646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2852896"/>
        <c:crosses val="autoZero"/>
        <c:crossBetween val="midCat"/>
        <c:majorUnit val="1.0000000000000002E-2"/>
        <c:minorUnit val="0.01"/>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 verticalDpi="1200"/>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23079197358394701"/>
          <c:y val="0.18389020122484701"/>
          <c:w val="0.60464719329438599"/>
          <c:h val="0.67512817147856496"/>
        </c:manualLayout>
      </c:layout>
      <c:areaChart>
        <c:grouping val="stacked"/>
        <c:varyColors val="0"/>
        <c:ser>
          <c:idx val="0"/>
          <c:order val="0"/>
          <c:tx>
            <c:v>Reference case</c:v>
          </c:tx>
          <c:spPr>
            <a:noFill/>
            <a:ln w="12700">
              <a:noFill/>
              <a:prstDash val="solid"/>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[0]!FEperGWPindexRef</c:f>
              <c:numCache>
                <c:formatCode>0.00</c:formatCode>
                <c:ptCount val="10"/>
                <c:pt idx="0">
                  <c:v>1</c:v>
                </c:pt>
                <c:pt idx="1">
                  <c:v>0.77433241407623488</c:v>
                </c:pt>
                <c:pt idx="2">
                  <c:v>0.6157007668575748</c:v>
                </c:pt>
                <c:pt idx="3">
                  <c:v>0.5347008509561092</c:v>
                </c:pt>
                <c:pt idx="4">
                  <c:v>0.47799516492258587</c:v>
                </c:pt>
                <c:pt idx="5">
                  <c:v>0.43632353839524862</c:v>
                </c:pt>
                <c:pt idx="6">
                  <c:v>0.39458776541746537</c:v>
                </c:pt>
                <c:pt idx="7">
                  <c:v>0.35618776685041897</c:v>
                </c:pt>
                <c:pt idx="8">
                  <c:v>0.31965925278963747</c:v>
                </c:pt>
                <c:pt idx="9">
                  <c:v>0.28740731324763108</c:v>
                </c:pt>
              </c:numCache>
            </c:numRef>
          </c:val>
          <c:extLst>
            <c:ext xmlns:c16="http://schemas.microsoft.com/office/drawing/2014/chart" uri="{C3380CC4-5D6E-409C-BE32-E72D297353CC}">
              <c16:uniqueId val="{00000000-C49F-0741-B297-6CE24D3533B6}"/>
            </c:ext>
          </c:extLst>
        </c:ser>
        <c:ser>
          <c:idx val="1"/>
          <c:order val="1"/>
          <c:tx>
            <c:v>Area for Intervention Case</c:v>
          </c:tx>
          <c:spPr>
            <a:solidFill>
              <a:srgbClr val="A1F4FF"/>
            </a:solidFill>
            <a:ln w="12700">
              <a:solidFill>
                <a:sysClr val="windowText" lastClr="000000"/>
              </a:solidFill>
              <a:prstDash val="solid"/>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[0]!AreaIndexFE_GWP</c:f>
              <c:numCache>
                <c:formatCode>General</c:formatCode>
                <c:ptCount val="10"/>
                <c:pt idx="0">
                  <c:v>0</c:v>
                </c:pt>
                <c:pt idx="1">
                  <c:v>-0.10154366891882038</c:v>
                </c:pt>
                <c:pt idx="2">
                  <c:v>-0.22410331846933279</c:v>
                </c:pt>
                <c:pt idx="3">
                  <c:v>-0.25932108625496614</c:v>
                </c:pt>
                <c:pt idx="4">
                  <c:v>-0.24512754879397408</c:v>
                </c:pt>
                <c:pt idx="5">
                  <c:v>-0.22556257240067656</c:v>
                </c:pt>
                <c:pt idx="6">
                  <c:v>-0.20238604438370333</c:v>
                </c:pt>
                <c:pt idx="7">
                  <c:v>-0.17881424175687508</c:v>
                </c:pt>
                <c:pt idx="8">
                  <c:v>-0.15657742880246703</c:v>
                </c:pt>
                <c:pt idx="9">
                  <c:v>-0.13636630489840743</c:v>
                </c:pt>
              </c:numCache>
            </c:numRef>
          </c:val>
          <c:extLst>
            <c:ext xmlns:c16="http://schemas.microsoft.com/office/drawing/2014/chart" uri="{C3380CC4-5D6E-409C-BE32-E72D297353CC}">
              <c16:uniqueId val="{00000001-C49F-0741-B297-6CE24D3533B6}"/>
            </c:ext>
          </c:extLst>
        </c:ser>
        <c:dLbls>
          <c:showLegendKey val="0"/>
          <c:showVal val="0"/>
          <c:showCatName val="0"/>
          <c:showSerName val="0"/>
          <c:showPercent val="0"/>
          <c:showBubbleSize val="0"/>
        </c:dLbls>
        <c:axId val="-1643058464"/>
        <c:axId val="-1643055712"/>
      </c:areaChart>
      <c:lineChart>
        <c:grouping val="standard"/>
        <c:varyColors val="0"/>
        <c:ser>
          <c:idx val="2"/>
          <c:order val="2"/>
          <c:tx>
            <c:v>Line for Intervention Case</c:v>
          </c:tx>
          <c:spPr>
            <a:ln w="28575">
              <a:solidFill>
                <a:srgbClr val="C00000"/>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[0]!FEperGWPindexInt</c:f>
              <c:numCache>
                <c:formatCode>0.00</c:formatCode>
                <c:ptCount val="10"/>
                <c:pt idx="0">
                  <c:v>1</c:v>
                </c:pt>
                <c:pt idx="1">
                  <c:v>0.67278874515741449</c:v>
                </c:pt>
                <c:pt idx="2">
                  <c:v>0.39159744838824201</c:v>
                </c:pt>
                <c:pt idx="3">
                  <c:v>0.27537976470114306</c:v>
                </c:pt>
                <c:pt idx="4">
                  <c:v>0.23286761612861179</c:v>
                </c:pt>
                <c:pt idx="5">
                  <c:v>0.21076096599457206</c:v>
                </c:pt>
                <c:pt idx="6">
                  <c:v>0.19220172103376204</c:v>
                </c:pt>
                <c:pt idx="7">
                  <c:v>0.1773735250935439</c:v>
                </c:pt>
                <c:pt idx="8">
                  <c:v>0.16308182398717044</c:v>
                </c:pt>
                <c:pt idx="9">
                  <c:v>0.15104100834922365</c:v>
                </c:pt>
              </c:numCache>
            </c:numRef>
          </c:val>
          <c:smooth val="0"/>
          <c:extLst>
            <c:ext xmlns:c16="http://schemas.microsoft.com/office/drawing/2014/chart" uri="{C3380CC4-5D6E-409C-BE32-E72D297353CC}">
              <c16:uniqueId val="{00000002-C49F-0741-B297-6CE24D3533B6}"/>
            </c:ext>
          </c:extLst>
        </c:ser>
        <c:ser>
          <c:idx val="3"/>
          <c:order val="3"/>
          <c:tx>
            <c:v>projindex1</c:v>
          </c:tx>
          <c:spPr>
            <a:ln w="19050" cmpd="sng">
              <a:solidFill>
                <a:srgbClr val="008000"/>
              </a:solid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[0]!FEperGWPprojindex1</c:f>
              <c:numCache>
                <c:formatCode>General</c:formatCode>
                <c:ptCount val="10"/>
                <c:pt idx="0">
                  <c:v>1</c:v>
                </c:pt>
                <c:pt idx="1">
                  <c:v>0.92178013236169765</c:v>
                </c:pt>
                <c:pt idx="2">
                  <c:v>0.8496786124167488</c:v>
                </c:pt>
                <c:pt idx="3">
                  <c:v>0.78321686381841427</c:v>
                </c:pt>
                <c:pt idx="4">
                  <c:v>0.72195374439845161</c:v>
                </c:pt>
                <c:pt idx="5">
                  <c:v>0.66548261807062792</c:v>
                </c:pt>
                <c:pt idx="6">
                  <c:v>0.61342865576955252</c:v>
                </c:pt>
                <c:pt idx="7">
                  <c:v>0.56544634750971634</c:v>
                </c:pt>
                <c:pt idx="8">
                  <c:v>0.52121720905094482</c:v>
                </c:pt>
                <c:pt idx="9">
                  <c:v>0.48044766794817456</c:v>
                </c:pt>
              </c:numCache>
            </c:numRef>
          </c:val>
          <c:smooth val="0"/>
          <c:extLst>
            <c:ext xmlns:c16="http://schemas.microsoft.com/office/drawing/2014/chart" uri="{C3380CC4-5D6E-409C-BE32-E72D297353CC}">
              <c16:uniqueId val="{00000003-C49F-0741-B297-6CE24D3533B6}"/>
            </c:ext>
          </c:extLst>
        </c:ser>
        <c:ser>
          <c:idx val="4"/>
          <c:order val="4"/>
          <c:tx>
            <c:v>projindex2</c:v>
          </c:tx>
          <c:spPr>
            <a:ln w="19050" cmpd="sng">
              <a:solidFill>
                <a:srgbClr val="3366FF"/>
              </a:solid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[0]!FEperGWPprojindex2</c:f>
              <c:numCache>
                <c:formatCode>General</c:formatCode>
                <c:ptCount val="10"/>
                <c:pt idx="0">
                  <c:v>1</c:v>
                </c:pt>
                <c:pt idx="1">
                  <c:v>0.83172149685899222</c:v>
                </c:pt>
                <c:pt idx="2">
                  <c:v>0.69176064833736262</c:v>
                </c:pt>
                <c:pt idx="3">
                  <c:v>0.57535220190329817</c:v>
                </c:pt>
                <c:pt idx="4">
                  <c:v>0.47853279458812825</c:v>
                </c:pt>
                <c:pt idx="5">
                  <c:v>0.39800601221095466</c:v>
                </c:pt>
                <c:pt idx="6">
                  <c:v>0.33103015623497356</c:v>
                </c:pt>
                <c:pt idx="7">
                  <c:v>0.27532489704921825</c:v>
                </c:pt>
                <c:pt idx="8">
                  <c:v>0.22899363549632373</c:v>
                </c:pt>
                <c:pt idx="9">
                  <c:v>0.19045892928618482</c:v>
                </c:pt>
              </c:numCache>
            </c:numRef>
          </c:val>
          <c:smooth val="0"/>
          <c:extLst>
            <c:ext xmlns:c16="http://schemas.microsoft.com/office/drawing/2014/chart" uri="{C3380CC4-5D6E-409C-BE32-E72D297353CC}">
              <c16:uniqueId val="{00000004-C49F-0741-B297-6CE24D3533B6}"/>
            </c:ext>
          </c:extLst>
        </c:ser>
        <c:dLbls>
          <c:showLegendKey val="0"/>
          <c:showVal val="0"/>
          <c:showCatName val="0"/>
          <c:showSerName val="0"/>
          <c:showPercent val="0"/>
          <c:showBubbleSize val="0"/>
        </c:dLbls>
        <c:marker val="1"/>
        <c:smooth val="0"/>
        <c:axId val="-1643058464"/>
        <c:axId val="-1643055712"/>
      </c:lineChart>
      <c:catAx>
        <c:axId val="-1643058464"/>
        <c:scaling>
          <c:orientation val="minMax"/>
        </c:scaling>
        <c:delete val="0"/>
        <c:axPos val="b"/>
        <c:numFmt formatCode="General" sourceLinked="1"/>
        <c:majorTickMark val="none"/>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3055712"/>
        <c:crosses val="autoZero"/>
        <c:auto val="1"/>
        <c:lblAlgn val="ctr"/>
        <c:lblOffset val="100"/>
        <c:tickLblSkip val="9"/>
        <c:tickMarkSkip val="1"/>
        <c:noMultiLvlLbl val="0"/>
      </c:catAx>
      <c:valAx>
        <c:axId val="-1643055712"/>
        <c:scaling>
          <c:orientation val="minMax"/>
          <c:max val="2"/>
          <c:min val="0"/>
        </c:scaling>
        <c:delete val="0"/>
        <c:axPos val="l"/>
        <c:title>
          <c:tx>
            <c:rich>
              <a:bodyPr/>
              <a:lstStyle/>
              <a:p>
                <a:pPr marL="0" marR="0" indent="0" algn="ctr" defTabSz="914400" rtl="0" eaLnBrk="1" fontAlgn="auto" latinLnBrk="0" hangingPunct="1">
                  <a:lnSpc>
                    <a:spcPct val="100000"/>
                  </a:lnSpc>
                  <a:spcBef>
                    <a:spcPts val="0"/>
                  </a:spcBef>
                  <a:spcAft>
                    <a:spcPts val="0"/>
                  </a:spcAft>
                  <a:buClrTx/>
                  <a:buSzTx/>
                  <a:buFontTx/>
                  <a:buNone/>
                  <a:tabLst/>
                  <a:defRPr sz="800" b="0" i="0" u="none" strike="noStrike" kern="1200" baseline="0">
                    <a:solidFill>
                      <a:srgbClr val="000000"/>
                    </a:solidFill>
                    <a:latin typeface="Arial"/>
                    <a:ea typeface="Arial"/>
                    <a:cs typeface="Arial"/>
                  </a:defRPr>
                </a:pPr>
                <a:r>
                  <a:rPr lang="en-US"/>
                  <a:t>Energy use/productivity (2010=1)</a:t>
                </a:r>
              </a:p>
            </c:rich>
          </c:tx>
          <c:layout>
            <c:manualLayout>
              <c:xMode val="edge"/>
              <c:yMode val="edge"/>
              <c:x val="2.1528922256810919E-2"/>
              <c:y val="0.18436078153466068"/>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3058464"/>
        <c:crosses val="autoZero"/>
        <c:crossBetween val="midCat"/>
        <c:majorUnit val="0.5"/>
        <c:minorUnit val="0.5"/>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 verticalDpi="1200"/>
  </c:printSettings>
  <c:userShapes r:id="rId2"/>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23079197358394701"/>
          <c:y val="0.18389020122484701"/>
          <c:w val="0.60464719329438599"/>
          <c:h val="0.67512817147856496"/>
        </c:manualLayout>
      </c:layout>
      <c:areaChart>
        <c:grouping val="stacked"/>
        <c:varyColors val="0"/>
        <c:ser>
          <c:idx val="0"/>
          <c:order val="0"/>
          <c:tx>
            <c:v>Reference case</c:v>
          </c:tx>
          <c:spPr>
            <a:noFill/>
            <a:ln w="12700">
              <a:noFill/>
              <a:prstDash val="solid"/>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[0]!GWPperPindexRef</c:f>
              <c:numCache>
                <c:formatCode>0.00</c:formatCode>
                <c:ptCount val="10"/>
                <c:pt idx="0">
                  <c:v>1</c:v>
                </c:pt>
                <c:pt idx="1">
                  <c:v>1.3390376802911983</c:v>
                </c:pt>
                <c:pt idx="2">
                  <c:v>1.7581388773576854</c:v>
                </c:pt>
                <c:pt idx="3">
                  <c:v>2.1516831345751939</c:v>
                </c:pt>
                <c:pt idx="4">
                  <c:v>2.5620661876783735</c:v>
                </c:pt>
                <c:pt idx="5">
                  <c:v>3.0272706126771749</c:v>
                </c:pt>
                <c:pt idx="6">
                  <c:v>3.5950261987423633</c:v>
                </c:pt>
                <c:pt idx="7">
                  <c:v>4.2625851386329945</c:v>
                </c:pt>
                <c:pt idx="8">
                  <c:v>5.0522979955974865</c:v>
                </c:pt>
                <c:pt idx="9">
                  <c:v>5.977988273989908</c:v>
                </c:pt>
              </c:numCache>
            </c:numRef>
          </c:val>
          <c:extLst>
            <c:ext xmlns:c16="http://schemas.microsoft.com/office/drawing/2014/chart" uri="{C3380CC4-5D6E-409C-BE32-E72D297353CC}">
              <c16:uniqueId val="{00000000-85C1-D544-9D10-32726815F01B}"/>
            </c:ext>
          </c:extLst>
        </c:ser>
        <c:ser>
          <c:idx val="1"/>
          <c:order val="1"/>
          <c:tx>
            <c:v>Area for Intervention Case</c:v>
          </c:tx>
          <c:spPr>
            <a:solidFill>
              <a:srgbClr val="A1F4FF"/>
            </a:solidFill>
            <a:ln w="12700">
              <a:solidFill>
                <a:sysClr val="windowText" lastClr="000000"/>
              </a:solidFill>
              <a:prstDash val="solid"/>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[0]!AreaIndexGWP_P</c:f>
              <c:numCache>
                <c:formatCode>General</c:formatCode>
                <c:ptCount val="10"/>
                <c:pt idx="0">
                  <c:v>0</c:v>
                </c:pt>
                <c:pt idx="1">
                  <c:v>9.8573182645191881E-3</c:v>
                </c:pt>
                <c:pt idx="2">
                  <c:v>2.977123207879373E-2</c:v>
                </c:pt>
                <c:pt idx="3">
                  <c:v>5.7623272993340358E-2</c:v>
                </c:pt>
                <c:pt idx="4">
                  <c:v>9.2729987609524223E-2</c:v>
                </c:pt>
                <c:pt idx="5">
                  <c:v>0.12843006791522793</c:v>
                </c:pt>
                <c:pt idx="6">
                  <c:v>0.1624350295586483</c:v>
                </c:pt>
                <c:pt idx="7">
                  <c:v>0.19218293044901724</c:v>
                </c:pt>
                <c:pt idx="8">
                  <c:v>0.21187259346555187</c:v>
                </c:pt>
                <c:pt idx="9">
                  <c:v>0.2179721928256706</c:v>
                </c:pt>
              </c:numCache>
            </c:numRef>
          </c:val>
          <c:extLst>
            <c:ext xmlns:c16="http://schemas.microsoft.com/office/drawing/2014/chart" uri="{C3380CC4-5D6E-409C-BE32-E72D297353CC}">
              <c16:uniqueId val="{00000001-85C1-D544-9D10-32726815F01B}"/>
            </c:ext>
          </c:extLst>
        </c:ser>
        <c:dLbls>
          <c:showLegendKey val="0"/>
          <c:showVal val="0"/>
          <c:showCatName val="0"/>
          <c:showSerName val="0"/>
          <c:showPercent val="0"/>
          <c:showBubbleSize val="0"/>
        </c:dLbls>
        <c:axId val="-1643058464"/>
        <c:axId val="-1643055712"/>
      </c:areaChart>
      <c:lineChart>
        <c:grouping val="standard"/>
        <c:varyColors val="0"/>
        <c:ser>
          <c:idx val="2"/>
          <c:order val="2"/>
          <c:tx>
            <c:v>Line for Intervention Case</c:v>
          </c:tx>
          <c:spPr>
            <a:ln w="28575">
              <a:solidFill>
                <a:srgbClr val="C00000"/>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[0]!GWPperPindexInt</c:f>
              <c:numCache>
                <c:formatCode>0.00</c:formatCode>
                <c:ptCount val="10"/>
                <c:pt idx="0">
                  <c:v>1</c:v>
                </c:pt>
                <c:pt idx="1">
                  <c:v>1.3488949985557175</c:v>
                </c:pt>
                <c:pt idx="2">
                  <c:v>1.7879101094364791</c:v>
                </c:pt>
                <c:pt idx="3">
                  <c:v>2.2093064075685342</c:v>
                </c:pt>
                <c:pt idx="4">
                  <c:v>2.6547961752878977</c:v>
                </c:pt>
                <c:pt idx="5">
                  <c:v>3.1557006805924028</c:v>
                </c:pt>
                <c:pt idx="6">
                  <c:v>3.7574612283010116</c:v>
                </c:pt>
                <c:pt idx="7">
                  <c:v>4.4547680690820117</c:v>
                </c:pt>
                <c:pt idx="8">
                  <c:v>5.2641705890630384</c:v>
                </c:pt>
                <c:pt idx="9">
                  <c:v>6.1959604668155785</c:v>
                </c:pt>
              </c:numCache>
            </c:numRef>
          </c:val>
          <c:smooth val="0"/>
          <c:extLst>
            <c:ext xmlns:c16="http://schemas.microsoft.com/office/drawing/2014/chart" uri="{C3380CC4-5D6E-409C-BE32-E72D297353CC}">
              <c16:uniqueId val="{00000002-85C1-D544-9D10-32726815F01B}"/>
            </c:ext>
          </c:extLst>
        </c:ser>
        <c:ser>
          <c:idx val="3"/>
          <c:order val="3"/>
          <c:tx>
            <c:v>projindex1</c:v>
          </c:tx>
          <c:spPr>
            <a:ln w="19050" cmpd="sng">
              <a:solidFill>
                <a:srgbClr val="008000"/>
              </a:solid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[0]!GWPperPprojindex1</c:f>
              <c:numCache>
                <c:formatCode>General</c:formatCode>
                <c:ptCount val="10"/>
                <c:pt idx="0">
                  <c:v>1</c:v>
                </c:pt>
                <c:pt idx="1">
                  <c:v>1.1844059819781287</c:v>
                </c:pt>
                <c:pt idx="2">
                  <c:v>1.4028175301455754</c:v>
                </c:pt>
                <c:pt idx="3">
                  <c:v>1.6615054743282034</c:v>
                </c:pt>
                <c:pt idx="4">
                  <c:v>1.9678970228837322</c:v>
                </c:pt>
                <c:pt idx="5">
                  <c:v>2.330789005820443</c:v>
                </c:pt>
                <c:pt idx="6">
                  <c:v>2.7606004412225884</c:v>
                </c:pt>
                <c:pt idx="7">
                  <c:v>3.2696716764354954</c:v>
                </c:pt>
                <c:pt idx="8">
                  <c:v>3.8726186926746573</c:v>
                </c:pt>
                <c:pt idx="9">
                  <c:v>4.5867527455241843</c:v>
                </c:pt>
              </c:numCache>
            </c:numRef>
          </c:val>
          <c:smooth val="0"/>
          <c:extLst>
            <c:ext xmlns:c16="http://schemas.microsoft.com/office/drawing/2014/chart" uri="{C3380CC4-5D6E-409C-BE32-E72D297353CC}">
              <c16:uniqueId val="{00000003-85C1-D544-9D10-32726815F01B}"/>
            </c:ext>
          </c:extLst>
        </c:ser>
        <c:ser>
          <c:idx val="4"/>
          <c:order val="4"/>
          <c:tx>
            <c:v>projindex2</c:v>
          </c:tx>
          <c:spPr>
            <a:ln w="19050" cmpd="sng">
              <a:solidFill>
                <a:srgbClr val="3366FF"/>
              </a:solid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[0]!GWPperPprojindex2</c:f>
              <c:numCache>
                <c:formatCode>General</c:formatCode>
                <c:ptCount val="10"/>
                <c:pt idx="0">
                  <c:v>1</c:v>
                </c:pt>
                <c:pt idx="1">
                  <c:v>1.2871593952355338</c:v>
                </c:pt>
                <c:pt idx="2">
                  <c:v>1.6567793087431051</c:v>
                </c:pt>
                <c:pt idx="3">
                  <c:v>2.1325390530805208</c:v>
                </c:pt>
                <c:pt idx="4">
                  <c:v>2.7449176778792812</c:v>
                </c:pt>
                <c:pt idx="5">
                  <c:v>3.5331465782304212</c:v>
                </c:pt>
                <c:pt idx="6">
                  <c:v>4.5477228129135643</c:v>
                </c:pt>
                <c:pt idx="7">
                  <c:v>5.8536441455686639</c:v>
                </c:pt>
                <c:pt idx="8">
                  <c:v>7.5345730583341846</c:v>
                </c:pt>
                <c:pt idx="9">
                  <c:v>9.6981965011233751</c:v>
                </c:pt>
              </c:numCache>
            </c:numRef>
          </c:val>
          <c:smooth val="0"/>
          <c:extLst>
            <c:ext xmlns:c16="http://schemas.microsoft.com/office/drawing/2014/chart" uri="{C3380CC4-5D6E-409C-BE32-E72D297353CC}">
              <c16:uniqueId val="{00000004-85C1-D544-9D10-32726815F01B}"/>
            </c:ext>
          </c:extLst>
        </c:ser>
        <c:dLbls>
          <c:showLegendKey val="0"/>
          <c:showVal val="0"/>
          <c:showCatName val="0"/>
          <c:showSerName val="0"/>
          <c:showPercent val="0"/>
          <c:showBubbleSize val="0"/>
        </c:dLbls>
        <c:marker val="1"/>
        <c:smooth val="0"/>
        <c:axId val="-1643058464"/>
        <c:axId val="-1643055712"/>
      </c:lineChart>
      <c:catAx>
        <c:axId val="-1643058464"/>
        <c:scaling>
          <c:orientation val="minMax"/>
        </c:scaling>
        <c:delete val="0"/>
        <c:axPos val="b"/>
        <c:numFmt formatCode="General" sourceLinked="1"/>
        <c:majorTickMark val="none"/>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3055712"/>
        <c:crosses val="autoZero"/>
        <c:auto val="1"/>
        <c:lblAlgn val="ctr"/>
        <c:lblOffset val="100"/>
        <c:tickLblSkip val="9"/>
        <c:tickMarkSkip val="1"/>
        <c:noMultiLvlLbl val="0"/>
      </c:catAx>
      <c:valAx>
        <c:axId val="-1643055712"/>
        <c:scaling>
          <c:orientation val="minMax"/>
          <c:max val="6"/>
          <c:min val="0"/>
        </c:scaling>
        <c:delete val="0"/>
        <c:axPos val="l"/>
        <c:title>
          <c:tx>
            <c:rich>
              <a:bodyPr/>
              <a:lstStyle/>
              <a:p>
                <a:pPr marL="0" marR="0" indent="0" algn="ctr" defTabSz="914400" rtl="0" eaLnBrk="1" fontAlgn="auto" latinLnBrk="0" hangingPunct="1">
                  <a:lnSpc>
                    <a:spcPct val="100000"/>
                  </a:lnSpc>
                  <a:spcBef>
                    <a:spcPts val="0"/>
                  </a:spcBef>
                  <a:spcAft>
                    <a:spcPts val="0"/>
                  </a:spcAft>
                  <a:buClrTx/>
                  <a:buSzTx/>
                  <a:buFontTx/>
                  <a:buNone/>
                  <a:tabLst/>
                  <a:defRPr sz="800" b="0" i="0" u="none" strike="noStrike" kern="1200" baseline="0">
                    <a:solidFill>
                      <a:srgbClr val="000000"/>
                    </a:solidFill>
                    <a:latin typeface="Arial"/>
                    <a:ea typeface="Arial"/>
                    <a:cs typeface="Arial"/>
                  </a:defRPr>
                </a:pPr>
                <a:r>
                  <a:rPr lang="en-US"/>
                  <a:t>GWP/capita (2010=1)</a:t>
                </a:r>
              </a:p>
            </c:rich>
          </c:tx>
          <c:layout>
            <c:manualLayout>
              <c:xMode val="edge"/>
              <c:yMode val="edge"/>
              <c:x val="4.0908767218051229E-2"/>
              <c:y val="0.2722361423592656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3058464"/>
        <c:crosses val="autoZero"/>
        <c:crossBetween val="midCat"/>
        <c:majorUnit val="1"/>
        <c:minorUnit val="0.5"/>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 verticalDpi="1200"/>
  </c:printSettings>
  <c:userShapes r:id="rId2"/>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23079197358394701"/>
          <c:y val="0.18389020122484701"/>
          <c:w val="0.60464719329438599"/>
          <c:h val="0.67512817147856496"/>
        </c:manualLayout>
      </c:layout>
      <c:areaChart>
        <c:grouping val="stacked"/>
        <c:varyColors val="0"/>
        <c:ser>
          <c:idx val="0"/>
          <c:order val="0"/>
          <c:tx>
            <c:v>Reference case</c:v>
          </c:tx>
          <c:spPr>
            <a:noFill/>
            <a:ln w="12700">
              <a:noFill/>
              <a:prstDash val="solid"/>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[0]!PEdeqperFEindexRef</c:f>
              <c:numCache>
                <c:formatCode>0.00</c:formatCode>
                <c:ptCount val="10"/>
                <c:pt idx="0">
                  <c:v>1</c:v>
                </c:pt>
                <c:pt idx="1">
                  <c:v>1.0215169274011879</c:v>
                </c:pt>
                <c:pt idx="2">
                  <c:v>1.026277825321761</c:v>
                </c:pt>
                <c:pt idx="3">
                  <c:v>1.0138306235119117</c:v>
                </c:pt>
                <c:pt idx="4">
                  <c:v>1.0053834185535038</c:v>
                </c:pt>
                <c:pt idx="5">
                  <c:v>0.99590402699814451</c:v>
                </c:pt>
                <c:pt idx="6">
                  <c:v>0.98790517685864843</c:v>
                </c:pt>
                <c:pt idx="7">
                  <c:v>0.9858286531948659</c:v>
                </c:pt>
                <c:pt idx="8">
                  <c:v>0.99442836567343917</c:v>
                </c:pt>
                <c:pt idx="9">
                  <c:v>1.0069846246820278</c:v>
                </c:pt>
              </c:numCache>
            </c:numRef>
          </c:val>
          <c:extLst>
            <c:ext xmlns:c16="http://schemas.microsoft.com/office/drawing/2014/chart" uri="{C3380CC4-5D6E-409C-BE32-E72D297353CC}">
              <c16:uniqueId val="{00000000-1775-6D46-8CB6-9A927A484B56}"/>
            </c:ext>
          </c:extLst>
        </c:ser>
        <c:ser>
          <c:idx val="1"/>
          <c:order val="1"/>
          <c:tx>
            <c:v>Area for Intervention Case</c:v>
          </c:tx>
          <c:spPr>
            <a:solidFill>
              <a:srgbClr val="A1F4FF"/>
            </a:solidFill>
            <a:ln w="12700">
              <a:solidFill>
                <a:sysClr val="windowText" lastClr="000000"/>
              </a:solidFill>
              <a:prstDash val="solid"/>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[0]!AreaIndexPEdeq_FE</c:f>
              <c:numCache>
                <c:formatCode>General</c:formatCode>
                <c:ptCount val="10"/>
                <c:pt idx="0">
                  <c:v>0</c:v>
                </c:pt>
                <c:pt idx="1">
                  <c:v>-2.7479979648283859E-3</c:v>
                </c:pt>
                <c:pt idx="2">
                  <c:v>-5.0903911181621186E-2</c:v>
                </c:pt>
                <c:pt idx="3">
                  <c:v>-0.12940700171572594</c:v>
                </c:pt>
                <c:pt idx="4">
                  <c:v>-9.5442042984710596E-2</c:v>
                </c:pt>
                <c:pt idx="5">
                  <c:v>-6.7979694184646444E-2</c:v>
                </c:pt>
                <c:pt idx="6">
                  <c:v>9.2272536239462744E-3</c:v>
                </c:pt>
                <c:pt idx="7">
                  <c:v>3.4196426517295375E-2</c:v>
                </c:pt>
                <c:pt idx="8">
                  <c:v>2.0702264053015895E-2</c:v>
                </c:pt>
                <c:pt idx="9">
                  <c:v>2.7420043141782813E-2</c:v>
                </c:pt>
              </c:numCache>
            </c:numRef>
          </c:val>
          <c:extLst>
            <c:ext xmlns:c16="http://schemas.microsoft.com/office/drawing/2014/chart" uri="{C3380CC4-5D6E-409C-BE32-E72D297353CC}">
              <c16:uniqueId val="{00000001-1775-6D46-8CB6-9A927A484B56}"/>
            </c:ext>
          </c:extLst>
        </c:ser>
        <c:dLbls>
          <c:showLegendKey val="0"/>
          <c:showVal val="0"/>
          <c:showCatName val="0"/>
          <c:showSerName val="0"/>
          <c:showPercent val="0"/>
          <c:showBubbleSize val="0"/>
        </c:dLbls>
        <c:axId val="-1660977584"/>
        <c:axId val="-1660974832"/>
      </c:areaChart>
      <c:lineChart>
        <c:grouping val="standard"/>
        <c:varyColors val="0"/>
        <c:ser>
          <c:idx val="2"/>
          <c:order val="2"/>
          <c:tx>
            <c:v>Line for Intervention Case</c:v>
          </c:tx>
          <c:spPr>
            <a:ln w="28575">
              <a:solidFill>
                <a:srgbClr val="C00000"/>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[0]!PEdeqperFEindexInt</c:f>
              <c:numCache>
                <c:formatCode>0.00</c:formatCode>
                <c:ptCount val="10"/>
                <c:pt idx="0">
                  <c:v>1</c:v>
                </c:pt>
                <c:pt idx="1">
                  <c:v>1.0187689294363595</c:v>
                </c:pt>
                <c:pt idx="2">
                  <c:v>0.97537391414013985</c:v>
                </c:pt>
                <c:pt idx="3">
                  <c:v>0.88442362179618572</c:v>
                </c:pt>
                <c:pt idx="4">
                  <c:v>0.90994137556879318</c:v>
                </c:pt>
                <c:pt idx="5">
                  <c:v>0.92792433281349807</c:v>
                </c:pt>
                <c:pt idx="6">
                  <c:v>0.9971324304825947</c:v>
                </c:pt>
                <c:pt idx="7">
                  <c:v>1.0200250797121613</c:v>
                </c:pt>
                <c:pt idx="8">
                  <c:v>1.0151306297264551</c:v>
                </c:pt>
                <c:pt idx="9">
                  <c:v>1.0344046678238106</c:v>
                </c:pt>
              </c:numCache>
            </c:numRef>
          </c:val>
          <c:smooth val="0"/>
          <c:extLst>
            <c:ext xmlns:c16="http://schemas.microsoft.com/office/drawing/2014/chart" uri="{C3380CC4-5D6E-409C-BE32-E72D297353CC}">
              <c16:uniqueId val="{00000002-1775-6D46-8CB6-9A927A484B56}"/>
            </c:ext>
          </c:extLst>
        </c:ser>
        <c:ser>
          <c:idx val="3"/>
          <c:order val="3"/>
          <c:tx>
            <c:v>projindex1</c:v>
          </c:tx>
          <c:spPr>
            <a:ln w="19050" cmpd="sng">
              <a:solidFill>
                <a:srgbClr val="008000"/>
              </a:solid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[0]!PEdeqperFEprojindex1</c:f>
              <c:numCache>
                <c:formatCode>General</c:formatCode>
                <c:ptCount val="10"/>
                <c:pt idx="0">
                  <c:v>1</c:v>
                </c:pt>
                <c:pt idx="1">
                  <c:v>1.020337538963026</c:v>
                </c:pt>
                <c:pt idx="2">
                  <c:v>1.0410886934171246</c:v>
                </c:pt>
                <c:pt idx="3">
                  <c:v>1.0622618752834612</c:v>
                </c:pt>
                <c:pt idx="4">
                  <c:v>1.0838656675609757</c:v>
                </c:pt>
                <c:pt idx="5">
                  <c:v>1.1059088278056832</c:v>
                </c:pt>
                <c:pt idx="6">
                  <c:v>1.1284002916807359</c:v>
                </c:pt>
                <c:pt idx="7">
                  <c:v>1.1513491765786827</c:v>
                </c:pt>
                <c:pt idx="8">
                  <c:v>1.1747647853173997</c:v>
                </c:pt>
                <c:pt idx="9">
                  <c:v>1.1986566099111833</c:v>
                </c:pt>
              </c:numCache>
            </c:numRef>
          </c:val>
          <c:smooth val="0"/>
          <c:extLst>
            <c:ext xmlns:c16="http://schemas.microsoft.com/office/drawing/2014/chart" uri="{C3380CC4-5D6E-409C-BE32-E72D297353CC}">
              <c16:uniqueId val="{00000003-1775-6D46-8CB6-9A927A484B56}"/>
            </c:ext>
          </c:extLst>
        </c:ser>
        <c:ser>
          <c:idx val="4"/>
          <c:order val="4"/>
          <c:tx>
            <c:v>projindex2</c:v>
          </c:tx>
          <c:spPr>
            <a:ln w="19050" cmpd="sng">
              <a:solidFill>
                <a:srgbClr val="3366FF"/>
              </a:solid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[0]!PEdeqperFEprojindex2</c:f>
              <c:numCache>
                <c:formatCode>General</c:formatCode>
                <c:ptCount val="10"/>
                <c:pt idx="0">
                  <c:v>1</c:v>
                </c:pt>
                <c:pt idx="1">
                  <c:v>1.024646303427533</c:v>
                </c:pt>
                <c:pt idx="2">
                  <c:v>1.049900047127708</c:v>
                </c:pt>
                <c:pt idx="3">
                  <c:v>1.0757762022577988</c:v>
                </c:pt>
                <c:pt idx="4">
                  <c:v>1.1022901089587636</c:v>
                </c:pt>
                <c:pt idx="5">
                  <c:v>1.1294574854493298</c:v>
                </c:pt>
                <c:pt idx="6">
                  <c:v>1.1572944373442124</c:v>
                </c:pt>
                <c:pt idx="7">
                  <c:v>1.1858174672019941</c:v>
                </c:pt>
                <c:pt idx="8">
                  <c:v>1.2150434843083231</c:v>
                </c:pt>
                <c:pt idx="9">
                  <c:v>1.244989814700233</c:v>
                </c:pt>
              </c:numCache>
            </c:numRef>
          </c:val>
          <c:smooth val="0"/>
          <c:extLst>
            <c:ext xmlns:c16="http://schemas.microsoft.com/office/drawing/2014/chart" uri="{C3380CC4-5D6E-409C-BE32-E72D297353CC}">
              <c16:uniqueId val="{00000004-1775-6D46-8CB6-9A927A484B56}"/>
            </c:ext>
          </c:extLst>
        </c:ser>
        <c:dLbls>
          <c:showLegendKey val="0"/>
          <c:showVal val="0"/>
          <c:showCatName val="0"/>
          <c:showSerName val="0"/>
          <c:showPercent val="0"/>
          <c:showBubbleSize val="0"/>
        </c:dLbls>
        <c:marker val="1"/>
        <c:smooth val="0"/>
        <c:axId val="-1660977584"/>
        <c:axId val="-1660974832"/>
      </c:lineChart>
      <c:catAx>
        <c:axId val="-1660977584"/>
        <c:scaling>
          <c:orientation val="minMax"/>
        </c:scaling>
        <c:delete val="0"/>
        <c:axPos val="b"/>
        <c:numFmt formatCode="General" sourceLinked="1"/>
        <c:majorTickMark val="none"/>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60974832"/>
        <c:crosses val="autoZero"/>
        <c:auto val="1"/>
        <c:lblAlgn val="ctr"/>
        <c:lblOffset val="100"/>
        <c:tickLblSkip val="9"/>
        <c:tickMarkSkip val="1"/>
        <c:noMultiLvlLbl val="0"/>
      </c:catAx>
      <c:valAx>
        <c:axId val="-1660974832"/>
        <c:scaling>
          <c:orientation val="minMax"/>
          <c:max val="2"/>
          <c:min val="0"/>
        </c:scaling>
        <c:delete val="0"/>
        <c:axPos val="l"/>
        <c:title>
          <c:tx>
            <c:rich>
              <a:bodyPr/>
              <a:lstStyle/>
              <a:p>
                <a:pPr>
                  <a:defRPr sz="800" b="0" i="0" u="none" strike="noStrike" baseline="0">
                    <a:solidFill>
                      <a:srgbClr val="000000"/>
                    </a:solidFill>
                    <a:latin typeface="Arial"/>
                    <a:ea typeface="Arial"/>
                    <a:cs typeface="Arial"/>
                  </a:defRPr>
                </a:pPr>
                <a:r>
                  <a:rPr lang="en-US"/>
                  <a:t>PE/FE (2010=1)</a:t>
                </a:r>
              </a:p>
            </c:rich>
          </c:tx>
          <c:layout>
            <c:manualLayout>
              <c:xMode val="edge"/>
              <c:yMode val="edge"/>
              <c:x val="3.4432033205151681E-2"/>
              <c:y val="0.34191053547903255"/>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60977584"/>
        <c:crosses val="autoZero"/>
        <c:crossBetween val="midCat"/>
        <c:majorUnit val="0.5"/>
        <c:minorUnit val="0.5"/>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 verticalDpi="1200"/>
  </c:printSettings>
  <c:userShapes r:id="rId2"/>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23079197358394701"/>
          <c:y val="0.18389020122484701"/>
          <c:w val="0.60464719329438599"/>
          <c:h val="0.67512817147856496"/>
        </c:manualLayout>
      </c:layout>
      <c:areaChart>
        <c:grouping val="stacked"/>
        <c:varyColors val="0"/>
        <c:ser>
          <c:idx val="0"/>
          <c:order val="0"/>
          <c:tx>
            <c:v>Reference case</c:v>
          </c:tx>
          <c:spPr>
            <a:noFill/>
            <a:ln w="12700">
              <a:noFill/>
              <a:prstDash val="solid"/>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[0]!PEffperPEdeqindexRef</c:f>
              <c:numCache>
                <c:formatCode>0.00</c:formatCode>
                <c:ptCount val="10"/>
                <c:pt idx="0">
                  <c:v>1</c:v>
                </c:pt>
                <c:pt idx="1">
                  <c:v>0.99146304923284712</c:v>
                </c:pt>
                <c:pt idx="2">
                  <c:v>0.98158800111688571</c:v>
                </c:pt>
                <c:pt idx="3">
                  <c:v>0.95710102952464804</c:v>
                </c:pt>
                <c:pt idx="4">
                  <c:v>0.95096693265610632</c:v>
                </c:pt>
                <c:pt idx="5">
                  <c:v>0.96689822672278036</c:v>
                </c:pt>
                <c:pt idx="6">
                  <c:v>0.95593085104486486</c:v>
                </c:pt>
                <c:pt idx="7">
                  <c:v>0.93794675798477722</c:v>
                </c:pt>
                <c:pt idx="8">
                  <c:v>0.92928834630084756</c:v>
                </c:pt>
                <c:pt idx="9">
                  <c:v>0.92543115223185324</c:v>
                </c:pt>
              </c:numCache>
            </c:numRef>
          </c:val>
          <c:extLst>
            <c:ext xmlns:c16="http://schemas.microsoft.com/office/drawing/2014/chart" uri="{C3380CC4-5D6E-409C-BE32-E72D297353CC}">
              <c16:uniqueId val="{00000000-CD1C-1C42-B2F7-1A6EC839C4A5}"/>
            </c:ext>
          </c:extLst>
        </c:ser>
        <c:ser>
          <c:idx val="1"/>
          <c:order val="1"/>
          <c:tx>
            <c:v>Area for Intervention Case</c:v>
          </c:tx>
          <c:spPr>
            <a:solidFill>
              <a:srgbClr val="A1F4FF"/>
            </a:solidFill>
            <a:ln w="12700">
              <a:solidFill>
                <a:sysClr val="windowText" lastClr="000000"/>
              </a:solidFill>
              <a:prstDash val="solid"/>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[0]!AreaIndexPEff_PEdeq</c:f>
              <c:numCache>
                <c:formatCode>General</c:formatCode>
                <c:ptCount val="10"/>
                <c:pt idx="0">
                  <c:v>0</c:v>
                </c:pt>
                <c:pt idx="1">
                  <c:v>-5.4802283363625914E-2</c:v>
                </c:pt>
                <c:pt idx="2">
                  <c:v>-0.12006169093681007</c:v>
                </c:pt>
                <c:pt idx="3">
                  <c:v>-0.28260463498980637</c:v>
                </c:pt>
                <c:pt idx="4">
                  <c:v>-0.43068823137235845</c:v>
                </c:pt>
                <c:pt idx="5">
                  <c:v>-0.48161856250557439</c:v>
                </c:pt>
                <c:pt idx="6">
                  <c:v>-0.47482425605176393</c:v>
                </c:pt>
                <c:pt idx="7">
                  <c:v>-0.50867947142960412</c:v>
                </c:pt>
                <c:pt idx="8">
                  <c:v>-0.54838528732575353</c:v>
                </c:pt>
                <c:pt idx="9">
                  <c:v>-0.55761367654491001</c:v>
                </c:pt>
              </c:numCache>
            </c:numRef>
          </c:val>
          <c:extLst>
            <c:ext xmlns:c16="http://schemas.microsoft.com/office/drawing/2014/chart" uri="{C3380CC4-5D6E-409C-BE32-E72D297353CC}">
              <c16:uniqueId val="{00000001-CD1C-1C42-B2F7-1A6EC839C4A5}"/>
            </c:ext>
          </c:extLst>
        </c:ser>
        <c:dLbls>
          <c:showLegendKey val="0"/>
          <c:showVal val="0"/>
          <c:showCatName val="0"/>
          <c:showSerName val="0"/>
          <c:showPercent val="0"/>
          <c:showBubbleSize val="0"/>
        </c:dLbls>
        <c:axId val="-1660977584"/>
        <c:axId val="-1660974832"/>
      </c:areaChart>
      <c:lineChart>
        <c:grouping val="standard"/>
        <c:varyColors val="0"/>
        <c:ser>
          <c:idx val="2"/>
          <c:order val="2"/>
          <c:tx>
            <c:v>Line for Intervention Case</c:v>
          </c:tx>
          <c:spPr>
            <a:ln w="28575">
              <a:solidFill>
                <a:srgbClr val="C00000"/>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[0]!PEffperPEdeqindexInt</c:f>
              <c:numCache>
                <c:formatCode>0.00</c:formatCode>
                <c:ptCount val="10"/>
                <c:pt idx="0">
                  <c:v>1</c:v>
                </c:pt>
                <c:pt idx="1">
                  <c:v>0.9366607658692212</c:v>
                </c:pt>
                <c:pt idx="2">
                  <c:v>0.86152631018007564</c:v>
                </c:pt>
                <c:pt idx="3">
                  <c:v>0.67449639453484167</c:v>
                </c:pt>
                <c:pt idx="4">
                  <c:v>0.52027870128374787</c:v>
                </c:pt>
                <c:pt idx="5">
                  <c:v>0.48527966421720597</c:v>
                </c:pt>
                <c:pt idx="6">
                  <c:v>0.48110659499310093</c:v>
                </c:pt>
                <c:pt idx="7">
                  <c:v>0.42926728655517316</c:v>
                </c:pt>
                <c:pt idx="8">
                  <c:v>0.38090305897509397</c:v>
                </c:pt>
                <c:pt idx="9">
                  <c:v>0.36781747568694317</c:v>
                </c:pt>
              </c:numCache>
            </c:numRef>
          </c:val>
          <c:smooth val="0"/>
          <c:extLst>
            <c:ext xmlns:c16="http://schemas.microsoft.com/office/drawing/2014/chart" uri="{C3380CC4-5D6E-409C-BE32-E72D297353CC}">
              <c16:uniqueId val="{00000002-CD1C-1C42-B2F7-1A6EC839C4A5}"/>
            </c:ext>
          </c:extLst>
        </c:ser>
        <c:ser>
          <c:idx val="3"/>
          <c:order val="3"/>
          <c:tx>
            <c:v>projindex1</c:v>
          </c:tx>
          <c:spPr>
            <a:ln w="19050" cmpd="sng">
              <a:solidFill>
                <a:srgbClr val="008000"/>
              </a:solid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[0]!PEffperPEdeqprojindex1</c:f>
              <c:numCache>
                <c:formatCode>General</c:formatCode>
                <c:ptCount val="10"/>
                <c:pt idx="0">
                  <c:v>1</c:v>
                </c:pt>
                <c:pt idx="1">
                  <c:v>0.99584395266748793</c:v>
                </c:pt>
                <c:pt idx="2">
                  <c:v>0.99170517806440595</c:v>
                </c:pt>
                <c:pt idx="3">
                  <c:v>0.98758360440447301</c:v>
                </c:pt>
                <c:pt idx="4">
                  <c:v>0.98347916019975512</c:v>
                </c:pt>
                <c:pt idx="5">
                  <c:v>0.9793917742594257</c:v>
                </c:pt>
                <c:pt idx="6">
                  <c:v>0.9753213756885305</c:v>
                </c:pt>
                <c:pt idx="7">
                  <c:v>0.97126789388675816</c:v>
                </c:pt>
                <c:pt idx="8">
                  <c:v>0.96723125854721548</c:v>
                </c:pt>
                <c:pt idx="9">
                  <c:v>0.96321139965520808</c:v>
                </c:pt>
              </c:numCache>
            </c:numRef>
          </c:val>
          <c:smooth val="0"/>
          <c:extLst>
            <c:ext xmlns:c16="http://schemas.microsoft.com/office/drawing/2014/chart" uri="{C3380CC4-5D6E-409C-BE32-E72D297353CC}">
              <c16:uniqueId val="{00000003-CD1C-1C42-B2F7-1A6EC839C4A5}"/>
            </c:ext>
          </c:extLst>
        </c:ser>
        <c:ser>
          <c:idx val="4"/>
          <c:order val="4"/>
          <c:tx>
            <c:v>projindex2</c:v>
          </c:tx>
          <c:spPr>
            <a:ln w="19050" cmpd="sng">
              <a:solidFill>
                <a:srgbClr val="3366FF"/>
              </a:solid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[0]!PEffperPEdeqprojindex2</c:f>
              <c:numCache>
                <c:formatCode>General</c:formatCode>
                <c:ptCount val="10"/>
                <c:pt idx="0">
                  <c:v>1</c:v>
                </c:pt>
                <c:pt idx="1">
                  <c:v>1.0000949582660388</c:v>
                </c:pt>
                <c:pt idx="2">
                  <c:v>1.0001899255491498</c:v>
                </c:pt>
                <c:pt idx="3">
                  <c:v>1.0002849018501894</c:v>
                </c:pt>
                <c:pt idx="4">
                  <c:v>1.0003798871700138</c:v>
                </c:pt>
                <c:pt idx="5">
                  <c:v>1.0004748815094795</c:v>
                </c:pt>
                <c:pt idx="6">
                  <c:v>1.0005698848694431</c:v>
                </c:pt>
                <c:pt idx="7">
                  <c:v>1.000664897250761</c:v>
                </c:pt>
                <c:pt idx="8">
                  <c:v>1.0007599186542899</c:v>
                </c:pt>
                <c:pt idx="9">
                  <c:v>1.0008549490808865</c:v>
                </c:pt>
              </c:numCache>
            </c:numRef>
          </c:val>
          <c:smooth val="0"/>
          <c:extLst>
            <c:ext xmlns:c16="http://schemas.microsoft.com/office/drawing/2014/chart" uri="{C3380CC4-5D6E-409C-BE32-E72D297353CC}">
              <c16:uniqueId val="{00000004-CD1C-1C42-B2F7-1A6EC839C4A5}"/>
            </c:ext>
          </c:extLst>
        </c:ser>
        <c:dLbls>
          <c:showLegendKey val="0"/>
          <c:showVal val="0"/>
          <c:showCatName val="0"/>
          <c:showSerName val="0"/>
          <c:showPercent val="0"/>
          <c:showBubbleSize val="0"/>
        </c:dLbls>
        <c:marker val="1"/>
        <c:smooth val="0"/>
        <c:axId val="-1660977584"/>
        <c:axId val="-1660974832"/>
      </c:lineChart>
      <c:catAx>
        <c:axId val="-1660977584"/>
        <c:scaling>
          <c:orientation val="minMax"/>
        </c:scaling>
        <c:delete val="0"/>
        <c:axPos val="b"/>
        <c:numFmt formatCode="General" sourceLinked="1"/>
        <c:majorTickMark val="none"/>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60974832"/>
        <c:crosses val="autoZero"/>
        <c:auto val="1"/>
        <c:lblAlgn val="ctr"/>
        <c:lblOffset val="100"/>
        <c:tickLblSkip val="9"/>
        <c:tickMarkSkip val="1"/>
        <c:noMultiLvlLbl val="0"/>
      </c:catAx>
      <c:valAx>
        <c:axId val="-1660974832"/>
        <c:scaling>
          <c:orientation val="minMax"/>
          <c:max val="2"/>
          <c:min val="0"/>
        </c:scaling>
        <c:delete val="0"/>
        <c:axPos val="l"/>
        <c:title>
          <c:tx>
            <c:rich>
              <a:bodyPr/>
              <a:lstStyle/>
              <a:p>
                <a:pPr>
                  <a:defRPr sz="800" b="0" i="0" u="none" strike="noStrike" baseline="0">
                    <a:solidFill>
                      <a:srgbClr val="000000"/>
                    </a:solidFill>
                    <a:latin typeface="Arial"/>
                    <a:ea typeface="Arial"/>
                    <a:cs typeface="Arial"/>
                  </a:defRPr>
                </a:pPr>
                <a:r>
                  <a:rPr lang="en-US"/>
                  <a:t>PE Fossil/PE (2010=1)</a:t>
                </a:r>
              </a:p>
            </c:rich>
          </c:tx>
          <c:layout>
            <c:manualLayout>
              <c:xMode val="edge"/>
              <c:yMode val="edge"/>
              <c:x val="2.7972084884738249E-2"/>
              <c:y val="0.25168495821516756"/>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60977584"/>
        <c:crosses val="autoZero"/>
        <c:crossBetween val="midCat"/>
        <c:majorUnit val="0.5"/>
        <c:minorUnit val="0.5"/>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 verticalDpi="1200"/>
  </c:printSettings>
  <c:userShapes r:id="rId2"/>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23079197358394701"/>
          <c:y val="0.18389020122484701"/>
          <c:w val="0.60464719329438599"/>
          <c:h val="0.67512817147856496"/>
        </c:manualLayout>
      </c:layout>
      <c:areaChart>
        <c:grouping val="stacked"/>
        <c:varyColors val="0"/>
        <c:ser>
          <c:idx val="0"/>
          <c:order val="0"/>
          <c:tx>
            <c:v>Reference case</c:v>
          </c:tx>
          <c:spPr>
            <a:noFill/>
            <a:ln w="12700">
              <a:noFill/>
              <a:prstDash val="solid"/>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[0]!TFCperPEffindexRef</c:f>
              <c:numCache>
                <c:formatCode>0.00</c:formatCode>
                <c:ptCount val="10"/>
                <c:pt idx="0">
                  <c:v>1</c:v>
                </c:pt>
                <c:pt idx="1">
                  <c:v>1.0262658308865731</c:v>
                </c:pt>
                <c:pt idx="2">
                  <c:v>1.0293981470205393</c:v>
                </c:pt>
                <c:pt idx="3">
                  <c:v>1.0248306831631455</c:v>
                </c:pt>
                <c:pt idx="4">
                  <c:v>1.0205789626126258</c:v>
                </c:pt>
                <c:pt idx="5">
                  <c:v>1.0122398186663786</c:v>
                </c:pt>
                <c:pt idx="6">
                  <c:v>1.0224172521544013</c:v>
                </c:pt>
                <c:pt idx="7">
                  <c:v>1.0343987796587577</c:v>
                </c:pt>
                <c:pt idx="8">
                  <c:v>1.054127220841206</c:v>
                </c:pt>
                <c:pt idx="9">
                  <c:v>1.0794416426975419</c:v>
                </c:pt>
              </c:numCache>
            </c:numRef>
          </c:val>
          <c:extLst>
            <c:ext xmlns:c16="http://schemas.microsoft.com/office/drawing/2014/chart" uri="{C3380CC4-5D6E-409C-BE32-E72D297353CC}">
              <c16:uniqueId val="{00000000-3FE9-C840-877A-74C23CD491C5}"/>
            </c:ext>
          </c:extLst>
        </c:ser>
        <c:ser>
          <c:idx val="1"/>
          <c:order val="1"/>
          <c:tx>
            <c:v>Area for Intervention Case</c:v>
          </c:tx>
          <c:spPr>
            <a:solidFill>
              <a:srgbClr val="A1F4FF"/>
            </a:solidFill>
            <a:ln w="12700">
              <a:solidFill>
                <a:sysClr val="windowText" lastClr="000000"/>
              </a:solidFill>
              <a:prstDash val="solid"/>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[0]!AreaIndexTFC_PEff</c:f>
              <c:numCache>
                <c:formatCode>General</c:formatCode>
                <c:ptCount val="10"/>
                <c:pt idx="0">
                  <c:v>0</c:v>
                </c:pt>
                <c:pt idx="1">
                  <c:v>-2.0767047580450226E-2</c:v>
                </c:pt>
                <c:pt idx="2">
                  <c:v>-7.1178645509862637E-2</c:v>
                </c:pt>
                <c:pt idx="3">
                  <c:v>-0.16344291712516157</c:v>
                </c:pt>
                <c:pt idx="4">
                  <c:v>-0.23591272346863168</c:v>
                </c:pt>
                <c:pt idx="5">
                  <c:v>-0.24015387289694623</c:v>
                </c:pt>
                <c:pt idx="6">
                  <c:v>-0.24754637235844035</c:v>
                </c:pt>
                <c:pt idx="7">
                  <c:v>-0.27196224683050363</c:v>
                </c:pt>
                <c:pt idx="8">
                  <c:v>-0.28580143755595799</c:v>
                </c:pt>
                <c:pt idx="9">
                  <c:v>-0.28197346399281153</c:v>
                </c:pt>
              </c:numCache>
            </c:numRef>
          </c:val>
          <c:extLst>
            <c:ext xmlns:c16="http://schemas.microsoft.com/office/drawing/2014/chart" uri="{C3380CC4-5D6E-409C-BE32-E72D297353CC}">
              <c16:uniqueId val="{00000001-3FE9-C840-877A-74C23CD491C5}"/>
            </c:ext>
          </c:extLst>
        </c:ser>
        <c:dLbls>
          <c:showLegendKey val="0"/>
          <c:showVal val="0"/>
          <c:showCatName val="0"/>
          <c:showSerName val="0"/>
          <c:showPercent val="0"/>
          <c:showBubbleSize val="0"/>
        </c:dLbls>
        <c:axId val="-1660977584"/>
        <c:axId val="-1660974832"/>
      </c:areaChart>
      <c:lineChart>
        <c:grouping val="standard"/>
        <c:varyColors val="0"/>
        <c:ser>
          <c:idx val="2"/>
          <c:order val="2"/>
          <c:tx>
            <c:v>Line for Intervention Case</c:v>
          </c:tx>
          <c:spPr>
            <a:ln w="28575">
              <a:solidFill>
                <a:srgbClr val="C00000"/>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[0]!TFCperPEffindexInt</c:f>
              <c:numCache>
                <c:formatCode>0.00</c:formatCode>
                <c:ptCount val="10"/>
                <c:pt idx="0">
                  <c:v>1</c:v>
                </c:pt>
                <c:pt idx="1">
                  <c:v>1.0054987833061229</c:v>
                </c:pt>
                <c:pt idx="2">
                  <c:v>0.9582195015106767</c:v>
                </c:pt>
                <c:pt idx="3">
                  <c:v>0.86138776603798395</c:v>
                </c:pt>
                <c:pt idx="4">
                  <c:v>0.78466623914399414</c:v>
                </c:pt>
                <c:pt idx="5">
                  <c:v>0.77208594576943235</c:v>
                </c:pt>
                <c:pt idx="6">
                  <c:v>0.77487087979596092</c:v>
                </c:pt>
                <c:pt idx="7">
                  <c:v>0.76243653282825408</c:v>
                </c:pt>
                <c:pt idx="8">
                  <c:v>0.76832578328524803</c:v>
                </c:pt>
                <c:pt idx="9">
                  <c:v>0.79746817870473041</c:v>
                </c:pt>
              </c:numCache>
            </c:numRef>
          </c:val>
          <c:smooth val="0"/>
          <c:extLst>
            <c:ext xmlns:c16="http://schemas.microsoft.com/office/drawing/2014/chart" uri="{C3380CC4-5D6E-409C-BE32-E72D297353CC}">
              <c16:uniqueId val="{00000002-3FE9-C840-877A-74C23CD491C5}"/>
            </c:ext>
          </c:extLst>
        </c:ser>
        <c:ser>
          <c:idx val="3"/>
          <c:order val="3"/>
          <c:tx>
            <c:v>projindex1</c:v>
          </c:tx>
          <c:spPr>
            <a:ln w="19050" cmpd="sng">
              <a:solidFill>
                <a:srgbClr val="008000"/>
              </a:solid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[0]!TFCperPEffprojindex1</c:f>
              <c:numCache>
                <c:formatCode>General</c:formatCode>
                <c:ptCount val="10"/>
                <c:pt idx="0">
                  <c:v>1</c:v>
                </c:pt>
                <c:pt idx="1">
                  <c:v>1.0155593310911026</c:v>
                </c:pt>
                <c:pt idx="2">
                  <c:v>1.0313607549662078</c:v>
                </c:pt>
                <c:pt idx="3">
                  <c:v>1.0474080384270967</c:v>
                </c:pt>
                <c:pt idx="4">
                  <c:v>1.0637050068844662</c:v>
                </c:pt>
                <c:pt idx="5">
                  <c:v>1.0802555452698452</c:v>
                </c:pt>
                <c:pt idx="6">
                  <c:v>1.0970635989616984</c:v>
                </c:pt>
                <c:pt idx="7">
                  <c:v>1.11413317472594</c:v>
                </c:pt>
                <c:pt idx="8">
                  <c:v>1.1314683416710822</c:v>
                </c:pt>
                <c:pt idx="9">
                  <c:v>1.1490732322182435</c:v>
                </c:pt>
              </c:numCache>
            </c:numRef>
          </c:val>
          <c:smooth val="0"/>
          <c:extLst>
            <c:ext xmlns:c16="http://schemas.microsoft.com/office/drawing/2014/chart" uri="{C3380CC4-5D6E-409C-BE32-E72D297353CC}">
              <c16:uniqueId val="{00000003-3FE9-C840-877A-74C23CD491C5}"/>
            </c:ext>
          </c:extLst>
        </c:ser>
        <c:ser>
          <c:idx val="4"/>
          <c:order val="4"/>
          <c:tx>
            <c:v>projindex2</c:v>
          </c:tx>
          <c:spPr>
            <a:ln w="19050" cmpd="sng">
              <a:solidFill>
                <a:srgbClr val="3366FF"/>
              </a:solid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[0]!TFCperPEffprojindex2</c:f>
              <c:numCache>
                <c:formatCode>General</c:formatCode>
                <c:ptCount val="10"/>
                <c:pt idx="0">
                  <c:v>1</c:v>
                </c:pt>
                <c:pt idx="1">
                  <c:v>1.0078043923237696</c:v>
                </c:pt>
                <c:pt idx="2">
                  <c:v>1.0156696931870826</c:v>
                </c:pt>
                <c:pt idx="3">
                  <c:v>1.0235963779440773</c:v>
                </c:pt>
                <c:pt idx="4">
                  <c:v>1.0315849256587424</c:v>
                </c:pt>
                <c:pt idx="5">
                  <c:v>1.0396358191338699</c:v>
                </c:pt>
                <c:pt idx="6">
                  <c:v>1.0477495449402343</c:v>
                </c:pt>
                <c:pt idx="7">
                  <c:v>1.0559265934459989</c:v>
                </c:pt>
                <c:pt idx="8">
                  <c:v>1.064167458846353</c:v>
                </c:pt>
                <c:pt idx="9">
                  <c:v>1.072472639193379</c:v>
                </c:pt>
              </c:numCache>
            </c:numRef>
          </c:val>
          <c:smooth val="0"/>
          <c:extLst>
            <c:ext xmlns:c16="http://schemas.microsoft.com/office/drawing/2014/chart" uri="{C3380CC4-5D6E-409C-BE32-E72D297353CC}">
              <c16:uniqueId val="{00000004-3FE9-C840-877A-74C23CD491C5}"/>
            </c:ext>
          </c:extLst>
        </c:ser>
        <c:dLbls>
          <c:showLegendKey val="0"/>
          <c:showVal val="0"/>
          <c:showCatName val="0"/>
          <c:showSerName val="0"/>
          <c:showPercent val="0"/>
          <c:showBubbleSize val="0"/>
        </c:dLbls>
        <c:marker val="1"/>
        <c:smooth val="0"/>
        <c:axId val="-1660977584"/>
        <c:axId val="-1660974832"/>
      </c:lineChart>
      <c:catAx>
        <c:axId val="-1660977584"/>
        <c:scaling>
          <c:orientation val="minMax"/>
        </c:scaling>
        <c:delete val="0"/>
        <c:axPos val="b"/>
        <c:numFmt formatCode="General" sourceLinked="1"/>
        <c:majorTickMark val="none"/>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60974832"/>
        <c:crosses val="autoZero"/>
        <c:auto val="1"/>
        <c:lblAlgn val="ctr"/>
        <c:lblOffset val="100"/>
        <c:tickLblSkip val="9"/>
        <c:tickMarkSkip val="1"/>
        <c:noMultiLvlLbl val="0"/>
      </c:catAx>
      <c:valAx>
        <c:axId val="-1660974832"/>
        <c:scaling>
          <c:orientation val="minMax"/>
          <c:max val="2"/>
          <c:min val="0"/>
        </c:scaling>
        <c:delete val="0"/>
        <c:axPos val="l"/>
        <c:title>
          <c:tx>
            <c:rich>
              <a:bodyPr/>
              <a:lstStyle/>
              <a:p>
                <a:pPr>
                  <a:defRPr sz="800" b="0" i="0" u="none" strike="noStrike" baseline="0">
                    <a:solidFill>
                      <a:srgbClr val="000000"/>
                    </a:solidFill>
                    <a:latin typeface="Arial"/>
                    <a:ea typeface="Arial"/>
                    <a:cs typeface="Arial"/>
                  </a:defRPr>
                </a:pPr>
                <a:r>
                  <a:rPr lang="en-US" sz="800" b="0" i="0" u="none" strike="noStrike" baseline="0">
                    <a:effectLst/>
                  </a:rPr>
                  <a:t>CO2 per unit of fossil PE (2010=1)</a:t>
                </a:r>
                <a:r>
                  <a:rPr lang="en-US" sz="800" b="0" i="0" u="none" strike="noStrike" baseline="0"/>
                  <a:t> </a:t>
                </a:r>
                <a:endParaRPr lang="en-US"/>
              </a:p>
            </c:rich>
          </c:tx>
          <c:layout>
            <c:manualLayout>
              <c:xMode val="edge"/>
              <c:yMode val="edge"/>
              <c:x val="2.7972027972028E-2"/>
              <c:y val="0.18965503936063299"/>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60977584"/>
        <c:crosses val="autoZero"/>
        <c:crossBetween val="midCat"/>
        <c:majorUnit val="1"/>
        <c:minorUnit val="0.5"/>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 verticalDpi="1200"/>
  </c:printSettings>
  <c:userShapes r:id="rId2"/>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22936703073406101"/>
          <c:y val="0.179501749781277"/>
          <c:w val="0.60689859542899904"/>
          <c:h val="0.67720253718285195"/>
        </c:manualLayout>
      </c:layout>
      <c:areaChart>
        <c:grouping val="stacked"/>
        <c:varyColors val="0"/>
        <c:ser>
          <c:idx val="1"/>
          <c:order val="0"/>
          <c:tx>
            <c:v>reference scenario area</c:v>
          </c:tx>
          <c:spPr>
            <a:noFill/>
            <a:ln w="12700">
              <a:noFill/>
              <a:prstDash val="solid"/>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[0]!NFCperTFCindexRef</c:f>
              <c:numCache>
                <c:formatCode>0.00</c:formatCode>
                <c:ptCount val="10"/>
                <c:pt idx="0">
                  <c:v>1</c:v>
                </c:pt>
                <c:pt idx="1">
                  <c:v>1</c:v>
                </c:pt>
                <c:pt idx="2">
                  <c:v>1</c:v>
                </c:pt>
                <c:pt idx="3">
                  <c:v>1</c:v>
                </c:pt>
                <c:pt idx="4">
                  <c:v>1</c:v>
                </c:pt>
                <c:pt idx="5">
                  <c:v>1</c:v>
                </c:pt>
                <c:pt idx="6">
                  <c:v>1</c:v>
                </c:pt>
                <c:pt idx="7">
                  <c:v>1</c:v>
                </c:pt>
                <c:pt idx="8">
                  <c:v>1</c:v>
                </c:pt>
                <c:pt idx="9">
                  <c:v>1</c:v>
                </c:pt>
              </c:numCache>
            </c:numRef>
          </c:val>
          <c:extLst>
            <c:ext xmlns:c16="http://schemas.microsoft.com/office/drawing/2014/chart" uri="{C3380CC4-5D6E-409C-BE32-E72D297353CC}">
              <c16:uniqueId val="{00000000-9140-6B45-A383-B44698B6ED71}"/>
            </c:ext>
          </c:extLst>
        </c:ser>
        <c:ser>
          <c:idx val="0"/>
          <c:order val="1"/>
          <c:tx>
            <c:v>Intervention scenario</c:v>
          </c:tx>
          <c:spPr>
            <a:solidFill>
              <a:srgbClr val="A1F4FF"/>
            </a:solidFill>
            <a:ln w="12700">
              <a:solidFill>
                <a:sysClr val="windowText" lastClr="000000"/>
              </a:solidFill>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[0]!AreaIndexNFC_TFC</c:f>
              <c:numCache>
                <c:formatCode>General</c:formatCode>
                <c:ptCount val="10"/>
                <c:pt idx="0">
                  <c:v>0</c:v>
                </c:pt>
                <c:pt idx="1">
                  <c:v>-1.1258968232363831E-3</c:v>
                </c:pt>
                <c:pt idx="2">
                  <c:v>-6.1888774135854918E-2</c:v>
                </c:pt>
                <c:pt idx="3">
                  <c:v>-0.21179335977533897</c:v>
                </c:pt>
                <c:pt idx="4">
                  <c:v>-0.35107223682439015</c:v>
                </c:pt>
                <c:pt idx="5">
                  <c:v>-0.49852626033660641</c:v>
                </c:pt>
                <c:pt idx="6">
                  <c:v>-0.63162083835447258</c:v>
                </c:pt>
                <c:pt idx="7">
                  <c:v>-0.67151058384419637</c:v>
                </c:pt>
                <c:pt idx="8">
                  <c:v>-0.6638756733198441</c:v>
                </c:pt>
                <c:pt idx="9">
                  <c:v>-0.6549966352746559</c:v>
                </c:pt>
              </c:numCache>
            </c:numRef>
          </c:val>
          <c:extLst>
            <c:ext xmlns:c16="http://schemas.microsoft.com/office/drawing/2014/chart" uri="{C3380CC4-5D6E-409C-BE32-E72D297353CC}">
              <c16:uniqueId val="{00000001-9140-6B45-A383-B44698B6ED71}"/>
            </c:ext>
          </c:extLst>
        </c:ser>
        <c:dLbls>
          <c:showLegendKey val="0"/>
          <c:showVal val="0"/>
          <c:showCatName val="0"/>
          <c:showSerName val="0"/>
          <c:showPercent val="0"/>
          <c:showBubbleSize val="0"/>
        </c:dLbls>
        <c:axId val="-1661017152"/>
        <c:axId val="-1661014400"/>
      </c:areaChart>
      <c:lineChart>
        <c:grouping val="standard"/>
        <c:varyColors val="0"/>
        <c:ser>
          <c:idx val="2"/>
          <c:order val="2"/>
          <c:tx>
            <c:v>Intervention scenario Line</c:v>
          </c:tx>
          <c:spPr>
            <a:ln w="28575">
              <a:solidFill>
                <a:srgbClr val="C00000"/>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[0]!NFCperTFCindexInt</c:f>
              <c:numCache>
                <c:formatCode>0.00</c:formatCode>
                <c:ptCount val="10"/>
                <c:pt idx="0">
                  <c:v>1</c:v>
                </c:pt>
                <c:pt idx="1">
                  <c:v>0.99887410317676362</c:v>
                </c:pt>
                <c:pt idx="2">
                  <c:v>0.93811122586414508</c:v>
                </c:pt>
                <c:pt idx="3">
                  <c:v>0.78820664022466103</c:v>
                </c:pt>
                <c:pt idx="4">
                  <c:v>0.64892776317560985</c:v>
                </c:pt>
                <c:pt idx="5">
                  <c:v>0.50147373966339359</c:v>
                </c:pt>
                <c:pt idx="6">
                  <c:v>0.36837916164552736</c:v>
                </c:pt>
                <c:pt idx="7">
                  <c:v>0.32848941615580363</c:v>
                </c:pt>
                <c:pt idx="8">
                  <c:v>0.3361243266801559</c:v>
                </c:pt>
                <c:pt idx="9">
                  <c:v>0.34500336472534404</c:v>
                </c:pt>
              </c:numCache>
            </c:numRef>
          </c:val>
          <c:smooth val="0"/>
          <c:extLst>
            <c:ext xmlns:c16="http://schemas.microsoft.com/office/drawing/2014/chart" uri="{C3380CC4-5D6E-409C-BE32-E72D297353CC}">
              <c16:uniqueId val="{00000002-9140-6B45-A383-B44698B6ED71}"/>
            </c:ext>
          </c:extLst>
        </c:ser>
        <c:ser>
          <c:idx val="3"/>
          <c:order val="3"/>
          <c:tx>
            <c:v>reference scenario line</c:v>
          </c:tx>
          <c:spPr>
            <a:ln w="12700">
              <a:no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[0]!NFCperTFCindexRef</c:f>
              <c:numCache>
                <c:formatCode>0.00</c:formatCode>
                <c:ptCount val="10"/>
                <c:pt idx="0">
                  <c:v>1</c:v>
                </c:pt>
                <c:pt idx="1">
                  <c:v>1</c:v>
                </c:pt>
                <c:pt idx="2">
                  <c:v>1</c:v>
                </c:pt>
                <c:pt idx="3">
                  <c:v>1</c:v>
                </c:pt>
                <c:pt idx="4">
                  <c:v>1</c:v>
                </c:pt>
                <c:pt idx="5">
                  <c:v>1</c:v>
                </c:pt>
                <c:pt idx="6">
                  <c:v>1</c:v>
                </c:pt>
                <c:pt idx="7">
                  <c:v>1</c:v>
                </c:pt>
                <c:pt idx="8">
                  <c:v>1</c:v>
                </c:pt>
                <c:pt idx="9">
                  <c:v>1</c:v>
                </c:pt>
              </c:numCache>
            </c:numRef>
          </c:val>
          <c:smooth val="0"/>
          <c:extLst>
            <c:ext xmlns:c16="http://schemas.microsoft.com/office/drawing/2014/chart" uri="{C3380CC4-5D6E-409C-BE32-E72D297353CC}">
              <c16:uniqueId val="{00000003-9140-6B45-A383-B44698B6ED71}"/>
            </c:ext>
          </c:extLst>
        </c:ser>
        <c:ser>
          <c:idx val="4"/>
          <c:order val="4"/>
          <c:tx>
            <c:v>(NFC-Biomass CCS)/TFC mit</c:v>
          </c:tx>
          <c:spPr>
            <a:ln>
              <a:solidFill>
                <a:srgbClr val="008000"/>
              </a:solidFill>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[0]!biomassCCSNFCIntindex</c:f>
              <c:numCache>
                <c:formatCode>0.00</c:formatCode>
                <c:ptCount val="10"/>
                <c:pt idx="0">
                  <c:v>1</c:v>
                </c:pt>
                <c:pt idx="1">
                  <c:v>0.99887410317676362</c:v>
                </c:pt>
                <c:pt idx="2">
                  <c:v>0.93811122576436023</c:v>
                </c:pt>
                <c:pt idx="3">
                  <c:v>0.78820663627824705</c:v>
                </c:pt>
                <c:pt idx="4">
                  <c:v>0.6489168348714428</c:v>
                </c:pt>
                <c:pt idx="5">
                  <c:v>0.50146352330175292</c:v>
                </c:pt>
                <c:pt idx="6">
                  <c:v>0.36837189999305697</c:v>
                </c:pt>
                <c:pt idx="7">
                  <c:v>0.3284835453174012</c:v>
                </c:pt>
                <c:pt idx="8">
                  <c:v>0.336118202296389</c:v>
                </c:pt>
                <c:pt idx="9">
                  <c:v>0.34496515970277836</c:v>
                </c:pt>
              </c:numCache>
            </c:numRef>
          </c:val>
          <c:smooth val="0"/>
          <c:extLst>
            <c:ext xmlns:c16="http://schemas.microsoft.com/office/drawing/2014/chart" uri="{C3380CC4-5D6E-409C-BE32-E72D297353CC}">
              <c16:uniqueId val="{00000004-9140-6B45-A383-B44698B6ED71}"/>
            </c:ext>
          </c:extLst>
        </c:ser>
        <c:ser>
          <c:idx val="5"/>
          <c:order val="5"/>
          <c:marker>
            <c:symbol val="none"/>
          </c:marker>
          <c:val>
            <c:numRef>
              <c:f>ExpKayaFactorsRef!$E$11:$N$11</c:f>
              <c:numCache>
                <c:formatCode>0.00</c:formatCode>
                <c:ptCount val="10"/>
              </c:numCache>
            </c:numRef>
          </c:val>
          <c:smooth val="0"/>
          <c:extLst>
            <c:ext xmlns:c16="http://schemas.microsoft.com/office/drawing/2014/chart" uri="{C3380CC4-5D6E-409C-BE32-E72D297353CC}">
              <c16:uniqueId val="{00000005-9140-6B45-A383-B44698B6ED71}"/>
            </c:ext>
          </c:extLst>
        </c:ser>
        <c:dLbls>
          <c:showLegendKey val="0"/>
          <c:showVal val="0"/>
          <c:showCatName val="0"/>
          <c:showSerName val="0"/>
          <c:showPercent val="0"/>
          <c:showBubbleSize val="0"/>
        </c:dLbls>
        <c:marker val="1"/>
        <c:smooth val="0"/>
        <c:axId val="-1661017152"/>
        <c:axId val="-1661014400"/>
      </c:lineChart>
      <c:catAx>
        <c:axId val="-1661017152"/>
        <c:scaling>
          <c:orientation val="minMax"/>
        </c:scaling>
        <c:delete val="0"/>
        <c:axPos val="b"/>
        <c:numFmt formatCode="General" sourceLinked="1"/>
        <c:majorTickMark val="none"/>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61014400"/>
        <c:crosses val="autoZero"/>
        <c:auto val="1"/>
        <c:lblAlgn val="ctr"/>
        <c:lblOffset val="100"/>
        <c:tickLblSkip val="9"/>
        <c:tickMarkSkip val="1"/>
        <c:noMultiLvlLbl val="0"/>
      </c:catAx>
      <c:valAx>
        <c:axId val="-1661014400"/>
        <c:scaling>
          <c:orientation val="minMax"/>
          <c:max val="2"/>
        </c:scaling>
        <c:delete val="0"/>
        <c:axPos val="l"/>
        <c:title>
          <c:tx>
            <c:rich>
              <a:bodyPr/>
              <a:lstStyle/>
              <a:p>
                <a:pPr>
                  <a:defRPr sz="800" b="0" i="0" u="none" strike="noStrike" baseline="0">
                    <a:solidFill>
                      <a:srgbClr val="000000"/>
                    </a:solidFill>
                    <a:latin typeface="Arial"/>
                    <a:ea typeface="Arial"/>
                    <a:cs typeface="Arial"/>
                  </a:defRPr>
                </a:pPr>
                <a:r>
                  <a:rPr lang="en-US"/>
                  <a:t>Fraction not sequestered (2010=1)</a:t>
                </a:r>
              </a:p>
            </c:rich>
          </c:tx>
          <c:layout>
            <c:manualLayout>
              <c:xMode val="edge"/>
              <c:yMode val="edge"/>
              <c:x val="3.4482874740283997E-2"/>
              <c:y val="0.160919427336294"/>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61017152"/>
        <c:crosses val="autoZero"/>
        <c:crossBetween val="midCat"/>
        <c:majorUnit val="0.5"/>
        <c:minorUnit val="0.25"/>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 verticalDpi="1200"/>
  </c:printSettings>
  <c:userShapes r:id="rId2"/>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28487229862476"/>
          <c:y val="4.287749287749288E-2"/>
          <c:w val="0.8506352324819908"/>
          <c:h val="0.82504565134486396"/>
        </c:manualLayout>
      </c:layout>
      <c:areaChart>
        <c:grouping val="stacked"/>
        <c:varyColors val="0"/>
        <c:ser>
          <c:idx val="0"/>
          <c:order val="0"/>
          <c:tx>
            <c:strRef>
              <c:f>'Figure Primary E Ref'!$H$23</c:f>
              <c:strCache>
                <c:ptCount val="1"/>
                <c:pt idx="0">
                  <c:v>Coal</c:v>
                </c:pt>
              </c:strCache>
            </c:strRef>
          </c:tx>
          <c:spPr>
            <a:solidFill>
              <a:schemeClr val="tx1"/>
            </a:solidFill>
            <a:ln>
              <a:noFill/>
            </a:ln>
            <a:effectLst/>
          </c:spPr>
          <c:cat>
            <c:numRef>
              <c:f>'Figure Primary E Ref'!$I$22:$Q$22</c:f>
              <c:numCache>
                <c:formatCode>General</c:formatCode>
                <c:ptCount val="9"/>
                <c:pt idx="0">
                  <c:v>2020</c:v>
                </c:pt>
                <c:pt idx="1">
                  <c:v>2030</c:v>
                </c:pt>
                <c:pt idx="2">
                  <c:v>2040</c:v>
                </c:pt>
                <c:pt idx="3">
                  <c:v>2050</c:v>
                </c:pt>
                <c:pt idx="4">
                  <c:v>2060</c:v>
                </c:pt>
                <c:pt idx="5">
                  <c:v>2070</c:v>
                </c:pt>
                <c:pt idx="6">
                  <c:v>2080</c:v>
                </c:pt>
                <c:pt idx="7">
                  <c:v>2090</c:v>
                </c:pt>
                <c:pt idx="8">
                  <c:v>2100</c:v>
                </c:pt>
              </c:numCache>
            </c:numRef>
          </c:cat>
          <c:val>
            <c:numRef>
              <c:f>'Figure Primary E Ref'!$I$23:$Q$23</c:f>
              <c:numCache>
                <c:formatCode>0</c:formatCode>
                <c:ptCount val="9"/>
                <c:pt idx="0">
                  <c:v>172.32499999999999</c:v>
                </c:pt>
                <c:pt idx="1">
                  <c:v>211.99509380000001</c:v>
                </c:pt>
                <c:pt idx="2">
                  <c:v>240.01190629999999</c:v>
                </c:pt>
                <c:pt idx="3">
                  <c:v>263.81950000000001</c:v>
                </c:pt>
                <c:pt idx="4">
                  <c:v>289.18609379999998</c:v>
                </c:pt>
                <c:pt idx="5">
                  <c:v>321.66659379999999</c:v>
                </c:pt>
                <c:pt idx="6">
                  <c:v>366.5186875</c:v>
                </c:pt>
                <c:pt idx="7">
                  <c:v>432.56718749999999</c:v>
                </c:pt>
                <c:pt idx="8">
                  <c:v>510.43531250000001</c:v>
                </c:pt>
              </c:numCache>
            </c:numRef>
          </c:val>
          <c:extLst>
            <c:ext xmlns:c16="http://schemas.microsoft.com/office/drawing/2014/chart" uri="{C3380CC4-5D6E-409C-BE32-E72D297353CC}">
              <c16:uniqueId val="{00000000-1ECE-1740-B7E4-9B0A4A6116BA}"/>
            </c:ext>
          </c:extLst>
        </c:ser>
        <c:ser>
          <c:idx val="1"/>
          <c:order val="1"/>
          <c:tx>
            <c:strRef>
              <c:f>'Figure Primary E Ref'!$H$24</c:f>
              <c:strCache>
                <c:ptCount val="1"/>
                <c:pt idx="0">
                  <c:v>Petroleum</c:v>
                </c:pt>
              </c:strCache>
            </c:strRef>
          </c:tx>
          <c:spPr>
            <a:solidFill>
              <a:schemeClr val="bg1">
                <a:lumMod val="50000"/>
              </a:schemeClr>
            </a:solidFill>
            <a:ln>
              <a:noFill/>
            </a:ln>
            <a:effectLst/>
          </c:spPr>
          <c:cat>
            <c:numRef>
              <c:f>'Figure Primary E Ref'!$I$22:$Q$22</c:f>
              <c:numCache>
                <c:formatCode>General</c:formatCode>
                <c:ptCount val="9"/>
                <c:pt idx="0">
                  <c:v>2020</c:v>
                </c:pt>
                <c:pt idx="1">
                  <c:v>2030</c:v>
                </c:pt>
                <c:pt idx="2">
                  <c:v>2040</c:v>
                </c:pt>
                <c:pt idx="3">
                  <c:v>2050</c:v>
                </c:pt>
                <c:pt idx="4">
                  <c:v>2060</c:v>
                </c:pt>
                <c:pt idx="5">
                  <c:v>2070</c:v>
                </c:pt>
                <c:pt idx="6">
                  <c:v>2080</c:v>
                </c:pt>
                <c:pt idx="7">
                  <c:v>2090</c:v>
                </c:pt>
                <c:pt idx="8">
                  <c:v>2100</c:v>
                </c:pt>
              </c:numCache>
            </c:numRef>
          </c:cat>
          <c:val>
            <c:numRef>
              <c:f>'Figure Primary E Ref'!$I$24:$Q$24</c:f>
              <c:numCache>
                <c:formatCode>0</c:formatCode>
                <c:ptCount val="9"/>
                <c:pt idx="0">
                  <c:v>176.6505938</c:v>
                </c:pt>
                <c:pt idx="1">
                  <c:v>165.22149999999999</c:v>
                </c:pt>
                <c:pt idx="2">
                  <c:v>158.09770309999999</c:v>
                </c:pt>
                <c:pt idx="3">
                  <c:v>173.017</c:v>
                </c:pt>
                <c:pt idx="4">
                  <c:v>198.71950000000001</c:v>
                </c:pt>
                <c:pt idx="5">
                  <c:v>201.8860938</c:v>
                </c:pt>
                <c:pt idx="6">
                  <c:v>191.60340629999999</c:v>
                </c:pt>
                <c:pt idx="7">
                  <c:v>187.4747969</c:v>
                </c:pt>
                <c:pt idx="8">
                  <c:v>180.62559379999999</c:v>
                </c:pt>
              </c:numCache>
            </c:numRef>
          </c:val>
          <c:extLst>
            <c:ext xmlns:c16="http://schemas.microsoft.com/office/drawing/2014/chart" uri="{C3380CC4-5D6E-409C-BE32-E72D297353CC}">
              <c16:uniqueId val="{00000001-1ECE-1740-B7E4-9B0A4A6116BA}"/>
            </c:ext>
          </c:extLst>
        </c:ser>
        <c:ser>
          <c:idx val="2"/>
          <c:order val="2"/>
          <c:tx>
            <c:strRef>
              <c:f>'Figure Primary E Ref'!$H$25</c:f>
              <c:strCache>
                <c:ptCount val="1"/>
                <c:pt idx="0">
                  <c:v>Fossil gas</c:v>
                </c:pt>
              </c:strCache>
            </c:strRef>
          </c:tx>
          <c:spPr>
            <a:solidFill>
              <a:schemeClr val="bg1">
                <a:lumMod val="85000"/>
              </a:schemeClr>
            </a:solidFill>
            <a:ln>
              <a:noFill/>
            </a:ln>
            <a:effectLst/>
          </c:spPr>
          <c:cat>
            <c:numRef>
              <c:f>'Figure Primary E Ref'!$I$22:$Q$22</c:f>
              <c:numCache>
                <c:formatCode>General</c:formatCode>
                <c:ptCount val="9"/>
                <c:pt idx="0">
                  <c:v>2020</c:v>
                </c:pt>
                <c:pt idx="1">
                  <c:v>2030</c:v>
                </c:pt>
                <c:pt idx="2">
                  <c:v>2040</c:v>
                </c:pt>
                <c:pt idx="3">
                  <c:v>2050</c:v>
                </c:pt>
                <c:pt idx="4">
                  <c:v>2060</c:v>
                </c:pt>
                <c:pt idx="5">
                  <c:v>2070</c:v>
                </c:pt>
                <c:pt idx="6">
                  <c:v>2080</c:v>
                </c:pt>
                <c:pt idx="7">
                  <c:v>2090</c:v>
                </c:pt>
                <c:pt idx="8">
                  <c:v>2100</c:v>
                </c:pt>
              </c:numCache>
            </c:numRef>
          </c:cat>
          <c:val>
            <c:numRef>
              <c:f>'Figure Primary E Ref'!$I$25:$Q$25</c:f>
              <c:numCache>
                <c:formatCode>0</c:formatCode>
                <c:ptCount val="9"/>
                <c:pt idx="0">
                  <c:v>152.18899999999999</c:v>
                </c:pt>
                <c:pt idx="1">
                  <c:v>187.71890629999999</c:v>
                </c:pt>
                <c:pt idx="2">
                  <c:v>217.0180938</c:v>
                </c:pt>
                <c:pt idx="3">
                  <c:v>236.3882969</c:v>
                </c:pt>
                <c:pt idx="4">
                  <c:v>260.61790630000002</c:v>
                </c:pt>
                <c:pt idx="5">
                  <c:v>270.75331249999999</c:v>
                </c:pt>
                <c:pt idx="6">
                  <c:v>269.83550000000002</c:v>
                </c:pt>
                <c:pt idx="7">
                  <c:v>245.80199999999999</c:v>
                </c:pt>
                <c:pt idx="8">
                  <c:v>215.65909379999999</c:v>
                </c:pt>
              </c:numCache>
            </c:numRef>
          </c:val>
          <c:extLst>
            <c:ext xmlns:c16="http://schemas.microsoft.com/office/drawing/2014/chart" uri="{C3380CC4-5D6E-409C-BE32-E72D297353CC}">
              <c16:uniqueId val="{00000002-1ECE-1740-B7E4-9B0A4A6116BA}"/>
            </c:ext>
          </c:extLst>
        </c:ser>
        <c:ser>
          <c:idx val="3"/>
          <c:order val="3"/>
          <c:tx>
            <c:strRef>
              <c:f>'Figure Primary E Ref'!$H$26</c:f>
              <c:strCache>
                <c:ptCount val="1"/>
                <c:pt idx="0">
                  <c:v>Non-fossil</c:v>
                </c:pt>
              </c:strCache>
            </c:strRef>
          </c:tx>
          <c:spPr>
            <a:solidFill>
              <a:srgbClr val="00B050"/>
            </a:solidFill>
            <a:ln>
              <a:noFill/>
            </a:ln>
            <a:effectLst/>
          </c:spPr>
          <c:cat>
            <c:numRef>
              <c:f>'Figure Primary E Ref'!$I$22:$Q$22</c:f>
              <c:numCache>
                <c:formatCode>General</c:formatCode>
                <c:ptCount val="9"/>
                <c:pt idx="0">
                  <c:v>2020</c:v>
                </c:pt>
                <c:pt idx="1">
                  <c:v>2030</c:v>
                </c:pt>
                <c:pt idx="2">
                  <c:v>2040</c:v>
                </c:pt>
                <c:pt idx="3">
                  <c:v>2050</c:v>
                </c:pt>
                <c:pt idx="4">
                  <c:v>2060</c:v>
                </c:pt>
                <c:pt idx="5">
                  <c:v>2070</c:v>
                </c:pt>
                <c:pt idx="6">
                  <c:v>2080</c:v>
                </c:pt>
                <c:pt idx="7">
                  <c:v>2090</c:v>
                </c:pt>
                <c:pt idx="8">
                  <c:v>2100</c:v>
                </c:pt>
              </c:numCache>
            </c:numRef>
          </c:cat>
          <c:val>
            <c:numRef>
              <c:f>'Figure Primary E Ref'!$I$26:$Q$26</c:f>
              <c:numCache>
                <c:formatCode>0</c:formatCode>
                <c:ptCount val="9"/>
                <c:pt idx="0">
                  <c:v>93.09571870000002</c:v>
                </c:pt>
                <c:pt idx="1">
                  <c:v>111.68087489999994</c:v>
                </c:pt>
                <c:pt idx="2">
                  <c:v>140.45217179999997</c:v>
                </c:pt>
                <c:pt idx="3">
                  <c:v>159.05157810000003</c:v>
                </c:pt>
                <c:pt idx="4">
                  <c:v>161.59418740000001</c:v>
                </c:pt>
                <c:pt idx="5">
                  <c:v>182.55831239999998</c:v>
                </c:pt>
                <c:pt idx="6">
                  <c:v>209.81640619999985</c:v>
                </c:pt>
                <c:pt idx="7">
                  <c:v>229.52901560000009</c:v>
                </c:pt>
                <c:pt idx="8">
                  <c:v>245.14599990000011</c:v>
                </c:pt>
              </c:numCache>
            </c:numRef>
          </c:val>
          <c:extLst>
            <c:ext xmlns:c16="http://schemas.microsoft.com/office/drawing/2014/chart" uri="{C3380CC4-5D6E-409C-BE32-E72D297353CC}">
              <c16:uniqueId val="{00000003-1ECE-1740-B7E4-9B0A4A6116BA}"/>
            </c:ext>
          </c:extLst>
        </c:ser>
        <c:dLbls>
          <c:showLegendKey val="0"/>
          <c:showVal val="0"/>
          <c:showCatName val="0"/>
          <c:showSerName val="0"/>
          <c:showPercent val="0"/>
          <c:showBubbleSize val="0"/>
        </c:dLbls>
        <c:axId val="1203478783"/>
        <c:axId val="1203468335"/>
      </c:areaChart>
      <c:catAx>
        <c:axId val="12034787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203468335"/>
        <c:crosses val="autoZero"/>
        <c:auto val="1"/>
        <c:lblAlgn val="ctr"/>
        <c:lblOffset val="100"/>
        <c:noMultiLvlLbl val="0"/>
      </c:catAx>
      <c:valAx>
        <c:axId val="1203468335"/>
        <c:scaling>
          <c:orientation val="minMax"/>
        </c:scaling>
        <c:delete val="0"/>
        <c:axPos val="l"/>
        <c:majorGridlines>
          <c:spPr>
            <a:ln w="9525" cap="flat" cmpd="sng" algn="ctr">
              <a:solidFill>
                <a:schemeClr val="bg1">
                  <a:lumMod val="95000"/>
                </a:schemeClr>
              </a:solidFill>
              <a:round/>
            </a:ln>
            <a:effectLst/>
          </c:spPr>
        </c:majorGridlines>
        <c:title>
          <c:tx>
            <c:rich>
              <a:bodyPr rot="-5400000" spcFirstLastPara="1" vertOverflow="ellipsis" vert="horz" wrap="square" anchor="ctr" anchorCtr="1"/>
              <a:lstStyle/>
              <a:p>
                <a:pPr>
                  <a:defRPr sz="1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Primary Energy (EJ/year)</a:t>
                </a:r>
              </a:p>
            </c:rich>
          </c:tx>
          <c:overlay val="0"/>
          <c:spPr>
            <a:noFill/>
            <a:ln>
              <a:noFill/>
            </a:ln>
            <a:effectLst/>
          </c:spPr>
          <c:txPr>
            <a:bodyPr rot="-5400000" spcFirstLastPara="1" vertOverflow="ellipsis" vert="horz" wrap="square" anchor="ctr" anchorCtr="1"/>
            <a:lstStyle/>
            <a:p>
              <a:pPr>
                <a:defRPr sz="1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20347878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8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userShapes r:id="rId3"/>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314341846758348"/>
          <c:y val="4.287749287749288E-2"/>
          <c:w val="0.84277668631303204"/>
          <c:h val="0.83359265989187259"/>
        </c:manualLayout>
      </c:layout>
      <c:areaChart>
        <c:grouping val="stacked"/>
        <c:varyColors val="0"/>
        <c:ser>
          <c:idx val="0"/>
          <c:order val="0"/>
          <c:tx>
            <c:strRef>
              <c:f>'Figure Primary E Int'!$H$23</c:f>
              <c:strCache>
                <c:ptCount val="1"/>
                <c:pt idx="0">
                  <c:v>Coal</c:v>
                </c:pt>
              </c:strCache>
            </c:strRef>
          </c:tx>
          <c:spPr>
            <a:solidFill>
              <a:schemeClr val="tx1"/>
            </a:solidFill>
            <a:ln>
              <a:noFill/>
            </a:ln>
            <a:effectLst/>
          </c:spPr>
          <c:cat>
            <c:numRef>
              <c:f>'Figure Primary E Int'!$I$22:$Q$22</c:f>
              <c:numCache>
                <c:formatCode>General</c:formatCode>
                <c:ptCount val="9"/>
                <c:pt idx="0">
                  <c:v>2020</c:v>
                </c:pt>
                <c:pt idx="1">
                  <c:v>2030</c:v>
                </c:pt>
                <c:pt idx="2">
                  <c:v>2040</c:v>
                </c:pt>
                <c:pt idx="3">
                  <c:v>2050</c:v>
                </c:pt>
                <c:pt idx="4">
                  <c:v>2060</c:v>
                </c:pt>
                <c:pt idx="5">
                  <c:v>2070</c:v>
                </c:pt>
                <c:pt idx="6">
                  <c:v>2080</c:v>
                </c:pt>
                <c:pt idx="7">
                  <c:v>2090</c:v>
                </c:pt>
                <c:pt idx="8">
                  <c:v>2100</c:v>
                </c:pt>
              </c:numCache>
            </c:numRef>
          </c:cat>
          <c:val>
            <c:numRef>
              <c:f>'Figure Primary E Int'!$I$23:$Q$23</c:f>
              <c:numCache>
                <c:formatCode>0</c:formatCode>
                <c:ptCount val="9"/>
                <c:pt idx="0">
                  <c:v>125.483796875</c:v>
                </c:pt>
                <c:pt idx="1">
                  <c:v>73.49790625</c:v>
                </c:pt>
                <c:pt idx="2">
                  <c:v>29.39501953125</c:v>
                </c:pt>
                <c:pt idx="3">
                  <c:v>21.23305078125</c:v>
                </c:pt>
                <c:pt idx="4">
                  <c:v>24.590289062500002</c:v>
                </c:pt>
                <c:pt idx="5">
                  <c:v>28.702580078124999</c:v>
                </c:pt>
                <c:pt idx="6">
                  <c:v>28.120359375</c:v>
                </c:pt>
                <c:pt idx="7">
                  <c:v>29.275259765625002</c:v>
                </c:pt>
                <c:pt idx="8">
                  <c:v>35.63494140625</c:v>
                </c:pt>
              </c:numCache>
            </c:numRef>
          </c:val>
          <c:extLst>
            <c:ext xmlns:c16="http://schemas.microsoft.com/office/drawing/2014/chart" uri="{C3380CC4-5D6E-409C-BE32-E72D297353CC}">
              <c16:uniqueId val="{00000000-014C-5941-AB8E-D36526929DFE}"/>
            </c:ext>
          </c:extLst>
        </c:ser>
        <c:ser>
          <c:idx val="1"/>
          <c:order val="1"/>
          <c:tx>
            <c:strRef>
              <c:f>'Figure Primary E Int'!$H$24</c:f>
              <c:strCache>
                <c:ptCount val="1"/>
                <c:pt idx="0">
                  <c:v>Petroleum</c:v>
                </c:pt>
              </c:strCache>
            </c:strRef>
          </c:tx>
          <c:spPr>
            <a:solidFill>
              <a:schemeClr val="bg1">
                <a:lumMod val="50000"/>
              </a:schemeClr>
            </a:solidFill>
            <a:ln>
              <a:noFill/>
            </a:ln>
            <a:effectLst/>
          </c:spPr>
          <c:cat>
            <c:numRef>
              <c:f>'Figure Primary E Int'!$I$22:$Q$22</c:f>
              <c:numCache>
                <c:formatCode>General</c:formatCode>
                <c:ptCount val="9"/>
                <c:pt idx="0">
                  <c:v>2020</c:v>
                </c:pt>
                <c:pt idx="1">
                  <c:v>2030</c:v>
                </c:pt>
                <c:pt idx="2">
                  <c:v>2040</c:v>
                </c:pt>
                <c:pt idx="3">
                  <c:v>2050</c:v>
                </c:pt>
                <c:pt idx="4">
                  <c:v>2060</c:v>
                </c:pt>
                <c:pt idx="5">
                  <c:v>2070</c:v>
                </c:pt>
                <c:pt idx="6">
                  <c:v>2080</c:v>
                </c:pt>
                <c:pt idx="7">
                  <c:v>2090</c:v>
                </c:pt>
                <c:pt idx="8">
                  <c:v>2100</c:v>
                </c:pt>
              </c:numCache>
            </c:numRef>
          </c:cat>
          <c:val>
            <c:numRef>
              <c:f>'Figure Primary E Int'!$I$24:$Q$24</c:f>
              <c:numCache>
                <c:formatCode>0</c:formatCode>
                <c:ptCount val="9"/>
                <c:pt idx="0">
                  <c:v>153.987703125</c:v>
                </c:pt>
                <c:pt idx="1">
                  <c:v>100.05220312500001</c:v>
                </c:pt>
                <c:pt idx="2">
                  <c:v>50.275019531250003</c:v>
                </c:pt>
                <c:pt idx="3">
                  <c:v>27.937050781250001</c:v>
                </c:pt>
                <c:pt idx="4">
                  <c:v>21.388119140625001</c:v>
                </c:pt>
                <c:pt idx="5">
                  <c:v>17.311410156250002</c:v>
                </c:pt>
                <c:pt idx="6">
                  <c:v>14.932349609375001</c:v>
                </c:pt>
                <c:pt idx="7">
                  <c:v>15.9530400390625</c:v>
                </c:pt>
                <c:pt idx="8">
                  <c:v>16.128769531250001</c:v>
                </c:pt>
              </c:numCache>
            </c:numRef>
          </c:val>
          <c:extLst>
            <c:ext xmlns:c16="http://schemas.microsoft.com/office/drawing/2014/chart" uri="{C3380CC4-5D6E-409C-BE32-E72D297353CC}">
              <c16:uniqueId val="{00000001-014C-5941-AB8E-D36526929DFE}"/>
            </c:ext>
          </c:extLst>
        </c:ser>
        <c:ser>
          <c:idx val="2"/>
          <c:order val="2"/>
          <c:tx>
            <c:strRef>
              <c:f>'Figure Primary E Int'!$H$25</c:f>
              <c:strCache>
                <c:ptCount val="1"/>
                <c:pt idx="0">
                  <c:v>Fossil gas</c:v>
                </c:pt>
              </c:strCache>
            </c:strRef>
          </c:tx>
          <c:spPr>
            <a:solidFill>
              <a:schemeClr val="bg1">
                <a:lumMod val="85000"/>
              </a:schemeClr>
            </a:solidFill>
            <a:ln>
              <a:noFill/>
            </a:ln>
            <a:effectLst/>
          </c:spPr>
          <c:cat>
            <c:numRef>
              <c:f>'Figure Primary E Int'!$I$22:$Q$22</c:f>
              <c:numCache>
                <c:formatCode>General</c:formatCode>
                <c:ptCount val="9"/>
                <c:pt idx="0">
                  <c:v>2020</c:v>
                </c:pt>
                <c:pt idx="1">
                  <c:v>2030</c:v>
                </c:pt>
                <c:pt idx="2">
                  <c:v>2040</c:v>
                </c:pt>
                <c:pt idx="3">
                  <c:v>2050</c:v>
                </c:pt>
                <c:pt idx="4">
                  <c:v>2060</c:v>
                </c:pt>
                <c:pt idx="5">
                  <c:v>2070</c:v>
                </c:pt>
                <c:pt idx="6">
                  <c:v>2080</c:v>
                </c:pt>
                <c:pt idx="7">
                  <c:v>2090</c:v>
                </c:pt>
                <c:pt idx="8">
                  <c:v>2100</c:v>
                </c:pt>
              </c:numCache>
            </c:numRef>
          </c:cat>
          <c:val>
            <c:numRef>
              <c:f>'Figure Primary E Int'!$I$25:$Q$25</c:f>
              <c:numCache>
                <c:formatCode>0</c:formatCode>
                <c:ptCount val="9"/>
                <c:pt idx="0">
                  <c:v>130.5745</c:v>
                </c:pt>
                <c:pt idx="1">
                  <c:v>122.8896015625</c:v>
                </c:pt>
                <c:pt idx="2">
                  <c:v>110.6118984375</c:v>
                </c:pt>
                <c:pt idx="3">
                  <c:v>106.8698984375</c:v>
                </c:pt>
                <c:pt idx="4">
                  <c:v>112.979203125</c:v>
                </c:pt>
                <c:pt idx="5">
                  <c:v>133.68299999999999</c:v>
                </c:pt>
                <c:pt idx="6">
                  <c:v>129.22939843750001</c:v>
                </c:pt>
                <c:pt idx="7">
                  <c:v>110.5868984375</c:v>
                </c:pt>
                <c:pt idx="8">
                  <c:v>103.07579687500001</c:v>
                </c:pt>
              </c:numCache>
            </c:numRef>
          </c:val>
          <c:extLst>
            <c:ext xmlns:c16="http://schemas.microsoft.com/office/drawing/2014/chart" uri="{C3380CC4-5D6E-409C-BE32-E72D297353CC}">
              <c16:uniqueId val="{00000002-014C-5941-AB8E-D36526929DFE}"/>
            </c:ext>
          </c:extLst>
        </c:ser>
        <c:ser>
          <c:idx val="3"/>
          <c:order val="3"/>
          <c:tx>
            <c:strRef>
              <c:f>'Figure Primary E Int'!$H$26</c:f>
              <c:strCache>
                <c:ptCount val="1"/>
                <c:pt idx="0">
                  <c:v>Non-fossil</c:v>
                </c:pt>
              </c:strCache>
            </c:strRef>
          </c:tx>
          <c:spPr>
            <a:solidFill>
              <a:srgbClr val="00B050"/>
            </a:solidFill>
            <a:ln>
              <a:noFill/>
            </a:ln>
            <a:effectLst/>
          </c:spPr>
          <c:cat>
            <c:numRef>
              <c:f>'Figure Primary E Int'!$I$22:$Q$22</c:f>
              <c:numCache>
                <c:formatCode>General</c:formatCode>
                <c:ptCount val="9"/>
                <c:pt idx="0">
                  <c:v>2020</c:v>
                </c:pt>
                <c:pt idx="1">
                  <c:v>2030</c:v>
                </c:pt>
                <c:pt idx="2">
                  <c:v>2040</c:v>
                </c:pt>
                <c:pt idx="3">
                  <c:v>2050</c:v>
                </c:pt>
                <c:pt idx="4">
                  <c:v>2060</c:v>
                </c:pt>
                <c:pt idx="5">
                  <c:v>2070</c:v>
                </c:pt>
                <c:pt idx="6">
                  <c:v>2080</c:v>
                </c:pt>
                <c:pt idx="7">
                  <c:v>2090</c:v>
                </c:pt>
                <c:pt idx="8">
                  <c:v>2100</c:v>
                </c:pt>
              </c:numCache>
            </c:numRef>
          </c:cat>
          <c:val>
            <c:numRef>
              <c:f>'Figure Primary E Int'!$I$26:$Q$26</c:f>
              <c:numCache>
                <c:formatCode>0</c:formatCode>
                <c:ptCount val="9"/>
                <c:pt idx="0">
                  <c:v>102.68950000000001</c:v>
                </c:pt>
                <c:pt idx="1">
                  <c:v>106.56578906249996</c:v>
                </c:pt>
                <c:pt idx="2">
                  <c:v>140.1340625</c:v>
                </c:pt>
                <c:pt idx="3">
                  <c:v>195.23159375000003</c:v>
                </c:pt>
                <c:pt idx="4">
                  <c:v>224.68988867187502</c:v>
                </c:pt>
                <c:pt idx="5">
                  <c:v>257.76732226562501</c:v>
                </c:pt>
                <c:pt idx="6">
                  <c:v>297.78029882812507</c:v>
                </c:pt>
                <c:pt idx="7">
                  <c:v>323.29839550781253</c:v>
                </c:pt>
                <c:pt idx="8">
                  <c:v>338.21230468749997</c:v>
                </c:pt>
              </c:numCache>
            </c:numRef>
          </c:val>
          <c:extLst>
            <c:ext xmlns:c16="http://schemas.microsoft.com/office/drawing/2014/chart" uri="{C3380CC4-5D6E-409C-BE32-E72D297353CC}">
              <c16:uniqueId val="{00000003-014C-5941-AB8E-D36526929DFE}"/>
            </c:ext>
          </c:extLst>
        </c:ser>
        <c:dLbls>
          <c:showLegendKey val="0"/>
          <c:showVal val="0"/>
          <c:showCatName val="0"/>
          <c:showSerName val="0"/>
          <c:showPercent val="0"/>
          <c:showBubbleSize val="0"/>
        </c:dLbls>
        <c:axId val="1203478783"/>
        <c:axId val="1203468335"/>
      </c:areaChart>
      <c:catAx>
        <c:axId val="12034787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203468335"/>
        <c:crosses val="autoZero"/>
        <c:auto val="1"/>
        <c:lblAlgn val="ctr"/>
        <c:lblOffset val="100"/>
        <c:noMultiLvlLbl val="0"/>
      </c:catAx>
      <c:valAx>
        <c:axId val="1203468335"/>
        <c:scaling>
          <c:orientation val="minMax"/>
          <c:max val="1400"/>
        </c:scaling>
        <c:delete val="0"/>
        <c:axPos val="l"/>
        <c:majorGridlines>
          <c:spPr>
            <a:ln w="9525" cap="flat" cmpd="sng" algn="ctr">
              <a:solidFill>
                <a:schemeClr val="bg1">
                  <a:lumMod val="95000"/>
                </a:schemeClr>
              </a:solidFill>
              <a:round/>
            </a:ln>
            <a:effectLst/>
          </c:spPr>
        </c:majorGridlines>
        <c:title>
          <c:tx>
            <c:rich>
              <a:bodyPr rot="-5400000" spcFirstLastPara="1" vertOverflow="ellipsis" vert="horz" wrap="square" anchor="ctr" anchorCtr="1"/>
              <a:lstStyle/>
              <a:p>
                <a:pPr>
                  <a:defRPr sz="1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Primary Energy (EJ/year)</a:t>
                </a:r>
              </a:p>
            </c:rich>
          </c:tx>
          <c:layout>
            <c:manualLayout>
              <c:xMode val="edge"/>
              <c:yMode val="edge"/>
              <c:x val="1.6142712023472512E-2"/>
              <c:y val="0.16332054647015276"/>
            </c:manualLayout>
          </c:layout>
          <c:overlay val="0"/>
          <c:spPr>
            <a:noFill/>
            <a:ln>
              <a:noFill/>
            </a:ln>
            <a:effectLst/>
          </c:spPr>
          <c:txPr>
            <a:bodyPr rot="-5400000" spcFirstLastPara="1" vertOverflow="ellipsis" vert="horz" wrap="square" anchor="ctr" anchorCtr="1"/>
            <a:lstStyle/>
            <a:p>
              <a:pPr>
                <a:defRPr sz="1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20347878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8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userShapes r:id="rId3"/>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314341846758348"/>
          <c:y val="4.287749287749288E-2"/>
          <c:w val="0.84277668631303204"/>
          <c:h val="0.83359265989187259"/>
        </c:manualLayout>
      </c:layout>
      <c:areaChart>
        <c:grouping val="stacked"/>
        <c:varyColors val="0"/>
        <c:ser>
          <c:idx val="0"/>
          <c:order val="0"/>
          <c:tx>
            <c:strRef>
              <c:f>'Figure Primary E Int'!$H$23</c:f>
              <c:strCache>
                <c:ptCount val="1"/>
                <c:pt idx="0">
                  <c:v>Coal</c:v>
                </c:pt>
              </c:strCache>
            </c:strRef>
          </c:tx>
          <c:spPr>
            <a:solidFill>
              <a:schemeClr val="tx1"/>
            </a:solidFill>
            <a:ln>
              <a:noFill/>
            </a:ln>
            <a:effectLst/>
          </c:spPr>
          <c:cat>
            <c:numRef>
              <c:f>'Figure Primary E Int'!$I$22:$Q$22</c:f>
              <c:numCache>
                <c:formatCode>General</c:formatCode>
                <c:ptCount val="9"/>
                <c:pt idx="0">
                  <c:v>2020</c:v>
                </c:pt>
                <c:pt idx="1">
                  <c:v>2030</c:v>
                </c:pt>
                <c:pt idx="2">
                  <c:v>2040</c:v>
                </c:pt>
                <c:pt idx="3">
                  <c:v>2050</c:v>
                </c:pt>
                <c:pt idx="4">
                  <c:v>2060</c:v>
                </c:pt>
                <c:pt idx="5">
                  <c:v>2070</c:v>
                </c:pt>
                <c:pt idx="6">
                  <c:v>2080</c:v>
                </c:pt>
                <c:pt idx="7">
                  <c:v>2090</c:v>
                </c:pt>
                <c:pt idx="8">
                  <c:v>2100</c:v>
                </c:pt>
              </c:numCache>
            </c:numRef>
          </c:cat>
          <c:val>
            <c:numRef>
              <c:f>'Figure Primary E Int'!$I$23:$Q$23</c:f>
              <c:numCache>
                <c:formatCode>0</c:formatCode>
                <c:ptCount val="9"/>
                <c:pt idx="0">
                  <c:v>125.483796875</c:v>
                </c:pt>
                <c:pt idx="1">
                  <c:v>73.49790625</c:v>
                </c:pt>
                <c:pt idx="2">
                  <c:v>29.39501953125</c:v>
                </c:pt>
                <c:pt idx="3">
                  <c:v>21.23305078125</c:v>
                </c:pt>
                <c:pt idx="4">
                  <c:v>24.590289062500002</c:v>
                </c:pt>
                <c:pt idx="5">
                  <c:v>28.702580078124999</c:v>
                </c:pt>
                <c:pt idx="6">
                  <c:v>28.120359375</c:v>
                </c:pt>
                <c:pt idx="7">
                  <c:v>29.275259765625002</c:v>
                </c:pt>
                <c:pt idx="8">
                  <c:v>35.63494140625</c:v>
                </c:pt>
              </c:numCache>
            </c:numRef>
          </c:val>
          <c:extLst>
            <c:ext xmlns:c16="http://schemas.microsoft.com/office/drawing/2014/chart" uri="{C3380CC4-5D6E-409C-BE32-E72D297353CC}">
              <c16:uniqueId val="{00000000-1A88-DD49-A382-7A034813B331}"/>
            </c:ext>
          </c:extLst>
        </c:ser>
        <c:ser>
          <c:idx val="1"/>
          <c:order val="1"/>
          <c:tx>
            <c:strRef>
              <c:f>'Figure Primary E Int'!$H$24</c:f>
              <c:strCache>
                <c:ptCount val="1"/>
                <c:pt idx="0">
                  <c:v>Petroleum</c:v>
                </c:pt>
              </c:strCache>
            </c:strRef>
          </c:tx>
          <c:spPr>
            <a:solidFill>
              <a:schemeClr val="bg1">
                <a:lumMod val="50000"/>
              </a:schemeClr>
            </a:solidFill>
            <a:ln>
              <a:noFill/>
            </a:ln>
            <a:effectLst/>
          </c:spPr>
          <c:cat>
            <c:numRef>
              <c:f>'Figure Primary E Int'!$I$22:$Q$22</c:f>
              <c:numCache>
                <c:formatCode>General</c:formatCode>
                <c:ptCount val="9"/>
                <c:pt idx="0">
                  <c:v>2020</c:v>
                </c:pt>
                <c:pt idx="1">
                  <c:v>2030</c:v>
                </c:pt>
                <c:pt idx="2">
                  <c:v>2040</c:v>
                </c:pt>
                <c:pt idx="3">
                  <c:v>2050</c:v>
                </c:pt>
                <c:pt idx="4">
                  <c:v>2060</c:v>
                </c:pt>
                <c:pt idx="5">
                  <c:v>2070</c:v>
                </c:pt>
                <c:pt idx="6">
                  <c:v>2080</c:v>
                </c:pt>
                <c:pt idx="7">
                  <c:v>2090</c:v>
                </c:pt>
                <c:pt idx="8">
                  <c:v>2100</c:v>
                </c:pt>
              </c:numCache>
            </c:numRef>
          </c:cat>
          <c:val>
            <c:numRef>
              <c:f>'Figure Primary E Int'!$I$24:$Q$24</c:f>
              <c:numCache>
                <c:formatCode>0</c:formatCode>
                <c:ptCount val="9"/>
                <c:pt idx="0">
                  <c:v>153.987703125</c:v>
                </c:pt>
                <c:pt idx="1">
                  <c:v>100.05220312500001</c:v>
                </c:pt>
                <c:pt idx="2">
                  <c:v>50.275019531250003</c:v>
                </c:pt>
                <c:pt idx="3">
                  <c:v>27.937050781250001</c:v>
                </c:pt>
                <c:pt idx="4">
                  <c:v>21.388119140625001</c:v>
                </c:pt>
                <c:pt idx="5">
                  <c:v>17.311410156250002</c:v>
                </c:pt>
                <c:pt idx="6">
                  <c:v>14.932349609375001</c:v>
                </c:pt>
                <c:pt idx="7">
                  <c:v>15.9530400390625</c:v>
                </c:pt>
                <c:pt idx="8">
                  <c:v>16.128769531250001</c:v>
                </c:pt>
              </c:numCache>
            </c:numRef>
          </c:val>
          <c:extLst>
            <c:ext xmlns:c16="http://schemas.microsoft.com/office/drawing/2014/chart" uri="{C3380CC4-5D6E-409C-BE32-E72D297353CC}">
              <c16:uniqueId val="{00000001-1A88-DD49-A382-7A034813B331}"/>
            </c:ext>
          </c:extLst>
        </c:ser>
        <c:ser>
          <c:idx val="2"/>
          <c:order val="2"/>
          <c:tx>
            <c:strRef>
              <c:f>'Figure Primary E Int'!$H$25</c:f>
              <c:strCache>
                <c:ptCount val="1"/>
                <c:pt idx="0">
                  <c:v>Fossil gas</c:v>
                </c:pt>
              </c:strCache>
            </c:strRef>
          </c:tx>
          <c:spPr>
            <a:solidFill>
              <a:schemeClr val="bg1">
                <a:lumMod val="85000"/>
              </a:schemeClr>
            </a:solidFill>
            <a:ln>
              <a:noFill/>
            </a:ln>
            <a:effectLst/>
          </c:spPr>
          <c:cat>
            <c:numRef>
              <c:f>'Figure Primary E Int'!$I$22:$Q$22</c:f>
              <c:numCache>
                <c:formatCode>General</c:formatCode>
                <c:ptCount val="9"/>
                <c:pt idx="0">
                  <c:v>2020</c:v>
                </c:pt>
                <c:pt idx="1">
                  <c:v>2030</c:v>
                </c:pt>
                <c:pt idx="2">
                  <c:v>2040</c:v>
                </c:pt>
                <c:pt idx="3">
                  <c:v>2050</c:v>
                </c:pt>
                <c:pt idx="4">
                  <c:v>2060</c:v>
                </c:pt>
                <c:pt idx="5">
                  <c:v>2070</c:v>
                </c:pt>
                <c:pt idx="6">
                  <c:v>2080</c:v>
                </c:pt>
                <c:pt idx="7">
                  <c:v>2090</c:v>
                </c:pt>
                <c:pt idx="8">
                  <c:v>2100</c:v>
                </c:pt>
              </c:numCache>
            </c:numRef>
          </c:cat>
          <c:val>
            <c:numRef>
              <c:f>'Figure Primary E Int'!$I$25:$Q$25</c:f>
              <c:numCache>
                <c:formatCode>0</c:formatCode>
                <c:ptCount val="9"/>
                <c:pt idx="0">
                  <c:v>130.5745</c:v>
                </c:pt>
                <c:pt idx="1">
                  <c:v>122.8896015625</c:v>
                </c:pt>
                <c:pt idx="2">
                  <c:v>110.6118984375</c:v>
                </c:pt>
                <c:pt idx="3">
                  <c:v>106.8698984375</c:v>
                </c:pt>
                <c:pt idx="4">
                  <c:v>112.979203125</c:v>
                </c:pt>
                <c:pt idx="5">
                  <c:v>133.68299999999999</c:v>
                </c:pt>
                <c:pt idx="6">
                  <c:v>129.22939843750001</c:v>
                </c:pt>
                <c:pt idx="7">
                  <c:v>110.5868984375</c:v>
                </c:pt>
                <c:pt idx="8">
                  <c:v>103.07579687500001</c:v>
                </c:pt>
              </c:numCache>
            </c:numRef>
          </c:val>
          <c:extLst>
            <c:ext xmlns:c16="http://schemas.microsoft.com/office/drawing/2014/chart" uri="{C3380CC4-5D6E-409C-BE32-E72D297353CC}">
              <c16:uniqueId val="{00000002-1A88-DD49-A382-7A034813B331}"/>
            </c:ext>
          </c:extLst>
        </c:ser>
        <c:ser>
          <c:idx val="3"/>
          <c:order val="3"/>
          <c:tx>
            <c:strRef>
              <c:f>'Figure Primary E Int'!$H$26</c:f>
              <c:strCache>
                <c:ptCount val="1"/>
                <c:pt idx="0">
                  <c:v>Non-fossil</c:v>
                </c:pt>
              </c:strCache>
            </c:strRef>
          </c:tx>
          <c:spPr>
            <a:solidFill>
              <a:srgbClr val="00B050"/>
            </a:solidFill>
            <a:ln>
              <a:noFill/>
            </a:ln>
            <a:effectLst/>
          </c:spPr>
          <c:cat>
            <c:numRef>
              <c:f>'Figure Primary E Int'!$I$22:$Q$22</c:f>
              <c:numCache>
                <c:formatCode>General</c:formatCode>
                <c:ptCount val="9"/>
                <c:pt idx="0">
                  <c:v>2020</c:v>
                </c:pt>
                <c:pt idx="1">
                  <c:v>2030</c:v>
                </c:pt>
                <c:pt idx="2">
                  <c:v>2040</c:v>
                </c:pt>
                <c:pt idx="3">
                  <c:v>2050</c:v>
                </c:pt>
                <c:pt idx="4">
                  <c:v>2060</c:v>
                </c:pt>
                <c:pt idx="5">
                  <c:v>2070</c:v>
                </c:pt>
                <c:pt idx="6">
                  <c:v>2080</c:v>
                </c:pt>
                <c:pt idx="7">
                  <c:v>2090</c:v>
                </c:pt>
                <c:pt idx="8">
                  <c:v>2100</c:v>
                </c:pt>
              </c:numCache>
            </c:numRef>
          </c:cat>
          <c:val>
            <c:numRef>
              <c:f>'Figure Primary E Int'!$I$26:$Q$26</c:f>
              <c:numCache>
                <c:formatCode>0</c:formatCode>
                <c:ptCount val="9"/>
                <c:pt idx="0">
                  <c:v>102.68950000000001</c:v>
                </c:pt>
                <c:pt idx="1">
                  <c:v>106.56578906249996</c:v>
                </c:pt>
                <c:pt idx="2">
                  <c:v>140.1340625</c:v>
                </c:pt>
                <c:pt idx="3">
                  <c:v>195.23159375000003</c:v>
                </c:pt>
                <c:pt idx="4">
                  <c:v>224.68988867187502</c:v>
                </c:pt>
                <c:pt idx="5">
                  <c:v>257.76732226562501</c:v>
                </c:pt>
                <c:pt idx="6">
                  <c:v>297.78029882812507</c:v>
                </c:pt>
                <c:pt idx="7">
                  <c:v>323.29839550781253</c:v>
                </c:pt>
                <c:pt idx="8">
                  <c:v>338.21230468749997</c:v>
                </c:pt>
              </c:numCache>
            </c:numRef>
          </c:val>
          <c:extLst>
            <c:ext xmlns:c16="http://schemas.microsoft.com/office/drawing/2014/chart" uri="{C3380CC4-5D6E-409C-BE32-E72D297353CC}">
              <c16:uniqueId val="{00000003-1A88-DD49-A382-7A034813B331}"/>
            </c:ext>
          </c:extLst>
        </c:ser>
        <c:dLbls>
          <c:showLegendKey val="0"/>
          <c:showVal val="0"/>
          <c:showCatName val="0"/>
          <c:showSerName val="0"/>
          <c:showPercent val="0"/>
          <c:showBubbleSize val="0"/>
        </c:dLbls>
        <c:axId val="1203478783"/>
        <c:axId val="1203468335"/>
      </c:areaChart>
      <c:catAx>
        <c:axId val="12034787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203468335"/>
        <c:crosses val="autoZero"/>
        <c:auto val="1"/>
        <c:lblAlgn val="ctr"/>
        <c:lblOffset val="100"/>
        <c:noMultiLvlLbl val="0"/>
      </c:catAx>
      <c:valAx>
        <c:axId val="1203468335"/>
        <c:scaling>
          <c:orientation val="minMax"/>
          <c:max val="600"/>
        </c:scaling>
        <c:delete val="0"/>
        <c:axPos val="l"/>
        <c:majorGridlines>
          <c:spPr>
            <a:ln w="9525" cap="flat" cmpd="sng" algn="ctr">
              <a:solidFill>
                <a:schemeClr val="bg1">
                  <a:lumMod val="95000"/>
                </a:schemeClr>
              </a:solidFill>
              <a:round/>
            </a:ln>
            <a:effectLst/>
          </c:spPr>
        </c:majorGridlines>
        <c:title>
          <c:tx>
            <c:rich>
              <a:bodyPr rot="-5400000" spcFirstLastPara="1" vertOverflow="ellipsis" vert="horz" wrap="square" anchor="ctr" anchorCtr="1"/>
              <a:lstStyle/>
              <a:p>
                <a:pPr>
                  <a:defRPr sz="1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Primary Energy (EJ/year)</a:t>
                </a:r>
              </a:p>
            </c:rich>
          </c:tx>
          <c:layout>
            <c:manualLayout>
              <c:xMode val="edge"/>
              <c:yMode val="edge"/>
              <c:x val="1.6142712023472512E-2"/>
              <c:y val="0.16332054647015276"/>
            </c:manualLayout>
          </c:layout>
          <c:overlay val="0"/>
          <c:spPr>
            <a:noFill/>
            <a:ln>
              <a:noFill/>
            </a:ln>
            <a:effectLst/>
          </c:spPr>
          <c:txPr>
            <a:bodyPr rot="-5400000" spcFirstLastPara="1" vertOverflow="ellipsis" vert="horz" wrap="square" anchor="ctr" anchorCtr="1"/>
            <a:lstStyle/>
            <a:p>
              <a:pPr>
                <a:defRPr sz="1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20347878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8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userShapes r:id="rId3"/>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000" b="1" i="0" u="none" strike="noStrike" baseline="0">
                <a:solidFill>
                  <a:srgbClr val="000000"/>
                </a:solidFill>
                <a:latin typeface="Arial"/>
                <a:ea typeface="Arial"/>
                <a:cs typeface="Arial"/>
              </a:defRPr>
            </a:pPr>
            <a:r>
              <a:rPr lang="en-US"/>
              <a:t>Primary Energy</a:t>
            </a:r>
          </a:p>
        </c:rich>
      </c:tx>
      <c:layout>
        <c:manualLayout>
          <c:xMode val="edge"/>
          <c:yMode val="edge"/>
          <c:x val="0.27912063317666691"/>
          <c:y val="5.0952318460192485E-2"/>
        </c:manualLayout>
      </c:layout>
      <c:overlay val="0"/>
      <c:spPr>
        <a:noFill/>
        <a:ln w="25400">
          <a:noFill/>
        </a:ln>
      </c:spPr>
    </c:title>
    <c:autoTitleDeleted val="0"/>
    <c:plotArea>
      <c:layout>
        <c:manualLayout>
          <c:layoutTarget val="inner"/>
          <c:xMode val="edge"/>
          <c:yMode val="edge"/>
          <c:x val="0.233112067386925"/>
          <c:y val="0.21698425196850399"/>
          <c:w val="0.60297310219943401"/>
          <c:h val="0.68845100612423404"/>
        </c:manualLayout>
      </c:layout>
      <c:lineChart>
        <c:grouping val="standard"/>
        <c:varyColors val="0"/>
        <c:ser>
          <c:idx val="0"/>
          <c:order val="0"/>
          <c:tx>
            <c:v>Reference case</c:v>
          </c:tx>
          <c:spPr>
            <a:ln w="12700">
              <a:solidFill>
                <a:srgbClr val="000000"/>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[0]!PEdeqchngRef</c:f>
              <c:numCache>
                <c:formatCode>0.00</c:formatCode>
                <c:ptCount val="10"/>
                <c:pt idx="1">
                  <c:v>1.7388970393874659E-2</c:v>
                </c:pt>
                <c:pt idx="2">
                  <c:v>1.626844865661221E-2</c:v>
                </c:pt>
                <c:pt idx="3">
                  <c:v>1.5598288778028954E-2</c:v>
                </c:pt>
                <c:pt idx="4">
                  <c:v>1.5150470220596818E-2</c:v>
                </c:pt>
                <c:pt idx="5">
                  <c:v>1.5376614147495908E-2</c:v>
                </c:pt>
                <c:pt idx="6">
                  <c:v>1.3184992201571684E-2</c:v>
                </c:pt>
                <c:pt idx="7">
                  <c:v>1.2031975469735992E-2</c:v>
                </c:pt>
                <c:pt idx="8">
                  <c:v>1.1377989011704033E-2</c:v>
                </c:pt>
                <c:pt idx="9">
                  <c:v>1.1159512026913548E-2</c:v>
                </c:pt>
              </c:numCache>
            </c:numRef>
          </c:val>
          <c:smooth val="0"/>
          <c:extLst>
            <c:ext xmlns:c16="http://schemas.microsoft.com/office/drawing/2014/chart" uri="{C3380CC4-5D6E-409C-BE32-E72D297353CC}">
              <c16:uniqueId val="{00000001-B309-A442-8D50-B23F441AECC9}"/>
            </c:ext>
          </c:extLst>
        </c:ser>
        <c:ser>
          <c:idx val="1"/>
          <c:order val="1"/>
          <c:tx>
            <c:v>Line for Intervention Case</c:v>
          </c:tx>
          <c:spPr>
            <a:ln w="28575">
              <a:solidFill>
                <a:srgbClr val="C00000"/>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[0]!PEdeqchngInt</c:f>
              <c:numCache>
                <c:formatCode>0.00</c:formatCode>
                <c:ptCount val="10"/>
                <c:pt idx="1">
                  <c:v>1.195133022815188E-3</c:v>
                </c:pt>
                <c:pt idx="2">
                  <c:v>-2.1656666929817641E-2</c:v>
                </c:pt>
                <c:pt idx="3">
                  <c:v>-1.4326497986895078E-2</c:v>
                </c:pt>
                <c:pt idx="4">
                  <c:v>4.1161272894134418E-3</c:v>
                </c:pt>
                <c:pt idx="5">
                  <c:v>6.3898133437277991E-3</c:v>
                </c:pt>
                <c:pt idx="6">
                  <c:v>1.0621459797110596E-2</c:v>
                </c:pt>
                <c:pt idx="7">
                  <c:v>6.4336649857898538E-3</c:v>
                </c:pt>
                <c:pt idx="8">
                  <c:v>1.7863715757480004E-3</c:v>
                </c:pt>
                <c:pt idx="9">
                  <c:v>2.7508918350832826E-3</c:v>
                </c:pt>
              </c:numCache>
            </c:numRef>
          </c:val>
          <c:smooth val="0"/>
          <c:extLst>
            <c:ext xmlns:c16="http://schemas.microsoft.com/office/drawing/2014/chart" uri="{C3380CC4-5D6E-409C-BE32-E72D297353CC}">
              <c16:uniqueId val="{00000000-B309-A442-8D50-B23F441AECC9}"/>
            </c:ext>
          </c:extLst>
        </c:ser>
        <c:ser>
          <c:idx val="2"/>
          <c:order val="2"/>
          <c:tx>
            <c:v>rate1</c:v>
          </c:tx>
          <c:spPr>
            <a:ln w="19050" cmpd="sng">
              <a:no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[0]!PEdeqrate1</c:f>
              <c:numCache>
                <c:formatCode>0.00%</c:formatCode>
                <c:ptCount val="10"/>
                <c:pt idx="0">
                  <c:v>2.4420680554374075E-2</c:v>
                </c:pt>
                <c:pt idx="1">
                  <c:v>2.4420680554374075E-2</c:v>
                </c:pt>
                <c:pt idx="2">
                  <c:v>2.4420680554374075E-2</c:v>
                </c:pt>
                <c:pt idx="3">
                  <c:v>2.4420680554374075E-2</c:v>
                </c:pt>
                <c:pt idx="4">
                  <c:v>2.4420680554374075E-2</c:v>
                </c:pt>
                <c:pt idx="5">
                  <c:v>2.4420680554374075E-2</c:v>
                </c:pt>
                <c:pt idx="6">
                  <c:v>2.4420680554374075E-2</c:v>
                </c:pt>
                <c:pt idx="7">
                  <c:v>2.4420680554374075E-2</c:v>
                </c:pt>
                <c:pt idx="8">
                  <c:v>2.4420680554374075E-2</c:v>
                </c:pt>
                <c:pt idx="9">
                  <c:v>2.4420680554374075E-2</c:v>
                </c:pt>
              </c:numCache>
            </c:numRef>
          </c:val>
          <c:smooth val="0"/>
          <c:extLst>
            <c:ext xmlns:c16="http://schemas.microsoft.com/office/drawing/2014/chart" uri="{C3380CC4-5D6E-409C-BE32-E72D297353CC}">
              <c16:uniqueId val="{00000002-B309-A442-8D50-B23F441AECC9}"/>
            </c:ext>
          </c:extLst>
        </c:ser>
        <c:ser>
          <c:idx val="3"/>
          <c:order val="3"/>
          <c:tx>
            <c:v>rate2</c:v>
          </c:tx>
          <c:spPr>
            <a:ln w="19050" cmpd="sng">
              <a:no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[0]!PEdeqrate2</c:f>
              <c:numCache>
                <c:formatCode>0.00%</c:formatCode>
                <c:ptCount val="10"/>
                <c:pt idx="0">
                  <c:v>2.1935227844802618E-2</c:v>
                </c:pt>
                <c:pt idx="1">
                  <c:v>2.1935227844802618E-2</c:v>
                </c:pt>
                <c:pt idx="2">
                  <c:v>2.1935227844802618E-2</c:v>
                </c:pt>
                <c:pt idx="3">
                  <c:v>2.1935227844802618E-2</c:v>
                </c:pt>
                <c:pt idx="4">
                  <c:v>2.1935227844802618E-2</c:v>
                </c:pt>
                <c:pt idx="5">
                  <c:v>2.1935227844802618E-2</c:v>
                </c:pt>
                <c:pt idx="6">
                  <c:v>2.1935227844802618E-2</c:v>
                </c:pt>
                <c:pt idx="7">
                  <c:v>2.1935227844802618E-2</c:v>
                </c:pt>
                <c:pt idx="8">
                  <c:v>2.1935227844802618E-2</c:v>
                </c:pt>
                <c:pt idx="9">
                  <c:v>2.1935227844802618E-2</c:v>
                </c:pt>
              </c:numCache>
            </c:numRef>
          </c:val>
          <c:smooth val="0"/>
          <c:extLst>
            <c:ext xmlns:c16="http://schemas.microsoft.com/office/drawing/2014/chart" uri="{C3380CC4-5D6E-409C-BE32-E72D297353CC}">
              <c16:uniqueId val="{00000003-B309-A442-8D50-B23F441AECC9}"/>
            </c:ext>
          </c:extLst>
        </c:ser>
        <c:dLbls>
          <c:showLegendKey val="0"/>
          <c:showVal val="0"/>
          <c:showCatName val="0"/>
          <c:showSerName val="0"/>
          <c:showPercent val="0"/>
          <c:showBubbleSize val="0"/>
        </c:dLbls>
        <c:smooth val="0"/>
        <c:axId val="-1643562672"/>
        <c:axId val="-1643559408"/>
      </c:lineChart>
      <c:catAx>
        <c:axId val="-1643562672"/>
        <c:scaling>
          <c:orientation val="minMax"/>
        </c:scaling>
        <c:delete val="0"/>
        <c:axPos val="b"/>
        <c:numFmt formatCode="General" sourceLinked="1"/>
        <c:majorTickMark val="none"/>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3559408"/>
        <c:crosses val="autoZero"/>
        <c:auto val="1"/>
        <c:lblAlgn val="ctr"/>
        <c:lblOffset val="100"/>
        <c:tickLblSkip val="9"/>
        <c:tickMarkSkip val="1"/>
        <c:noMultiLvlLbl val="0"/>
      </c:catAx>
      <c:valAx>
        <c:axId val="-1643559408"/>
        <c:scaling>
          <c:orientation val="minMax"/>
          <c:max val="0.05"/>
          <c:min val="-0.05"/>
        </c:scaling>
        <c:delete val="0"/>
        <c:axPos val="l"/>
        <c:majorGridlines>
          <c:spPr>
            <a:ln w="3175">
              <a:solidFill>
                <a:schemeClr val="bg1">
                  <a:lumMod val="50000"/>
                </a:schemeClr>
              </a:solidFill>
              <a:prstDash val="sysDash"/>
            </a:ln>
          </c:spPr>
        </c:majorGridlines>
        <c:title>
          <c:tx>
            <c:rich>
              <a:bodyPr/>
              <a:lstStyle/>
              <a:p>
                <a:pPr>
                  <a:defRPr sz="800" b="0" i="0" u="none" strike="noStrike" baseline="0">
                    <a:solidFill>
                      <a:srgbClr val="000000"/>
                    </a:solidFill>
                    <a:latin typeface="Arial"/>
                    <a:ea typeface="Arial"/>
                    <a:cs typeface="Arial"/>
                  </a:defRPr>
                </a:pPr>
                <a:r>
                  <a:rPr lang="en-US"/>
                  <a:t>Annual Rate of Change</a:t>
                </a:r>
              </a:p>
            </c:rich>
          </c:tx>
          <c:layout>
            <c:manualLayout>
              <c:xMode val="edge"/>
              <c:yMode val="edge"/>
              <c:x val="3.3112529244280903E-2"/>
              <c:y val="0.2571430365116050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3562672"/>
        <c:crossesAt val="1"/>
        <c:crossBetween val="midCat"/>
        <c:majorUnit val="0.01"/>
        <c:minorUnit val="0.01"/>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 verticalDpi="1200"/>
  </c:printSettings>
  <c:userShapes r:id="rId2"/>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marL="0" marR="0" indent="0" algn="ctr" defTabSz="914400" rtl="0" eaLnBrk="1" fontAlgn="auto" latinLnBrk="0" hangingPunct="1">
              <a:lnSpc>
                <a:spcPct val="100000"/>
              </a:lnSpc>
              <a:spcBef>
                <a:spcPts val="0"/>
              </a:spcBef>
              <a:spcAft>
                <a:spcPts val="0"/>
              </a:spcAft>
              <a:buClrTx/>
              <a:buSzTx/>
              <a:buFontTx/>
              <a:buNone/>
              <a:tabLst/>
              <a:defRPr sz="960" b="0" i="0" u="none" strike="noStrike" kern="1200" baseline="0">
                <a:solidFill>
                  <a:srgbClr val="000000"/>
                </a:solidFill>
                <a:latin typeface="Arial"/>
                <a:ea typeface="Arial"/>
                <a:cs typeface="Arial"/>
              </a:defRPr>
            </a:pPr>
            <a:r>
              <a:rPr lang="en-US" sz="960" b="1" i="0" kern="1200" baseline="0">
                <a:solidFill>
                  <a:srgbClr val="000000"/>
                </a:solidFill>
                <a:effectLst/>
                <a:latin typeface="Arial" panose="020B0604020202020204" pitchFamily="34" charset="0"/>
                <a:ea typeface="Arial" panose="020B0604020202020204" pitchFamily="34" charset="0"/>
                <a:cs typeface="Arial" panose="020B0604020202020204" pitchFamily="34" charset="0"/>
              </a:rPr>
              <a:t>Net Fossil Carbon</a:t>
            </a:r>
            <a:endParaRPr lang="en-US" sz="1000">
              <a:effectLst/>
            </a:endParaRPr>
          </a:p>
        </c:rich>
      </c:tx>
      <c:layout>
        <c:manualLayout>
          <c:xMode val="edge"/>
          <c:yMode val="edge"/>
          <c:x val="0.26697338704754936"/>
          <c:y val="0.05"/>
        </c:manualLayout>
      </c:layout>
      <c:overlay val="0"/>
    </c:title>
    <c:autoTitleDeleted val="0"/>
    <c:plotArea>
      <c:layout>
        <c:manualLayout>
          <c:layoutTarget val="inner"/>
          <c:xMode val="edge"/>
          <c:yMode val="edge"/>
          <c:x val="0.22936703073406101"/>
          <c:y val="0.167922572178478"/>
          <c:w val="0.60689859542899904"/>
          <c:h val="0.67081977252843406"/>
        </c:manualLayout>
      </c:layout>
      <c:areaChart>
        <c:grouping val="stacked"/>
        <c:varyColors val="0"/>
        <c:ser>
          <c:idx val="1"/>
          <c:order val="0"/>
          <c:tx>
            <c:v>reference scenario area</c:v>
          </c:tx>
          <c:spPr>
            <a:noFill/>
            <a:ln w="12700">
              <a:noFill/>
              <a:prstDash val="solid"/>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[0]!NFCRef</c:f>
              <c:numCache>
                <c:formatCode>0.00</c:formatCode>
                <c:ptCount val="10"/>
                <c:pt idx="0">
                  <c:v>30.490629196166992</c:v>
                </c:pt>
                <c:pt idx="1">
                  <c:v>36.419173240661621</c:v>
                </c:pt>
                <c:pt idx="2">
                  <c:v>41.178647677103676</c:v>
                </c:pt>
                <c:pt idx="3">
                  <c:v>44.63825798034668</c:v>
                </c:pt>
                <c:pt idx="4">
                  <c:v>48.651535034179688</c:v>
                </c:pt>
                <c:pt idx="5">
                  <c:v>53.651107152303055</c:v>
                </c:pt>
                <c:pt idx="6">
                  <c:v>57.505031267801918</c:v>
                </c:pt>
                <c:pt idx="7">
                  <c:v>60.643732706705727</c:v>
                </c:pt>
                <c:pt idx="8">
                  <c:v>64.628266016642257</c:v>
                </c:pt>
                <c:pt idx="9">
                  <c:v>69.30462137858072</c:v>
                </c:pt>
              </c:numCache>
            </c:numRef>
          </c:val>
          <c:extLst>
            <c:ext xmlns:c16="http://schemas.microsoft.com/office/drawing/2014/chart" uri="{C3380CC4-5D6E-409C-BE32-E72D297353CC}">
              <c16:uniqueId val="{00000000-9D04-584A-BE10-C13E5A838E81}"/>
            </c:ext>
          </c:extLst>
        </c:ser>
        <c:ser>
          <c:idx val="0"/>
          <c:order val="1"/>
          <c:tx>
            <c:v>Intervention scenario</c:v>
          </c:tx>
          <c:spPr>
            <a:solidFill>
              <a:srgbClr val="A1F4FF"/>
            </a:solidFill>
            <a:ln w="12700">
              <a:solidFill>
                <a:sysClr val="windowText" lastClr="000000"/>
              </a:solidFill>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[0]!AreaNFC</c:f>
              <c:numCache>
                <c:formatCode>General</c:formatCode>
                <c:ptCount val="10"/>
                <c:pt idx="0">
                  <c:v>0.10721556345621508</c:v>
                </c:pt>
                <c:pt idx="1">
                  <c:v>-7.2902054786682129</c:v>
                </c:pt>
                <c:pt idx="2">
                  <c:v>-22.331053096038023</c:v>
                </c:pt>
                <c:pt idx="3">
                  <c:v>-35.500564926808771</c:v>
                </c:pt>
                <c:pt idx="4">
                  <c:v>-43.031778824766661</c:v>
                </c:pt>
                <c:pt idx="5">
                  <c:v>-49.298039841789432</c:v>
                </c:pt>
                <c:pt idx="6">
                  <c:v>-53.877046872383588</c:v>
                </c:pt>
                <c:pt idx="7">
                  <c:v>-57.591866666637159</c:v>
                </c:pt>
                <c:pt idx="8">
                  <c:v>-61.782131769040468</c:v>
                </c:pt>
                <c:pt idx="9">
                  <c:v>-66.291485704799314</c:v>
                </c:pt>
              </c:numCache>
            </c:numRef>
          </c:val>
          <c:extLst>
            <c:ext xmlns:c16="http://schemas.microsoft.com/office/drawing/2014/chart" uri="{C3380CC4-5D6E-409C-BE32-E72D297353CC}">
              <c16:uniqueId val="{00000001-9D04-584A-BE10-C13E5A838E81}"/>
            </c:ext>
          </c:extLst>
        </c:ser>
        <c:dLbls>
          <c:showLegendKey val="0"/>
          <c:showVal val="0"/>
          <c:showCatName val="0"/>
          <c:showSerName val="0"/>
          <c:showPercent val="0"/>
          <c:showBubbleSize val="0"/>
        </c:dLbls>
        <c:axId val="-1643519200"/>
        <c:axId val="-1643516448"/>
      </c:areaChart>
      <c:lineChart>
        <c:grouping val="standard"/>
        <c:varyColors val="0"/>
        <c:ser>
          <c:idx val="2"/>
          <c:order val="2"/>
          <c:tx>
            <c:v>Intervention scenario Line</c:v>
          </c:tx>
          <c:spPr>
            <a:ln w="28575">
              <a:solidFill>
                <a:srgbClr val="C00000"/>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[0]!NFCInt</c:f>
              <c:numCache>
                <c:formatCode>0.00</c:formatCode>
                <c:ptCount val="10"/>
                <c:pt idx="0">
                  <c:v>30.597844759623207</c:v>
                </c:pt>
                <c:pt idx="1">
                  <c:v>29.128967761993408</c:v>
                </c:pt>
                <c:pt idx="2">
                  <c:v>18.847594581065653</c:v>
                </c:pt>
                <c:pt idx="3">
                  <c:v>9.1376930535379106</c:v>
                </c:pt>
                <c:pt idx="4">
                  <c:v>5.6197562094130271</c:v>
                </c:pt>
                <c:pt idx="5">
                  <c:v>4.3530673105136266</c:v>
                </c:pt>
                <c:pt idx="6">
                  <c:v>3.6279843954183288</c:v>
                </c:pt>
                <c:pt idx="7">
                  <c:v>3.0518660400685649</c:v>
                </c:pt>
                <c:pt idx="8">
                  <c:v>2.8461342476017908</c:v>
                </c:pt>
                <c:pt idx="9">
                  <c:v>3.0131356737814112</c:v>
                </c:pt>
              </c:numCache>
            </c:numRef>
          </c:val>
          <c:smooth val="0"/>
          <c:extLst>
            <c:ext xmlns:c16="http://schemas.microsoft.com/office/drawing/2014/chart" uri="{C3380CC4-5D6E-409C-BE32-E72D297353CC}">
              <c16:uniqueId val="{00000002-9D04-584A-BE10-C13E5A838E81}"/>
            </c:ext>
          </c:extLst>
        </c:ser>
        <c:ser>
          <c:idx val="3"/>
          <c:order val="3"/>
          <c:tx>
            <c:v>reference scenario line</c:v>
          </c:tx>
          <c:spPr>
            <a:ln w="12700">
              <a:no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[0]!NFCRef</c:f>
              <c:numCache>
                <c:formatCode>0.00</c:formatCode>
                <c:ptCount val="10"/>
                <c:pt idx="0">
                  <c:v>30.490629196166992</c:v>
                </c:pt>
                <c:pt idx="1">
                  <c:v>36.419173240661621</c:v>
                </c:pt>
                <c:pt idx="2">
                  <c:v>41.178647677103676</c:v>
                </c:pt>
                <c:pt idx="3">
                  <c:v>44.63825798034668</c:v>
                </c:pt>
                <c:pt idx="4">
                  <c:v>48.651535034179688</c:v>
                </c:pt>
                <c:pt idx="5">
                  <c:v>53.651107152303055</c:v>
                </c:pt>
                <c:pt idx="6">
                  <c:v>57.505031267801918</c:v>
                </c:pt>
                <c:pt idx="7">
                  <c:v>60.643732706705727</c:v>
                </c:pt>
                <c:pt idx="8">
                  <c:v>64.628266016642257</c:v>
                </c:pt>
                <c:pt idx="9">
                  <c:v>69.30462137858072</c:v>
                </c:pt>
              </c:numCache>
            </c:numRef>
          </c:val>
          <c:smooth val="0"/>
          <c:extLst>
            <c:ext xmlns:c16="http://schemas.microsoft.com/office/drawing/2014/chart" uri="{C3380CC4-5D6E-409C-BE32-E72D297353CC}">
              <c16:uniqueId val="{00000003-9D04-584A-BE10-C13E5A838E81}"/>
            </c:ext>
          </c:extLst>
        </c:ser>
        <c:ser>
          <c:idx val="4"/>
          <c:order val="4"/>
          <c:tx>
            <c:v>(Biomass CCS)</c:v>
          </c:tx>
          <c:spPr>
            <a:ln>
              <a:solidFill>
                <a:srgbClr val="008000"/>
              </a:solidFill>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[0]!biomassCCSint</c:f>
              <c:numCache>
                <c:formatCode>0.00</c:formatCode>
                <c:ptCount val="10"/>
                <c:pt idx="0">
                  <c:v>0</c:v>
                </c:pt>
                <c:pt idx="1">
                  <c:v>-4.8386068484041956E-18</c:v>
                </c:pt>
                <c:pt idx="2">
                  <c:v>-2.004778366333915E-9</c:v>
                </c:pt>
                <c:pt idx="3">
                  <c:v>-4.5750844565087794E-8</c:v>
                </c:pt>
                <c:pt idx="4">
                  <c:v>-9.4639817689382689E-5</c:v>
                </c:pt>
                <c:pt idx="5">
                  <c:v>-8.8683626624213473E-5</c:v>
                </c:pt>
                <c:pt idx="6">
                  <c:v>-7.1516428154912618E-5</c:v>
                </c:pt>
                <c:pt idx="7">
                  <c:v>-5.4543651837472375E-5</c:v>
                </c:pt>
                <c:pt idx="8">
                  <c:v>-5.1858247085571442E-5</c:v>
                </c:pt>
                <c:pt idx="9">
                  <c:v>-3.3366896726268652E-4</c:v>
                </c:pt>
              </c:numCache>
            </c:numRef>
          </c:val>
          <c:smooth val="0"/>
          <c:extLst>
            <c:ext xmlns:c16="http://schemas.microsoft.com/office/drawing/2014/chart" uri="{C3380CC4-5D6E-409C-BE32-E72D297353CC}">
              <c16:uniqueId val="{00000004-9D04-584A-BE10-C13E5A838E81}"/>
            </c:ext>
          </c:extLst>
        </c:ser>
        <c:ser>
          <c:idx val="5"/>
          <c:order val="5"/>
          <c:marker>
            <c:symbol val="none"/>
          </c:marker>
          <c:val>
            <c:numRef>
              <c:f>ExpKayaFactorsRef!$E$11:$N$11</c:f>
              <c:numCache>
                <c:formatCode>0.00</c:formatCode>
                <c:ptCount val="10"/>
              </c:numCache>
            </c:numRef>
          </c:val>
          <c:smooth val="0"/>
          <c:extLst>
            <c:ext xmlns:c16="http://schemas.microsoft.com/office/drawing/2014/chart" uri="{C3380CC4-5D6E-409C-BE32-E72D297353CC}">
              <c16:uniqueId val="{00000001-18C0-F943-BC5D-042F62DEF375}"/>
            </c:ext>
          </c:extLst>
        </c:ser>
        <c:dLbls>
          <c:showLegendKey val="0"/>
          <c:showVal val="0"/>
          <c:showCatName val="0"/>
          <c:showSerName val="0"/>
          <c:showPercent val="0"/>
          <c:showBubbleSize val="0"/>
        </c:dLbls>
        <c:marker val="1"/>
        <c:smooth val="0"/>
        <c:axId val="-1643519200"/>
        <c:axId val="-1643516448"/>
      </c:lineChart>
      <c:catAx>
        <c:axId val="-1643519200"/>
        <c:scaling>
          <c:orientation val="minMax"/>
        </c:scaling>
        <c:delete val="0"/>
        <c:axPos val="b"/>
        <c:numFmt formatCode="General" sourceLinked="1"/>
        <c:majorTickMark val="none"/>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3516448"/>
        <c:crosses val="autoZero"/>
        <c:auto val="1"/>
        <c:lblAlgn val="ctr"/>
        <c:lblOffset val="100"/>
        <c:tickLblSkip val="9"/>
        <c:tickMarkSkip val="1"/>
        <c:noMultiLvlLbl val="0"/>
      </c:catAx>
      <c:valAx>
        <c:axId val="-1643516448"/>
        <c:scaling>
          <c:orientation val="minMax"/>
          <c:max val="300"/>
          <c:min val="-50"/>
        </c:scaling>
        <c:delete val="0"/>
        <c:axPos val="l"/>
        <c:title>
          <c:tx>
            <c:rich>
              <a:bodyPr/>
              <a:lstStyle/>
              <a:p>
                <a:pPr marL="0" marR="0" indent="0" algn="ctr" defTabSz="914400" rtl="0" eaLnBrk="1" fontAlgn="auto" latinLnBrk="0" hangingPunct="1">
                  <a:lnSpc>
                    <a:spcPct val="100000"/>
                  </a:lnSpc>
                  <a:spcBef>
                    <a:spcPts val="0"/>
                  </a:spcBef>
                  <a:spcAft>
                    <a:spcPts val="0"/>
                  </a:spcAft>
                  <a:buClrTx/>
                  <a:buSzTx/>
                  <a:buFontTx/>
                  <a:buNone/>
                  <a:tabLst/>
                  <a:defRPr sz="800" b="0" i="0" u="none" strike="noStrike" kern="1200" baseline="0">
                    <a:solidFill>
                      <a:srgbClr val="000000"/>
                    </a:solidFill>
                    <a:latin typeface="Arial"/>
                    <a:ea typeface="Arial"/>
                    <a:cs typeface="Arial"/>
                  </a:defRPr>
                </a:pPr>
                <a:r>
                  <a:rPr lang="en-US" sz="800" b="0" i="0" kern="1200" baseline="0">
                    <a:solidFill>
                      <a:srgbClr val="000000"/>
                    </a:solidFill>
                    <a:effectLst/>
                    <a:latin typeface="Arial" panose="020B0604020202020204" pitchFamily="34" charset="0"/>
                    <a:ea typeface="Arial" panose="020B0604020202020204" pitchFamily="34" charset="0"/>
                    <a:cs typeface="Arial" panose="020B0604020202020204" pitchFamily="34" charset="0"/>
                  </a:rPr>
                  <a:t>CO2 (Gt)</a:t>
                </a:r>
                <a:endParaRPr lang="en-US">
                  <a:effectLst/>
                </a:endParaRPr>
              </a:p>
            </c:rich>
          </c:tx>
          <c:layout>
            <c:manualLayout>
              <c:xMode val="edge"/>
              <c:yMode val="edge"/>
              <c:x val="2.15965736841034E-2"/>
              <c:y val="0.3933600174978130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3519200"/>
        <c:crosses val="autoZero"/>
        <c:crossBetween val="midCat"/>
        <c:majorUnit val="50"/>
        <c:minorUnit val="0.25"/>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 verticalDpi="1200"/>
  </c:printSettings>
  <c:userShapes r:id="rId2"/>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marL="0" marR="0" indent="0" algn="ctr" defTabSz="914400" rtl="0" eaLnBrk="1" fontAlgn="auto" latinLnBrk="0" hangingPunct="1">
              <a:lnSpc>
                <a:spcPct val="100000"/>
              </a:lnSpc>
              <a:spcBef>
                <a:spcPts val="0"/>
              </a:spcBef>
              <a:spcAft>
                <a:spcPts val="0"/>
              </a:spcAft>
              <a:buClrTx/>
              <a:buSzTx/>
              <a:buFontTx/>
              <a:buNone/>
              <a:tabLst/>
              <a:defRPr sz="960" b="0" i="0" u="none" strike="noStrike" kern="1200" baseline="0">
                <a:solidFill>
                  <a:srgbClr val="000000"/>
                </a:solidFill>
                <a:latin typeface="Arial"/>
                <a:ea typeface="Arial"/>
                <a:cs typeface="Arial"/>
              </a:defRPr>
            </a:pPr>
            <a:r>
              <a:rPr lang="en-US" sz="960" b="1" i="0" kern="1200" baseline="0">
                <a:solidFill>
                  <a:srgbClr val="000000"/>
                </a:solidFill>
                <a:effectLst/>
                <a:latin typeface="Arial" panose="020B0604020202020204" pitchFamily="34" charset="0"/>
                <a:ea typeface="Arial" panose="020B0604020202020204" pitchFamily="34" charset="0"/>
                <a:cs typeface="Arial" panose="020B0604020202020204" pitchFamily="34" charset="0"/>
              </a:rPr>
              <a:t>Total Fossil Carbon</a:t>
            </a:r>
            <a:endParaRPr lang="en-US">
              <a:effectLst/>
            </a:endParaRPr>
          </a:p>
        </c:rich>
      </c:tx>
      <c:layout>
        <c:manualLayout>
          <c:xMode val="edge"/>
          <c:yMode val="edge"/>
          <c:x val="0.23662129443121932"/>
          <c:y val="3.888888888888889E-2"/>
        </c:manualLayout>
      </c:layout>
      <c:overlay val="0"/>
    </c:title>
    <c:autoTitleDeleted val="0"/>
    <c:plotArea>
      <c:layout>
        <c:manualLayout>
          <c:layoutTarget val="inner"/>
          <c:xMode val="edge"/>
          <c:yMode val="edge"/>
          <c:x val="0.23146558293116601"/>
          <c:y val="0.16513692038495201"/>
          <c:w val="0.60144780289560595"/>
          <c:h val="0.67491819772528405"/>
        </c:manualLayout>
      </c:layout>
      <c:areaChart>
        <c:grouping val="stacked"/>
        <c:varyColors val="0"/>
        <c:ser>
          <c:idx val="0"/>
          <c:order val="0"/>
          <c:tx>
            <c:v>Reference case</c:v>
          </c:tx>
          <c:spPr>
            <a:noFill/>
            <a:ln w="12700">
              <a:noFill/>
              <a:prstDash val="solid"/>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[0]!TFCRef</c:f>
              <c:numCache>
                <c:formatCode>0.00</c:formatCode>
                <c:ptCount val="10"/>
                <c:pt idx="0">
                  <c:v>30.490629196166992</c:v>
                </c:pt>
                <c:pt idx="1">
                  <c:v>36.419173240661621</c:v>
                </c:pt>
                <c:pt idx="2">
                  <c:v>41.178647677103676</c:v>
                </c:pt>
                <c:pt idx="3">
                  <c:v>44.63825798034668</c:v>
                </c:pt>
                <c:pt idx="4">
                  <c:v>48.651535034179688</c:v>
                </c:pt>
                <c:pt idx="5">
                  <c:v>53.651107152303055</c:v>
                </c:pt>
                <c:pt idx="6">
                  <c:v>57.505031267801918</c:v>
                </c:pt>
                <c:pt idx="7">
                  <c:v>60.643732706705727</c:v>
                </c:pt>
                <c:pt idx="8">
                  <c:v>64.628266016642257</c:v>
                </c:pt>
                <c:pt idx="9">
                  <c:v>69.30462137858072</c:v>
                </c:pt>
              </c:numCache>
            </c:numRef>
          </c:val>
          <c:extLst>
            <c:ext xmlns:c16="http://schemas.microsoft.com/office/drawing/2014/chart" uri="{C3380CC4-5D6E-409C-BE32-E72D297353CC}">
              <c16:uniqueId val="{00000000-595F-C742-A81F-0291D8BCB3CC}"/>
            </c:ext>
          </c:extLst>
        </c:ser>
        <c:ser>
          <c:idx val="1"/>
          <c:order val="1"/>
          <c:tx>
            <c:v>Area for Intervention case</c:v>
          </c:tx>
          <c:spPr>
            <a:solidFill>
              <a:srgbClr val="A1F4FF"/>
            </a:solidFill>
            <a:ln w="12700">
              <a:solidFill>
                <a:sysClr val="windowText" lastClr="000000"/>
              </a:solidFill>
              <a:prstDash val="solid"/>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[0]!AreaTFC</c:f>
              <c:numCache>
                <c:formatCode>General</c:formatCode>
                <c:ptCount val="10"/>
                <c:pt idx="0">
                  <c:v>0.10721556345621508</c:v>
                </c:pt>
                <c:pt idx="1">
                  <c:v>-7.2573722996288517</c:v>
                </c:pt>
                <c:pt idx="2">
                  <c:v>-21.087645606742445</c:v>
                </c:pt>
                <c:pt idx="3">
                  <c:v>-33.045240886588864</c:v>
                </c:pt>
                <c:pt idx="4">
                  <c:v>-39.99147065056934</c:v>
                </c:pt>
                <c:pt idx="5">
                  <c:v>-44.970558269652578</c:v>
                </c:pt>
                <c:pt idx="6">
                  <c:v>-47.65652523610256</c:v>
                </c:pt>
                <c:pt idx="7">
                  <c:v>-51.353125795276185</c:v>
                </c:pt>
                <c:pt idx="8">
                  <c:v>-56.160761519980007</c:v>
                </c:pt>
                <c:pt idx="9">
                  <c:v>-60.570979965604479</c:v>
                </c:pt>
              </c:numCache>
            </c:numRef>
          </c:val>
          <c:extLst>
            <c:ext xmlns:c16="http://schemas.microsoft.com/office/drawing/2014/chart" uri="{C3380CC4-5D6E-409C-BE32-E72D297353CC}">
              <c16:uniqueId val="{00000001-595F-C742-A81F-0291D8BCB3CC}"/>
            </c:ext>
          </c:extLst>
        </c:ser>
        <c:dLbls>
          <c:showLegendKey val="0"/>
          <c:showVal val="0"/>
          <c:showCatName val="0"/>
          <c:showSerName val="0"/>
          <c:showPercent val="0"/>
          <c:showBubbleSize val="0"/>
        </c:dLbls>
        <c:axId val="-1643440160"/>
        <c:axId val="-1643437408"/>
      </c:areaChart>
      <c:lineChart>
        <c:grouping val="standard"/>
        <c:varyColors val="0"/>
        <c:ser>
          <c:idx val="2"/>
          <c:order val="2"/>
          <c:tx>
            <c:v>Line for Intervention Case</c:v>
          </c:tx>
          <c:spPr>
            <a:ln w="28575">
              <a:solidFill>
                <a:srgbClr val="C00000"/>
              </a:solidFill>
              <a:prstDash val="solid"/>
            </a:ln>
          </c:spPr>
          <c:marker>
            <c:symbol val="none"/>
          </c:marker>
          <c:val>
            <c:numRef>
              <c:f>[0]!TFCInt</c:f>
              <c:numCache>
                <c:formatCode>0.00</c:formatCode>
                <c:ptCount val="10"/>
                <c:pt idx="0">
                  <c:v>30.597844759623207</c:v>
                </c:pt>
                <c:pt idx="1">
                  <c:v>29.161800941032769</c:v>
                </c:pt>
                <c:pt idx="2">
                  <c:v>20.091002070361231</c:v>
                </c:pt>
                <c:pt idx="3">
                  <c:v>11.593017093757814</c:v>
                </c:pt>
                <c:pt idx="4">
                  <c:v>8.6600643836103455</c:v>
                </c:pt>
                <c:pt idx="5">
                  <c:v>8.6805488826504753</c:v>
                </c:pt>
                <c:pt idx="6">
                  <c:v>9.8485060316993565</c:v>
                </c:pt>
                <c:pt idx="7">
                  <c:v>9.2906069114295438</c:v>
                </c:pt>
                <c:pt idx="8">
                  <c:v>8.467504496662249</c:v>
                </c:pt>
                <c:pt idx="9">
                  <c:v>8.7336414129762421</c:v>
                </c:pt>
              </c:numCache>
            </c:numRef>
          </c:val>
          <c:smooth val="0"/>
          <c:extLst>
            <c:ext xmlns:c16="http://schemas.microsoft.com/office/drawing/2014/chart" uri="{C3380CC4-5D6E-409C-BE32-E72D297353CC}">
              <c16:uniqueId val="{00000002-595F-C742-A81F-0291D8BCB3CC}"/>
            </c:ext>
          </c:extLst>
        </c:ser>
        <c:ser>
          <c:idx val="3"/>
          <c:order val="3"/>
          <c:tx>
            <c:v>proj1</c:v>
          </c:tx>
          <c:spPr>
            <a:ln w="19050" cmpd="sng">
              <a:solidFill>
                <a:srgbClr val="008000"/>
              </a:solidFill>
              <a:prstDash val="sysDash"/>
            </a:ln>
          </c:spPr>
          <c:marker>
            <c:symbol val="none"/>
          </c:marker>
          <c:val>
            <c:numRef>
              <c:f>[0]!TFCproj1</c:f>
              <c:numCache>
                <c:formatCode>General</c:formatCode>
                <c:ptCount val="10"/>
                <c:pt idx="0">
                  <c:v>30.490629196166992</c:v>
                </c:pt>
                <c:pt idx="1">
                  <c:v>39.18785311835471</c:v>
                </c:pt>
                <c:pt idx="2">
                  <c:v>50.365895113072831</c:v>
                </c:pt>
                <c:pt idx="3">
                  <c:v>64.732389980121397</c:v>
                </c:pt>
                <c:pt idx="4">
                  <c:v>83.196820053157424</c:v>
                </c:pt>
                <c:pt idx="5">
                  <c:v>106.92809069899997</c:v>
                </c:pt>
                <c:pt idx="6">
                  <c:v>137.42852879747346</c:v>
                </c:pt>
                <c:pt idx="7">
                  <c:v>176.62898873415148</c:v>
                </c:pt>
                <c:pt idx="8">
                  <c:v>227.01108666618109</c:v>
                </c:pt>
                <c:pt idx="9">
                  <c:v>291.76430119817695</c:v>
                </c:pt>
              </c:numCache>
            </c:numRef>
          </c:val>
          <c:smooth val="0"/>
          <c:extLst>
            <c:ext xmlns:c16="http://schemas.microsoft.com/office/drawing/2014/chart" uri="{C3380CC4-5D6E-409C-BE32-E72D297353CC}">
              <c16:uniqueId val="{00000003-595F-C742-A81F-0291D8BCB3CC}"/>
            </c:ext>
          </c:extLst>
        </c:ser>
        <c:ser>
          <c:idx val="5"/>
          <c:order val="4"/>
          <c:tx>
            <c:v>proj2</c:v>
          </c:tx>
          <c:spPr>
            <a:ln w="19050" cmpd="sng">
              <a:solidFill>
                <a:srgbClr val="3366FF"/>
              </a:solidFill>
              <a:prstDash val="sysDash"/>
            </a:ln>
          </c:spPr>
          <c:marker>
            <c:symbol val="none"/>
          </c:marker>
          <c:val>
            <c:numRef>
              <c:f>[0]!TFCproj2</c:f>
              <c:numCache>
                <c:formatCode>General</c:formatCode>
                <c:ptCount val="10"/>
                <c:pt idx="0">
                  <c:v>30.490629196166992</c:v>
                </c:pt>
                <c:pt idx="1">
                  <c:v>37.868787215237425</c:v>
                </c:pt>
                <c:pt idx="2">
                  <c:v>47.032320518108712</c:v>
                </c:pt>
                <c:pt idx="3">
                  <c:v>58.41325629852868</c:v>
                </c:pt>
                <c:pt idx="4">
                  <c:v>72.54816419453185</c:v>
                </c:pt>
                <c:pt idx="5">
                  <c:v>90.10345359105284</c:v>
                </c:pt>
                <c:pt idx="6">
                  <c:v>111.90679239333441</c:v>
                </c:pt>
                <c:pt idx="7">
                  <c:v>138.98612855177373</c:v>
                </c:pt>
                <c:pt idx="8">
                  <c:v>172.61815406086802</c:v>
                </c:pt>
                <c:pt idx="9">
                  <c:v>214.38849633315655</c:v>
                </c:pt>
              </c:numCache>
            </c:numRef>
          </c:val>
          <c:smooth val="0"/>
          <c:extLst>
            <c:ext xmlns:c16="http://schemas.microsoft.com/office/drawing/2014/chart" uri="{C3380CC4-5D6E-409C-BE32-E72D297353CC}">
              <c16:uniqueId val="{00000004-595F-C742-A81F-0291D8BCB3CC}"/>
            </c:ext>
          </c:extLst>
        </c:ser>
        <c:dLbls>
          <c:showLegendKey val="0"/>
          <c:showVal val="0"/>
          <c:showCatName val="0"/>
          <c:showSerName val="0"/>
          <c:showPercent val="0"/>
          <c:showBubbleSize val="0"/>
        </c:dLbls>
        <c:marker val="1"/>
        <c:smooth val="0"/>
        <c:axId val="-1643440160"/>
        <c:axId val="-1643437408"/>
      </c:lineChart>
      <c:catAx>
        <c:axId val="-1643440160"/>
        <c:scaling>
          <c:orientation val="minMax"/>
        </c:scaling>
        <c:delete val="0"/>
        <c:axPos val="b"/>
        <c:numFmt formatCode="General" sourceLinked="1"/>
        <c:majorTickMark val="none"/>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3437408"/>
        <c:crosses val="autoZero"/>
        <c:auto val="1"/>
        <c:lblAlgn val="ctr"/>
        <c:lblOffset val="100"/>
        <c:tickLblSkip val="9"/>
        <c:tickMarkSkip val="1"/>
        <c:noMultiLvlLbl val="0"/>
      </c:catAx>
      <c:valAx>
        <c:axId val="-1643437408"/>
        <c:scaling>
          <c:orientation val="minMax"/>
          <c:max val="300"/>
          <c:min val="-50"/>
        </c:scaling>
        <c:delete val="0"/>
        <c:axPos val="l"/>
        <c:title>
          <c:tx>
            <c:rich>
              <a:bodyPr rot="-5400000" vert="horz"/>
              <a:lstStyle/>
              <a:p>
                <a:pPr marL="0" marR="0" indent="0" algn="ctr" defTabSz="914400" rtl="0" eaLnBrk="1" fontAlgn="auto" latinLnBrk="0" hangingPunct="1">
                  <a:lnSpc>
                    <a:spcPct val="100000"/>
                  </a:lnSpc>
                  <a:spcBef>
                    <a:spcPts val="0"/>
                  </a:spcBef>
                  <a:spcAft>
                    <a:spcPts val="0"/>
                  </a:spcAft>
                  <a:buClrTx/>
                  <a:buSzTx/>
                  <a:buFontTx/>
                  <a:buNone/>
                  <a:tabLst/>
                  <a:defRPr sz="800" b="0" i="0" u="none" strike="noStrike" kern="1200" baseline="0">
                    <a:solidFill>
                      <a:srgbClr val="000000"/>
                    </a:solidFill>
                    <a:latin typeface="Arial"/>
                    <a:ea typeface="Arial"/>
                    <a:cs typeface="Arial"/>
                  </a:defRPr>
                </a:pPr>
                <a:r>
                  <a:rPr lang="en-US" sz="800" b="0" i="0" kern="1200" baseline="0">
                    <a:solidFill>
                      <a:srgbClr val="000000"/>
                    </a:solidFill>
                    <a:effectLst/>
                    <a:latin typeface="Arial" panose="020B0604020202020204" pitchFamily="34" charset="0"/>
                    <a:ea typeface="Arial" panose="020B0604020202020204" pitchFamily="34" charset="0"/>
                    <a:cs typeface="Arial" panose="020B0604020202020204" pitchFamily="34" charset="0"/>
                  </a:rPr>
                  <a:t>CO2 (Gt)</a:t>
                </a:r>
                <a:endParaRPr lang="en-US">
                  <a:effectLst/>
                </a:endParaRPr>
              </a:p>
            </c:rich>
          </c:tx>
          <c:layout>
            <c:manualLayout>
              <c:xMode val="edge"/>
              <c:yMode val="edge"/>
              <c:x val="1.5026755376508171E-2"/>
              <c:y val="0.4107817147856517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3440160"/>
        <c:crosses val="autoZero"/>
        <c:crossBetween val="midCat"/>
        <c:majorUnit val="50"/>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 verticalDpi="1200"/>
  </c:printSettings>
  <c:userShapes r:id="rId2"/>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b="1"/>
              <a:t>Final Energy</a:t>
            </a:r>
          </a:p>
        </c:rich>
      </c:tx>
      <c:layout>
        <c:manualLayout>
          <c:xMode val="edge"/>
          <c:yMode val="edge"/>
          <c:x val="0.32060045720091401"/>
          <c:y val="4.4444444444444398E-2"/>
        </c:manualLayout>
      </c:layout>
      <c:overlay val="0"/>
    </c:title>
    <c:autoTitleDeleted val="0"/>
    <c:plotArea>
      <c:layout>
        <c:manualLayout>
          <c:layoutTarget val="inner"/>
          <c:xMode val="edge"/>
          <c:yMode val="edge"/>
          <c:x val="0.23146558293116601"/>
          <c:y val="0.16513692038495201"/>
          <c:w val="0.60144780289560595"/>
          <c:h val="0.67491819772528405"/>
        </c:manualLayout>
      </c:layout>
      <c:areaChart>
        <c:grouping val="stacked"/>
        <c:varyColors val="0"/>
        <c:ser>
          <c:idx val="0"/>
          <c:order val="0"/>
          <c:tx>
            <c:v>Reference case</c:v>
          </c:tx>
          <c:spPr>
            <a:noFill/>
            <a:ln w="12700">
              <a:noFill/>
              <a:prstDash val="solid"/>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[0]!FERef</c:f>
              <c:numCache>
                <c:formatCode>0.00</c:formatCode>
                <c:ptCount val="10"/>
                <c:pt idx="0">
                  <c:v>368.1208125</c:v>
                </c:pt>
                <c:pt idx="1">
                  <c:v>423.03090630000003</c:v>
                </c:pt>
                <c:pt idx="2">
                  <c:v>479.42259380000002</c:v>
                </c:pt>
                <c:pt idx="3">
                  <c:v>541.945875</c:v>
                </c:pt>
                <c:pt idx="4">
                  <c:v>601.97268750000001</c:v>
                </c:pt>
                <c:pt idx="5">
                  <c:v>664.53981250000004</c:v>
                </c:pt>
                <c:pt idx="6">
                  <c:v>719.05137500000001</c:v>
                </c:pt>
                <c:pt idx="7">
                  <c:v>765.49487499999998</c:v>
                </c:pt>
                <c:pt idx="8">
                  <c:v>800.99437499999999</c:v>
                </c:pt>
                <c:pt idx="9">
                  <c:v>831.80218749999995</c:v>
                </c:pt>
              </c:numCache>
            </c:numRef>
          </c:val>
          <c:extLst>
            <c:ext xmlns:c16="http://schemas.microsoft.com/office/drawing/2014/chart" uri="{C3380CC4-5D6E-409C-BE32-E72D297353CC}">
              <c16:uniqueId val="{00000000-595F-C742-A81F-0291D8BCB3CC}"/>
            </c:ext>
          </c:extLst>
        </c:ser>
        <c:ser>
          <c:idx val="1"/>
          <c:order val="4"/>
          <c:tx>
            <c:v>Area for Intervention Case</c:v>
          </c:tx>
          <c:spPr>
            <a:solidFill>
              <a:srgbClr val="A1F4FF"/>
            </a:solidFill>
            <a:ln w="12700">
              <a:solidFill>
                <a:sysClr val="windowText" lastClr="000000"/>
              </a:solidFill>
              <a:prstDash val="solid"/>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[0]!AreaFE</c:f>
              <c:numCache>
                <c:formatCode>General</c:formatCode>
                <c:ptCount val="10"/>
                <c:pt idx="0">
                  <c:v>-0.15800000000001546</c:v>
                </c:pt>
                <c:pt idx="1">
                  <c:v>-57.530500050000001</c:v>
                </c:pt>
                <c:pt idx="2">
                  <c:v>-179.36128130000003</c:v>
                </c:pt>
                <c:pt idx="3">
                  <c:v>-270.63268749999997</c:v>
                </c:pt>
                <c:pt idx="4">
                  <c:v>-321.62318750000003</c:v>
                </c:pt>
                <c:pt idx="5">
                  <c:v>-364.28500000000003</c:v>
                </c:pt>
                <c:pt idx="6">
                  <c:v>-400.44096875000002</c:v>
                </c:pt>
                <c:pt idx="7">
                  <c:v>-430.82637499999998</c:v>
                </c:pt>
                <c:pt idx="8">
                  <c:v>-458.23706249999998</c:v>
                </c:pt>
                <c:pt idx="9">
                  <c:v>-485.64587499999993</c:v>
                </c:pt>
              </c:numCache>
            </c:numRef>
          </c:val>
          <c:extLst>
            <c:ext xmlns:c16="http://schemas.microsoft.com/office/drawing/2014/chart" uri="{C3380CC4-5D6E-409C-BE32-E72D297353CC}">
              <c16:uniqueId val="{00000001-595F-C742-A81F-0291D8BCB3CC}"/>
            </c:ext>
          </c:extLst>
        </c:ser>
        <c:dLbls>
          <c:showLegendKey val="0"/>
          <c:showVal val="0"/>
          <c:showCatName val="0"/>
          <c:showSerName val="0"/>
          <c:showPercent val="0"/>
          <c:showBubbleSize val="0"/>
        </c:dLbls>
        <c:axId val="-1643440160"/>
        <c:axId val="-1643437408"/>
      </c:areaChart>
      <c:lineChart>
        <c:grouping val="standard"/>
        <c:varyColors val="0"/>
        <c:ser>
          <c:idx val="2"/>
          <c:order val="1"/>
          <c:tx>
            <c:v>Line for Intervention Case</c:v>
          </c:tx>
          <c:spPr>
            <a:ln w="28575">
              <a:solidFill>
                <a:srgbClr val="C00000"/>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[0]!FEInt</c:f>
              <c:numCache>
                <c:formatCode>0.00</c:formatCode>
                <c:ptCount val="10"/>
                <c:pt idx="0">
                  <c:v>367.96281249999998</c:v>
                </c:pt>
                <c:pt idx="1">
                  <c:v>365.50040625000003</c:v>
                </c:pt>
                <c:pt idx="2">
                  <c:v>300.06131249999999</c:v>
                </c:pt>
                <c:pt idx="3">
                  <c:v>271.31318750000003</c:v>
                </c:pt>
                <c:pt idx="4">
                  <c:v>280.34949999999998</c:v>
                </c:pt>
                <c:pt idx="5">
                  <c:v>300.25481250000001</c:v>
                </c:pt>
                <c:pt idx="6">
                  <c:v>318.61040624999998</c:v>
                </c:pt>
                <c:pt idx="7">
                  <c:v>334.66849999999999</c:v>
                </c:pt>
                <c:pt idx="8">
                  <c:v>342.75731250000001</c:v>
                </c:pt>
                <c:pt idx="9">
                  <c:v>346.15631250000001</c:v>
                </c:pt>
              </c:numCache>
            </c:numRef>
          </c:val>
          <c:smooth val="0"/>
          <c:extLst>
            <c:ext xmlns:c16="http://schemas.microsoft.com/office/drawing/2014/chart" uri="{C3380CC4-5D6E-409C-BE32-E72D297353CC}">
              <c16:uniqueId val="{00000002-595F-C742-A81F-0291D8BCB3CC}"/>
            </c:ext>
          </c:extLst>
        </c:ser>
        <c:ser>
          <c:idx val="3"/>
          <c:order val="2"/>
          <c:tx>
            <c:v>proj1</c:v>
          </c:tx>
          <c:spPr>
            <a:ln w="19050" cmpd="sng">
              <a:solidFill>
                <a:srgbClr val="008000"/>
              </a:solid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[0]!FEproj1</c:f>
              <c:numCache>
                <c:formatCode>General</c:formatCode>
                <c:ptCount val="10"/>
                <c:pt idx="0">
                  <c:v>368.1208125</c:v>
                </c:pt>
                <c:pt idx="1">
                  <c:v>458.84818102691577</c:v>
                </c:pt>
                <c:pt idx="2">
                  <c:v>571.93629396248616</c:v>
                </c:pt>
                <c:pt idx="3">
                  <c:v>712.89619939095985</c:v>
                </c:pt>
                <c:pt idx="4">
                  <c:v>888.59720299444734</c:v>
                </c:pt>
                <c:pt idx="5">
                  <c:v>1107.6016253756561</c:v>
                </c:pt>
                <c:pt idx="6">
                  <c:v>1380.5820639550914</c:v>
                </c:pt>
                <c:pt idx="7">
                  <c:v>1720.8414935903108</c:v>
                </c:pt>
                <c:pt idx="8">
                  <c:v>2144.9615516361359</c:v>
                </c:pt>
                <c:pt idx="9">
                  <c:v>2673.610599892153</c:v>
                </c:pt>
              </c:numCache>
            </c:numRef>
          </c:val>
          <c:smooth val="0"/>
          <c:extLst>
            <c:ext xmlns:c16="http://schemas.microsoft.com/office/drawing/2014/chart" uri="{C3380CC4-5D6E-409C-BE32-E72D297353CC}">
              <c16:uniqueId val="{00000003-595F-C742-A81F-0291D8BCB3CC}"/>
            </c:ext>
          </c:extLst>
        </c:ser>
        <c:ser>
          <c:idx val="5"/>
          <c:order val="3"/>
          <c:tx>
            <c:v>proj2</c:v>
          </c:tx>
          <c:spPr>
            <a:ln w="19050" cmpd="sng">
              <a:solidFill>
                <a:srgbClr val="3366FF"/>
              </a:solid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[0]!FEproj2</c:f>
              <c:numCache>
                <c:formatCode>General</c:formatCode>
                <c:ptCount val="10"/>
                <c:pt idx="0">
                  <c:v>368.1208125</c:v>
                </c:pt>
                <c:pt idx="1">
                  <c:v>444.77101315844578</c:v>
                </c:pt>
                <c:pt idx="2">
                  <c:v>537.38133631330709</c:v>
                </c:pt>
                <c:pt idx="3">
                  <c:v>649.27500235947423</c:v>
                </c:pt>
                <c:pt idx="4">
                  <c:v>784.46719341052096</c:v>
                </c:pt>
                <c:pt idx="5">
                  <c:v>947.80913372769385</c:v>
                </c:pt>
                <c:pt idx="6">
                  <c:v>1145.1621706091264</c:v>
                </c:pt>
                <c:pt idx="7">
                  <c:v>1383.6081024420375</c:v>
                </c:pt>
                <c:pt idx="8">
                  <c:v>1671.7033013105709</c:v>
                </c:pt>
                <c:pt idx="9">
                  <c:v>2019.7857490717702</c:v>
                </c:pt>
              </c:numCache>
            </c:numRef>
          </c:val>
          <c:smooth val="0"/>
          <c:extLst>
            <c:ext xmlns:c16="http://schemas.microsoft.com/office/drawing/2014/chart" uri="{C3380CC4-5D6E-409C-BE32-E72D297353CC}">
              <c16:uniqueId val="{00000004-595F-C742-A81F-0291D8BCB3CC}"/>
            </c:ext>
          </c:extLst>
        </c:ser>
        <c:dLbls>
          <c:showLegendKey val="0"/>
          <c:showVal val="0"/>
          <c:showCatName val="0"/>
          <c:showSerName val="0"/>
          <c:showPercent val="0"/>
          <c:showBubbleSize val="0"/>
        </c:dLbls>
        <c:marker val="1"/>
        <c:smooth val="0"/>
        <c:axId val="-1643440160"/>
        <c:axId val="-1643437408"/>
      </c:lineChart>
      <c:catAx>
        <c:axId val="-1643440160"/>
        <c:scaling>
          <c:orientation val="minMax"/>
        </c:scaling>
        <c:delete val="0"/>
        <c:axPos val="b"/>
        <c:numFmt formatCode="General" sourceLinked="1"/>
        <c:majorTickMark val="none"/>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3437408"/>
        <c:crosses val="autoZero"/>
        <c:auto val="1"/>
        <c:lblAlgn val="ctr"/>
        <c:lblOffset val="100"/>
        <c:tickLblSkip val="9"/>
        <c:tickMarkSkip val="1"/>
        <c:noMultiLvlLbl val="0"/>
      </c:catAx>
      <c:valAx>
        <c:axId val="-1643437408"/>
        <c:scaling>
          <c:orientation val="minMax"/>
          <c:max val="2000"/>
          <c:min val="0"/>
        </c:scaling>
        <c:delete val="0"/>
        <c:axPos val="l"/>
        <c:title>
          <c:tx>
            <c:rich>
              <a:bodyPr rot="-5400000" vert="horz"/>
              <a:lstStyle/>
              <a:p>
                <a:pPr>
                  <a:defRPr sz="800" b="0" i="0" u="none" strike="noStrike" baseline="0">
                    <a:solidFill>
                      <a:srgbClr val="000000"/>
                    </a:solidFill>
                    <a:latin typeface="Arial"/>
                    <a:ea typeface="Arial"/>
                    <a:cs typeface="Arial"/>
                  </a:defRPr>
                </a:pPr>
                <a:r>
                  <a:rPr lang="en-US"/>
                  <a:t>FE (exajoules)</a:t>
                </a:r>
              </a:p>
            </c:rich>
          </c:tx>
          <c:layout>
            <c:manualLayout>
              <c:xMode val="edge"/>
              <c:yMode val="edge"/>
              <c:x val="2.1068587356812998E-3"/>
              <c:y val="0.2885594925634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3440160"/>
        <c:crosses val="autoZero"/>
        <c:crossBetween val="midCat"/>
        <c:majorUnit val="500"/>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 verticalDpi="1200"/>
  </c:printSettings>
  <c:userShapes r:id="rId2"/>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b="1"/>
              <a:t>Primary Energy</a:t>
            </a:r>
          </a:p>
        </c:rich>
      </c:tx>
      <c:layout>
        <c:manualLayout>
          <c:xMode val="edge"/>
          <c:yMode val="edge"/>
          <c:x val="0.32060045720091401"/>
          <c:y val="4.4444444444444398E-2"/>
        </c:manualLayout>
      </c:layout>
      <c:overlay val="0"/>
    </c:title>
    <c:autoTitleDeleted val="0"/>
    <c:plotArea>
      <c:layout>
        <c:manualLayout>
          <c:layoutTarget val="inner"/>
          <c:xMode val="edge"/>
          <c:yMode val="edge"/>
          <c:x val="0.23146558293116601"/>
          <c:y val="0.16513692038495201"/>
          <c:w val="0.60144780289560595"/>
          <c:h val="0.67491819772528405"/>
        </c:manualLayout>
      </c:layout>
      <c:areaChart>
        <c:grouping val="stacked"/>
        <c:varyColors val="0"/>
        <c:ser>
          <c:idx val="0"/>
          <c:order val="0"/>
          <c:tx>
            <c:v>Reference case</c:v>
          </c:tx>
          <c:spPr>
            <a:noFill/>
            <a:ln w="12700">
              <a:noFill/>
              <a:prstDash val="solid"/>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[0]!PEdeqRef</c:f>
              <c:numCache>
                <c:formatCode>0.00</c:formatCode>
                <c:ptCount val="10"/>
                <c:pt idx="0">
                  <c:v>506.23181249999999</c:v>
                </c:pt>
                <c:pt idx="1">
                  <c:v>594.26031250000005</c:v>
                </c:pt>
                <c:pt idx="2">
                  <c:v>676.61637499999995</c:v>
                </c:pt>
                <c:pt idx="3">
                  <c:v>755.57987500000002</c:v>
                </c:pt>
                <c:pt idx="4">
                  <c:v>832.27637500000003</c:v>
                </c:pt>
                <c:pt idx="5">
                  <c:v>910.11768749999999</c:v>
                </c:pt>
                <c:pt idx="6">
                  <c:v>976.86431249999998</c:v>
                </c:pt>
                <c:pt idx="7">
                  <c:v>1037.7739999999999</c:v>
                </c:pt>
                <c:pt idx="8">
                  <c:v>1095.373</c:v>
                </c:pt>
                <c:pt idx="9">
                  <c:v>1151.866</c:v>
                </c:pt>
              </c:numCache>
            </c:numRef>
          </c:val>
          <c:extLst>
            <c:ext xmlns:c16="http://schemas.microsoft.com/office/drawing/2014/chart" uri="{C3380CC4-5D6E-409C-BE32-E72D297353CC}">
              <c16:uniqueId val="{00000000-595F-C742-A81F-0291D8BCB3CC}"/>
            </c:ext>
          </c:extLst>
        </c:ser>
        <c:ser>
          <c:idx val="1"/>
          <c:order val="1"/>
          <c:tx>
            <c:v>Intervention case area</c:v>
          </c:tx>
          <c:spPr>
            <a:solidFill>
              <a:srgbClr val="A1F4FF"/>
            </a:solidFill>
            <a:ln w="12700">
              <a:solidFill>
                <a:sysClr val="windowText" lastClr="000000"/>
              </a:solidFill>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[0]!AreaPEdeq</c:f>
              <c:numCache>
                <c:formatCode>General</c:formatCode>
                <c:ptCount val="10"/>
                <c:pt idx="0">
                  <c:v>0.44818750000001728</c:v>
                </c:pt>
                <c:pt idx="1">
                  <c:v>-81.524812500000053</c:v>
                </c:pt>
                <c:pt idx="2">
                  <c:v>-273.61087499999996</c:v>
                </c:pt>
                <c:pt idx="3">
                  <c:v>-425.16387500000002</c:v>
                </c:pt>
                <c:pt idx="4">
                  <c:v>-481.00478125000001</c:v>
                </c:pt>
                <c:pt idx="5">
                  <c:v>-526.47018749999995</c:v>
                </c:pt>
                <c:pt idx="6">
                  <c:v>-539.4</c:v>
                </c:pt>
                <c:pt idx="7">
                  <c:v>-567.71159374999979</c:v>
                </c:pt>
                <c:pt idx="8">
                  <c:v>-616.25940624999998</c:v>
                </c:pt>
                <c:pt idx="9">
                  <c:v>-658.8141875</c:v>
                </c:pt>
              </c:numCache>
            </c:numRef>
          </c:val>
          <c:extLst>
            <c:ext xmlns:c16="http://schemas.microsoft.com/office/drawing/2014/chart" uri="{C3380CC4-5D6E-409C-BE32-E72D297353CC}">
              <c16:uniqueId val="{00000001-595F-C742-A81F-0291D8BCB3CC}"/>
            </c:ext>
          </c:extLst>
        </c:ser>
        <c:dLbls>
          <c:showLegendKey val="0"/>
          <c:showVal val="0"/>
          <c:showCatName val="0"/>
          <c:showSerName val="0"/>
          <c:showPercent val="0"/>
          <c:showBubbleSize val="0"/>
        </c:dLbls>
        <c:axId val="-1643440160"/>
        <c:axId val="-1643437408"/>
      </c:areaChart>
      <c:lineChart>
        <c:grouping val="standard"/>
        <c:varyColors val="0"/>
        <c:ser>
          <c:idx val="2"/>
          <c:order val="2"/>
          <c:tx>
            <c:v>Line for Intervention Case</c:v>
          </c:tx>
          <c:spPr>
            <a:ln w="19050">
              <a:solidFill>
                <a:srgbClr val="C00000"/>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[0]!PEdeqInt</c:f>
              <c:numCache>
                <c:formatCode>0.00</c:formatCode>
                <c:ptCount val="10"/>
                <c:pt idx="0">
                  <c:v>506.68</c:v>
                </c:pt>
                <c:pt idx="1">
                  <c:v>512.7355</c:v>
                </c:pt>
                <c:pt idx="2">
                  <c:v>403.00549999999998</c:v>
                </c:pt>
                <c:pt idx="3">
                  <c:v>330.416</c:v>
                </c:pt>
                <c:pt idx="4">
                  <c:v>351.27159375000002</c:v>
                </c:pt>
                <c:pt idx="5">
                  <c:v>383.64750000000004</c:v>
                </c:pt>
                <c:pt idx="6">
                  <c:v>437.46431250000001</c:v>
                </c:pt>
                <c:pt idx="7">
                  <c:v>470.06240625000004</c:v>
                </c:pt>
                <c:pt idx="8">
                  <c:v>479.11359375000001</c:v>
                </c:pt>
                <c:pt idx="9">
                  <c:v>493.05181249999998</c:v>
                </c:pt>
              </c:numCache>
            </c:numRef>
          </c:val>
          <c:smooth val="0"/>
          <c:extLst>
            <c:ext xmlns:c16="http://schemas.microsoft.com/office/drawing/2014/chart" uri="{C3380CC4-5D6E-409C-BE32-E72D297353CC}">
              <c16:uniqueId val="{00000002-595F-C742-A81F-0291D8BCB3CC}"/>
            </c:ext>
          </c:extLst>
        </c:ser>
        <c:ser>
          <c:idx val="3"/>
          <c:order val="3"/>
          <c:tx>
            <c:v>proj1</c:v>
          </c:tx>
          <c:spPr>
            <a:ln w="19050" cmpd="sng">
              <a:solidFill>
                <a:srgbClr val="008000"/>
              </a:solid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[0]!PEdeqproj1</c:f>
              <c:numCache>
                <c:formatCode>General</c:formatCode>
                <c:ptCount val="10"/>
                <c:pt idx="0">
                  <c:v>506.23181249999999</c:v>
                </c:pt>
                <c:pt idx="1">
                  <c:v>644.36628047469526</c:v>
                </c:pt>
                <c:pt idx="2">
                  <c:v>820.1932260288238</c:v>
                </c:pt>
                <c:pt idx="3">
                  <c:v>1043.99772056351</c:v>
                </c:pt>
                <c:pt idx="4">
                  <c:v>1328.8713024600154</c:v>
                </c:pt>
                <c:pt idx="5">
                  <c:v>1691.4777721436144</c:v>
                </c:pt>
                <c:pt idx="6">
                  <c:v>2153.0279481236771</c:v>
                </c:pt>
                <c:pt idx="7">
                  <c:v>2740.5204027759892</c:v>
                </c:pt>
                <c:pt idx="8">
                  <c:v>3488.3207552306444</c:v>
                </c:pt>
                <c:pt idx="9">
                  <c:v>4440.1719027696436</c:v>
                </c:pt>
              </c:numCache>
            </c:numRef>
          </c:val>
          <c:smooth val="0"/>
          <c:extLst>
            <c:ext xmlns:c16="http://schemas.microsoft.com/office/drawing/2014/chart" uri="{C3380CC4-5D6E-409C-BE32-E72D297353CC}">
              <c16:uniqueId val="{00000003-595F-C742-A81F-0291D8BCB3CC}"/>
            </c:ext>
          </c:extLst>
        </c:ser>
        <c:ser>
          <c:idx val="5"/>
          <c:order val="4"/>
          <c:tx>
            <c:v>proj2</c:v>
          </c:tx>
          <c:spPr>
            <a:ln w="19050" cmpd="sng">
              <a:solidFill>
                <a:srgbClr val="3366FF"/>
              </a:solid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[0]!PEdeqproj2</c:f>
              <c:numCache>
                <c:formatCode>General</c:formatCode>
                <c:ptCount val="10"/>
                <c:pt idx="0">
                  <c:v>506.23181249999999</c:v>
                </c:pt>
                <c:pt idx="1">
                  <c:v>628.90223234988503</c:v>
                </c:pt>
                <c:pt idx="2">
                  <c:v>781.29822758752198</c:v>
                </c:pt>
                <c:pt idx="3">
                  <c:v>970.6229188447162</c:v>
                </c:pt>
                <c:pt idx="4">
                  <c:v>1205.8248915982601</c:v>
                </c:pt>
                <c:pt idx="5">
                  <c:v>1498.0211583388073</c:v>
                </c:pt>
                <c:pt idx="6">
                  <c:v>1861.0226132057562</c:v>
                </c:pt>
                <c:pt idx="7">
                  <c:v>2311.9868151287246</c:v>
                </c:pt>
                <c:pt idx="8">
                  <c:v>2872.2289538015862</c:v>
                </c:pt>
                <c:pt idx="9">
                  <c:v>3568.2293294552528</c:v>
                </c:pt>
              </c:numCache>
            </c:numRef>
          </c:val>
          <c:smooth val="0"/>
          <c:extLst>
            <c:ext xmlns:c16="http://schemas.microsoft.com/office/drawing/2014/chart" uri="{C3380CC4-5D6E-409C-BE32-E72D297353CC}">
              <c16:uniqueId val="{00000004-595F-C742-A81F-0291D8BCB3CC}"/>
            </c:ext>
          </c:extLst>
        </c:ser>
        <c:dLbls>
          <c:showLegendKey val="0"/>
          <c:showVal val="0"/>
          <c:showCatName val="0"/>
          <c:showSerName val="0"/>
          <c:showPercent val="0"/>
          <c:showBubbleSize val="0"/>
        </c:dLbls>
        <c:marker val="1"/>
        <c:smooth val="0"/>
        <c:axId val="-1643440160"/>
        <c:axId val="-1643437408"/>
      </c:lineChart>
      <c:catAx>
        <c:axId val="-1643440160"/>
        <c:scaling>
          <c:orientation val="minMax"/>
        </c:scaling>
        <c:delete val="0"/>
        <c:axPos val="b"/>
        <c:numFmt formatCode="General" sourceLinked="1"/>
        <c:majorTickMark val="none"/>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3437408"/>
        <c:crosses val="autoZero"/>
        <c:auto val="1"/>
        <c:lblAlgn val="ctr"/>
        <c:lblOffset val="100"/>
        <c:tickLblSkip val="9"/>
        <c:tickMarkSkip val="1"/>
        <c:noMultiLvlLbl val="0"/>
      </c:catAx>
      <c:valAx>
        <c:axId val="-1643437408"/>
        <c:scaling>
          <c:orientation val="minMax"/>
          <c:max val="2000"/>
          <c:min val="0"/>
        </c:scaling>
        <c:delete val="0"/>
        <c:axPos val="l"/>
        <c:title>
          <c:tx>
            <c:rich>
              <a:bodyPr rot="-5400000" vert="horz"/>
              <a:lstStyle/>
              <a:p>
                <a:pPr marL="0" marR="0" indent="0" algn="ctr" defTabSz="914400" rtl="0" eaLnBrk="1" fontAlgn="auto" latinLnBrk="0" hangingPunct="1">
                  <a:lnSpc>
                    <a:spcPct val="100000"/>
                  </a:lnSpc>
                  <a:spcBef>
                    <a:spcPts val="0"/>
                  </a:spcBef>
                  <a:spcAft>
                    <a:spcPts val="0"/>
                  </a:spcAft>
                  <a:buClrTx/>
                  <a:buSzTx/>
                  <a:buFontTx/>
                  <a:buNone/>
                  <a:tabLst/>
                  <a:defRPr sz="800" b="0" i="0" u="none" strike="noStrike" kern="1200" baseline="0">
                    <a:solidFill>
                      <a:srgbClr val="000000"/>
                    </a:solidFill>
                    <a:latin typeface="Arial"/>
                    <a:ea typeface="Arial"/>
                    <a:cs typeface="Arial"/>
                  </a:defRPr>
                </a:pPr>
                <a:r>
                  <a:rPr lang="en-US" sz="800" b="0" i="0" kern="1200" baseline="0">
                    <a:solidFill>
                      <a:srgbClr val="000000"/>
                    </a:solidFill>
                    <a:effectLst/>
                    <a:latin typeface="Arial" panose="020B0604020202020204" pitchFamily="34" charset="0"/>
                    <a:ea typeface="Arial" panose="020B0604020202020204" pitchFamily="34" charset="0"/>
                    <a:cs typeface="Arial" panose="020B0604020202020204" pitchFamily="34" charset="0"/>
                  </a:rPr>
                  <a:t>PE (exajoules)</a:t>
                </a:r>
                <a:endParaRPr lang="en-US">
                  <a:effectLst/>
                </a:endParaRPr>
              </a:p>
            </c:rich>
          </c:tx>
          <c:layout>
            <c:manualLayout>
              <c:xMode val="edge"/>
              <c:yMode val="edge"/>
              <c:x val="2.1068587356812998E-3"/>
              <c:y val="0.2885594925634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3440160"/>
        <c:crosses val="autoZero"/>
        <c:crossBetween val="midCat"/>
        <c:majorUnit val="500"/>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 verticalDpi="1200"/>
  </c:printSettings>
  <c:userShapes r:id="rId2"/>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b="1"/>
              <a:t>Gross National Product</a:t>
            </a:r>
          </a:p>
        </c:rich>
      </c:tx>
      <c:layout>
        <c:manualLayout>
          <c:xMode val="edge"/>
          <c:yMode val="edge"/>
          <c:x val="0.1914016561883253"/>
          <c:y val="0.05"/>
        </c:manualLayout>
      </c:layout>
      <c:overlay val="0"/>
    </c:title>
    <c:autoTitleDeleted val="0"/>
    <c:plotArea>
      <c:layout>
        <c:manualLayout>
          <c:layoutTarget val="inner"/>
          <c:xMode val="edge"/>
          <c:yMode val="edge"/>
          <c:x val="0.23146558293116601"/>
          <c:y val="0.16513692038495201"/>
          <c:w val="0.60144780289560595"/>
          <c:h val="0.67491819772528405"/>
        </c:manualLayout>
      </c:layout>
      <c:areaChart>
        <c:grouping val="stacked"/>
        <c:varyColors val="0"/>
        <c:ser>
          <c:idx val="0"/>
          <c:order val="0"/>
          <c:tx>
            <c:v>Reference case</c:v>
          </c:tx>
          <c:spPr>
            <a:noFill/>
            <a:ln w="12700">
              <a:noFill/>
              <a:prstDash val="solid"/>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[0]!GWPRef</c:f>
              <c:numCache>
                <c:formatCode>0.00</c:formatCode>
                <c:ptCount val="10"/>
                <c:pt idx="0">
                  <c:v>75.308071089999999</c:v>
                </c:pt>
                <c:pt idx="1">
                  <c:v>111.7624234</c:v>
                </c:pt>
                <c:pt idx="2">
                  <c:v>159.2941969</c:v>
                </c:pt>
                <c:pt idx="3">
                  <c:v>207.34625310000001</c:v>
                </c:pt>
                <c:pt idx="4">
                  <c:v>257.63474689999998</c:v>
                </c:pt>
                <c:pt idx="5">
                  <c:v>311.57565310000001</c:v>
                </c:pt>
                <c:pt idx="6">
                  <c:v>372.79275000000001</c:v>
                </c:pt>
                <c:pt idx="7">
                  <c:v>439.6574531</c:v>
                </c:pt>
                <c:pt idx="8">
                  <c:v>512.61739380000006</c:v>
                </c:pt>
                <c:pt idx="9">
                  <c:v>592.07046250000008</c:v>
                </c:pt>
              </c:numCache>
            </c:numRef>
          </c:val>
          <c:extLst>
            <c:ext xmlns:c16="http://schemas.microsoft.com/office/drawing/2014/chart" uri="{C3380CC4-5D6E-409C-BE32-E72D297353CC}">
              <c16:uniqueId val="{00000000-595F-C742-A81F-0291D8BCB3CC}"/>
            </c:ext>
          </c:extLst>
        </c:ser>
        <c:ser>
          <c:idx val="1"/>
          <c:order val="1"/>
          <c:tx>
            <c:v>Intervention case</c:v>
          </c:tx>
          <c:spPr>
            <a:solidFill>
              <a:srgbClr val="A1F4FF"/>
            </a:solidFill>
            <a:ln w="12700">
              <a:solidFill>
                <a:sysClr val="windowText" lastClr="000000"/>
              </a:solidFill>
              <a:prstDash val="solid"/>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[0]!AreaGWP</c:f>
              <c:numCache>
                <c:formatCode>General</c:formatCode>
                <c:ptCount val="10"/>
                <c:pt idx="0">
                  <c:v>0.52989497671873664</c:v>
                </c:pt>
                <c:pt idx="1">
                  <c:v>0.20505394515625142</c:v>
                </c:pt>
                <c:pt idx="2">
                  <c:v>-1.3684649203125048</c:v>
                </c:pt>
                <c:pt idx="3">
                  <c:v>-4.2875414400000125</c:v>
                </c:pt>
                <c:pt idx="4">
                  <c:v>-9.5080833593750071</c:v>
                </c:pt>
                <c:pt idx="5">
                  <c:v>-17.957742531250005</c:v>
                </c:pt>
                <c:pt idx="6">
                  <c:v>-31.13959825937502</c:v>
                </c:pt>
                <c:pt idx="7">
                  <c:v>-50.783560639375025</c:v>
                </c:pt>
                <c:pt idx="8">
                  <c:v>-79.441863220625066</c:v>
                </c:pt>
                <c:pt idx="9">
                  <c:v>-119.72458780000011</c:v>
                </c:pt>
              </c:numCache>
            </c:numRef>
          </c:val>
          <c:extLst>
            <c:ext xmlns:c16="http://schemas.microsoft.com/office/drawing/2014/chart" uri="{C3380CC4-5D6E-409C-BE32-E72D297353CC}">
              <c16:uniqueId val="{00000001-595F-C742-A81F-0291D8BCB3CC}"/>
            </c:ext>
          </c:extLst>
        </c:ser>
        <c:dLbls>
          <c:showLegendKey val="0"/>
          <c:showVal val="0"/>
          <c:showCatName val="0"/>
          <c:showSerName val="0"/>
          <c:showPercent val="0"/>
          <c:showBubbleSize val="0"/>
        </c:dLbls>
        <c:axId val="-1643440160"/>
        <c:axId val="-1643437408"/>
      </c:areaChart>
      <c:lineChart>
        <c:grouping val="standard"/>
        <c:varyColors val="0"/>
        <c:ser>
          <c:idx val="2"/>
          <c:order val="2"/>
          <c:tx>
            <c:v>Line for Stabilization Case</c:v>
          </c:tx>
          <c:spPr>
            <a:ln w="28575">
              <a:solidFill>
                <a:srgbClr val="C00000"/>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[0]!GWPInt</c:f>
              <c:numCache>
                <c:formatCode>0.00</c:formatCode>
                <c:ptCount val="10"/>
                <c:pt idx="0">
                  <c:v>75.837966066718735</c:v>
                </c:pt>
                <c:pt idx="1">
                  <c:v>111.96747734515625</c:v>
                </c:pt>
                <c:pt idx="2">
                  <c:v>157.9257319796875</c:v>
                </c:pt>
                <c:pt idx="3">
                  <c:v>203.05871166</c:v>
                </c:pt>
                <c:pt idx="4">
                  <c:v>248.12666354062497</c:v>
                </c:pt>
                <c:pt idx="5">
                  <c:v>293.61791056875001</c:v>
                </c:pt>
                <c:pt idx="6">
                  <c:v>341.65315174062499</c:v>
                </c:pt>
                <c:pt idx="7">
                  <c:v>388.87389246062497</c:v>
                </c:pt>
                <c:pt idx="8">
                  <c:v>433.17553057937499</c:v>
                </c:pt>
                <c:pt idx="9">
                  <c:v>472.34587469999997</c:v>
                </c:pt>
              </c:numCache>
            </c:numRef>
          </c:val>
          <c:smooth val="0"/>
          <c:extLst>
            <c:ext xmlns:c16="http://schemas.microsoft.com/office/drawing/2014/chart" uri="{C3380CC4-5D6E-409C-BE32-E72D297353CC}">
              <c16:uniqueId val="{00000002-595F-C742-A81F-0291D8BCB3CC}"/>
            </c:ext>
          </c:extLst>
        </c:ser>
        <c:ser>
          <c:idx val="3"/>
          <c:order val="3"/>
          <c:tx>
            <c:v>proj1</c:v>
          </c:tx>
          <c:spPr>
            <a:ln w="19050" cmpd="sng">
              <a:solidFill>
                <a:srgbClr val="008000"/>
              </a:solid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[0]!GWPproj1</c:f>
              <c:numCache>
                <c:formatCode>General</c:formatCode>
                <c:ptCount val="10"/>
                <c:pt idx="0">
                  <c:v>75.308071089999999</c:v>
                </c:pt>
                <c:pt idx="1">
                  <c:v>101.83400470793208</c:v>
                </c:pt>
                <c:pt idx="2">
                  <c:v>137.70322841574102</c:v>
                </c:pt>
                <c:pt idx="3">
                  <c:v>186.20675058888989</c:v>
                </c:pt>
                <c:pt idx="4">
                  <c:v>251.79477898798152</c:v>
                </c:pt>
                <c:pt idx="5">
                  <c:v>340.48502820170734</c:v>
                </c:pt>
                <c:pt idx="6">
                  <c:v>460.41484615155952</c:v>
                </c:pt>
                <c:pt idx="7">
                  <c:v>622.58781737440643</c:v>
                </c:pt>
                <c:pt idx="8">
                  <c:v>841.88334408189746</c:v>
                </c:pt>
                <c:pt idx="9">
                  <c:v>1138.4218342587421</c:v>
                </c:pt>
              </c:numCache>
            </c:numRef>
          </c:val>
          <c:smooth val="0"/>
          <c:extLst>
            <c:ext xmlns:c16="http://schemas.microsoft.com/office/drawing/2014/chart" uri="{C3380CC4-5D6E-409C-BE32-E72D297353CC}">
              <c16:uniqueId val="{00000003-595F-C742-A81F-0291D8BCB3CC}"/>
            </c:ext>
          </c:extLst>
        </c:ser>
        <c:ser>
          <c:idx val="5"/>
          <c:order val="4"/>
          <c:tx>
            <c:v>proj2</c:v>
          </c:tx>
          <c:spPr>
            <a:ln w="19050" cmpd="sng">
              <a:solidFill>
                <a:srgbClr val="3366FF"/>
              </a:solid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[0]!GWPproj2</c:f>
              <c:numCache>
                <c:formatCode>General</c:formatCode>
                <c:ptCount val="10"/>
                <c:pt idx="0">
                  <c:v>75.308071089999999</c:v>
                </c:pt>
                <c:pt idx="1">
                  <c:v>108.7853824381605</c:v>
                </c:pt>
                <c:pt idx="2">
                  <c:v>157.14463617151767</c:v>
                </c:pt>
                <c:pt idx="3">
                  <c:v>227.00142357376291</c:v>
                </c:pt>
                <c:pt idx="4">
                  <c:v>327.91221870450721</c:v>
                </c:pt>
                <c:pt idx="5">
                  <c:v>473.68171301697777</c:v>
                </c:pt>
                <c:pt idx="6">
                  <c:v>684.25131010104212</c:v>
                </c:pt>
                <c:pt idx="7">
                  <c:v>988.42712840428192</c:v>
                </c:pt>
                <c:pt idx="8">
                  <c:v>1427.8207052629023</c:v>
                </c:pt>
                <c:pt idx="9">
                  <c:v>2062.5414942512621</c:v>
                </c:pt>
              </c:numCache>
            </c:numRef>
          </c:val>
          <c:smooth val="0"/>
          <c:extLst>
            <c:ext xmlns:c16="http://schemas.microsoft.com/office/drawing/2014/chart" uri="{C3380CC4-5D6E-409C-BE32-E72D297353CC}">
              <c16:uniqueId val="{00000004-595F-C742-A81F-0291D8BCB3CC}"/>
            </c:ext>
          </c:extLst>
        </c:ser>
        <c:dLbls>
          <c:showLegendKey val="0"/>
          <c:showVal val="0"/>
          <c:showCatName val="0"/>
          <c:showSerName val="0"/>
          <c:showPercent val="0"/>
          <c:showBubbleSize val="0"/>
        </c:dLbls>
        <c:marker val="1"/>
        <c:smooth val="0"/>
        <c:axId val="-1643440160"/>
        <c:axId val="-1643437408"/>
      </c:lineChart>
      <c:catAx>
        <c:axId val="-1643440160"/>
        <c:scaling>
          <c:orientation val="minMax"/>
        </c:scaling>
        <c:delete val="0"/>
        <c:axPos val="b"/>
        <c:numFmt formatCode="General" sourceLinked="1"/>
        <c:majorTickMark val="none"/>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3437408"/>
        <c:crosses val="autoZero"/>
        <c:auto val="1"/>
        <c:lblAlgn val="ctr"/>
        <c:lblOffset val="100"/>
        <c:tickLblSkip val="9"/>
        <c:tickMarkSkip val="1"/>
        <c:noMultiLvlLbl val="0"/>
      </c:catAx>
      <c:valAx>
        <c:axId val="-1643437408"/>
        <c:scaling>
          <c:orientation val="minMax"/>
          <c:max val="500"/>
          <c:min val="0"/>
        </c:scaling>
        <c:delete val="0"/>
        <c:axPos val="l"/>
        <c:title>
          <c:tx>
            <c:rich>
              <a:bodyPr rot="-5400000" vert="horz"/>
              <a:lstStyle/>
              <a:p>
                <a:pPr marL="0" marR="0" indent="0" algn="ctr" defTabSz="914400" rtl="0" eaLnBrk="1" fontAlgn="auto" latinLnBrk="0" hangingPunct="1">
                  <a:lnSpc>
                    <a:spcPct val="100000"/>
                  </a:lnSpc>
                  <a:spcBef>
                    <a:spcPts val="0"/>
                  </a:spcBef>
                  <a:spcAft>
                    <a:spcPts val="0"/>
                  </a:spcAft>
                  <a:buClrTx/>
                  <a:buSzTx/>
                  <a:buFontTx/>
                  <a:buNone/>
                  <a:tabLst/>
                  <a:defRPr sz="800" b="0" i="0" u="none" strike="noStrike" kern="1200" baseline="0">
                    <a:solidFill>
                      <a:srgbClr val="000000"/>
                    </a:solidFill>
                    <a:latin typeface="Arial"/>
                    <a:ea typeface="Arial"/>
                    <a:cs typeface="Arial"/>
                  </a:defRPr>
                </a:pPr>
                <a:r>
                  <a:rPr lang="en-US" sz="800" b="0" i="0" kern="1200" baseline="0">
                    <a:solidFill>
                      <a:srgbClr val="000000"/>
                    </a:solidFill>
                    <a:effectLst/>
                    <a:latin typeface="Arial" panose="020B0604020202020204" pitchFamily="34" charset="0"/>
                    <a:ea typeface="Arial" panose="020B0604020202020204" pitchFamily="34" charset="0"/>
                    <a:cs typeface="Arial" panose="020B0604020202020204" pitchFamily="34" charset="0"/>
                  </a:rPr>
                  <a:t>GNP (US$2010 Trillion)</a:t>
                </a:r>
                <a:endParaRPr lang="en-US">
                  <a:effectLst/>
                </a:endParaRPr>
              </a:p>
            </c:rich>
          </c:tx>
          <c:layout>
            <c:manualLayout>
              <c:xMode val="edge"/>
              <c:yMode val="edge"/>
              <c:x val="2.1068587356812998E-3"/>
              <c:y val="0.2885594925634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3440160"/>
        <c:crosses val="autoZero"/>
        <c:crossBetween val="midCat"/>
        <c:majorUnit val="100"/>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 verticalDpi="1200"/>
  </c:printSettings>
  <c:userShapes r:id="rId2"/>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marL="0" marR="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rgbClr val="000000"/>
                </a:solidFill>
                <a:latin typeface="Arial"/>
                <a:ea typeface="Arial"/>
                <a:cs typeface="Arial"/>
              </a:defRPr>
            </a:pPr>
            <a:r>
              <a:rPr lang="en-US" sz="1000" b="1" i="0" kern="1200" baseline="0">
                <a:solidFill>
                  <a:srgbClr val="000000"/>
                </a:solidFill>
                <a:effectLst/>
                <a:latin typeface="Arial" panose="020B0604020202020204" pitchFamily="34" charset="0"/>
                <a:ea typeface="Arial" panose="020B0604020202020204" pitchFamily="34" charset="0"/>
                <a:cs typeface="Arial" panose="020B0604020202020204" pitchFamily="34" charset="0"/>
              </a:rPr>
              <a:t>Total Fossil Carbon</a:t>
            </a:r>
            <a:endParaRPr lang="en-US" sz="1000">
              <a:effectLst/>
            </a:endParaRPr>
          </a:p>
        </c:rich>
      </c:tx>
      <c:layout>
        <c:manualLayout>
          <c:xMode val="edge"/>
          <c:yMode val="edge"/>
          <c:x val="0.20600775193798448"/>
          <c:y val="6.2063429571303584E-2"/>
        </c:manualLayout>
      </c:layout>
      <c:overlay val="0"/>
      <c:spPr>
        <a:noFill/>
        <a:ln w="25400">
          <a:noFill/>
        </a:ln>
      </c:spPr>
    </c:title>
    <c:autoTitleDeleted val="0"/>
    <c:plotArea>
      <c:layout>
        <c:manualLayout>
          <c:layoutTarget val="inner"/>
          <c:xMode val="edge"/>
          <c:yMode val="edge"/>
          <c:x val="0.233112067386925"/>
          <c:y val="0.21698425196850399"/>
          <c:w val="0.60297310219943401"/>
          <c:h val="0.68845100612423404"/>
        </c:manualLayout>
      </c:layout>
      <c:lineChart>
        <c:grouping val="standard"/>
        <c:varyColors val="0"/>
        <c:ser>
          <c:idx val="0"/>
          <c:order val="0"/>
          <c:tx>
            <c:v>Reference case</c:v>
          </c:tx>
          <c:spPr>
            <a:ln w="12700">
              <a:solidFill>
                <a:srgbClr val="000000"/>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[0]!TFCchngRef</c:f>
              <c:numCache>
                <c:formatCode>0.00</c:formatCode>
                <c:ptCount val="10"/>
                <c:pt idx="1">
                  <c:v>1.9443823236156479E-2</c:v>
                </c:pt>
                <c:pt idx="2">
                  <c:v>1.560963011232439E-2</c:v>
                </c:pt>
                <c:pt idx="3">
                  <c:v>1.1346470684435448E-2</c:v>
                </c:pt>
                <c:pt idx="4">
                  <c:v>1.3162329409514189E-2</c:v>
                </c:pt>
                <c:pt idx="5">
                  <c:v>1.6397077560970336E-2</c:v>
                </c:pt>
                <c:pt idx="6">
                  <c:v>1.263970018691298E-2</c:v>
                </c:pt>
                <c:pt idx="7">
                  <c:v>1.0293987108991435E-2</c:v>
                </c:pt>
                <c:pt idx="8">
                  <c:v>1.3068058662552723E-2</c:v>
                </c:pt>
                <c:pt idx="9">
                  <c:v>1.5337024801463695E-2</c:v>
                </c:pt>
              </c:numCache>
            </c:numRef>
          </c:val>
          <c:smooth val="0"/>
          <c:extLst>
            <c:ext xmlns:c16="http://schemas.microsoft.com/office/drawing/2014/chart" uri="{C3380CC4-5D6E-409C-BE32-E72D297353CC}">
              <c16:uniqueId val="{00000001-B309-A442-8D50-B23F441AECC9}"/>
            </c:ext>
          </c:extLst>
        </c:ser>
        <c:ser>
          <c:idx val="1"/>
          <c:order val="1"/>
          <c:tx>
            <c:v>Line for Intervention Case</c:v>
          </c:tx>
          <c:spPr>
            <a:ln w="28575">
              <a:solidFill>
                <a:srgbClr val="C00000"/>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[0]!TFCchngInt</c:f>
              <c:numCache>
                <c:formatCode>0.00</c:formatCode>
                <c:ptCount val="10"/>
                <c:pt idx="1">
                  <c:v>-4.6932842161662167E-3</c:v>
                </c:pt>
                <c:pt idx="2">
                  <c:v>-2.9645221557046814E-2</c:v>
                </c:pt>
                <c:pt idx="3">
                  <c:v>-2.777314887163989E-2</c:v>
                </c:pt>
                <c:pt idx="4">
                  <c:v>-9.5854879099778328E-3</c:v>
                </c:pt>
                <c:pt idx="5">
                  <c:v>6.694752261492972E-5</c:v>
                </c:pt>
                <c:pt idx="6">
                  <c:v>3.8171222784622815E-3</c:v>
                </c:pt>
                <c:pt idx="7">
                  <c:v>-1.8233281613547309E-3</c:v>
                </c:pt>
                <c:pt idx="8">
                  <c:v>-2.6900666410774698E-3</c:v>
                </c:pt>
                <c:pt idx="9">
                  <c:v>8.6978974631960436E-4</c:v>
                </c:pt>
              </c:numCache>
            </c:numRef>
          </c:val>
          <c:smooth val="0"/>
          <c:extLst>
            <c:ext xmlns:c16="http://schemas.microsoft.com/office/drawing/2014/chart" uri="{C3380CC4-5D6E-409C-BE32-E72D297353CC}">
              <c16:uniqueId val="{00000000-B309-A442-8D50-B23F441AECC9}"/>
            </c:ext>
          </c:extLst>
        </c:ser>
        <c:ser>
          <c:idx val="2"/>
          <c:order val="2"/>
          <c:tx>
            <c:v>rate1</c:v>
          </c:tx>
          <c:spPr>
            <a:ln w="19050" cmpd="sng">
              <a:no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[0]!TFCrate1</c:f>
              <c:numCache>
                <c:formatCode>0.00%</c:formatCode>
                <c:ptCount val="10"/>
                <c:pt idx="0">
                  <c:v>2.5412266804053729E-2</c:v>
                </c:pt>
                <c:pt idx="1">
                  <c:v>2.5412266804053729E-2</c:v>
                </c:pt>
                <c:pt idx="2">
                  <c:v>2.5412266804053729E-2</c:v>
                </c:pt>
                <c:pt idx="3">
                  <c:v>2.5412266804053729E-2</c:v>
                </c:pt>
                <c:pt idx="4">
                  <c:v>2.5412266804053729E-2</c:v>
                </c:pt>
                <c:pt idx="5">
                  <c:v>2.5412266804053729E-2</c:v>
                </c:pt>
                <c:pt idx="6">
                  <c:v>2.5412266804053729E-2</c:v>
                </c:pt>
                <c:pt idx="7">
                  <c:v>2.5412266804053729E-2</c:v>
                </c:pt>
                <c:pt idx="8">
                  <c:v>2.5412266804053729E-2</c:v>
                </c:pt>
                <c:pt idx="9">
                  <c:v>2.5412266804053729E-2</c:v>
                </c:pt>
              </c:numCache>
            </c:numRef>
          </c:val>
          <c:smooth val="0"/>
          <c:extLst>
            <c:ext xmlns:c16="http://schemas.microsoft.com/office/drawing/2014/chart" uri="{C3380CC4-5D6E-409C-BE32-E72D297353CC}">
              <c16:uniqueId val="{00000002-B309-A442-8D50-B23F441AECC9}"/>
            </c:ext>
          </c:extLst>
        </c:ser>
        <c:ser>
          <c:idx val="3"/>
          <c:order val="3"/>
          <c:tx>
            <c:v>rate2</c:v>
          </c:tx>
          <c:spPr>
            <a:ln w="19050" cmpd="sng">
              <a:no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[0]!TFCrate2</c:f>
              <c:numCache>
                <c:formatCode>0.00%</c:formatCode>
                <c:ptCount val="10"/>
                <c:pt idx="0">
                  <c:v>2.1907298758519156E-2</c:v>
                </c:pt>
                <c:pt idx="1">
                  <c:v>2.1907298758519156E-2</c:v>
                </c:pt>
                <c:pt idx="2">
                  <c:v>2.1907298758519156E-2</c:v>
                </c:pt>
                <c:pt idx="3">
                  <c:v>2.1907298758519156E-2</c:v>
                </c:pt>
                <c:pt idx="4">
                  <c:v>2.1907298758519156E-2</c:v>
                </c:pt>
                <c:pt idx="5">
                  <c:v>2.1907298758519156E-2</c:v>
                </c:pt>
                <c:pt idx="6">
                  <c:v>2.1907298758519156E-2</c:v>
                </c:pt>
                <c:pt idx="7">
                  <c:v>2.1907298758519156E-2</c:v>
                </c:pt>
                <c:pt idx="8">
                  <c:v>2.1907298758519156E-2</c:v>
                </c:pt>
                <c:pt idx="9">
                  <c:v>2.1907298758519156E-2</c:v>
                </c:pt>
              </c:numCache>
            </c:numRef>
          </c:val>
          <c:smooth val="0"/>
          <c:extLst>
            <c:ext xmlns:c16="http://schemas.microsoft.com/office/drawing/2014/chart" uri="{C3380CC4-5D6E-409C-BE32-E72D297353CC}">
              <c16:uniqueId val="{00000003-B309-A442-8D50-B23F441AECC9}"/>
            </c:ext>
          </c:extLst>
        </c:ser>
        <c:dLbls>
          <c:showLegendKey val="0"/>
          <c:showVal val="0"/>
          <c:showCatName val="0"/>
          <c:showSerName val="0"/>
          <c:showPercent val="0"/>
          <c:showBubbleSize val="0"/>
        </c:dLbls>
        <c:smooth val="0"/>
        <c:axId val="-1643562672"/>
        <c:axId val="-1643559408"/>
      </c:lineChart>
      <c:catAx>
        <c:axId val="-1643562672"/>
        <c:scaling>
          <c:orientation val="minMax"/>
        </c:scaling>
        <c:delete val="0"/>
        <c:axPos val="b"/>
        <c:numFmt formatCode="General" sourceLinked="1"/>
        <c:majorTickMark val="none"/>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3559408"/>
        <c:crosses val="autoZero"/>
        <c:auto val="1"/>
        <c:lblAlgn val="ctr"/>
        <c:lblOffset val="100"/>
        <c:tickLblSkip val="9"/>
        <c:tickMarkSkip val="1"/>
        <c:noMultiLvlLbl val="0"/>
      </c:catAx>
      <c:valAx>
        <c:axId val="-1643559408"/>
        <c:scaling>
          <c:orientation val="minMax"/>
          <c:max val="0.05"/>
          <c:min val="-6.0000000000000012E-2"/>
        </c:scaling>
        <c:delete val="0"/>
        <c:axPos val="l"/>
        <c:majorGridlines>
          <c:spPr>
            <a:ln w="3175">
              <a:solidFill>
                <a:schemeClr val="bg1">
                  <a:lumMod val="50000"/>
                </a:schemeClr>
              </a:solidFill>
              <a:prstDash val="sysDash"/>
            </a:ln>
          </c:spPr>
        </c:majorGridlines>
        <c:title>
          <c:tx>
            <c:rich>
              <a:bodyPr/>
              <a:lstStyle/>
              <a:p>
                <a:pPr>
                  <a:defRPr sz="800" b="0" i="0" u="none" strike="noStrike" baseline="0">
                    <a:solidFill>
                      <a:srgbClr val="000000"/>
                    </a:solidFill>
                    <a:latin typeface="Arial"/>
                    <a:ea typeface="Arial"/>
                    <a:cs typeface="Arial"/>
                  </a:defRPr>
                </a:pPr>
                <a:r>
                  <a:rPr lang="en-US"/>
                  <a:t>Annual Rate of Change</a:t>
                </a:r>
              </a:p>
            </c:rich>
          </c:tx>
          <c:layout>
            <c:manualLayout>
              <c:xMode val="edge"/>
              <c:yMode val="edge"/>
              <c:x val="3.3112529244280903E-2"/>
              <c:y val="0.2571430365116050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3562672"/>
        <c:crossesAt val="1"/>
        <c:crossBetween val="midCat"/>
        <c:majorUnit val="1.0000000000000002E-2"/>
        <c:minorUnit val="0.01"/>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 verticalDpi="1200"/>
  </c:printSettings>
  <c:userShapes r:id="rId2"/>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marL="0" marR="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rgbClr val="000000"/>
                </a:solidFill>
                <a:latin typeface="Arial"/>
                <a:ea typeface="Arial"/>
                <a:cs typeface="Arial"/>
              </a:defRPr>
            </a:pPr>
            <a:r>
              <a:rPr lang="en-US" sz="1000" b="1" i="0" kern="1200" baseline="0">
                <a:solidFill>
                  <a:srgbClr val="000000"/>
                </a:solidFill>
                <a:effectLst/>
                <a:latin typeface="Arial" panose="020B0604020202020204" pitchFamily="34" charset="0"/>
                <a:ea typeface="Arial" panose="020B0604020202020204" pitchFamily="34" charset="0"/>
                <a:cs typeface="Arial" panose="020B0604020202020204" pitchFamily="34" charset="0"/>
              </a:rPr>
              <a:t>Net Fossil Carbon </a:t>
            </a:r>
            <a:endParaRPr lang="en-US" sz="1000">
              <a:effectLst/>
            </a:endParaRPr>
          </a:p>
        </c:rich>
      </c:tx>
      <c:layout>
        <c:manualLayout>
          <c:xMode val="edge"/>
          <c:yMode val="edge"/>
          <c:x val="0.24476744186046512"/>
          <c:y val="4.5396762904636921E-2"/>
        </c:manualLayout>
      </c:layout>
      <c:overlay val="0"/>
      <c:spPr>
        <a:noFill/>
        <a:ln w="25400">
          <a:noFill/>
        </a:ln>
      </c:spPr>
    </c:title>
    <c:autoTitleDeleted val="0"/>
    <c:plotArea>
      <c:layout>
        <c:manualLayout>
          <c:layoutTarget val="inner"/>
          <c:xMode val="edge"/>
          <c:yMode val="edge"/>
          <c:x val="0.233112067386925"/>
          <c:y val="0.21698425196850399"/>
          <c:w val="0.60297310219943401"/>
          <c:h val="0.68845100612423404"/>
        </c:manualLayout>
      </c:layout>
      <c:lineChart>
        <c:grouping val="standard"/>
        <c:varyColors val="0"/>
        <c:ser>
          <c:idx val="0"/>
          <c:order val="0"/>
          <c:tx>
            <c:v>reference scenario</c:v>
          </c:tx>
          <c:spPr>
            <a:ln w="12700">
              <a:solidFill>
                <a:srgbClr val="000000"/>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[0]!NFCchngRef</c:f>
              <c:numCache>
                <c:formatCode>0.00</c:formatCode>
                <c:ptCount val="10"/>
                <c:pt idx="1">
                  <c:v>1.9443823236156479E-2</c:v>
                </c:pt>
                <c:pt idx="2">
                  <c:v>1.560963011232439E-2</c:v>
                </c:pt>
                <c:pt idx="3">
                  <c:v>1.1346470684435448E-2</c:v>
                </c:pt>
                <c:pt idx="4">
                  <c:v>1.3162329409514189E-2</c:v>
                </c:pt>
                <c:pt idx="5">
                  <c:v>1.6397077560970336E-2</c:v>
                </c:pt>
                <c:pt idx="6">
                  <c:v>1.263970018691298E-2</c:v>
                </c:pt>
                <c:pt idx="7">
                  <c:v>1.0293987108991435E-2</c:v>
                </c:pt>
                <c:pt idx="8">
                  <c:v>1.3068058662552723E-2</c:v>
                </c:pt>
                <c:pt idx="9">
                  <c:v>1.5337024801463695E-2</c:v>
                </c:pt>
              </c:numCache>
            </c:numRef>
          </c:val>
          <c:smooth val="0"/>
          <c:extLst>
            <c:ext xmlns:c16="http://schemas.microsoft.com/office/drawing/2014/chart" uri="{C3380CC4-5D6E-409C-BE32-E72D297353CC}">
              <c16:uniqueId val="{00000001-B309-A442-8D50-B23F441AECC9}"/>
            </c:ext>
          </c:extLst>
        </c:ser>
        <c:ser>
          <c:idx val="1"/>
          <c:order val="1"/>
          <c:tx>
            <c:v>Intervention scenario Line</c:v>
          </c:tx>
          <c:spPr>
            <a:ln w="28575">
              <a:solidFill>
                <a:srgbClr val="C00000"/>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[0]!NFCchngInt</c:f>
              <c:numCache>
                <c:formatCode>0.00</c:formatCode>
                <c:ptCount val="10"/>
                <c:pt idx="1">
                  <c:v>-4.8005897447003301E-3</c:v>
                </c:pt>
                <c:pt idx="2">
                  <c:v>-3.3601625414137054E-2</c:v>
                </c:pt>
                <c:pt idx="3">
                  <c:v>-3.1733939445110493E-2</c:v>
                </c:pt>
                <c:pt idx="4">
                  <c:v>-1.1497335422680289E-2</c:v>
                </c:pt>
                <c:pt idx="5">
                  <c:v>-4.1397977826559797E-3</c:v>
                </c:pt>
                <c:pt idx="6">
                  <c:v>-2.3697189157979985E-3</c:v>
                </c:pt>
                <c:pt idx="7">
                  <c:v>-1.8828723391328772E-3</c:v>
                </c:pt>
                <c:pt idx="8">
                  <c:v>-6.7237347624646076E-4</c:v>
                </c:pt>
                <c:pt idx="9">
                  <c:v>5.4579473649724129E-4</c:v>
                </c:pt>
              </c:numCache>
            </c:numRef>
          </c:val>
          <c:smooth val="0"/>
          <c:extLst>
            <c:ext xmlns:c16="http://schemas.microsoft.com/office/drawing/2014/chart" uri="{C3380CC4-5D6E-409C-BE32-E72D297353CC}">
              <c16:uniqueId val="{00000000-B309-A442-8D50-B23F441AECC9}"/>
            </c:ext>
          </c:extLst>
        </c:ser>
        <c:ser>
          <c:idx val="2"/>
          <c:order val="2"/>
          <c:marker>
            <c:symbol val="none"/>
          </c:marker>
          <c:val>
            <c:numRef>
              <c:f>ExpKayaFactorsRef!$E$11:$N$11</c:f>
              <c:numCache>
                <c:formatCode>0.00</c:formatCode>
                <c:ptCount val="10"/>
              </c:numCache>
            </c:numRef>
          </c:val>
          <c:smooth val="0"/>
          <c:extLst>
            <c:ext xmlns:c16="http://schemas.microsoft.com/office/drawing/2014/chart" uri="{C3380CC4-5D6E-409C-BE32-E72D297353CC}">
              <c16:uniqueId val="{00000000-0A55-434C-873D-113539E622C5}"/>
            </c:ext>
          </c:extLst>
        </c:ser>
        <c:dLbls>
          <c:showLegendKey val="0"/>
          <c:showVal val="0"/>
          <c:showCatName val="0"/>
          <c:showSerName val="0"/>
          <c:showPercent val="0"/>
          <c:showBubbleSize val="0"/>
        </c:dLbls>
        <c:smooth val="0"/>
        <c:axId val="-1643562672"/>
        <c:axId val="-1643559408"/>
      </c:lineChart>
      <c:catAx>
        <c:axId val="-1643562672"/>
        <c:scaling>
          <c:orientation val="minMax"/>
        </c:scaling>
        <c:delete val="0"/>
        <c:axPos val="b"/>
        <c:numFmt formatCode="General" sourceLinked="1"/>
        <c:majorTickMark val="none"/>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3559408"/>
        <c:crosses val="autoZero"/>
        <c:auto val="1"/>
        <c:lblAlgn val="ctr"/>
        <c:lblOffset val="100"/>
        <c:tickLblSkip val="9"/>
        <c:tickMarkSkip val="1"/>
        <c:noMultiLvlLbl val="0"/>
      </c:catAx>
      <c:valAx>
        <c:axId val="-1643559408"/>
        <c:scaling>
          <c:orientation val="minMax"/>
          <c:max val="5.000000000000001E-2"/>
          <c:min val="-6.0000000000000012E-2"/>
        </c:scaling>
        <c:delete val="0"/>
        <c:axPos val="l"/>
        <c:majorGridlines>
          <c:spPr>
            <a:ln w="3175">
              <a:solidFill>
                <a:schemeClr val="bg1">
                  <a:lumMod val="50000"/>
                </a:schemeClr>
              </a:solidFill>
              <a:prstDash val="sysDash"/>
            </a:ln>
          </c:spPr>
        </c:majorGridlines>
        <c:title>
          <c:tx>
            <c:rich>
              <a:bodyPr/>
              <a:lstStyle/>
              <a:p>
                <a:pPr>
                  <a:defRPr sz="800" b="0" i="0" u="none" strike="noStrike" baseline="0">
                    <a:solidFill>
                      <a:srgbClr val="000000"/>
                    </a:solidFill>
                    <a:latin typeface="Arial"/>
                    <a:ea typeface="Arial"/>
                    <a:cs typeface="Arial"/>
                  </a:defRPr>
                </a:pPr>
                <a:r>
                  <a:rPr lang="en-US"/>
                  <a:t>Annual Rate of Change</a:t>
                </a:r>
              </a:p>
            </c:rich>
          </c:tx>
          <c:layout>
            <c:manualLayout>
              <c:xMode val="edge"/>
              <c:yMode val="edge"/>
              <c:x val="3.3112529244280903E-2"/>
              <c:y val="0.2571430365116050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3562672"/>
        <c:crossesAt val="1"/>
        <c:crossBetween val="midCat"/>
        <c:majorUnit val="1.0000000000000002E-2"/>
        <c:minorUnit val="0.01"/>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 verticalDpi="1200"/>
  </c:printSettings>
  <c:userShapes r:id="rId2"/>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000" b="1" i="0" u="none" strike="noStrike" baseline="0">
                <a:solidFill>
                  <a:srgbClr val="000000"/>
                </a:solidFill>
                <a:latin typeface="Arial"/>
                <a:ea typeface="Arial"/>
                <a:cs typeface="Arial"/>
              </a:defRPr>
            </a:pPr>
            <a:r>
              <a:rPr lang="en-US"/>
              <a:t>Final Energy</a:t>
            </a:r>
          </a:p>
        </c:rich>
      </c:tx>
      <c:layout>
        <c:manualLayout>
          <c:xMode val="edge"/>
          <c:yMode val="edge"/>
          <c:x val="0.31788032309914699"/>
          <c:y val="5.0952318460192499E-2"/>
        </c:manualLayout>
      </c:layout>
      <c:overlay val="0"/>
      <c:spPr>
        <a:noFill/>
        <a:ln w="25400">
          <a:noFill/>
        </a:ln>
      </c:spPr>
    </c:title>
    <c:autoTitleDeleted val="0"/>
    <c:plotArea>
      <c:layout>
        <c:manualLayout>
          <c:layoutTarget val="inner"/>
          <c:xMode val="edge"/>
          <c:yMode val="edge"/>
          <c:x val="0.233112067386925"/>
          <c:y val="0.21698425196850399"/>
          <c:w val="0.60297310219943401"/>
          <c:h val="0.68845100612423404"/>
        </c:manualLayout>
      </c:layout>
      <c:lineChart>
        <c:grouping val="standard"/>
        <c:varyColors val="0"/>
        <c:ser>
          <c:idx val="0"/>
          <c:order val="0"/>
          <c:tx>
            <c:v>Reference case</c:v>
          </c:tx>
          <c:spPr>
            <a:ln w="12700">
              <a:solidFill>
                <a:srgbClr val="000000"/>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[0]!FEchngRef</c:f>
              <c:numCache>
                <c:formatCode>0.00</c:formatCode>
                <c:ptCount val="10"/>
                <c:pt idx="1">
                  <c:v>1.491632418908671E-2</c:v>
                </c:pt>
                <c:pt idx="2">
                  <c:v>1.5318799042366013E-2</c:v>
                </c:pt>
                <c:pt idx="3">
                  <c:v>1.6984446159234744E-2</c:v>
                </c:pt>
                <c:pt idx="4">
                  <c:v>1.6306280563802678E-2</c:v>
                </c:pt>
                <c:pt idx="5">
                  <c:v>1.6996356325275696E-2</c:v>
                </c:pt>
                <c:pt idx="6">
                  <c:v>1.4808063181703416E-2</c:v>
                </c:pt>
                <c:pt idx="7">
                  <c:v>1.261637441376667E-2</c:v>
                </c:pt>
                <c:pt idx="8">
                  <c:v>9.6434373701704285E-3</c:v>
                </c:pt>
                <c:pt idx="9">
                  <c:v>8.3689406993254292E-3</c:v>
                </c:pt>
              </c:numCache>
            </c:numRef>
          </c:val>
          <c:smooth val="0"/>
          <c:extLst>
            <c:ext xmlns:c16="http://schemas.microsoft.com/office/drawing/2014/chart" uri="{C3380CC4-5D6E-409C-BE32-E72D297353CC}">
              <c16:uniqueId val="{00000001-B309-A442-8D50-B23F441AECC9}"/>
            </c:ext>
          </c:extLst>
        </c:ser>
        <c:ser>
          <c:idx val="1"/>
          <c:order val="1"/>
          <c:tx>
            <c:v>Line for Intervention Case</c:v>
          </c:tx>
          <c:spPr>
            <a:ln w="28575">
              <a:solidFill>
                <a:srgbClr val="C00000"/>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[0]!FEchngInt</c:f>
              <c:numCache>
                <c:formatCode>0.00</c:formatCode>
                <c:ptCount val="10"/>
                <c:pt idx="1">
                  <c:v>-6.6919975778801245E-4</c:v>
                </c:pt>
                <c:pt idx="2">
                  <c:v>-1.7784159574549409E-2</c:v>
                </c:pt>
                <c:pt idx="3">
                  <c:v>-7.8127799939022267E-3</c:v>
                </c:pt>
                <c:pt idx="4">
                  <c:v>2.4557678637701879E-3</c:v>
                </c:pt>
                <c:pt idx="5">
                  <c:v>5.4095989659281229E-3</c:v>
                </c:pt>
                <c:pt idx="6">
                  <c:v>4.9884371807273238E-3</c:v>
                </c:pt>
                <c:pt idx="7">
                  <c:v>4.3640534327093212E-3</c:v>
                </c:pt>
                <c:pt idx="8">
                  <c:v>2.1982690166550507E-3</c:v>
                </c:pt>
                <c:pt idx="9">
                  <c:v>9.2373465049542234E-4</c:v>
                </c:pt>
              </c:numCache>
            </c:numRef>
          </c:val>
          <c:smooth val="0"/>
          <c:extLst>
            <c:ext xmlns:c16="http://schemas.microsoft.com/office/drawing/2014/chart" uri="{C3380CC4-5D6E-409C-BE32-E72D297353CC}">
              <c16:uniqueId val="{00000000-B309-A442-8D50-B23F441AECC9}"/>
            </c:ext>
          </c:extLst>
        </c:ser>
        <c:ser>
          <c:idx val="2"/>
          <c:order val="2"/>
          <c:tx>
            <c:v>rate1</c:v>
          </c:tx>
          <c:spPr>
            <a:ln w="19050" cmpd="sng">
              <a:no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[0]!FErate1</c:f>
              <c:numCache>
                <c:formatCode>0.00%</c:formatCode>
                <c:ptCount val="10"/>
                <c:pt idx="0">
                  <c:v>2.2275292137704517E-2</c:v>
                </c:pt>
                <c:pt idx="1">
                  <c:v>2.2275292137704517E-2</c:v>
                </c:pt>
                <c:pt idx="2">
                  <c:v>2.2275292137704517E-2</c:v>
                </c:pt>
                <c:pt idx="3">
                  <c:v>2.2275292137704517E-2</c:v>
                </c:pt>
                <c:pt idx="4">
                  <c:v>2.2275292137704517E-2</c:v>
                </c:pt>
                <c:pt idx="5">
                  <c:v>2.2275292137704517E-2</c:v>
                </c:pt>
                <c:pt idx="6">
                  <c:v>2.2275292137704517E-2</c:v>
                </c:pt>
                <c:pt idx="7">
                  <c:v>2.2275292137704517E-2</c:v>
                </c:pt>
                <c:pt idx="8">
                  <c:v>2.2275292137704517E-2</c:v>
                </c:pt>
                <c:pt idx="9">
                  <c:v>2.2275292137704517E-2</c:v>
                </c:pt>
              </c:numCache>
            </c:numRef>
          </c:val>
          <c:smooth val="0"/>
          <c:extLst>
            <c:ext xmlns:c16="http://schemas.microsoft.com/office/drawing/2014/chart" uri="{C3380CC4-5D6E-409C-BE32-E72D297353CC}">
              <c16:uniqueId val="{00000002-B309-A442-8D50-B23F441AECC9}"/>
            </c:ext>
          </c:extLst>
        </c:ser>
        <c:ser>
          <c:idx val="3"/>
          <c:order val="3"/>
          <c:tx>
            <c:v>rate2</c:v>
          </c:tx>
          <c:spPr>
            <a:ln w="19050" cmpd="sng">
              <a:no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[0]!FErate2</c:f>
              <c:numCache>
                <c:formatCode>0.00%</c:formatCode>
                <c:ptCount val="10"/>
                <c:pt idx="0">
                  <c:v>1.9094858133720694E-2</c:v>
                </c:pt>
                <c:pt idx="1">
                  <c:v>1.9094858133720694E-2</c:v>
                </c:pt>
                <c:pt idx="2">
                  <c:v>1.9094858133720694E-2</c:v>
                </c:pt>
                <c:pt idx="3">
                  <c:v>1.9094858133720694E-2</c:v>
                </c:pt>
                <c:pt idx="4">
                  <c:v>1.9094858133720694E-2</c:v>
                </c:pt>
                <c:pt idx="5">
                  <c:v>1.9094858133720694E-2</c:v>
                </c:pt>
                <c:pt idx="6">
                  <c:v>1.9094858133720694E-2</c:v>
                </c:pt>
                <c:pt idx="7">
                  <c:v>1.9094858133720694E-2</c:v>
                </c:pt>
                <c:pt idx="8">
                  <c:v>1.9094858133720694E-2</c:v>
                </c:pt>
                <c:pt idx="9">
                  <c:v>1.9094858133720694E-2</c:v>
                </c:pt>
              </c:numCache>
            </c:numRef>
          </c:val>
          <c:smooth val="0"/>
          <c:extLst>
            <c:ext xmlns:c16="http://schemas.microsoft.com/office/drawing/2014/chart" uri="{C3380CC4-5D6E-409C-BE32-E72D297353CC}">
              <c16:uniqueId val="{00000003-B309-A442-8D50-B23F441AECC9}"/>
            </c:ext>
          </c:extLst>
        </c:ser>
        <c:dLbls>
          <c:showLegendKey val="0"/>
          <c:showVal val="0"/>
          <c:showCatName val="0"/>
          <c:showSerName val="0"/>
          <c:showPercent val="0"/>
          <c:showBubbleSize val="0"/>
        </c:dLbls>
        <c:smooth val="0"/>
        <c:axId val="-1643562672"/>
        <c:axId val="-1643559408"/>
      </c:lineChart>
      <c:catAx>
        <c:axId val="-1643562672"/>
        <c:scaling>
          <c:orientation val="minMax"/>
        </c:scaling>
        <c:delete val="0"/>
        <c:axPos val="b"/>
        <c:numFmt formatCode="General" sourceLinked="1"/>
        <c:majorTickMark val="none"/>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3559408"/>
        <c:crosses val="autoZero"/>
        <c:auto val="1"/>
        <c:lblAlgn val="ctr"/>
        <c:lblOffset val="100"/>
        <c:tickLblSkip val="9"/>
        <c:tickMarkSkip val="1"/>
        <c:noMultiLvlLbl val="0"/>
      </c:catAx>
      <c:valAx>
        <c:axId val="-1643559408"/>
        <c:scaling>
          <c:orientation val="minMax"/>
          <c:max val="0.05"/>
          <c:min val="-0.05"/>
        </c:scaling>
        <c:delete val="0"/>
        <c:axPos val="l"/>
        <c:majorGridlines>
          <c:spPr>
            <a:ln w="3175">
              <a:solidFill>
                <a:schemeClr val="bg1">
                  <a:lumMod val="50000"/>
                </a:schemeClr>
              </a:solidFill>
              <a:prstDash val="sysDash"/>
            </a:ln>
          </c:spPr>
        </c:majorGridlines>
        <c:title>
          <c:tx>
            <c:rich>
              <a:bodyPr/>
              <a:lstStyle/>
              <a:p>
                <a:pPr>
                  <a:defRPr sz="800" b="0" i="0" u="none" strike="noStrike" baseline="0">
                    <a:solidFill>
                      <a:srgbClr val="000000"/>
                    </a:solidFill>
                    <a:latin typeface="Arial"/>
                    <a:ea typeface="Arial"/>
                    <a:cs typeface="Arial"/>
                  </a:defRPr>
                </a:pPr>
                <a:r>
                  <a:rPr lang="en-US"/>
                  <a:t>Annual Rate of Change</a:t>
                </a:r>
              </a:p>
            </c:rich>
          </c:tx>
          <c:layout>
            <c:manualLayout>
              <c:xMode val="edge"/>
              <c:yMode val="edge"/>
              <c:x val="3.3112529244280903E-2"/>
              <c:y val="0.2571430365116050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3562672"/>
        <c:crossesAt val="1"/>
        <c:crossBetween val="midCat"/>
        <c:majorUnit val="0.01"/>
        <c:minorUnit val="0.01"/>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 verticalDpi="1200"/>
  </c:printSettings>
  <c:userShapes r:id="rId2"/>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000" b="1" i="0" u="none" strike="noStrike" baseline="0">
                <a:solidFill>
                  <a:srgbClr val="000000"/>
                </a:solidFill>
                <a:latin typeface="Arial"/>
                <a:ea typeface="Arial"/>
                <a:cs typeface="Arial"/>
              </a:defRPr>
            </a:pPr>
            <a:r>
              <a:rPr lang="en-US"/>
              <a:t>Gross National Product</a:t>
            </a:r>
          </a:p>
        </c:rich>
      </c:tx>
      <c:layout>
        <c:manualLayout>
          <c:xMode val="edge"/>
          <c:yMode val="edge"/>
          <c:x val="0.23129209139555201"/>
          <c:y val="5.1960629921259799E-2"/>
        </c:manualLayout>
      </c:layout>
      <c:overlay val="0"/>
      <c:spPr>
        <a:noFill/>
        <a:ln w="25400">
          <a:noFill/>
        </a:ln>
      </c:spPr>
    </c:title>
    <c:autoTitleDeleted val="0"/>
    <c:plotArea>
      <c:layout>
        <c:manualLayout>
          <c:layoutTarget val="inner"/>
          <c:xMode val="edge"/>
          <c:yMode val="edge"/>
          <c:x val="0.26440721072656598"/>
          <c:y val="0.21732020997375301"/>
          <c:w val="0.62063724592565495"/>
          <c:h val="0.68202624671916001"/>
        </c:manualLayout>
      </c:layout>
      <c:lineChart>
        <c:grouping val="standard"/>
        <c:varyColors val="0"/>
        <c:ser>
          <c:idx val="0"/>
          <c:order val="0"/>
          <c:tx>
            <c:v>Reference case</c:v>
          </c:tx>
          <c:spPr>
            <a:ln w="12700">
              <a:solidFill>
                <a:sysClr val="windowText" lastClr="000000"/>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[0]!GWPchngRef</c:f>
              <c:numCache>
                <c:formatCode>0.00</c:formatCode>
                <c:ptCount val="10"/>
                <c:pt idx="1">
                  <c:v>4.8406965923259056E-2</c:v>
                </c:pt>
                <c:pt idx="2">
                  <c:v>6.3116439993789242E-2</c:v>
                </c:pt>
                <c:pt idx="3">
                  <c:v>6.3807312422825738E-2</c:v>
                </c:pt>
                <c:pt idx="4">
                  <c:v>6.6777030764605089E-2</c:v>
                </c:pt>
                <c:pt idx="5">
                  <c:v>7.1626992192557595E-2</c:v>
                </c:pt>
                <c:pt idx="6">
                  <c:v>8.1288892430719684E-2</c:v>
                </c:pt>
                <c:pt idx="7">
                  <c:v>8.8788229644191238E-2</c:v>
                </c:pt>
                <c:pt idx="8">
                  <c:v>9.6881967157021312E-2</c:v>
                </c:pt>
                <c:pt idx="9">
                  <c:v>0.10550405494392011</c:v>
                </c:pt>
              </c:numCache>
            </c:numRef>
          </c:val>
          <c:smooth val="0"/>
          <c:extLst>
            <c:ext xmlns:c16="http://schemas.microsoft.com/office/drawing/2014/chart" uri="{C3380CC4-5D6E-409C-BE32-E72D297353CC}">
              <c16:uniqueId val="{00000000-69B2-C34D-882C-71E56714BE96}"/>
            </c:ext>
          </c:extLst>
        </c:ser>
        <c:ser>
          <c:idx val="1"/>
          <c:order val="1"/>
          <c:tx>
            <c:v>intervention Case</c:v>
          </c:tx>
          <c:spPr>
            <a:ln w="12700">
              <a:solidFill>
                <a:srgbClr val="FF00FF"/>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[0]!GWPchngInt</c:f>
              <c:numCache>
                <c:formatCode>0.00</c:formatCode>
                <c:ptCount val="10"/>
                <c:pt idx="1">
                  <c:v>4.7640401176704088E-2</c:v>
                </c:pt>
                <c:pt idx="2">
                  <c:v>6.0600589675755934E-2</c:v>
                </c:pt>
                <c:pt idx="3">
                  <c:v>5.9512381490567132E-2</c:v>
                </c:pt>
                <c:pt idx="4">
                  <c:v>5.9426635784214303E-2</c:v>
                </c:pt>
                <c:pt idx="5">
                  <c:v>5.9984793089128914E-2</c:v>
                </c:pt>
                <c:pt idx="6">
                  <c:v>6.3339305710830643E-2</c:v>
                </c:pt>
                <c:pt idx="7">
                  <c:v>6.2265304792664608E-2</c:v>
                </c:pt>
                <c:pt idx="8">
                  <c:v>5.8416173872299644E-2</c:v>
                </c:pt>
                <c:pt idx="9">
                  <c:v>5.1650045685777912E-2</c:v>
                </c:pt>
              </c:numCache>
            </c:numRef>
          </c:val>
          <c:smooth val="0"/>
          <c:extLst>
            <c:ext xmlns:c16="http://schemas.microsoft.com/office/drawing/2014/chart" uri="{C3380CC4-5D6E-409C-BE32-E72D297353CC}">
              <c16:uniqueId val="{00000001-69B2-C34D-882C-71E56714BE96}"/>
            </c:ext>
          </c:extLst>
        </c:ser>
        <c:ser>
          <c:idx val="2"/>
          <c:order val="2"/>
          <c:tx>
            <c:v>Line for Intervention Case</c:v>
          </c:tx>
          <c:spPr>
            <a:ln w="28575">
              <a:solidFill>
                <a:srgbClr val="C00000"/>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[0]!GWPchngInt</c:f>
              <c:numCache>
                <c:formatCode>0.00</c:formatCode>
                <c:ptCount val="10"/>
                <c:pt idx="1">
                  <c:v>4.7640401176704088E-2</c:v>
                </c:pt>
                <c:pt idx="2">
                  <c:v>6.0600589675755934E-2</c:v>
                </c:pt>
                <c:pt idx="3">
                  <c:v>5.9512381490567132E-2</c:v>
                </c:pt>
                <c:pt idx="4">
                  <c:v>5.9426635784214303E-2</c:v>
                </c:pt>
                <c:pt idx="5">
                  <c:v>5.9984793089128914E-2</c:v>
                </c:pt>
                <c:pt idx="6">
                  <c:v>6.3339305710830643E-2</c:v>
                </c:pt>
                <c:pt idx="7">
                  <c:v>6.2265304792664608E-2</c:v>
                </c:pt>
                <c:pt idx="8">
                  <c:v>5.8416173872299644E-2</c:v>
                </c:pt>
                <c:pt idx="9">
                  <c:v>5.1650045685777912E-2</c:v>
                </c:pt>
              </c:numCache>
            </c:numRef>
          </c:val>
          <c:smooth val="0"/>
          <c:extLst>
            <c:ext xmlns:c16="http://schemas.microsoft.com/office/drawing/2014/chart" uri="{C3380CC4-5D6E-409C-BE32-E72D297353CC}">
              <c16:uniqueId val="{00000002-69B2-C34D-882C-71E56714BE96}"/>
            </c:ext>
          </c:extLst>
        </c:ser>
        <c:ser>
          <c:idx val="3"/>
          <c:order val="3"/>
          <c:tx>
            <c:v>rate1</c:v>
          </c:tx>
          <c:spPr>
            <a:ln w="19050" cmpd="sng">
              <a:no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[0]!GWPrate1</c:f>
              <c:numCache>
                <c:formatCode>0.00%</c:formatCode>
                <c:ptCount val="10"/>
                <c:pt idx="0">
                  <c:v>3.0635576805107867E-2</c:v>
                </c:pt>
                <c:pt idx="1">
                  <c:v>3.0635576805107867E-2</c:v>
                </c:pt>
                <c:pt idx="2">
                  <c:v>3.0635576805107867E-2</c:v>
                </c:pt>
                <c:pt idx="3">
                  <c:v>3.0635576805107867E-2</c:v>
                </c:pt>
                <c:pt idx="4">
                  <c:v>3.0635576805107867E-2</c:v>
                </c:pt>
                <c:pt idx="5">
                  <c:v>3.0635576805107867E-2</c:v>
                </c:pt>
                <c:pt idx="6">
                  <c:v>3.0635576805107867E-2</c:v>
                </c:pt>
                <c:pt idx="7">
                  <c:v>3.0635576805107867E-2</c:v>
                </c:pt>
                <c:pt idx="8">
                  <c:v>3.0635576805107867E-2</c:v>
                </c:pt>
                <c:pt idx="9">
                  <c:v>3.0635576805107867E-2</c:v>
                </c:pt>
              </c:numCache>
            </c:numRef>
          </c:val>
          <c:smooth val="0"/>
          <c:extLst>
            <c:ext xmlns:c16="http://schemas.microsoft.com/office/drawing/2014/chart" uri="{C3380CC4-5D6E-409C-BE32-E72D297353CC}">
              <c16:uniqueId val="{00000003-69B2-C34D-882C-71E56714BE96}"/>
            </c:ext>
          </c:extLst>
        </c:ser>
        <c:ser>
          <c:idx val="4"/>
          <c:order val="4"/>
          <c:tx>
            <c:v>rate2</c:v>
          </c:tx>
          <c:spPr>
            <a:ln w="19050" cmpd="sng">
              <a:no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[0]!GWPrate2</c:f>
              <c:numCache>
                <c:formatCode>0.00%</c:formatCode>
                <c:ptCount val="10"/>
                <c:pt idx="0">
                  <c:v>3.7463680533559307E-2</c:v>
                </c:pt>
                <c:pt idx="1">
                  <c:v>3.7463680533559307E-2</c:v>
                </c:pt>
                <c:pt idx="2">
                  <c:v>3.7463680533559307E-2</c:v>
                </c:pt>
                <c:pt idx="3">
                  <c:v>3.7463680533559307E-2</c:v>
                </c:pt>
                <c:pt idx="4">
                  <c:v>3.7463680533559307E-2</c:v>
                </c:pt>
                <c:pt idx="5">
                  <c:v>3.7463680533559307E-2</c:v>
                </c:pt>
                <c:pt idx="6">
                  <c:v>3.7463680533559307E-2</c:v>
                </c:pt>
                <c:pt idx="7">
                  <c:v>3.7463680533559307E-2</c:v>
                </c:pt>
                <c:pt idx="8">
                  <c:v>3.7463680533559307E-2</c:v>
                </c:pt>
                <c:pt idx="9">
                  <c:v>3.7463680533559307E-2</c:v>
                </c:pt>
              </c:numCache>
            </c:numRef>
          </c:val>
          <c:smooth val="0"/>
          <c:extLst>
            <c:ext xmlns:c16="http://schemas.microsoft.com/office/drawing/2014/chart" uri="{C3380CC4-5D6E-409C-BE32-E72D297353CC}">
              <c16:uniqueId val="{00000004-69B2-C34D-882C-71E56714BE96}"/>
            </c:ext>
          </c:extLst>
        </c:ser>
        <c:dLbls>
          <c:showLegendKey val="0"/>
          <c:showVal val="0"/>
          <c:showCatName val="0"/>
          <c:showSerName val="0"/>
          <c:showPercent val="0"/>
          <c:showBubbleSize val="0"/>
        </c:dLbls>
        <c:smooth val="0"/>
        <c:axId val="-1643200256"/>
        <c:axId val="-1643197504"/>
      </c:lineChart>
      <c:catAx>
        <c:axId val="-1643200256"/>
        <c:scaling>
          <c:orientation val="minMax"/>
        </c:scaling>
        <c:delete val="0"/>
        <c:axPos val="b"/>
        <c:numFmt formatCode="General" sourceLinked="1"/>
        <c:majorTickMark val="none"/>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3197504"/>
        <c:crosses val="autoZero"/>
        <c:auto val="1"/>
        <c:lblAlgn val="ctr"/>
        <c:lblOffset val="100"/>
        <c:tickLblSkip val="9"/>
        <c:tickMarkSkip val="1"/>
        <c:noMultiLvlLbl val="0"/>
      </c:catAx>
      <c:valAx>
        <c:axId val="-1643197504"/>
        <c:scaling>
          <c:orientation val="minMax"/>
          <c:max val="0.11000000000000001"/>
          <c:min val="-0.05"/>
        </c:scaling>
        <c:delete val="0"/>
        <c:axPos val="l"/>
        <c:majorGridlines>
          <c:spPr>
            <a:ln w="3175">
              <a:solidFill>
                <a:schemeClr val="bg1">
                  <a:lumMod val="50000"/>
                </a:schemeClr>
              </a:solidFill>
              <a:prstDash val="sysDash"/>
            </a:ln>
          </c:spPr>
        </c:majorGridlines>
        <c:title>
          <c:tx>
            <c:rich>
              <a:bodyPr/>
              <a:lstStyle/>
              <a:p>
                <a:pPr>
                  <a:defRPr sz="800" b="0" i="0" u="none" strike="noStrike" baseline="0">
                    <a:solidFill>
                      <a:srgbClr val="000000"/>
                    </a:solidFill>
                    <a:latin typeface="Arial"/>
                    <a:ea typeface="Arial"/>
                    <a:cs typeface="Arial"/>
                  </a:defRPr>
                </a:pPr>
                <a:r>
                  <a:rPr lang="en-US"/>
                  <a:t>Annual Rate of Change</a:t>
                </a:r>
              </a:p>
            </c:rich>
          </c:tx>
          <c:layout>
            <c:manualLayout>
              <c:xMode val="edge"/>
              <c:yMode val="edge"/>
              <c:x val="2.7210861757561901E-2"/>
              <c:y val="0.288235294117646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3200256"/>
        <c:crosses val="autoZero"/>
        <c:crossBetween val="midCat"/>
        <c:majorUnit val="2.0000000000000004E-2"/>
        <c:minorUnit val="0.01"/>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 verticalDpi="1200"/>
  </c:printSettings>
  <c:userShapes r:id="rId2"/>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23079197358394701"/>
          <c:y val="0.18389020122484701"/>
          <c:w val="0.60464719329438599"/>
          <c:h val="0.67512817147856496"/>
        </c:manualLayout>
      </c:layout>
      <c:areaChart>
        <c:grouping val="stacked"/>
        <c:varyColors val="0"/>
        <c:ser>
          <c:idx val="0"/>
          <c:order val="0"/>
          <c:tx>
            <c:v>Reference case</c:v>
          </c:tx>
          <c:spPr>
            <a:noFill/>
            <a:ln w="12700">
              <a:noFill/>
              <a:prstDash val="solid"/>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[0]!TFCindexRef</c:f>
              <c:numCache>
                <c:formatCode>0.00</c:formatCode>
                <c:ptCount val="10"/>
                <c:pt idx="0">
                  <c:v>1</c:v>
                </c:pt>
                <c:pt idx="1">
                  <c:v>1.1944382323615648</c:v>
                </c:pt>
                <c:pt idx="2">
                  <c:v>1.3505345334848087</c:v>
                </c:pt>
                <c:pt idx="3">
                  <c:v>1.4639992403291631</c:v>
                </c:pt>
                <c:pt idx="4">
                  <c:v>1.5956225344243051</c:v>
                </c:pt>
                <c:pt idx="5">
                  <c:v>1.7595933100340084</c:v>
                </c:pt>
                <c:pt idx="6">
                  <c:v>1.8859903119031383</c:v>
                </c:pt>
                <c:pt idx="7">
                  <c:v>1.9889301829930526</c:v>
                </c:pt>
                <c:pt idx="8">
                  <c:v>2.1196107696185797</c:v>
                </c:pt>
                <c:pt idx="9">
                  <c:v>2.2729810176332168</c:v>
                </c:pt>
              </c:numCache>
            </c:numRef>
          </c:val>
          <c:extLst>
            <c:ext xmlns:c16="http://schemas.microsoft.com/office/drawing/2014/chart" uri="{C3380CC4-5D6E-409C-BE32-E72D297353CC}">
              <c16:uniqueId val="{00000000-305B-BD49-ABDB-32B3BEEE03E1}"/>
            </c:ext>
          </c:extLst>
        </c:ser>
        <c:ser>
          <c:idx val="1"/>
          <c:order val="1"/>
          <c:tx>
            <c:v>Area for Intervention case</c:v>
          </c:tx>
          <c:spPr>
            <a:solidFill>
              <a:srgbClr val="A1F4FF"/>
            </a:solidFill>
            <a:ln w="12700">
              <a:solidFill>
                <a:sysClr val="windowText" lastClr="000000"/>
              </a:solidFill>
              <a:prstDash val="solid"/>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[0]!AreaIndexTFC</c:f>
              <c:numCache>
                <c:formatCode>General</c:formatCode>
                <c:ptCount val="10"/>
                <c:pt idx="0">
                  <c:v>0</c:v>
                </c:pt>
                <c:pt idx="1">
                  <c:v>-0.24137107452322693</c:v>
                </c:pt>
                <c:pt idx="2">
                  <c:v>-0.69391959121693902</c:v>
                </c:pt>
                <c:pt idx="3">
                  <c:v>-1.0851157867776924</c:v>
                </c:pt>
                <c:pt idx="4">
                  <c:v>-1.3125939599726126</c:v>
                </c:pt>
                <c:pt idx="5">
                  <c:v>-1.4758952603561666</c:v>
                </c:pt>
                <c:pt idx="6">
                  <c:v>-1.5641210394406737</c:v>
                </c:pt>
                <c:pt idx="7">
                  <c:v>-1.6852941921441353</c:v>
                </c:pt>
                <c:pt idx="8">
                  <c:v>-1.8428754451804372</c:v>
                </c:pt>
                <c:pt idx="9">
                  <c:v>-1.9875477957318781</c:v>
                </c:pt>
              </c:numCache>
            </c:numRef>
          </c:val>
          <c:extLst>
            <c:ext xmlns:c16="http://schemas.microsoft.com/office/drawing/2014/chart" uri="{C3380CC4-5D6E-409C-BE32-E72D297353CC}">
              <c16:uniqueId val="{00000001-305B-BD49-ABDB-32B3BEEE03E1}"/>
            </c:ext>
          </c:extLst>
        </c:ser>
        <c:dLbls>
          <c:showLegendKey val="0"/>
          <c:showVal val="0"/>
          <c:showCatName val="0"/>
          <c:showSerName val="0"/>
          <c:showPercent val="0"/>
          <c:showBubbleSize val="0"/>
        </c:dLbls>
        <c:axId val="-1643058464"/>
        <c:axId val="-1643055712"/>
      </c:areaChart>
      <c:lineChart>
        <c:grouping val="standard"/>
        <c:varyColors val="0"/>
        <c:ser>
          <c:idx val="2"/>
          <c:order val="2"/>
          <c:tx>
            <c:v>Line for Intervention Case</c:v>
          </c:tx>
          <c:spPr>
            <a:ln w="28575">
              <a:solidFill>
                <a:srgbClr val="C00000"/>
              </a:solidFill>
              <a:prstDash val="solid"/>
            </a:ln>
          </c:spPr>
          <c:marker>
            <c:symbol val="none"/>
          </c:marker>
          <c:val>
            <c:numRef>
              <c:f>[0]!TFCindexInt</c:f>
              <c:numCache>
                <c:formatCode>0.00</c:formatCode>
                <c:ptCount val="10"/>
                <c:pt idx="0">
                  <c:v>1</c:v>
                </c:pt>
                <c:pt idx="1">
                  <c:v>0.95306715783833784</c:v>
                </c:pt>
                <c:pt idx="2">
                  <c:v>0.65661494226786965</c:v>
                </c:pt>
                <c:pt idx="3">
                  <c:v>0.37888345355147079</c:v>
                </c:pt>
                <c:pt idx="4">
                  <c:v>0.28302857445169249</c:v>
                </c:pt>
                <c:pt idx="5">
                  <c:v>0.28369804967784179</c:v>
                </c:pt>
                <c:pt idx="6">
                  <c:v>0.32186927246246461</c:v>
                </c:pt>
                <c:pt idx="7">
                  <c:v>0.30363599084891729</c:v>
                </c:pt>
                <c:pt idx="8">
                  <c:v>0.27673532443814258</c:v>
                </c:pt>
                <c:pt idx="9">
                  <c:v>0.28543322190133863</c:v>
                </c:pt>
              </c:numCache>
            </c:numRef>
          </c:val>
          <c:smooth val="0"/>
          <c:extLst>
            <c:ext xmlns:c16="http://schemas.microsoft.com/office/drawing/2014/chart" uri="{C3380CC4-5D6E-409C-BE32-E72D297353CC}">
              <c16:uniqueId val="{00000002-305B-BD49-ABDB-32B3BEEE03E1}"/>
            </c:ext>
          </c:extLst>
        </c:ser>
        <c:ser>
          <c:idx val="3"/>
          <c:order val="3"/>
          <c:tx>
            <c:v>projindex1</c:v>
          </c:tx>
          <c:spPr>
            <a:ln w="19050" cmpd="sng">
              <a:solidFill>
                <a:srgbClr val="008000"/>
              </a:solidFill>
              <a:prstDash val="sysDash"/>
            </a:ln>
          </c:spPr>
          <c:marker>
            <c:symbol val="none"/>
          </c:marker>
          <c:val>
            <c:numRef>
              <c:f>[0]!TFCprojindex1</c:f>
              <c:numCache>
                <c:formatCode>General</c:formatCode>
                <c:ptCount val="10"/>
                <c:pt idx="0">
                  <c:v>1</c:v>
                </c:pt>
                <c:pt idx="1">
                  <c:v>1.2852425204554667</c:v>
                </c:pt>
                <c:pt idx="2">
                  <c:v>1.6518483363867207</c:v>
                </c:pt>
                <c:pt idx="3">
                  <c:v>2.1230257192678383</c:v>
                </c:pt>
                <c:pt idx="4">
                  <c:v>2.7286029264235765</c:v>
                </c:pt>
                <c:pt idx="5">
                  <c:v>3.5069165024787998</c:v>
                </c:pt>
                <c:pt idx="6">
                  <c:v>4.5072382046727224</c:v>
                </c:pt>
                <c:pt idx="7">
                  <c:v>5.7928941904667424</c:v>
                </c:pt>
                <c:pt idx="8">
                  <c:v>7.4452739300873061</c:v>
                </c:pt>
                <c:pt idx="9">
                  <c:v>9.5689826313867883</c:v>
                </c:pt>
              </c:numCache>
            </c:numRef>
          </c:val>
          <c:smooth val="0"/>
          <c:extLst>
            <c:ext xmlns:c16="http://schemas.microsoft.com/office/drawing/2014/chart" uri="{C3380CC4-5D6E-409C-BE32-E72D297353CC}">
              <c16:uniqueId val="{00000003-305B-BD49-ABDB-32B3BEEE03E1}"/>
            </c:ext>
          </c:extLst>
        </c:ser>
        <c:ser>
          <c:idx val="4"/>
          <c:order val="4"/>
          <c:tx>
            <c:v>projindex2</c:v>
          </c:tx>
          <c:spPr>
            <a:ln w="19050" cmpd="sng">
              <a:solidFill>
                <a:srgbClr val="3366FF"/>
              </a:solidFill>
              <a:prstDash val="sysDash"/>
            </a:ln>
          </c:spPr>
          <c:marker>
            <c:symbol val="none"/>
          </c:marker>
          <c:val>
            <c:numRef>
              <c:f>[0]!TFCprojindex2</c:f>
              <c:numCache>
                <c:formatCode>General</c:formatCode>
                <c:ptCount val="10"/>
                <c:pt idx="0">
                  <c:v>1</c:v>
                </c:pt>
                <c:pt idx="1">
                  <c:v>1.2419811664627094</c:v>
                </c:pt>
                <c:pt idx="2">
                  <c:v>1.5425172178480722</c:v>
                </c:pt>
                <c:pt idx="3">
                  <c:v>1.9157773335117618</c:v>
                </c:pt>
                <c:pt idx="4">
                  <c:v>2.3793593673577571</c:v>
                </c:pt>
                <c:pt idx="5">
                  <c:v>2.9551195225049613</c:v>
                </c:pt>
                <c:pt idx="6">
                  <c:v>3.6702027915974367</c:v>
                </c:pt>
                <c:pt idx="7">
                  <c:v>4.5583227442628766</c:v>
                </c:pt>
                <c:pt idx="8">
                  <c:v>5.6613509990331057</c:v>
                </c:pt>
                <c:pt idx="9">
                  <c:v>7.0312913175339622</c:v>
                </c:pt>
              </c:numCache>
            </c:numRef>
          </c:val>
          <c:smooth val="0"/>
          <c:extLst>
            <c:ext xmlns:c16="http://schemas.microsoft.com/office/drawing/2014/chart" uri="{C3380CC4-5D6E-409C-BE32-E72D297353CC}">
              <c16:uniqueId val="{00000004-305B-BD49-ABDB-32B3BEEE03E1}"/>
            </c:ext>
          </c:extLst>
        </c:ser>
        <c:dLbls>
          <c:showLegendKey val="0"/>
          <c:showVal val="0"/>
          <c:showCatName val="0"/>
          <c:showSerName val="0"/>
          <c:showPercent val="0"/>
          <c:showBubbleSize val="0"/>
        </c:dLbls>
        <c:marker val="1"/>
        <c:smooth val="0"/>
        <c:axId val="-1643058464"/>
        <c:axId val="-1643055712"/>
      </c:lineChart>
      <c:catAx>
        <c:axId val="-1643058464"/>
        <c:scaling>
          <c:orientation val="minMax"/>
        </c:scaling>
        <c:delete val="0"/>
        <c:axPos val="b"/>
        <c:numFmt formatCode="General" sourceLinked="1"/>
        <c:majorTickMark val="none"/>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3055712"/>
        <c:crosses val="autoZero"/>
        <c:auto val="1"/>
        <c:lblAlgn val="ctr"/>
        <c:lblOffset val="100"/>
        <c:tickLblSkip val="9"/>
        <c:tickMarkSkip val="1"/>
        <c:noMultiLvlLbl val="0"/>
      </c:catAx>
      <c:valAx>
        <c:axId val="-1643055712"/>
        <c:scaling>
          <c:orientation val="minMax"/>
          <c:max val="10"/>
          <c:min val="0"/>
        </c:scaling>
        <c:delete val="0"/>
        <c:axPos val="l"/>
        <c:title>
          <c:tx>
            <c:rich>
              <a:bodyPr/>
              <a:lstStyle/>
              <a:p>
                <a:pPr>
                  <a:defRPr/>
                </a:pPr>
                <a:r>
                  <a:rPr lang="en-US"/>
                  <a:t>TFC (2010=1)</a:t>
                </a:r>
              </a:p>
            </c:rich>
          </c:tx>
          <c:layout>
            <c:manualLayout>
              <c:xMode val="edge"/>
              <c:yMode val="edge"/>
              <c:x val="1.5068973936397501E-2"/>
              <c:y val="0.32298818897637799"/>
            </c:manualLayout>
          </c:layout>
          <c:overlay val="0"/>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3058464"/>
        <c:crosses val="autoZero"/>
        <c:crossBetween val="midCat"/>
        <c:majorUnit val="2"/>
        <c:minorUnit val="0.5"/>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 verticalDpi="1200"/>
  </c:printSettings>
  <c:userShapes r:id="rId2"/>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22936703073406101"/>
          <c:y val="0.15727952755905511"/>
          <c:w val="0.60689859542899904"/>
          <c:h val="0.69942475940507443"/>
        </c:manualLayout>
      </c:layout>
      <c:areaChart>
        <c:grouping val="stacked"/>
        <c:varyColors val="0"/>
        <c:ser>
          <c:idx val="1"/>
          <c:order val="0"/>
          <c:tx>
            <c:v>reference scenario area</c:v>
          </c:tx>
          <c:spPr>
            <a:noFill/>
            <a:ln w="12700">
              <a:noFill/>
              <a:prstDash val="solid"/>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[0]!NFCindexRef</c:f>
              <c:numCache>
                <c:formatCode>0.00</c:formatCode>
                <c:ptCount val="10"/>
                <c:pt idx="0">
                  <c:v>1</c:v>
                </c:pt>
                <c:pt idx="1">
                  <c:v>1.1944382323615648</c:v>
                </c:pt>
                <c:pt idx="2">
                  <c:v>1.3505345334848087</c:v>
                </c:pt>
                <c:pt idx="3">
                  <c:v>1.4639992403291631</c:v>
                </c:pt>
                <c:pt idx="4">
                  <c:v>1.5956225344243051</c:v>
                </c:pt>
                <c:pt idx="5">
                  <c:v>1.7595933100340084</c:v>
                </c:pt>
                <c:pt idx="6">
                  <c:v>1.8859903119031383</c:v>
                </c:pt>
                <c:pt idx="7">
                  <c:v>1.9889301829930526</c:v>
                </c:pt>
                <c:pt idx="8">
                  <c:v>2.1196107696185797</c:v>
                </c:pt>
                <c:pt idx="9">
                  <c:v>2.2729810176332168</c:v>
                </c:pt>
              </c:numCache>
            </c:numRef>
          </c:val>
          <c:extLst>
            <c:ext xmlns:c16="http://schemas.microsoft.com/office/drawing/2014/chart" uri="{C3380CC4-5D6E-409C-BE32-E72D297353CC}">
              <c16:uniqueId val="{00000000-1F58-9147-8782-401E483E6A54}"/>
            </c:ext>
          </c:extLst>
        </c:ser>
        <c:ser>
          <c:idx val="0"/>
          <c:order val="1"/>
          <c:tx>
            <c:v>Intervention scenario</c:v>
          </c:tx>
          <c:spPr>
            <a:solidFill>
              <a:srgbClr val="A1F4FF"/>
            </a:solidFill>
            <a:ln w="12700">
              <a:solidFill>
                <a:sysClr val="windowText" lastClr="000000"/>
              </a:solidFill>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[0]!AreaIndexNFC</c:f>
              <c:numCache>
                <c:formatCode>General</c:formatCode>
                <c:ptCount val="10"/>
                <c:pt idx="0">
                  <c:v>0</c:v>
                </c:pt>
                <c:pt idx="1">
                  <c:v>-0.24244412980856811</c:v>
                </c:pt>
                <c:pt idx="2">
                  <c:v>-0.7345566850731825</c:v>
                </c:pt>
                <c:pt idx="3">
                  <c:v>-1.1653607863686419</c:v>
                </c:pt>
                <c:pt idx="4">
                  <c:v>-1.4119574346905868</c:v>
                </c:pt>
                <c:pt idx="5">
                  <c:v>-1.6173261881268499</c:v>
                </c:pt>
                <c:pt idx="6">
                  <c:v>-1.7674203791539598</c:v>
                </c:pt>
                <c:pt idx="7">
                  <c:v>-1.8891889736352028</c:v>
                </c:pt>
                <c:pt idx="8">
                  <c:v>-2.0265932950231944</c:v>
                </c:pt>
                <c:pt idx="9">
                  <c:v>-2.1745055956728594</c:v>
                </c:pt>
              </c:numCache>
            </c:numRef>
          </c:val>
          <c:extLst>
            <c:ext xmlns:c16="http://schemas.microsoft.com/office/drawing/2014/chart" uri="{C3380CC4-5D6E-409C-BE32-E72D297353CC}">
              <c16:uniqueId val="{00000001-1F58-9147-8782-401E483E6A54}"/>
            </c:ext>
          </c:extLst>
        </c:ser>
        <c:dLbls>
          <c:showLegendKey val="0"/>
          <c:showVal val="0"/>
          <c:showCatName val="0"/>
          <c:showSerName val="0"/>
          <c:showPercent val="0"/>
          <c:showBubbleSize val="0"/>
        </c:dLbls>
        <c:axId val="-1643096896"/>
        <c:axId val="-1643094144"/>
      </c:areaChart>
      <c:lineChart>
        <c:grouping val="standard"/>
        <c:varyColors val="0"/>
        <c:ser>
          <c:idx val="2"/>
          <c:order val="2"/>
          <c:tx>
            <c:v>Intervention scenario Line</c:v>
          </c:tx>
          <c:spPr>
            <a:ln w="28575">
              <a:solidFill>
                <a:srgbClr val="C00000"/>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[0]!NFCindexInt</c:f>
              <c:numCache>
                <c:formatCode>0.00</c:formatCode>
                <c:ptCount val="10"/>
                <c:pt idx="0">
                  <c:v>1</c:v>
                </c:pt>
                <c:pt idx="1">
                  <c:v>0.95199410255299666</c:v>
                </c:pt>
                <c:pt idx="2">
                  <c:v>0.61597784841162617</c:v>
                </c:pt>
                <c:pt idx="3">
                  <c:v>0.29863845396052124</c:v>
                </c:pt>
                <c:pt idx="4">
                  <c:v>0.18366509973371833</c:v>
                </c:pt>
                <c:pt idx="5">
                  <c:v>0.14226712190715854</c:v>
                </c:pt>
                <c:pt idx="6">
                  <c:v>0.11856993274917854</c:v>
                </c:pt>
                <c:pt idx="7">
                  <c:v>9.9741209357849775E-2</c:v>
                </c:pt>
                <c:pt idx="8">
                  <c:v>9.3017474595385161E-2</c:v>
                </c:pt>
                <c:pt idx="9">
                  <c:v>9.8475421960357579E-2</c:v>
                </c:pt>
              </c:numCache>
            </c:numRef>
          </c:val>
          <c:smooth val="0"/>
          <c:extLst>
            <c:ext xmlns:c16="http://schemas.microsoft.com/office/drawing/2014/chart" uri="{C3380CC4-5D6E-409C-BE32-E72D297353CC}">
              <c16:uniqueId val="{00000002-1F58-9147-8782-401E483E6A54}"/>
            </c:ext>
          </c:extLst>
        </c:ser>
        <c:ser>
          <c:idx val="3"/>
          <c:order val="3"/>
          <c:tx>
            <c:v>Reference scenario line</c:v>
          </c:tx>
          <c:spPr>
            <a:ln w="12700">
              <a:no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[0]!NFCindexRef</c:f>
              <c:numCache>
                <c:formatCode>0.00</c:formatCode>
                <c:ptCount val="10"/>
                <c:pt idx="0">
                  <c:v>1</c:v>
                </c:pt>
                <c:pt idx="1">
                  <c:v>1.1944382323615648</c:v>
                </c:pt>
                <c:pt idx="2">
                  <c:v>1.3505345334848087</c:v>
                </c:pt>
                <c:pt idx="3">
                  <c:v>1.4639992403291631</c:v>
                </c:pt>
                <c:pt idx="4">
                  <c:v>1.5956225344243051</c:v>
                </c:pt>
                <c:pt idx="5">
                  <c:v>1.7595933100340084</c:v>
                </c:pt>
                <c:pt idx="6">
                  <c:v>1.8859903119031383</c:v>
                </c:pt>
                <c:pt idx="7">
                  <c:v>1.9889301829930526</c:v>
                </c:pt>
                <c:pt idx="8">
                  <c:v>2.1196107696185797</c:v>
                </c:pt>
                <c:pt idx="9">
                  <c:v>2.2729810176332168</c:v>
                </c:pt>
              </c:numCache>
            </c:numRef>
          </c:val>
          <c:smooth val="0"/>
          <c:extLst>
            <c:ext xmlns:c16="http://schemas.microsoft.com/office/drawing/2014/chart" uri="{C3380CC4-5D6E-409C-BE32-E72D297353CC}">
              <c16:uniqueId val="{00000003-1F58-9147-8782-401E483E6A54}"/>
            </c:ext>
          </c:extLst>
        </c:ser>
        <c:ser>
          <c:idx val="4"/>
          <c:order val="4"/>
          <c:tx>
            <c:v>"biomass CCS"</c:v>
          </c:tx>
          <c:spPr>
            <a:ln>
              <a:solidFill>
                <a:srgbClr val="008000"/>
              </a:solidFill>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[0]!biomassCCSIntindex</c:f>
              <c:numCache>
                <c:formatCode>0.00</c:formatCode>
                <c:ptCount val="10"/>
                <c:pt idx="0">
                  <c:v>0</c:v>
                </c:pt>
                <c:pt idx="1">
                  <c:v>-1.5813554472271857E-19</c:v>
                </c:pt>
                <c:pt idx="2">
                  <c:v>-6.5520247654155448E-11</c:v>
                </c:pt>
                <c:pt idx="3">
                  <c:v>-1.4952309525231797E-9</c:v>
                </c:pt>
                <c:pt idx="4">
                  <c:v>-3.0930223495436846E-6</c:v>
                </c:pt>
                <c:pt idx="5">
                  <c:v>-2.8983618722466372E-6</c:v>
                </c:pt>
                <c:pt idx="6">
                  <c:v>-2.3373027975253149E-6</c:v>
                </c:pt>
                <c:pt idx="7">
                  <c:v>-1.782597835434735E-6</c:v>
                </c:pt>
                <c:pt idx="8">
                  <c:v>-1.6948333287187395E-6</c:v>
                </c:pt>
                <c:pt idx="9">
                  <c:v>-1.090498268371486E-5</c:v>
                </c:pt>
              </c:numCache>
            </c:numRef>
          </c:val>
          <c:smooth val="0"/>
          <c:extLst>
            <c:ext xmlns:c16="http://schemas.microsoft.com/office/drawing/2014/chart" uri="{C3380CC4-5D6E-409C-BE32-E72D297353CC}">
              <c16:uniqueId val="{00000004-1F58-9147-8782-401E483E6A54}"/>
            </c:ext>
          </c:extLst>
        </c:ser>
        <c:ser>
          <c:idx val="5"/>
          <c:order val="5"/>
          <c:marker>
            <c:symbol val="none"/>
          </c:marker>
          <c:val>
            <c:numRef>
              <c:f>ExpKayaFactorsRef!$E$11:$N$11</c:f>
              <c:numCache>
                <c:formatCode>0.00</c:formatCode>
                <c:ptCount val="10"/>
              </c:numCache>
            </c:numRef>
          </c:val>
          <c:smooth val="0"/>
          <c:extLst>
            <c:ext xmlns:c16="http://schemas.microsoft.com/office/drawing/2014/chart" uri="{C3380CC4-5D6E-409C-BE32-E72D297353CC}">
              <c16:uniqueId val="{00000000-38B8-9647-A06A-53B3FD0959A1}"/>
            </c:ext>
          </c:extLst>
        </c:ser>
        <c:dLbls>
          <c:showLegendKey val="0"/>
          <c:showVal val="0"/>
          <c:showCatName val="0"/>
          <c:showSerName val="0"/>
          <c:showPercent val="0"/>
          <c:showBubbleSize val="0"/>
        </c:dLbls>
        <c:marker val="1"/>
        <c:smooth val="0"/>
        <c:axId val="-1643096896"/>
        <c:axId val="-1643094144"/>
      </c:lineChart>
      <c:catAx>
        <c:axId val="-1643096896"/>
        <c:scaling>
          <c:orientation val="minMax"/>
        </c:scaling>
        <c:delete val="0"/>
        <c:axPos val="b"/>
        <c:numFmt formatCode="General" sourceLinked="1"/>
        <c:majorTickMark val="none"/>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3094144"/>
        <c:crosses val="autoZero"/>
        <c:auto val="1"/>
        <c:lblAlgn val="ctr"/>
        <c:lblOffset val="100"/>
        <c:tickLblSkip val="9"/>
        <c:tickMarkSkip val="1"/>
        <c:noMultiLvlLbl val="0"/>
      </c:catAx>
      <c:valAx>
        <c:axId val="-1643094144"/>
        <c:scaling>
          <c:orientation val="minMax"/>
          <c:max val="10"/>
          <c:min val="-2"/>
        </c:scaling>
        <c:delete val="0"/>
        <c:axPos val="l"/>
        <c:title>
          <c:tx>
            <c:rich>
              <a:bodyPr/>
              <a:lstStyle/>
              <a:p>
                <a:pPr marL="0" marR="0" indent="0" algn="ctr" defTabSz="914400" rtl="0" eaLnBrk="1" fontAlgn="auto" latinLnBrk="0" hangingPunct="1">
                  <a:lnSpc>
                    <a:spcPct val="100000"/>
                  </a:lnSpc>
                  <a:spcBef>
                    <a:spcPts val="0"/>
                  </a:spcBef>
                  <a:spcAft>
                    <a:spcPts val="0"/>
                  </a:spcAft>
                  <a:buClrTx/>
                  <a:buSzTx/>
                  <a:buFontTx/>
                  <a:buNone/>
                  <a:tabLst/>
                  <a:defRPr sz="800" b="0" i="0" u="none" strike="noStrike" kern="1200" baseline="0">
                    <a:solidFill>
                      <a:srgbClr val="000000"/>
                    </a:solidFill>
                    <a:latin typeface="Arial"/>
                    <a:ea typeface="Arial"/>
                    <a:cs typeface="Arial"/>
                  </a:defRPr>
                </a:pPr>
                <a:r>
                  <a:rPr lang="en-US" sz="800" b="0" i="0" kern="1200" baseline="0">
                    <a:solidFill>
                      <a:srgbClr val="000000"/>
                    </a:solidFill>
                    <a:effectLst/>
                    <a:latin typeface="Arial" panose="020B0604020202020204" pitchFamily="34" charset="0"/>
                    <a:ea typeface="Arial" panose="020B0604020202020204" pitchFamily="34" charset="0"/>
                    <a:cs typeface="Arial" panose="020B0604020202020204" pitchFamily="34" charset="0"/>
                  </a:rPr>
                  <a:t>NFC (2010=1)</a:t>
                </a:r>
                <a:endParaRPr lang="en-US">
                  <a:effectLst/>
                </a:endParaRPr>
              </a:p>
            </c:rich>
          </c:tx>
          <c:layout>
            <c:manualLayout>
              <c:xMode val="edge"/>
              <c:yMode val="edge"/>
              <c:x val="8.6848155608455907E-3"/>
              <c:y val="0.3053639545056869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3096896"/>
        <c:crosses val="autoZero"/>
        <c:crossBetween val="midCat"/>
        <c:majorUnit val="2"/>
        <c:minorUnit val="0.25"/>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 verticalDpi="1200"/>
  </c:printSettings>
  <c:userShapes r:id="rId2"/>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23079197358394701"/>
          <c:y val="0.16133372229792822"/>
          <c:w val="0.60464719329438599"/>
          <c:h val="0.69768437299218122"/>
        </c:manualLayout>
      </c:layout>
      <c:areaChart>
        <c:grouping val="stacked"/>
        <c:varyColors val="0"/>
        <c:ser>
          <c:idx val="0"/>
          <c:order val="0"/>
          <c:tx>
            <c:v>Reference case</c:v>
          </c:tx>
          <c:spPr>
            <a:noFill/>
            <a:ln w="12700">
              <a:noFill/>
              <a:prstDash val="solid"/>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[0]!FEindexRef</c:f>
              <c:numCache>
                <c:formatCode>0.00</c:formatCode>
                <c:ptCount val="10"/>
                <c:pt idx="0">
                  <c:v>1</c:v>
                </c:pt>
                <c:pt idx="1">
                  <c:v>1.149163241890867</c:v>
                </c:pt>
                <c:pt idx="2">
                  <c:v>1.3023512323145272</c:v>
                </c:pt>
                <c:pt idx="3">
                  <c:v>1.4721956939068748</c:v>
                </c:pt>
                <c:pt idx="4">
                  <c:v>1.6352584995449015</c:v>
                </c:pt>
                <c:pt idx="5">
                  <c:v>1.8052220627976585</c:v>
                </c:pt>
                <c:pt idx="6">
                  <c:v>1.9533026946146925</c:v>
                </c:pt>
                <c:pt idx="7">
                  <c:v>2.0794664387523594</c:v>
                </c:pt>
                <c:pt idx="8">
                  <c:v>2.1759008124540635</c:v>
                </c:pt>
                <c:pt idx="9">
                  <c:v>2.2595902194473179</c:v>
                </c:pt>
              </c:numCache>
            </c:numRef>
          </c:val>
          <c:extLst>
            <c:ext xmlns:c16="http://schemas.microsoft.com/office/drawing/2014/chart" uri="{C3380CC4-5D6E-409C-BE32-E72D297353CC}">
              <c16:uniqueId val="{00000000-305B-BD49-ABDB-32B3BEEE03E1}"/>
            </c:ext>
          </c:extLst>
        </c:ser>
        <c:ser>
          <c:idx val="1"/>
          <c:order val="1"/>
          <c:tx>
            <c:v>Area for Intervention Case</c:v>
          </c:tx>
          <c:spPr>
            <a:solidFill>
              <a:srgbClr val="A1F4FF"/>
            </a:solidFill>
            <a:ln w="12700">
              <a:solidFill>
                <a:sysClr val="windowText" lastClr="000000"/>
              </a:solidFill>
              <a:prstDash val="solid"/>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[0]!AreaFEIndex</c:f>
              <c:numCache>
                <c:formatCode>General</c:formatCode>
                <c:ptCount val="10"/>
                <c:pt idx="0">
                  <c:v>0</c:v>
                </c:pt>
                <c:pt idx="1">
                  <c:v>-0.15585523946874713</c:v>
                </c:pt>
                <c:pt idx="2">
                  <c:v>-0.48688482563790147</c:v>
                </c:pt>
                <c:pt idx="3">
                  <c:v>-0.73485708716927123</c:v>
                </c:pt>
                <c:pt idx="4">
                  <c:v>-0.87336221416959614</c:v>
                </c:pt>
                <c:pt idx="5">
                  <c:v>-0.98922978776307191</c:v>
                </c:pt>
                <c:pt idx="6">
                  <c:v>-1.0874260477728326</c:v>
                </c:pt>
                <c:pt idx="7">
                  <c:v>-1.1699492575834063</c:v>
                </c:pt>
                <c:pt idx="8">
                  <c:v>-1.2444009411185599</c:v>
                </c:pt>
                <c:pt idx="9">
                  <c:v>-1.31885300160686</c:v>
                </c:pt>
              </c:numCache>
            </c:numRef>
          </c:val>
          <c:extLst>
            <c:ext xmlns:c16="http://schemas.microsoft.com/office/drawing/2014/chart" uri="{C3380CC4-5D6E-409C-BE32-E72D297353CC}">
              <c16:uniqueId val="{00000001-305B-BD49-ABDB-32B3BEEE03E1}"/>
            </c:ext>
          </c:extLst>
        </c:ser>
        <c:dLbls>
          <c:showLegendKey val="0"/>
          <c:showVal val="0"/>
          <c:showCatName val="0"/>
          <c:showSerName val="0"/>
          <c:showPercent val="0"/>
          <c:showBubbleSize val="0"/>
        </c:dLbls>
        <c:axId val="-1643058464"/>
        <c:axId val="-1643055712"/>
      </c:areaChart>
      <c:lineChart>
        <c:grouping val="standard"/>
        <c:varyColors val="0"/>
        <c:ser>
          <c:idx val="2"/>
          <c:order val="2"/>
          <c:tx>
            <c:v>Line for Intervention Case</c:v>
          </c:tx>
          <c:spPr>
            <a:ln w="28575">
              <a:solidFill>
                <a:srgbClr val="C00000"/>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[0]!FEindexInt</c:f>
              <c:numCache>
                <c:formatCode>0.00</c:formatCode>
                <c:ptCount val="10"/>
                <c:pt idx="0">
                  <c:v>1</c:v>
                </c:pt>
                <c:pt idx="1">
                  <c:v>0.99330800242211992</c:v>
                </c:pt>
                <c:pt idx="2">
                  <c:v>0.81546640667662573</c:v>
                </c:pt>
                <c:pt idx="3">
                  <c:v>0.73733860673760354</c:v>
                </c:pt>
                <c:pt idx="4">
                  <c:v>0.7618962853753054</c:v>
                </c:pt>
                <c:pt idx="5">
                  <c:v>0.8159922750345866</c:v>
                </c:pt>
                <c:pt idx="6">
                  <c:v>0.86587664684185983</c:v>
                </c:pt>
                <c:pt idx="7">
                  <c:v>0.90951718116895308</c:v>
                </c:pt>
                <c:pt idx="8">
                  <c:v>0.9314998713355036</c:v>
                </c:pt>
                <c:pt idx="9">
                  <c:v>0.94073721784045783</c:v>
                </c:pt>
              </c:numCache>
            </c:numRef>
          </c:val>
          <c:smooth val="0"/>
          <c:extLst>
            <c:ext xmlns:c16="http://schemas.microsoft.com/office/drawing/2014/chart" uri="{C3380CC4-5D6E-409C-BE32-E72D297353CC}">
              <c16:uniqueId val="{00000002-305B-BD49-ABDB-32B3BEEE03E1}"/>
            </c:ext>
          </c:extLst>
        </c:ser>
        <c:ser>
          <c:idx val="3"/>
          <c:order val="3"/>
          <c:tx>
            <c:v>projindex1</c:v>
          </c:tx>
          <c:spPr>
            <a:ln w="19050" cmpd="sng">
              <a:solidFill>
                <a:srgbClr val="008000"/>
              </a:solid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[0]!FEprojindex1</c:f>
              <c:numCache>
                <c:formatCode>General</c:formatCode>
                <c:ptCount val="10"/>
                <c:pt idx="0">
                  <c:v>1</c:v>
                </c:pt>
                <c:pt idx="1">
                  <c:v>1.2464608504766781</c:v>
                </c:pt>
                <c:pt idx="2">
                  <c:v>1.5536646517710437</c:v>
                </c:pt>
                <c:pt idx="3">
                  <c:v>1.936582163202087</c:v>
                </c:pt>
                <c:pt idx="4">
                  <c:v>2.4138738501628385</c:v>
                </c:pt>
                <c:pt idx="5">
                  <c:v>3.008799252217385</c:v>
                </c:pt>
                <c:pt idx="6">
                  <c:v>3.7503504748324747</c:v>
                </c:pt>
                <c:pt idx="7">
                  <c:v>4.6746650424452998</c:v>
                </c:pt>
                <c:pt idx="8">
                  <c:v>5.8267869644999646</c:v>
                </c:pt>
                <c:pt idx="9">
                  <c:v>7.2628618353170475</c:v>
                </c:pt>
              </c:numCache>
            </c:numRef>
          </c:val>
          <c:smooth val="0"/>
          <c:extLst>
            <c:ext xmlns:c16="http://schemas.microsoft.com/office/drawing/2014/chart" uri="{C3380CC4-5D6E-409C-BE32-E72D297353CC}">
              <c16:uniqueId val="{00000003-305B-BD49-ABDB-32B3BEEE03E1}"/>
            </c:ext>
          </c:extLst>
        </c:ser>
        <c:ser>
          <c:idx val="4"/>
          <c:order val="4"/>
          <c:tx>
            <c:v>projindex2</c:v>
          </c:tx>
          <c:spPr>
            <a:ln w="19050" cmpd="sng">
              <a:solidFill>
                <a:srgbClr val="3366FF"/>
              </a:solid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[0]!FEprojindex2</c:f>
              <c:numCache>
                <c:formatCode>General</c:formatCode>
                <c:ptCount val="10"/>
                <c:pt idx="0">
                  <c:v>1</c:v>
                </c:pt>
                <c:pt idx="1">
                  <c:v>1.2082202311189503</c:v>
                </c:pt>
                <c:pt idx="2">
                  <c:v>1.4597961268851296</c:v>
                </c:pt>
                <c:pt idx="3">
                  <c:v>1.7637552138116999</c:v>
                </c:pt>
                <c:pt idx="4">
                  <c:v>2.1310047320688255</c:v>
                </c:pt>
                <c:pt idx="5">
                  <c:v>2.5747230298957731</c:v>
                </c:pt>
                <c:pt idx="6">
                  <c:v>3.1108324542479546</c:v>
                </c:pt>
                <c:pt idx="7">
                  <c:v>3.7585707068437952</c:v>
                </c:pt>
                <c:pt idx="8">
                  <c:v>4.5411811680997269</c:v>
                </c:pt>
                <c:pt idx="9">
                  <c:v>5.486746960474477</c:v>
                </c:pt>
              </c:numCache>
            </c:numRef>
          </c:val>
          <c:smooth val="0"/>
          <c:extLst>
            <c:ext xmlns:c16="http://schemas.microsoft.com/office/drawing/2014/chart" uri="{C3380CC4-5D6E-409C-BE32-E72D297353CC}">
              <c16:uniqueId val="{00000004-305B-BD49-ABDB-32B3BEEE03E1}"/>
            </c:ext>
          </c:extLst>
        </c:ser>
        <c:dLbls>
          <c:showLegendKey val="0"/>
          <c:showVal val="0"/>
          <c:showCatName val="0"/>
          <c:showSerName val="0"/>
          <c:showPercent val="0"/>
          <c:showBubbleSize val="0"/>
        </c:dLbls>
        <c:marker val="1"/>
        <c:smooth val="0"/>
        <c:axId val="-1643058464"/>
        <c:axId val="-1643055712"/>
      </c:lineChart>
      <c:catAx>
        <c:axId val="-1643058464"/>
        <c:scaling>
          <c:orientation val="minMax"/>
        </c:scaling>
        <c:delete val="0"/>
        <c:axPos val="b"/>
        <c:numFmt formatCode="General" sourceLinked="1"/>
        <c:majorTickMark val="none"/>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3055712"/>
        <c:crosses val="autoZero"/>
        <c:auto val="1"/>
        <c:lblAlgn val="ctr"/>
        <c:lblOffset val="100"/>
        <c:tickLblSkip val="9"/>
        <c:tickMarkSkip val="1"/>
        <c:noMultiLvlLbl val="0"/>
      </c:catAx>
      <c:valAx>
        <c:axId val="-1643055712"/>
        <c:scaling>
          <c:orientation val="minMax"/>
          <c:max val="5"/>
          <c:min val="0"/>
        </c:scaling>
        <c:delete val="0"/>
        <c:axPos val="l"/>
        <c:title>
          <c:tx>
            <c:rich>
              <a:bodyPr/>
              <a:lstStyle/>
              <a:p>
                <a:pPr marL="0" marR="0" indent="0" algn="ctr" defTabSz="914400" rtl="0" eaLnBrk="1" fontAlgn="auto" latinLnBrk="0" hangingPunct="1">
                  <a:lnSpc>
                    <a:spcPct val="100000"/>
                  </a:lnSpc>
                  <a:spcBef>
                    <a:spcPts val="0"/>
                  </a:spcBef>
                  <a:spcAft>
                    <a:spcPts val="0"/>
                  </a:spcAft>
                  <a:buClrTx/>
                  <a:buSzTx/>
                  <a:buFontTx/>
                  <a:buNone/>
                  <a:tabLst/>
                  <a:defRPr sz="800" b="0" i="0" u="none" strike="noStrike" kern="1200" baseline="0">
                    <a:solidFill>
                      <a:srgbClr val="000000"/>
                    </a:solidFill>
                    <a:latin typeface="Arial"/>
                    <a:ea typeface="Arial"/>
                    <a:cs typeface="Arial"/>
                  </a:defRPr>
                </a:pPr>
                <a:r>
                  <a:rPr lang="en-US" sz="800" b="0" i="0" kern="1200" baseline="0">
                    <a:solidFill>
                      <a:srgbClr val="000000"/>
                    </a:solidFill>
                    <a:effectLst/>
                    <a:latin typeface="Arial" panose="020B0604020202020204" pitchFamily="34" charset="0"/>
                    <a:ea typeface="Arial" panose="020B0604020202020204" pitchFamily="34" charset="0"/>
                    <a:cs typeface="Arial" panose="020B0604020202020204" pitchFamily="34" charset="0"/>
                  </a:rPr>
                  <a:t>FE (2010=1)</a:t>
                </a:r>
                <a:endParaRPr lang="en-US">
                  <a:effectLst/>
                </a:endParaRPr>
              </a:p>
            </c:rich>
          </c:tx>
          <c:layout>
            <c:manualLayout>
              <c:xMode val="edge"/>
              <c:yMode val="edge"/>
              <c:x val="2.7988870577224358E-2"/>
              <c:y val="0.4019354096760715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3058464"/>
        <c:crosses val="autoZero"/>
        <c:crossBetween val="midCat"/>
        <c:majorUnit val="1"/>
        <c:minorUnit val="0.5"/>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 verticalDpi="1200"/>
  </c:printSettings>
  <c:userShapes r:id="rId2"/>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23146554355124216"/>
          <c:y val="0.16513676242447245"/>
          <c:w val="0.60144780289560595"/>
          <c:h val="0.69177195955585224"/>
        </c:manualLayout>
      </c:layout>
      <c:areaChart>
        <c:grouping val="stacked"/>
        <c:varyColors val="0"/>
        <c:ser>
          <c:idx val="0"/>
          <c:order val="0"/>
          <c:tx>
            <c:v>Reference case</c:v>
          </c:tx>
          <c:spPr>
            <a:noFill/>
            <a:ln w="12700">
              <a:noFill/>
              <a:prstDash val="solid"/>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[0]!PEdeqindexRef</c:f>
              <c:numCache>
                <c:formatCode>0.00</c:formatCode>
                <c:ptCount val="10"/>
                <c:pt idx="0">
                  <c:v>1</c:v>
                </c:pt>
                <c:pt idx="1">
                  <c:v>1.1738897039387466</c:v>
                </c:pt>
                <c:pt idx="2">
                  <c:v>1.3365741905048687</c:v>
                </c:pt>
                <c:pt idx="3">
                  <c:v>1.4925570782851583</c:v>
                </c:pt>
                <c:pt idx="4">
                  <c:v>1.6440617804911264</c:v>
                </c:pt>
                <c:pt idx="5">
                  <c:v>1.7978279219660855</c:v>
                </c:pt>
                <c:pt idx="6">
                  <c:v>1.9296778439818023</c:v>
                </c:pt>
                <c:pt idx="7">
                  <c:v>2.0499975986791621</c:v>
                </c:pt>
                <c:pt idx="8">
                  <c:v>2.1637774887962027</c:v>
                </c:pt>
                <c:pt idx="9">
                  <c:v>2.2753726090653381</c:v>
                </c:pt>
              </c:numCache>
            </c:numRef>
          </c:val>
          <c:extLst>
            <c:ext xmlns:c16="http://schemas.microsoft.com/office/drawing/2014/chart" uri="{C3380CC4-5D6E-409C-BE32-E72D297353CC}">
              <c16:uniqueId val="{00000000-595F-C742-A81F-0291D8BCB3CC}"/>
            </c:ext>
          </c:extLst>
        </c:ser>
        <c:ser>
          <c:idx val="1"/>
          <c:order val="1"/>
          <c:tx>
            <c:v>Area for Intervention Case</c:v>
          </c:tx>
          <c:spPr>
            <a:solidFill>
              <a:srgbClr val="A1F4FF"/>
            </a:solidFill>
            <a:ln w="12700">
              <a:solidFill>
                <a:srgbClr val="000000"/>
              </a:solidFill>
              <a:prstDash val="solid"/>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[0]!AreaIndexPEdeq</c:f>
              <c:numCache>
                <c:formatCode>General</c:formatCode>
                <c:ptCount val="10"/>
                <c:pt idx="0">
                  <c:v>0</c:v>
                </c:pt>
                <c:pt idx="1">
                  <c:v>-0.16193837371059461</c:v>
                </c:pt>
                <c:pt idx="2">
                  <c:v>-0.54118952957489319</c:v>
                </c:pt>
                <c:pt idx="3">
                  <c:v>-0.84043739722413358</c:v>
                </c:pt>
                <c:pt idx="4">
                  <c:v>-0.95078082653596729</c:v>
                </c:pt>
                <c:pt idx="5">
                  <c:v>-1.0406488345736484</c:v>
                </c:pt>
                <c:pt idx="6">
                  <c:v>-1.0662841586182592</c:v>
                </c:pt>
                <c:pt idx="7">
                  <c:v>-1.1222672634577204</c:v>
                </c:pt>
                <c:pt idx="8">
                  <c:v>-1.2181834378172811</c:v>
                </c:pt>
                <c:pt idx="9">
                  <c:v>-1.3022696397355835</c:v>
                </c:pt>
              </c:numCache>
            </c:numRef>
          </c:val>
          <c:extLst>
            <c:ext xmlns:c16="http://schemas.microsoft.com/office/drawing/2014/chart" uri="{C3380CC4-5D6E-409C-BE32-E72D297353CC}">
              <c16:uniqueId val="{00000001-595F-C742-A81F-0291D8BCB3CC}"/>
            </c:ext>
          </c:extLst>
        </c:ser>
        <c:dLbls>
          <c:showLegendKey val="0"/>
          <c:showVal val="0"/>
          <c:showCatName val="0"/>
          <c:showSerName val="0"/>
          <c:showPercent val="0"/>
          <c:showBubbleSize val="0"/>
        </c:dLbls>
        <c:axId val="-1643440160"/>
        <c:axId val="-1643437408"/>
      </c:areaChart>
      <c:lineChart>
        <c:grouping val="standard"/>
        <c:varyColors val="0"/>
        <c:ser>
          <c:idx val="2"/>
          <c:order val="2"/>
          <c:tx>
            <c:v>Line for Intervention Case</c:v>
          </c:tx>
          <c:spPr>
            <a:ln w="28575">
              <a:solidFill>
                <a:srgbClr val="C00000"/>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[0]!PEdeqindexInt</c:f>
              <c:numCache>
                <c:formatCode>0.00</c:formatCode>
                <c:ptCount val="10"/>
                <c:pt idx="0">
                  <c:v>1</c:v>
                </c:pt>
                <c:pt idx="1">
                  <c:v>1.011951330228152</c:v>
                </c:pt>
                <c:pt idx="2">
                  <c:v>0.79538466092997551</c:v>
                </c:pt>
                <c:pt idx="3">
                  <c:v>0.65211968106102469</c:v>
                </c:pt>
                <c:pt idx="4">
                  <c:v>0.6932809539551591</c:v>
                </c:pt>
                <c:pt idx="5">
                  <c:v>0.75717908739243711</c:v>
                </c:pt>
                <c:pt idx="6">
                  <c:v>0.86339368536354311</c:v>
                </c:pt>
                <c:pt idx="7">
                  <c:v>0.92773033522144155</c:v>
                </c:pt>
                <c:pt idx="8">
                  <c:v>0.94559405097892157</c:v>
                </c:pt>
                <c:pt idx="9">
                  <c:v>0.97310296932975449</c:v>
                </c:pt>
              </c:numCache>
            </c:numRef>
          </c:val>
          <c:smooth val="0"/>
          <c:extLst>
            <c:ext xmlns:c16="http://schemas.microsoft.com/office/drawing/2014/chart" uri="{C3380CC4-5D6E-409C-BE32-E72D297353CC}">
              <c16:uniqueId val="{00000002-595F-C742-A81F-0291D8BCB3CC}"/>
            </c:ext>
          </c:extLst>
        </c:ser>
        <c:ser>
          <c:idx val="3"/>
          <c:order val="3"/>
          <c:tx>
            <c:v>projindex1</c:v>
          </c:tx>
          <c:spPr>
            <a:ln w="19050" cmpd="sng">
              <a:solidFill>
                <a:srgbClr val="008000"/>
              </a:solid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[0]!PEdeqprojindex1</c:f>
              <c:numCache>
                <c:formatCode>General</c:formatCode>
                <c:ptCount val="10"/>
                <c:pt idx="0">
                  <c:v>1</c:v>
                </c:pt>
                <c:pt idx="1">
                  <c:v>1.2728680113810416</c:v>
                </c:pt>
                <c:pt idx="2">
                  <c:v>1.6201929743971273</c:v>
                </c:pt>
                <c:pt idx="3">
                  <c:v>2.0622918093744063</c:v>
                </c:pt>
                <c:pt idx="4">
                  <c:v>2.6250252742858105</c:v>
                </c:pt>
                <c:pt idx="5">
                  <c:v>3.3413107007051526</c:v>
                </c:pt>
                <c:pt idx="6">
                  <c:v>4.253047507012762</c:v>
                </c:pt>
                <c:pt idx="7">
                  <c:v>5.4135681225604309</c:v>
                </c:pt>
                <c:pt idx="8">
                  <c:v>6.890757690639294</c:v>
                </c:pt>
                <c:pt idx="9">
                  <c:v>8.771025038592656</c:v>
                </c:pt>
              </c:numCache>
            </c:numRef>
          </c:val>
          <c:smooth val="0"/>
          <c:extLst>
            <c:ext xmlns:c16="http://schemas.microsoft.com/office/drawing/2014/chart" uri="{C3380CC4-5D6E-409C-BE32-E72D297353CC}">
              <c16:uniqueId val="{00000003-595F-C742-A81F-0291D8BCB3CC}"/>
            </c:ext>
          </c:extLst>
        </c:ser>
        <c:ser>
          <c:idx val="5"/>
          <c:order val="4"/>
          <c:tx>
            <c:v>projindex2</c:v>
          </c:tx>
          <c:spPr>
            <a:ln w="19050" cmpd="sng">
              <a:solidFill>
                <a:srgbClr val="3366FF"/>
              </a:solid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[0]!PEdeqprojindex2</c:f>
              <c:numCache>
                <c:formatCode>General</c:formatCode>
                <c:ptCount val="10"/>
                <c:pt idx="0">
                  <c:v>1</c:v>
                </c:pt>
                <c:pt idx="1">
                  <c:v>1.2423206460377971</c:v>
                </c:pt>
                <c:pt idx="2">
                  <c:v>1.5433605875717695</c:v>
                </c:pt>
                <c:pt idx="3">
                  <c:v>1.9173487222214349</c:v>
                </c:pt>
                <c:pt idx="4">
                  <c:v>2.381961903269878</c:v>
                </c:pt>
                <c:pt idx="5">
                  <c:v>2.9591604505076559</c:v>
                </c:pt>
                <c:pt idx="6">
                  <c:v>3.6762261226041697</c:v>
                </c:pt>
                <c:pt idx="7">
                  <c:v>4.5670516116146382</c:v>
                </c:pt>
                <c:pt idx="8">
                  <c:v>5.6737425086290596</c:v>
                </c:pt>
                <c:pt idx="9">
                  <c:v>7.0486074587721648</c:v>
                </c:pt>
              </c:numCache>
            </c:numRef>
          </c:val>
          <c:smooth val="0"/>
          <c:extLst>
            <c:ext xmlns:c16="http://schemas.microsoft.com/office/drawing/2014/chart" uri="{C3380CC4-5D6E-409C-BE32-E72D297353CC}">
              <c16:uniqueId val="{00000004-595F-C742-A81F-0291D8BCB3CC}"/>
            </c:ext>
          </c:extLst>
        </c:ser>
        <c:dLbls>
          <c:showLegendKey val="0"/>
          <c:showVal val="0"/>
          <c:showCatName val="0"/>
          <c:showSerName val="0"/>
          <c:showPercent val="0"/>
          <c:showBubbleSize val="0"/>
        </c:dLbls>
        <c:marker val="1"/>
        <c:smooth val="0"/>
        <c:axId val="-1643440160"/>
        <c:axId val="-1643437408"/>
      </c:lineChart>
      <c:catAx>
        <c:axId val="-1643440160"/>
        <c:scaling>
          <c:orientation val="minMax"/>
        </c:scaling>
        <c:delete val="0"/>
        <c:axPos val="b"/>
        <c:numFmt formatCode="General" sourceLinked="1"/>
        <c:majorTickMark val="none"/>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3437408"/>
        <c:crosses val="autoZero"/>
        <c:auto val="1"/>
        <c:lblAlgn val="ctr"/>
        <c:lblOffset val="100"/>
        <c:tickLblSkip val="9"/>
        <c:tickMarkSkip val="1"/>
        <c:noMultiLvlLbl val="0"/>
      </c:catAx>
      <c:valAx>
        <c:axId val="-1643437408"/>
        <c:scaling>
          <c:orientation val="minMax"/>
          <c:max val="5"/>
          <c:min val="0"/>
        </c:scaling>
        <c:delete val="0"/>
        <c:axPos val="l"/>
        <c:title>
          <c:tx>
            <c:rich>
              <a:bodyPr rot="-5400000" vert="horz"/>
              <a:lstStyle/>
              <a:p>
                <a:pPr marL="0" marR="0" indent="0" algn="ctr" defTabSz="914400" rtl="0" eaLnBrk="1" fontAlgn="auto" latinLnBrk="0" hangingPunct="1">
                  <a:lnSpc>
                    <a:spcPct val="100000"/>
                  </a:lnSpc>
                  <a:spcBef>
                    <a:spcPts val="0"/>
                  </a:spcBef>
                  <a:spcAft>
                    <a:spcPts val="0"/>
                  </a:spcAft>
                  <a:buClrTx/>
                  <a:buSzTx/>
                  <a:buFontTx/>
                  <a:buNone/>
                  <a:tabLst/>
                  <a:defRPr sz="800" b="0" i="0" u="none" strike="noStrike" kern="1200" baseline="0">
                    <a:solidFill>
                      <a:srgbClr val="000000"/>
                    </a:solidFill>
                    <a:latin typeface="Arial"/>
                    <a:ea typeface="Arial"/>
                    <a:cs typeface="Arial"/>
                  </a:defRPr>
                </a:pPr>
                <a:r>
                  <a:rPr lang="en-US" sz="800" b="0" i="0" kern="1200" baseline="0">
                    <a:solidFill>
                      <a:srgbClr val="000000"/>
                    </a:solidFill>
                    <a:effectLst/>
                    <a:latin typeface="Arial" panose="020B0604020202020204" pitchFamily="34" charset="0"/>
                    <a:ea typeface="Arial" panose="020B0604020202020204" pitchFamily="34" charset="0"/>
                    <a:cs typeface="Arial" panose="020B0604020202020204" pitchFamily="34" charset="0"/>
                  </a:rPr>
                  <a:t>PE (2010=1)</a:t>
                </a:r>
                <a:endParaRPr lang="en-US">
                  <a:effectLst/>
                </a:endParaRPr>
              </a:p>
            </c:rich>
          </c:tx>
          <c:layout>
            <c:manualLayout>
              <c:xMode val="edge"/>
              <c:yMode val="edge"/>
              <c:x val="5.378644529898878E-2"/>
              <c:y val="0.3278852198023621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3440160"/>
        <c:crosses val="autoZero"/>
        <c:crossBetween val="midCat"/>
        <c:majorUnit val="1"/>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 verticalDpi="1200"/>
  </c:printSettings>
  <c:userShapes r:id="rId2"/>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b="1"/>
              <a:t>Population</a:t>
            </a:r>
          </a:p>
        </c:rich>
      </c:tx>
      <c:layout>
        <c:manualLayout>
          <c:xMode val="edge"/>
          <c:yMode val="edge"/>
          <c:x val="0.34002082804165601"/>
          <c:y val="4.4444444444444398E-2"/>
        </c:manualLayout>
      </c:layout>
      <c:overlay val="0"/>
    </c:title>
    <c:autoTitleDeleted val="0"/>
    <c:plotArea>
      <c:layout>
        <c:manualLayout>
          <c:layoutTarget val="inner"/>
          <c:xMode val="edge"/>
          <c:yMode val="edge"/>
          <c:x val="0.229590551181102"/>
          <c:y val="0.176248031496063"/>
          <c:w val="0.60464363728727399"/>
          <c:h val="0.67409186351705996"/>
        </c:manualLayout>
      </c:layout>
      <c:lineChart>
        <c:grouping val="standard"/>
        <c:varyColors val="0"/>
        <c:ser>
          <c:idx val="0"/>
          <c:order val="0"/>
          <c:tx>
            <c:v>Reference case</c:v>
          </c:tx>
          <c:spPr>
            <a:ln>
              <a:solidFill>
                <a:sysClr val="windowText" lastClr="000000"/>
              </a:solidFill>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[0]!PopRef</c:f>
              <c:numCache>
                <c:formatCode>0.00</c:formatCode>
                <c:ptCount val="10"/>
                <c:pt idx="0">
                  <c:v>6.9217978520000001</c:v>
                </c:pt>
                <c:pt idx="1">
                  <c:v>7.6715019529999999</c:v>
                </c:pt>
                <c:pt idx="2">
                  <c:v>8.3276826170000007</c:v>
                </c:pt>
                <c:pt idx="3">
                  <c:v>8.8571757810000005</c:v>
                </c:pt>
                <c:pt idx="4">
                  <c:v>9.2425429690000005</c:v>
                </c:pt>
                <c:pt idx="5">
                  <c:v>9.4599677730000007</c:v>
                </c:pt>
                <c:pt idx="6">
                  <c:v>9.5310947269999993</c:v>
                </c:pt>
                <c:pt idx="7">
                  <c:v>9.4802275389999995</c:v>
                </c:pt>
                <c:pt idx="8">
                  <c:v>9.3257070310000003</c:v>
                </c:pt>
                <c:pt idx="9">
                  <c:v>9.1032343749999995</c:v>
                </c:pt>
              </c:numCache>
            </c:numRef>
          </c:val>
          <c:smooth val="0"/>
          <c:extLst>
            <c:ext xmlns:c16="http://schemas.microsoft.com/office/drawing/2014/chart" uri="{C3380CC4-5D6E-409C-BE32-E72D297353CC}">
              <c16:uniqueId val="{00000000-99A4-E54C-A875-5D3C1E5E0FD8}"/>
            </c:ext>
          </c:extLst>
        </c:ser>
        <c:ser>
          <c:idx val="1"/>
          <c:order val="1"/>
          <c:tx>
            <c:v>Mitigation Case</c:v>
          </c:tx>
          <c:spPr>
            <a:ln w="28575">
              <a:solidFill>
                <a:srgbClr val="C00000"/>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[0]!PopInt</c:f>
              <c:numCache>
                <c:formatCode>0.00</c:formatCode>
                <c:ptCount val="10"/>
                <c:pt idx="0">
                  <c:v>6.9217978515625003</c:v>
                </c:pt>
                <c:pt idx="1">
                  <c:v>7.5761049804687497</c:v>
                </c:pt>
                <c:pt idx="2">
                  <c:v>8.0619379882812492</c:v>
                </c:pt>
                <c:pt idx="3">
                  <c:v>8.3887626953125007</c:v>
                </c:pt>
                <c:pt idx="4">
                  <c:v>8.5305</c:v>
                </c:pt>
                <c:pt idx="5">
                  <c:v>8.4921757812499994</c:v>
                </c:pt>
                <c:pt idx="6">
                  <c:v>8.2989501953125</c:v>
                </c:pt>
                <c:pt idx="7">
                  <c:v>7.9673872070312504</c:v>
                </c:pt>
                <c:pt idx="8">
                  <c:v>7.5104541015624999</c:v>
                </c:pt>
                <c:pt idx="9">
                  <c:v>6.9579887695312497</c:v>
                </c:pt>
              </c:numCache>
            </c:numRef>
          </c:val>
          <c:smooth val="0"/>
          <c:extLst>
            <c:ext xmlns:c16="http://schemas.microsoft.com/office/drawing/2014/chart" uri="{C3380CC4-5D6E-409C-BE32-E72D297353CC}">
              <c16:uniqueId val="{00000001-99A4-E54C-A875-5D3C1E5E0FD8}"/>
            </c:ext>
          </c:extLst>
        </c:ser>
        <c:ser>
          <c:idx val="2"/>
          <c:order val="2"/>
          <c:tx>
            <c:v>proj1</c:v>
          </c:tx>
          <c:spPr>
            <a:ln w="19050" cmpd="sng">
              <a:solidFill>
                <a:srgbClr val="008000"/>
              </a:solid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[0]!Pproj1</c:f>
              <c:numCache>
                <c:formatCode>General</c:formatCode>
                <c:ptCount val="10"/>
                <c:pt idx="0">
                  <c:v>6.9217978520000001</c:v>
                </c:pt>
                <c:pt idx="1">
                  <c:v>7.9025930608181971</c:v>
                </c:pt>
                <c:pt idx="2">
                  <c:v>9.0223636142230301</c:v>
                </c:pt>
                <c:pt idx="3">
                  <c:v>10.300801845771312</c:v>
                </c:pt>
                <c:pt idx="4">
                  <c:v>11.760390425694803</c:v>
                </c:pt>
                <c:pt idx="5">
                  <c:v>13.426797742114777</c:v>
                </c:pt>
                <c:pt idx="6">
                  <c:v>15.32932930642969</c:v>
                </c:pt>
                <c:pt idx="7">
                  <c:v>17.501443121310658</c:v>
                </c:pt>
                <c:pt idx="8">
                  <c:v>19.981338074588713</c:v>
                </c:pt>
                <c:pt idx="9">
                  <c:v>22.81262570655425</c:v>
                </c:pt>
              </c:numCache>
            </c:numRef>
          </c:val>
          <c:smooth val="0"/>
          <c:extLst>
            <c:ext xmlns:c16="http://schemas.microsoft.com/office/drawing/2014/chart" uri="{C3380CC4-5D6E-409C-BE32-E72D297353CC}">
              <c16:uniqueId val="{00000002-99A4-E54C-A875-5D3C1E5E0FD8}"/>
            </c:ext>
          </c:extLst>
        </c:ser>
        <c:ser>
          <c:idx val="3"/>
          <c:order val="3"/>
          <c:tx>
            <c:v>proj2</c:v>
          </c:tx>
          <c:spPr>
            <a:ln w="19050" cmpd="sng">
              <a:solidFill>
                <a:srgbClr val="3366FF"/>
              </a:solid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[0]!Pproj2</c:f>
              <c:numCache>
                <c:formatCode>General</c:formatCode>
                <c:ptCount val="10"/>
                <c:pt idx="0">
                  <c:v>6.9217978520000001</c:v>
                </c:pt>
                <c:pt idx="1">
                  <c:v>7.839139256025204</c:v>
                </c:pt>
                <c:pt idx="2">
                  <c:v>8.8780553245424922</c:v>
                </c:pt>
                <c:pt idx="3">
                  <c:v>10.054658269408332</c:v>
                </c:pt>
                <c:pt idx="4">
                  <c:v>11.387195643522427</c:v>
                </c:pt>
                <c:pt idx="5">
                  <c:v>12.896333336198655</c:v>
                </c:pt>
                <c:pt idx="6">
                  <c:v>14.60547607372995</c:v>
                </c:pt>
                <c:pt idx="7">
                  <c:v>16.541130395686295</c:v>
                </c:pt>
                <c:pt idx="8">
                  <c:v>18.733315736227333</c:v>
                </c:pt>
                <c:pt idx="9">
                  <c:v>21.21602998575613</c:v>
                </c:pt>
              </c:numCache>
            </c:numRef>
          </c:val>
          <c:smooth val="0"/>
          <c:extLst>
            <c:ext xmlns:c16="http://schemas.microsoft.com/office/drawing/2014/chart" uri="{C3380CC4-5D6E-409C-BE32-E72D297353CC}">
              <c16:uniqueId val="{00000003-99A4-E54C-A875-5D3C1E5E0FD8}"/>
            </c:ext>
          </c:extLst>
        </c:ser>
        <c:dLbls>
          <c:showLegendKey val="0"/>
          <c:showVal val="0"/>
          <c:showCatName val="0"/>
          <c:showSerName val="0"/>
          <c:showPercent val="0"/>
          <c:showBubbleSize val="0"/>
        </c:dLbls>
        <c:smooth val="0"/>
        <c:axId val="-1642923760"/>
        <c:axId val="-1642920496"/>
      </c:lineChart>
      <c:catAx>
        <c:axId val="-1642923760"/>
        <c:scaling>
          <c:orientation val="minMax"/>
        </c:scaling>
        <c:delete val="0"/>
        <c:axPos val="b"/>
        <c:numFmt formatCode="General" sourceLinked="1"/>
        <c:majorTickMark val="none"/>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2920496"/>
        <c:crosses val="autoZero"/>
        <c:auto val="1"/>
        <c:lblAlgn val="ctr"/>
        <c:lblOffset val="100"/>
        <c:tickLblSkip val="9"/>
        <c:tickMarkSkip val="1"/>
        <c:noMultiLvlLbl val="0"/>
      </c:catAx>
      <c:valAx>
        <c:axId val="-1642920496"/>
        <c:scaling>
          <c:orientation val="minMax"/>
          <c:max val="20"/>
          <c:min val="0"/>
        </c:scaling>
        <c:delete val="0"/>
        <c:axPos val="l"/>
        <c:title>
          <c:tx>
            <c:rich>
              <a:bodyPr rot="-5400000" vert="horz" anchor="b" anchorCtr="1"/>
              <a:lstStyle/>
              <a:p>
                <a:pPr>
                  <a:defRPr/>
                </a:pPr>
                <a:r>
                  <a:rPr lang="en-US"/>
                  <a:t>Billions</a:t>
                </a:r>
              </a:p>
            </c:rich>
          </c:tx>
          <c:layout>
            <c:manualLayout>
              <c:xMode val="edge"/>
              <c:yMode val="edge"/>
              <c:x val="1.4998270565016601E-2"/>
              <c:y val="0.456806649168854"/>
            </c:manualLayout>
          </c:layout>
          <c:overlay val="0"/>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2923760"/>
        <c:crosses val="autoZero"/>
        <c:crossBetween val="midCat"/>
        <c:majorUnit val="5"/>
        <c:minorUnit val="0.5"/>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1200" verticalDpi="1200"/>
  </c:printSettings>
  <c:userShapes r:id="rId2"/>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231154686309373"/>
          <c:y val="0.18121872265966699"/>
          <c:w val="0.60308001016002"/>
          <c:h val="0.66327296587926499"/>
        </c:manualLayout>
      </c:layout>
      <c:lineChart>
        <c:grouping val="standard"/>
        <c:varyColors val="0"/>
        <c:ser>
          <c:idx val="0"/>
          <c:order val="0"/>
          <c:tx>
            <c:v>Reference case</c:v>
          </c:tx>
          <c:spPr>
            <a:ln w="19050">
              <a:solidFill>
                <a:srgbClr val="000000"/>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[0]!PopindexRef</c:f>
              <c:numCache>
                <c:formatCode>0.00</c:formatCode>
                <c:ptCount val="10"/>
                <c:pt idx="0">
                  <c:v>1</c:v>
                </c:pt>
                <c:pt idx="1">
                  <c:v>1.1083106032608825</c:v>
                </c:pt>
                <c:pt idx="2">
                  <c:v>1.2031097693200881</c:v>
                </c:pt>
                <c:pt idx="3">
                  <c:v>1.2796062483160771</c:v>
                </c:pt>
                <c:pt idx="4">
                  <c:v>1.3352806838081004</c:v>
                </c:pt>
                <c:pt idx="5">
                  <c:v>1.3666922922729701</c:v>
                </c:pt>
                <c:pt idx="6">
                  <c:v>1.3769680841294814</c:v>
                </c:pt>
                <c:pt idx="7">
                  <c:v>1.3696192436854771</c:v>
                </c:pt>
                <c:pt idx="8">
                  <c:v>1.3472954903335423</c:v>
                </c:pt>
                <c:pt idx="9">
                  <c:v>1.3151546129550273</c:v>
                </c:pt>
              </c:numCache>
            </c:numRef>
          </c:val>
          <c:smooth val="0"/>
          <c:extLst>
            <c:ext xmlns:c16="http://schemas.microsoft.com/office/drawing/2014/chart" uri="{C3380CC4-5D6E-409C-BE32-E72D297353CC}">
              <c16:uniqueId val="{00000000-DDB7-FF46-97A4-784A83219FA7}"/>
            </c:ext>
          </c:extLst>
        </c:ser>
        <c:ser>
          <c:idx val="1"/>
          <c:order val="1"/>
          <c:tx>
            <c:v>Mitigation Case</c:v>
          </c:tx>
          <c:spPr>
            <a:ln w="28575">
              <a:solidFill>
                <a:srgbClr val="C00000"/>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[0]!PopindexInt</c:f>
              <c:numCache>
                <c:formatCode>0.00</c:formatCode>
                <c:ptCount val="10"/>
                <c:pt idx="0">
                  <c:v>1</c:v>
                </c:pt>
                <c:pt idx="1">
                  <c:v>1.0945284943215365</c:v>
                </c:pt>
                <c:pt idx="2">
                  <c:v>1.1647173409523044</c:v>
                </c:pt>
                <c:pt idx="3">
                  <c:v>1.2119340777076946</c:v>
                </c:pt>
                <c:pt idx="4">
                  <c:v>1.2324110271545068</c:v>
                </c:pt>
                <c:pt idx="5">
                  <c:v>1.2268742837286137</c:v>
                </c:pt>
                <c:pt idx="6">
                  <c:v>1.1989587637898333</c:v>
                </c:pt>
                <c:pt idx="7">
                  <c:v>1.1510574821587318</c:v>
                </c:pt>
                <c:pt idx="8">
                  <c:v>1.085043837254958</c:v>
                </c:pt>
                <c:pt idx="9">
                  <c:v>1.0052285430382195</c:v>
                </c:pt>
              </c:numCache>
            </c:numRef>
          </c:val>
          <c:smooth val="0"/>
          <c:extLst>
            <c:ext xmlns:c16="http://schemas.microsoft.com/office/drawing/2014/chart" uri="{C3380CC4-5D6E-409C-BE32-E72D297353CC}">
              <c16:uniqueId val="{00000001-DDB7-FF46-97A4-784A83219FA7}"/>
            </c:ext>
          </c:extLst>
        </c:ser>
        <c:ser>
          <c:idx val="2"/>
          <c:order val="2"/>
          <c:tx>
            <c:v>projindex1</c:v>
          </c:tx>
          <c:spPr>
            <a:ln w="19050" cmpd="sng">
              <a:solidFill>
                <a:srgbClr val="008000"/>
              </a:solid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[0]!Pprojindex1</c:f>
              <c:numCache>
                <c:formatCode>General</c:formatCode>
                <c:ptCount val="10"/>
                <c:pt idx="0">
                  <c:v>1</c:v>
                </c:pt>
                <c:pt idx="1">
                  <c:v>1.1416965981655769</c:v>
                </c:pt>
                <c:pt idx="2">
                  <c:v>1.3034711222628508</c:v>
                </c:pt>
                <c:pt idx="3">
                  <c:v>1.4881685460945635</c:v>
                </c:pt>
                <c:pt idx="4">
                  <c:v>1.6990369665731757</c:v>
                </c:pt>
                <c:pt idx="5">
                  <c:v>1.9397847248941558</c:v>
                </c:pt>
                <c:pt idx="6">
                  <c:v>2.2146456215852073</c:v>
                </c:pt>
                <c:pt idx="7">
                  <c:v>2.5284533723061204</c:v>
                </c:pt>
                <c:pt idx="8">
                  <c:v>2.8867266137821788</c:v>
                </c:pt>
                <c:pt idx="9">
                  <c:v>3.2957659547891485</c:v>
                </c:pt>
              </c:numCache>
            </c:numRef>
          </c:val>
          <c:smooth val="0"/>
          <c:extLst>
            <c:ext xmlns:c16="http://schemas.microsoft.com/office/drawing/2014/chart" uri="{C3380CC4-5D6E-409C-BE32-E72D297353CC}">
              <c16:uniqueId val="{00000002-DDB7-FF46-97A4-784A83219FA7}"/>
            </c:ext>
          </c:extLst>
        </c:ser>
        <c:ser>
          <c:idx val="3"/>
          <c:order val="3"/>
          <c:tx>
            <c:v>projindex2</c:v>
          </c:tx>
          <c:spPr>
            <a:ln w="19050" cmpd="sng">
              <a:solidFill>
                <a:srgbClr val="3366FF"/>
              </a:solid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[0]!Pprojindex2</c:f>
              <c:numCache>
                <c:formatCode>General</c:formatCode>
                <c:ptCount val="10"/>
                <c:pt idx="0">
                  <c:v>1</c:v>
                </c:pt>
                <c:pt idx="1">
                  <c:v>1.1325293548929842</c:v>
                </c:pt>
                <c:pt idx="2">
                  <c:v>1.2826227396943191</c:v>
                </c:pt>
                <c:pt idx="3">
                  <c:v>1.4526079039570792</c:v>
                </c:pt>
                <c:pt idx="4">
                  <c:v>1.6451210923809609</c:v>
                </c:pt>
                <c:pt idx="5">
                  <c:v>1.8631479294750513</c:v>
                </c:pt>
                <c:pt idx="6">
                  <c:v>2.1100697226385789</c:v>
                </c:pt>
                <c:pt idx="7">
                  <c:v>2.3897159017590881</c:v>
                </c:pt>
                <c:pt idx="8">
                  <c:v>2.7064234085967263</c:v>
                </c:pt>
                <c:pt idx="9">
                  <c:v>3.0651039570053218</c:v>
                </c:pt>
              </c:numCache>
            </c:numRef>
          </c:val>
          <c:smooth val="0"/>
          <c:extLst>
            <c:ext xmlns:c16="http://schemas.microsoft.com/office/drawing/2014/chart" uri="{C3380CC4-5D6E-409C-BE32-E72D297353CC}">
              <c16:uniqueId val="{00000003-DDB7-FF46-97A4-784A83219FA7}"/>
            </c:ext>
          </c:extLst>
        </c:ser>
        <c:dLbls>
          <c:showLegendKey val="0"/>
          <c:showVal val="0"/>
          <c:showCatName val="0"/>
          <c:showSerName val="0"/>
          <c:showPercent val="0"/>
          <c:showBubbleSize val="0"/>
        </c:dLbls>
        <c:smooth val="0"/>
        <c:axId val="-1642887488"/>
        <c:axId val="-1642884224"/>
      </c:lineChart>
      <c:catAx>
        <c:axId val="-1642887488"/>
        <c:scaling>
          <c:orientation val="minMax"/>
        </c:scaling>
        <c:delete val="0"/>
        <c:axPos val="b"/>
        <c:numFmt formatCode="General" sourceLinked="1"/>
        <c:majorTickMark val="none"/>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2884224"/>
        <c:crosses val="autoZero"/>
        <c:auto val="1"/>
        <c:lblAlgn val="ctr"/>
        <c:lblOffset val="100"/>
        <c:tickLblSkip val="9"/>
        <c:tickMarkSkip val="1"/>
        <c:noMultiLvlLbl val="0"/>
      </c:catAx>
      <c:valAx>
        <c:axId val="-1642884224"/>
        <c:scaling>
          <c:orientation val="minMax"/>
          <c:max val="5"/>
          <c:min val="0"/>
        </c:scaling>
        <c:delete val="0"/>
        <c:axPos val="l"/>
        <c:title>
          <c:tx>
            <c:rich>
              <a:bodyPr rot="-5400000" vert="horz"/>
              <a:lstStyle/>
              <a:p>
                <a:pPr marL="0" marR="0" indent="0" algn="ctr" defTabSz="914400" rtl="0" eaLnBrk="1" fontAlgn="auto" latinLnBrk="0" hangingPunct="1">
                  <a:lnSpc>
                    <a:spcPct val="100000"/>
                  </a:lnSpc>
                  <a:spcBef>
                    <a:spcPts val="0"/>
                  </a:spcBef>
                  <a:spcAft>
                    <a:spcPts val="0"/>
                  </a:spcAft>
                  <a:buClrTx/>
                  <a:buSzTx/>
                  <a:buFontTx/>
                  <a:buNone/>
                  <a:tabLst/>
                  <a:defRPr sz="800" b="0" i="0" u="none" strike="noStrike" kern="1200" baseline="0">
                    <a:solidFill>
                      <a:srgbClr val="000000"/>
                    </a:solidFill>
                    <a:latin typeface="Arial"/>
                    <a:ea typeface="Arial"/>
                    <a:cs typeface="Arial"/>
                  </a:defRPr>
                </a:pPr>
                <a:r>
                  <a:rPr lang="en-US" sz="800" b="0" i="0" kern="1200" baseline="0">
                    <a:solidFill>
                      <a:srgbClr val="000000"/>
                    </a:solidFill>
                    <a:effectLst/>
                    <a:latin typeface="Arial" panose="020B0604020202020204" pitchFamily="34" charset="0"/>
                    <a:ea typeface="Arial" panose="020B0604020202020204" pitchFamily="34" charset="0"/>
                    <a:cs typeface="Arial" panose="020B0604020202020204" pitchFamily="34" charset="0"/>
                  </a:rPr>
                  <a:t> Population (2010=1)</a:t>
                </a:r>
                <a:endParaRPr lang="en-US">
                  <a:effectLst/>
                </a:endParaRPr>
              </a:p>
            </c:rich>
          </c:tx>
          <c:layout>
            <c:manualLayout>
              <c:xMode val="edge"/>
              <c:yMode val="edge"/>
              <c:x val="2.1039593887973301E-2"/>
              <c:y val="0.25310498687664001"/>
            </c:manualLayout>
          </c:layout>
          <c:overlay val="0"/>
        </c:title>
        <c:numFmt formatCode="#,##0" sourceLinked="0"/>
        <c:majorTickMark val="out"/>
        <c:minorTickMark val="out"/>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2887488"/>
        <c:crosses val="autoZero"/>
        <c:crossBetween val="midCat"/>
        <c:majorUnit val="1"/>
        <c:minorUnit val="1"/>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1200" verticalDpi="1200"/>
  </c:printSettings>
  <c:userShapes r:id="rId2"/>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000" b="1" i="0" u="none" strike="noStrike" baseline="0">
                <a:solidFill>
                  <a:srgbClr val="000000"/>
                </a:solidFill>
                <a:latin typeface="Arial"/>
                <a:ea typeface="Arial"/>
                <a:cs typeface="Arial"/>
              </a:defRPr>
            </a:pPr>
            <a:r>
              <a:rPr lang="en-US"/>
              <a:t>Population</a:t>
            </a:r>
          </a:p>
        </c:rich>
      </c:tx>
      <c:layout>
        <c:manualLayout>
          <c:xMode val="edge"/>
          <c:yMode val="edge"/>
          <c:x val="0.34013611670634197"/>
          <c:y val="5.2287401574803098E-2"/>
        </c:manualLayout>
      </c:layout>
      <c:overlay val="0"/>
      <c:spPr>
        <a:noFill/>
        <a:ln w="25400">
          <a:noFill/>
        </a:ln>
      </c:spPr>
    </c:title>
    <c:autoTitleDeleted val="0"/>
    <c:plotArea>
      <c:layout>
        <c:manualLayout>
          <c:layoutTarget val="inner"/>
          <c:xMode val="edge"/>
          <c:yMode val="edge"/>
          <c:x val="0.224671407353151"/>
          <c:y val="0.211764654418198"/>
          <c:w val="0.60800830128792005"/>
          <c:h val="0.69313735783027097"/>
        </c:manualLayout>
      </c:layout>
      <c:lineChart>
        <c:grouping val="standard"/>
        <c:varyColors val="0"/>
        <c:ser>
          <c:idx val="0"/>
          <c:order val="0"/>
          <c:tx>
            <c:v>Reference case</c:v>
          </c:tx>
          <c:spPr>
            <a:ln w="12700">
              <a:solidFill>
                <a:srgbClr val="000000"/>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[0]!PopchngRef</c:f>
              <c:numCache>
                <c:formatCode>0.00</c:formatCode>
                <c:ptCount val="10"/>
                <c:pt idx="1">
                  <c:v>1.0831060326088238E-2</c:v>
                </c:pt>
                <c:pt idx="2">
                  <c:v>9.4799166059205617E-3</c:v>
                </c:pt>
                <c:pt idx="3">
                  <c:v>7.6496478995989005E-3</c:v>
                </c:pt>
                <c:pt idx="4">
                  <c:v>5.5674435492023382E-3</c:v>
                </c:pt>
                <c:pt idx="5">
                  <c:v>3.1411608464869713E-3</c:v>
                </c:pt>
                <c:pt idx="6">
                  <c:v>1.0275791856511236E-3</c:v>
                </c:pt>
                <c:pt idx="7">
                  <c:v>-7.3488404440043135E-4</c:v>
                </c:pt>
                <c:pt idx="8">
                  <c:v>-2.2323753351934667E-3</c:v>
                </c:pt>
                <c:pt idx="9">
                  <c:v>-3.2140877378515034E-3</c:v>
                </c:pt>
              </c:numCache>
            </c:numRef>
          </c:val>
          <c:smooth val="0"/>
          <c:extLst>
            <c:ext xmlns:c16="http://schemas.microsoft.com/office/drawing/2014/chart" uri="{C3380CC4-5D6E-409C-BE32-E72D297353CC}">
              <c16:uniqueId val="{00000000-1B63-1544-9719-3453E13F75CE}"/>
            </c:ext>
          </c:extLst>
        </c:ser>
        <c:ser>
          <c:idx val="1"/>
          <c:order val="1"/>
          <c:tx>
            <c:v>Mitigation Case</c:v>
          </c:tx>
          <c:spPr>
            <a:ln w="28575">
              <a:solidFill>
                <a:srgbClr val="C00000"/>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[0]!PopchngInt</c:f>
              <c:numCache>
                <c:formatCode>0.00</c:formatCode>
                <c:ptCount val="10"/>
                <c:pt idx="1">
                  <c:v>9.4528494321536507E-3</c:v>
                </c:pt>
                <c:pt idx="2">
                  <c:v>7.0188846630767961E-3</c:v>
                </c:pt>
                <c:pt idx="3">
                  <c:v>4.7216736755390128E-3</c:v>
                </c:pt>
                <c:pt idx="4">
                  <c:v>2.0476949446812287E-3</c:v>
                </c:pt>
                <c:pt idx="5">
                  <c:v>-5.5367434258932343E-4</c:v>
                </c:pt>
                <c:pt idx="6">
                  <c:v>-2.7915519938780265E-3</c:v>
                </c:pt>
                <c:pt idx="7">
                  <c:v>-4.7901281631101645E-3</c:v>
                </c:pt>
                <c:pt idx="8">
                  <c:v>-6.6013644903773682E-3</c:v>
                </c:pt>
                <c:pt idx="9">
                  <c:v>-7.9815294216738619E-3</c:v>
                </c:pt>
              </c:numCache>
            </c:numRef>
          </c:val>
          <c:smooth val="0"/>
          <c:extLst>
            <c:ext xmlns:c16="http://schemas.microsoft.com/office/drawing/2014/chart" uri="{C3380CC4-5D6E-409C-BE32-E72D297353CC}">
              <c16:uniqueId val="{00000001-1B63-1544-9719-3453E13F75CE}"/>
            </c:ext>
          </c:extLst>
        </c:ser>
        <c:ser>
          <c:idx val="2"/>
          <c:order val="2"/>
          <c:tx>
            <c:v>rate1</c:v>
          </c:tx>
          <c:spPr>
            <a:ln w="19050" cmpd="sng">
              <a:no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[0]!Prate1</c:f>
              <c:numCache>
                <c:formatCode>0.00%</c:formatCode>
                <c:ptCount val="10"/>
                <c:pt idx="0">
                  <c:v>1.33397307876435E-2</c:v>
                </c:pt>
                <c:pt idx="1">
                  <c:v>1.33397307876435E-2</c:v>
                </c:pt>
                <c:pt idx="2">
                  <c:v>1.33397307876435E-2</c:v>
                </c:pt>
                <c:pt idx="3">
                  <c:v>1.33397307876435E-2</c:v>
                </c:pt>
                <c:pt idx="4">
                  <c:v>1.33397307876435E-2</c:v>
                </c:pt>
                <c:pt idx="5">
                  <c:v>1.33397307876435E-2</c:v>
                </c:pt>
                <c:pt idx="6">
                  <c:v>1.33397307876435E-2</c:v>
                </c:pt>
                <c:pt idx="7">
                  <c:v>1.33397307876435E-2</c:v>
                </c:pt>
                <c:pt idx="8">
                  <c:v>1.33397307876435E-2</c:v>
                </c:pt>
                <c:pt idx="9">
                  <c:v>1.33397307876435E-2</c:v>
                </c:pt>
              </c:numCache>
            </c:numRef>
          </c:val>
          <c:smooth val="0"/>
          <c:extLst>
            <c:ext xmlns:c16="http://schemas.microsoft.com/office/drawing/2014/chart" uri="{C3380CC4-5D6E-409C-BE32-E72D297353CC}">
              <c16:uniqueId val="{00000002-1B63-1544-9719-3453E13F75CE}"/>
            </c:ext>
          </c:extLst>
        </c:ser>
        <c:ser>
          <c:idx val="3"/>
          <c:order val="3"/>
          <c:tx>
            <c:v>rate2</c:v>
          </c:tx>
          <c:spPr>
            <a:ln w="19050" cmpd="sng">
              <a:no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[0]!Prate2</c:f>
              <c:numCache>
                <c:formatCode>0.00%</c:formatCode>
                <c:ptCount val="10"/>
                <c:pt idx="0">
                  <c:v>1.2523115485857383E-2</c:v>
                </c:pt>
                <c:pt idx="1">
                  <c:v>1.2523115485857383E-2</c:v>
                </c:pt>
                <c:pt idx="2">
                  <c:v>1.2523115485857383E-2</c:v>
                </c:pt>
                <c:pt idx="3">
                  <c:v>1.2523115485857383E-2</c:v>
                </c:pt>
                <c:pt idx="4">
                  <c:v>1.2523115485857383E-2</c:v>
                </c:pt>
                <c:pt idx="5">
                  <c:v>1.2523115485857383E-2</c:v>
                </c:pt>
                <c:pt idx="6">
                  <c:v>1.2523115485857383E-2</c:v>
                </c:pt>
                <c:pt idx="7">
                  <c:v>1.2523115485857383E-2</c:v>
                </c:pt>
                <c:pt idx="8">
                  <c:v>1.2523115485857383E-2</c:v>
                </c:pt>
                <c:pt idx="9">
                  <c:v>1.2523115485857383E-2</c:v>
                </c:pt>
              </c:numCache>
            </c:numRef>
          </c:val>
          <c:smooth val="0"/>
          <c:extLst>
            <c:ext xmlns:c16="http://schemas.microsoft.com/office/drawing/2014/chart" uri="{C3380CC4-5D6E-409C-BE32-E72D297353CC}">
              <c16:uniqueId val="{00000003-1B63-1544-9719-3453E13F75CE}"/>
            </c:ext>
          </c:extLst>
        </c:ser>
        <c:dLbls>
          <c:showLegendKey val="0"/>
          <c:showVal val="0"/>
          <c:showCatName val="0"/>
          <c:showSerName val="0"/>
          <c:showPercent val="0"/>
          <c:showBubbleSize val="0"/>
        </c:dLbls>
        <c:smooth val="0"/>
        <c:axId val="-1642852896"/>
        <c:axId val="-1642849632"/>
      </c:lineChart>
      <c:catAx>
        <c:axId val="-1642852896"/>
        <c:scaling>
          <c:orientation val="minMax"/>
        </c:scaling>
        <c:delete val="0"/>
        <c:axPos val="b"/>
        <c:numFmt formatCode="General" sourceLinked="1"/>
        <c:majorTickMark val="none"/>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2849632"/>
        <c:crosses val="autoZero"/>
        <c:auto val="1"/>
        <c:lblAlgn val="ctr"/>
        <c:lblOffset val="100"/>
        <c:tickLblSkip val="9"/>
        <c:tickMarkSkip val="1"/>
        <c:noMultiLvlLbl val="0"/>
      </c:catAx>
      <c:valAx>
        <c:axId val="-1642849632"/>
        <c:scaling>
          <c:orientation val="minMax"/>
          <c:max val="0.05"/>
          <c:min val="-0.05"/>
        </c:scaling>
        <c:delete val="0"/>
        <c:axPos val="l"/>
        <c:majorGridlines>
          <c:spPr>
            <a:ln w="3175">
              <a:solidFill>
                <a:schemeClr val="bg1">
                  <a:lumMod val="65000"/>
                </a:schemeClr>
              </a:solidFill>
              <a:prstDash val="sysDash"/>
            </a:ln>
          </c:spPr>
        </c:majorGridlines>
        <c:title>
          <c:tx>
            <c:rich>
              <a:bodyPr/>
              <a:lstStyle/>
              <a:p>
                <a:pPr marL="0" marR="0" indent="0" algn="ctr" defTabSz="914400" rtl="0" eaLnBrk="1" fontAlgn="auto" latinLnBrk="0" hangingPunct="1">
                  <a:lnSpc>
                    <a:spcPct val="100000"/>
                  </a:lnSpc>
                  <a:spcBef>
                    <a:spcPts val="0"/>
                  </a:spcBef>
                  <a:spcAft>
                    <a:spcPts val="0"/>
                  </a:spcAft>
                  <a:buClrTx/>
                  <a:buSzTx/>
                  <a:buFontTx/>
                  <a:buNone/>
                  <a:tabLst/>
                  <a:defRPr sz="800" b="0" i="0" u="none" strike="noStrike" kern="1200" baseline="0">
                    <a:solidFill>
                      <a:srgbClr val="000000"/>
                    </a:solidFill>
                    <a:latin typeface="Arial"/>
                    <a:ea typeface="Arial"/>
                    <a:cs typeface="Arial"/>
                  </a:defRPr>
                </a:pPr>
                <a:r>
                  <a:rPr lang="en-US" sz="800" b="0" i="0" kern="1200" baseline="0">
                    <a:solidFill>
                      <a:srgbClr val="000000"/>
                    </a:solidFill>
                    <a:effectLst/>
                    <a:latin typeface="Arial" panose="020B0604020202020204" pitchFamily="34" charset="0"/>
                    <a:ea typeface="Arial" panose="020B0604020202020204" pitchFamily="34" charset="0"/>
                    <a:cs typeface="Arial" panose="020B0604020202020204" pitchFamily="34" charset="0"/>
                  </a:rPr>
                  <a:t>Annual Rate of Change</a:t>
                </a:r>
                <a:endParaRPr lang="en-US">
                  <a:effectLst/>
                </a:endParaRPr>
              </a:p>
            </c:rich>
          </c:tx>
          <c:layout>
            <c:manualLayout>
              <c:xMode val="edge"/>
              <c:yMode val="edge"/>
              <c:x val="2.7210861757561901E-2"/>
              <c:y val="0.288235294117646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2852896"/>
        <c:crosses val="autoZero"/>
        <c:crossBetween val="midCat"/>
        <c:majorUnit val="0.01"/>
        <c:minorUnit val="0.01"/>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 verticalDpi="1200"/>
  </c:printSettings>
  <c:userShapes r:id="rId2"/>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b="1"/>
              <a:t>Fossil Primary Energy</a:t>
            </a:r>
          </a:p>
        </c:rich>
      </c:tx>
      <c:layout>
        <c:manualLayout>
          <c:xMode val="edge"/>
          <c:yMode val="edge"/>
          <c:x val="0.217241449469979"/>
          <c:y val="4.4444444444444446E-2"/>
        </c:manualLayout>
      </c:layout>
      <c:overlay val="0"/>
    </c:title>
    <c:autoTitleDeleted val="0"/>
    <c:plotArea>
      <c:layout>
        <c:manualLayout>
          <c:layoutTarget val="inner"/>
          <c:xMode val="edge"/>
          <c:yMode val="edge"/>
          <c:x val="0.23146558293116601"/>
          <c:y val="0.16513692038495201"/>
          <c:w val="0.60144780289560595"/>
          <c:h val="0.67491819772528405"/>
        </c:manualLayout>
      </c:layout>
      <c:areaChart>
        <c:grouping val="stacked"/>
        <c:varyColors val="0"/>
        <c:ser>
          <c:idx val="0"/>
          <c:order val="0"/>
          <c:tx>
            <c:v>Reference case</c:v>
          </c:tx>
          <c:spPr>
            <a:noFill/>
            <a:ln w="12700">
              <a:noFill/>
              <a:prstDash val="solid"/>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[0]!PEffRef</c:f>
              <c:numCache>
                <c:formatCode>0.00</c:formatCode>
                <c:ptCount val="10"/>
                <c:pt idx="0">
                  <c:v>430.60250780000001</c:v>
                </c:pt>
                <c:pt idx="1">
                  <c:v>501.16459380000003</c:v>
                </c:pt>
                <c:pt idx="2">
                  <c:v>564.93550010000001</c:v>
                </c:pt>
                <c:pt idx="3">
                  <c:v>615.12770320000004</c:v>
                </c:pt>
                <c:pt idx="4">
                  <c:v>673.2247969</c:v>
                </c:pt>
                <c:pt idx="5">
                  <c:v>748.52350009999998</c:v>
                </c:pt>
                <c:pt idx="6">
                  <c:v>794.30600010000001</c:v>
                </c:pt>
                <c:pt idx="7">
                  <c:v>827.95759380000004</c:v>
                </c:pt>
                <c:pt idx="8">
                  <c:v>865.84398439999995</c:v>
                </c:pt>
                <c:pt idx="9">
                  <c:v>906.72000009999988</c:v>
                </c:pt>
              </c:numCache>
            </c:numRef>
          </c:val>
          <c:extLst>
            <c:ext xmlns:c16="http://schemas.microsoft.com/office/drawing/2014/chart" uri="{C3380CC4-5D6E-409C-BE32-E72D297353CC}">
              <c16:uniqueId val="{00000000-595F-C742-A81F-0291D8BCB3CC}"/>
            </c:ext>
          </c:extLst>
        </c:ser>
        <c:ser>
          <c:idx val="1"/>
          <c:order val="1"/>
          <c:tx>
            <c:v>Intervention case area</c:v>
          </c:tx>
          <c:spPr>
            <a:solidFill>
              <a:srgbClr val="A1F4FF"/>
            </a:solidFill>
            <a:ln w="12700">
              <a:solidFill>
                <a:sysClr val="windowText" lastClr="000000"/>
              </a:solidFill>
              <a:prstDash val="solid"/>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[0]!AreaPEff</c:f>
              <c:numCache>
                <c:formatCode>General</c:formatCode>
                <c:ptCount val="10"/>
                <c:pt idx="0">
                  <c:v>2.0015859500000488</c:v>
                </c:pt>
                <c:pt idx="1">
                  <c:v>-91.118593800000042</c:v>
                </c:pt>
                <c:pt idx="2">
                  <c:v>-268.49578916249999</c:v>
                </c:pt>
                <c:pt idx="3">
                  <c:v>-424.84576570000002</c:v>
                </c:pt>
                <c:pt idx="4">
                  <c:v>-517.18479690000004</c:v>
                </c:pt>
                <c:pt idx="5">
                  <c:v>-589.56588877187494</c:v>
                </c:pt>
                <c:pt idx="6">
                  <c:v>-614.60900986562501</c:v>
                </c:pt>
                <c:pt idx="7">
                  <c:v>-655.67548637812502</c:v>
                </c:pt>
                <c:pt idx="8">
                  <c:v>-710.02878615781242</c:v>
                </c:pt>
                <c:pt idx="9">
                  <c:v>-751.88049228749992</c:v>
                </c:pt>
              </c:numCache>
            </c:numRef>
          </c:val>
          <c:extLst>
            <c:ext xmlns:c16="http://schemas.microsoft.com/office/drawing/2014/chart" uri="{C3380CC4-5D6E-409C-BE32-E72D297353CC}">
              <c16:uniqueId val="{00000001-595F-C742-A81F-0291D8BCB3CC}"/>
            </c:ext>
          </c:extLst>
        </c:ser>
        <c:dLbls>
          <c:showLegendKey val="0"/>
          <c:showVal val="0"/>
          <c:showCatName val="0"/>
          <c:showSerName val="0"/>
          <c:showPercent val="0"/>
          <c:showBubbleSize val="0"/>
        </c:dLbls>
        <c:axId val="-1643440160"/>
        <c:axId val="-1643437408"/>
      </c:areaChart>
      <c:lineChart>
        <c:grouping val="standard"/>
        <c:varyColors val="0"/>
        <c:ser>
          <c:idx val="2"/>
          <c:order val="2"/>
          <c:tx>
            <c:v>Line for Intervention Case</c:v>
          </c:tx>
          <c:spPr>
            <a:ln w="28575">
              <a:solidFill>
                <a:srgbClr val="C00000"/>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[0]!PEffInt</c:f>
              <c:numCache>
                <c:formatCode>0.00</c:formatCode>
                <c:ptCount val="10"/>
                <c:pt idx="0">
                  <c:v>432.60409375000006</c:v>
                </c:pt>
                <c:pt idx="1">
                  <c:v>410.04599999999999</c:v>
                </c:pt>
                <c:pt idx="2">
                  <c:v>296.43971093750002</c:v>
                </c:pt>
                <c:pt idx="3">
                  <c:v>190.2819375</c:v>
                </c:pt>
                <c:pt idx="4">
                  <c:v>156.04</c:v>
                </c:pt>
                <c:pt idx="5">
                  <c:v>158.95761132812501</c:v>
                </c:pt>
                <c:pt idx="6">
                  <c:v>179.69699023437499</c:v>
                </c:pt>
                <c:pt idx="7">
                  <c:v>172.282107421875</c:v>
                </c:pt>
                <c:pt idx="8">
                  <c:v>155.81519824218751</c:v>
                </c:pt>
                <c:pt idx="9">
                  <c:v>154.83950781250002</c:v>
                </c:pt>
              </c:numCache>
            </c:numRef>
          </c:val>
          <c:smooth val="0"/>
          <c:extLst>
            <c:ext xmlns:c16="http://schemas.microsoft.com/office/drawing/2014/chart" uri="{C3380CC4-5D6E-409C-BE32-E72D297353CC}">
              <c16:uniqueId val="{00000002-595F-C742-A81F-0291D8BCB3CC}"/>
            </c:ext>
          </c:extLst>
        </c:ser>
        <c:ser>
          <c:idx val="3"/>
          <c:order val="3"/>
          <c:tx>
            <c:v>proj1</c:v>
          </c:tx>
          <c:spPr>
            <a:ln w="19050" cmpd="sng">
              <a:solidFill>
                <a:srgbClr val="008000"/>
              </a:solid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[0]!PEffproj1</c:f>
              <c:numCache>
                <c:formatCode>General</c:formatCode>
                <c:ptCount val="10"/>
                <c:pt idx="0">
                  <c:v>430.60250780000001</c:v>
                </c:pt>
                <c:pt idx="1">
                  <c:v>545.82222760030572</c:v>
                </c:pt>
                <c:pt idx="2">
                  <c:v>691.87219940886723</c:v>
                </c:pt>
                <c:pt idx="3">
                  <c:v>877.00191767455101</c:v>
                </c:pt>
                <c:pt idx="4">
                  <c:v>1111.6682593432479</c:v>
                </c:pt>
                <c:pt idx="5">
                  <c:v>1409.126130656701</c:v>
                </c:pt>
                <c:pt idx="6">
                  <c:v>1786.1771579883025</c:v>
                </c:pt>
                <c:pt idx="7">
                  <c:v>2264.1187118092262</c:v>
                </c:pt>
                <c:pt idx="8">
                  <c:v>2869.946868505549</c:v>
                </c:pt>
                <c:pt idx="9">
                  <c:v>3637.881258206226</c:v>
                </c:pt>
              </c:numCache>
            </c:numRef>
          </c:val>
          <c:smooth val="0"/>
          <c:extLst>
            <c:ext xmlns:c16="http://schemas.microsoft.com/office/drawing/2014/chart" uri="{C3380CC4-5D6E-409C-BE32-E72D297353CC}">
              <c16:uniqueId val="{00000003-595F-C742-A81F-0291D8BCB3CC}"/>
            </c:ext>
          </c:extLst>
        </c:ser>
        <c:ser>
          <c:idx val="5"/>
          <c:order val="4"/>
          <c:tx>
            <c:v>proj2</c:v>
          </c:tx>
          <c:spPr>
            <a:ln w="19050" cmpd="sng">
              <a:solidFill>
                <a:srgbClr val="3366FF"/>
              </a:solid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[0]!PEffproj2</c:f>
              <c:numCache>
                <c:formatCode>General</c:formatCode>
                <c:ptCount val="10"/>
                <c:pt idx="0">
                  <c:v>430.60250780000001</c:v>
                </c:pt>
                <c:pt idx="1">
                  <c:v>534.9971832567993</c:v>
                </c:pt>
                <c:pt idx="2">
                  <c:v>664.70115920841215</c:v>
                </c:pt>
                <c:pt idx="3">
                  <c:v>825.85038740461744</c:v>
                </c:pt>
                <c:pt idx="4">
                  <c:v>1026.0684112369836</c:v>
                </c:pt>
                <c:pt idx="5">
                  <c:v>1274.8270153956717</c:v>
                </c:pt>
                <c:pt idx="6">
                  <c:v>1583.8943109294096</c:v>
                </c:pt>
                <c:pt idx="7">
                  <c:v>1967.8914534266519</c:v>
                </c:pt>
                <c:pt idx="8">
                  <c:v>2444.9843311813329</c:v>
                </c:pt>
                <c:pt idx="9">
                  <c:v>3037.7429452792949</c:v>
                </c:pt>
              </c:numCache>
            </c:numRef>
          </c:val>
          <c:smooth val="0"/>
          <c:extLst>
            <c:ext xmlns:c16="http://schemas.microsoft.com/office/drawing/2014/chart" uri="{C3380CC4-5D6E-409C-BE32-E72D297353CC}">
              <c16:uniqueId val="{00000004-595F-C742-A81F-0291D8BCB3CC}"/>
            </c:ext>
          </c:extLst>
        </c:ser>
        <c:dLbls>
          <c:showLegendKey val="0"/>
          <c:showVal val="0"/>
          <c:showCatName val="0"/>
          <c:showSerName val="0"/>
          <c:showPercent val="0"/>
          <c:showBubbleSize val="0"/>
        </c:dLbls>
        <c:marker val="1"/>
        <c:smooth val="0"/>
        <c:axId val="-1643440160"/>
        <c:axId val="-1643437408"/>
      </c:lineChart>
      <c:catAx>
        <c:axId val="-1643440160"/>
        <c:scaling>
          <c:orientation val="minMax"/>
        </c:scaling>
        <c:delete val="0"/>
        <c:axPos val="b"/>
        <c:numFmt formatCode="General" sourceLinked="1"/>
        <c:majorTickMark val="none"/>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3437408"/>
        <c:crosses val="autoZero"/>
        <c:auto val="1"/>
        <c:lblAlgn val="ctr"/>
        <c:lblOffset val="100"/>
        <c:tickLblSkip val="9"/>
        <c:tickMarkSkip val="1"/>
        <c:noMultiLvlLbl val="0"/>
      </c:catAx>
      <c:valAx>
        <c:axId val="-1643437408"/>
        <c:scaling>
          <c:orientation val="minMax"/>
          <c:max val="2000"/>
          <c:min val="0"/>
        </c:scaling>
        <c:delete val="0"/>
        <c:axPos val="l"/>
        <c:title>
          <c:tx>
            <c:rich>
              <a:bodyPr rot="-5400000" vert="horz"/>
              <a:lstStyle/>
              <a:p>
                <a:pPr marL="0" marR="0" indent="0" algn="ctr" defTabSz="914400" rtl="0" eaLnBrk="1" fontAlgn="auto" latinLnBrk="0" hangingPunct="1">
                  <a:lnSpc>
                    <a:spcPct val="100000"/>
                  </a:lnSpc>
                  <a:spcBef>
                    <a:spcPts val="0"/>
                  </a:spcBef>
                  <a:spcAft>
                    <a:spcPts val="0"/>
                  </a:spcAft>
                  <a:buClrTx/>
                  <a:buSzTx/>
                  <a:buFontTx/>
                  <a:buNone/>
                  <a:tabLst/>
                  <a:defRPr sz="800" b="0" i="0" u="none" strike="noStrike" kern="1200" baseline="0">
                    <a:solidFill>
                      <a:srgbClr val="000000"/>
                    </a:solidFill>
                    <a:latin typeface="Arial"/>
                    <a:ea typeface="Arial"/>
                    <a:cs typeface="Arial"/>
                  </a:defRPr>
                </a:pPr>
                <a:r>
                  <a:rPr lang="en-US" sz="800" b="0" i="0" kern="1200" baseline="0">
                    <a:solidFill>
                      <a:srgbClr val="000000"/>
                    </a:solidFill>
                    <a:effectLst/>
                    <a:latin typeface="Arial" panose="020B0604020202020204" pitchFamily="34" charset="0"/>
                    <a:ea typeface="Arial" panose="020B0604020202020204" pitchFamily="34" charset="0"/>
                    <a:cs typeface="Arial" panose="020B0604020202020204" pitchFamily="34" charset="0"/>
                  </a:rPr>
                  <a:t>Fossil PE (exajoules)</a:t>
                </a:r>
                <a:endParaRPr lang="en-US">
                  <a:effectLst/>
                </a:endParaRPr>
              </a:p>
            </c:rich>
          </c:tx>
          <c:layout>
            <c:manualLayout>
              <c:xMode val="edge"/>
              <c:yMode val="edge"/>
              <c:x val="2.1068587356812998E-3"/>
              <c:y val="0.2885594925634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3440160"/>
        <c:crosses val="autoZero"/>
        <c:crossBetween val="midCat"/>
        <c:majorUnit val="500"/>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 verticalDpi="1200"/>
  </c:printSettings>
  <c:userShapes r:id="rId2"/>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000" b="1" i="0" u="none" strike="noStrike" baseline="0">
                <a:solidFill>
                  <a:srgbClr val="000000"/>
                </a:solidFill>
                <a:latin typeface="Arial"/>
                <a:ea typeface="Arial"/>
                <a:cs typeface="Arial"/>
              </a:defRPr>
            </a:pPr>
            <a:r>
              <a:rPr lang="en-US"/>
              <a:t>Fossil Primary Energy</a:t>
            </a:r>
          </a:p>
        </c:rich>
      </c:tx>
      <c:layout>
        <c:manualLayout>
          <c:xMode val="edge"/>
          <c:yMode val="edge"/>
          <c:x val="0.16925064599483208"/>
          <c:y val="5.0952318460192485E-2"/>
        </c:manualLayout>
      </c:layout>
      <c:overlay val="0"/>
      <c:spPr>
        <a:noFill/>
        <a:ln w="25400">
          <a:noFill/>
        </a:ln>
      </c:spPr>
    </c:title>
    <c:autoTitleDeleted val="0"/>
    <c:plotArea>
      <c:layout>
        <c:manualLayout>
          <c:layoutTarget val="inner"/>
          <c:xMode val="edge"/>
          <c:yMode val="edge"/>
          <c:x val="0.233112067386925"/>
          <c:y val="0.21698425196850399"/>
          <c:w val="0.60297310219943401"/>
          <c:h val="0.68845100612423404"/>
        </c:manualLayout>
      </c:layout>
      <c:lineChart>
        <c:grouping val="standard"/>
        <c:varyColors val="0"/>
        <c:ser>
          <c:idx val="0"/>
          <c:order val="0"/>
          <c:tx>
            <c:v>Reference case</c:v>
          </c:tx>
          <c:spPr>
            <a:ln w="12700">
              <a:solidFill>
                <a:srgbClr val="000000"/>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[0]!PEffchngRef</c:f>
              <c:numCache>
                <c:formatCode>0.00</c:formatCode>
                <c:ptCount val="10"/>
                <c:pt idx="1">
                  <c:v>1.6386826533015379E-2</c:v>
                </c:pt>
                <c:pt idx="2">
                  <c:v>1.4809692267193985E-2</c:v>
                </c:pt>
                <c:pt idx="3">
                  <c:v>1.1656272824893203E-2</c:v>
                </c:pt>
                <c:pt idx="4">
                  <c:v>1.3492047223975772E-2</c:v>
                </c:pt>
                <c:pt idx="5">
                  <c:v>1.7486824121092585E-2</c:v>
                </c:pt>
                <c:pt idx="6">
                  <c:v>1.0632195393823487E-2</c:v>
                </c:pt>
                <c:pt idx="7">
                  <c:v>7.8150017917754527E-3</c:v>
                </c:pt>
                <c:pt idx="8">
                  <c:v>8.7984602768725242E-3</c:v>
                </c:pt>
                <c:pt idx="9">
                  <c:v>9.4927491037709935E-3</c:v>
                </c:pt>
              </c:numCache>
            </c:numRef>
          </c:val>
          <c:smooth val="0"/>
          <c:extLst>
            <c:ext xmlns:c16="http://schemas.microsoft.com/office/drawing/2014/chart" uri="{C3380CC4-5D6E-409C-BE32-E72D297353CC}">
              <c16:uniqueId val="{00000001-B309-A442-8D50-B23F441AECC9}"/>
            </c:ext>
          </c:extLst>
        </c:ser>
        <c:ser>
          <c:idx val="1"/>
          <c:order val="1"/>
          <c:tx>
            <c:v>Line for Intervention Case</c:v>
          </c:tx>
          <c:spPr>
            <a:ln w="28575">
              <a:solidFill>
                <a:srgbClr val="C00000"/>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[0]!PEffchngInt</c:f>
              <c:numCache>
                <c:formatCode>0.00</c:formatCode>
                <c:ptCount val="10"/>
                <c:pt idx="1">
                  <c:v>-5.2144892006122084E-3</c:v>
                </c:pt>
                <c:pt idx="2">
                  <c:v>-2.6261029588904566E-2</c:v>
                </c:pt>
                <c:pt idx="3">
                  <c:v>-2.4539243842396027E-2</c:v>
                </c:pt>
                <c:pt idx="4">
                  <c:v>-7.9153059332323986E-3</c:v>
                </c:pt>
                <c:pt idx="5">
                  <c:v>6.74429893354429E-4</c:v>
                </c:pt>
                <c:pt idx="6">
                  <c:v>4.7940782821706664E-3</c:v>
                </c:pt>
                <c:pt idx="7">
                  <c:v>-1.7140112448369533E-3</c:v>
                </c:pt>
                <c:pt idx="8">
                  <c:v>-3.8064617088907258E-3</c:v>
                </c:pt>
                <c:pt idx="9">
                  <c:v>-2.2553888041830145E-4</c:v>
                </c:pt>
              </c:numCache>
            </c:numRef>
          </c:val>
          <c:smooth val="0"/>
          <c:extLst>
            <c:ext xmlns:c16="http://schemas.microsoft.com/office/drawing/2014/chart" uri="{C3380CC4-5D6E-409C-BE32-E72D297353CC}">
              <c16:uniqueId val="{00000000-B309-A442-8D50-B23F441AECC9}"/>
            </c:ext>
          </c:extLst>
        </c:ser>
        <c:ser>
          <c:idx val="2"/>
          <c:order val="2"/>
          <c:tx>
            <c:v>rate1</c:v>
          </c:tx>
          <c:spPr>
            <a:ln w="19050" cmpd="sng">
              <a:no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[0]!PEffrate1</c:f>
              <c:numCache>
                <c:formatCode>0.00%</c:formatCode>
                <c:ptCount val="10"/>
                <c:pt idx="0">
                  <c:v>2.3994128114132485E-2</c:v>
                </c:pt>
                <c:pt idx="1">
                  <c:v>2.3994128114132485E-2</c:v>
                </c:pt>
                <c:pt idx="2">
                  <c:v>2.3994128114132485E-2</c:v>
                </c:pt>
                <c:pt idx="3">
                  <c:v>2.3994128114132485E-2</c:v>
                </c:pt>
                <c:pt idx="4">
                  <c:v>2.3994128114132485E-2</c:v>
                </c:pt>
                <c:pt idx="5">
                  <c:v>2.3994128114132485E-2</c:v>
                </c:pt>
                <c:pt idx="6">
                  <c:v>2.3994128114132485E-2</c:v>
                </c:pt>
                <c:pt idx="7">
                  <c:v>2.3994128114132485E-2</c:v>
                </c:pt>
                <c:pt idx="8">
                  <c:v>2.3994128114132485E-2</c:v>
                </c:pt>
                <c:pt idx="9">
                  <c:v>2.3994128114132485E-2</c:v>
                </c:pt>
              </c:numCache>
            </c:numRef>
          </c:val>
          <c:smooth val="0"/>
          <c:extLst>
            <c:ext xmlns:c16="http://schemas.microsoft.com/office/drawing/2014/chart" uri="{C3380CC4-5D6E-409C-BE32-E72D297353CC}">
              <c16:uniqueId val="{00000002-B309-A442-8D50-B23F441AECC9}"/>
            </c:ext>
          </c:extLst>
        </c:ser>
        <c:ser>
          <c:idx val="3"/>
          <c:order val="3"/>
          <c:tx>
            <c:v>rate2</c:v>
          </c:tx>
          <c:spPr>
            <a:ln w="19050" cmpd="sng">
              <a:no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[0]!PEffrate2</c:f>
              <c:numCache>
                <c:formatCode>0.00%</c:formatCode>
                <c:ptCount val="10"/>
                <c:pt idx="0">
                  <c:v>2.1944931549882751E-2</c:v>
                </c:pt>
                <c:pt idx="1">
                  <c:v>2.1944931549882751E-2</c:v>
                </c:pt>
                <c:pt idx="2">
                  <c:v>2.1944931549882751E-2</c:v>
                </c:pt>
                <c:pt idx="3">
                  <c:v>2.1944931549882751E-2</c:v>
                </c:pt>
                <c:pt idx="4">
                  <c:v>2.1944931549882751E-2</c:v>
                </c:pt>
                <c:pt idx="5">
                  <c:v>2.1944931549882751E-2</c:v>
                </c:pt>
                <c:pt idx="6">
                  <c:v>2.1944931549882751E-2</c:v>
                </c:pt>
                <c:pt idx="7">
                  <c:v>2.1944931549882751E-2</c:v>
                </c:pt>
                <c:pt idx="8">
                  <c:v>2.1944931549882751E-2</c:v>
                </c:pt>
                <c:pt idx="9">
                  <c:v>2.1944931549882751E-2</c:v>
                </c:pt>
              </c:numCache>
            </c:numRef>
          </c:val>
          <c:smooth val="0"/>
          <c:extLst>
            <c:ext xmlns:c16="http://schemas.microsoft.com/office/drawing/2014/chart" uri="{C3380CC4-5D6E-409C-BE32-E72D297353CC}">
              <c16:uniqueId val="{00000003-B309-A442-8D50-B23F441AECC9}"/>
            </c:ext>
          </c:extLst>
        </c:ser>
        <c:dLbls>
          <c:showLegendKey val="0"/>
          <c:showVal val="0"/>
          <c:showCatName val="0"/>
          <c:showSerName val="0"/>
          <c:showPercent val="0"/>
          <c:showBubbleSize val="0"/>
        </c:dLbls>
        <c:smooth val="0"/>
        <c:axId val="-1643562672"/>
        <c:axId val="-1643559408"/>
      </c:lineChart>
      <c:catAx>
        <c:axId val="-1643562672"/>
        <c:scaling>
          <c:orientation val="minMax"/>
        </c:scaling>
        <c:delete val="0"/>
        <c:axPos val="b"/>
        <c:numFmt formatCode="General" sourceLinked="1"/>
        <c:majorTickMark val="none"/>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3559408"/>
        <c:crosses val="autoZero"/>
        <c:auto val="1"/>
        <c:lblAlgn val="ctr"/>
        <c:lblOffset val="100"/>
        <c:tickLblSkip val="9"/>
        <c:tickMarkSkip val="1"/>
        <c:noMultiLvlLbl val="0"/>
      </c:catAx>
      <c:valAx>
        <c:axId val="-1643559408"/>
        <c:scaling>
          <c:orientation val="minMax"/>
          <c:max val="0.05"/>
          <c:min val="-6.0000000000000012E-2"/>
        </c:scaling>
        <c:delete val="0"/>
        <c:axPos val="l"/>
        <c:majorGridlines>
          <c:spPr>
            <a:ln w="3175">
              <a:solidFill>
                <a:schemeClr val="bg1">
                  <a:lumMod val="50000"/>
                </a:schemeClr>
              </a:solidFill>
              <a:prstDash val="sysDash"/>
            </a:ln>
          </c:spPr>
        </c:majorGridlines>
        <c:title>
          <c:tx>
            <c:rich>
              <a:bodyPr/>
              <a:lstStyle/>
              <a:p>
                <a:pPr>
                  <a:defRPr sz="800" b="0" i="0" u="none" strike="noStrike" baseline="0">
                    <a:solidFill>
                      <a:srgbClr val="000000"/>
                    </a:solidFill>
                    <a:latin typeface="Arial"/>
                    <a:ea typeface="Arial"/>
                    <a:cs typeface="Arial"/>
                  </a:defRPr>
                </a:pPr>
                <a:r>
                  <a:rPr lang="en-US"/>
                  <a:t>Annual Rate of Change</a:t>
                </a:r>
              </a:p>
            </c:rich>
          </c:tx>
          <c:layout>
            <c:manualLayout>
              <c:xMode val="edge"/>
              <c:yMode val="edge"/>
              <c:x val="3.3112529244280903E-2"/>
              <c:y val="0.2571430365116050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3562672"/>
        <c:crossesAt val="1"/>
        <c:crossBetween val="midCat"/>
        <c:majorUnit val="1.0000000000000002E-2"/>
        <c:minorUnit val="0.01"/>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 verticalDpi="1200"/>
  </c:printSettings>
  <c:userShapes r:id="rId2"/>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23146558293116601"/>
          <c:y val="0.16513692038495201"/>
          <c:w val="0.60144780289560595"/>
          <c:h val="0.67491819772528405"/>
        </c:manualLayout>
      </c:layout>
      <c:areaChart>
        <c:grouping val="stacked"/>
        <c:varyColors val="0"/>
        <c:ser>
          <c:idx val="0"/>
          <c:order val="0"/>
          <c:tx>
            <c:v>Reference case</c:v>
          </c:tx>
          <c:spPr>
            <a:noFill/>
            <a:ln w="12700">
              <a:noFill/>
              <a:prstDash val="solid"/>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[0]!GWPindexRef</c:f>
              <c:numCache>
                <c:formatCode>0.00</c:formatCode>
                <c:ptCount val="10"/>
                <c:pt idx="0">
                  <c:v>1</c:v>
                </c:pt>
                <c:pt idx="1">
                  <c:v>1.4840696592325906</c:v>
                </c:pt>
                <c:pt idx="2">
                  <c:v>2.1152340591704832</c:v>
                </c:pt>
                <c:pt idx="3">
                  <c:v>2.7533071833987406</c:v>
                </c:pt>
                <c:pt idx="4">
                  <c:v>3.4210774910447914</c:v>
                </c:pt>
                <c:pt idx="5">
                  <c:v>4.1373474129703673</c:v>
                </c:pt>
                <c:pt idx="6">
                  <c:v>4.9502363372775644</c:v>
                </c:pt>
                <c:pt idx="7">
                  <c:v>5.8381186337194766</c:v>
                </c:pt>
                <c:pt idx="8">
                  <c:v>6.8069383052896892</c:v>
                </c:pt>
                <c:pt idx="9">
                  <c:v>7.8619788547288909</c:v>
                </c:pt>
              </c:numCache>
            </c:numRef>
          </c:val>
          <c:extLst>
            <c:ext xmlns:c16="http://schemas.microsoft.com/office/drawing/2014/chart" uri="{C3380CC4-5D6E-409C-BE32-E72D297353CC}">
              <c16:uniqueId val="{00000000-595F-C742-A81F-0291D8BCB3CC}"/>
            </c:ext>
          </c:extLst>
        </c:ser>
        <c:ser>
          <c:idx val="1"/>
          <c:order val="1"/>
          <c:tx>
            <c:v>Intervention case</c:v>
          </c:tx>
          <c:spPr>
            <a:solidFill>
              <a:srgbClr val="A1F4FF"/>
            </a:solidFill>
            <a:ln w="12700">
              <a:solidFill>
                <a:sysClr val="windowText" lastClr="000000"/>
              </a:solidFill>
              <a:prstDash val="solid"/>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[0]!AreaGWPIndex</c:f>
              <c:numCache>
                <c:formatCode>General</c:formatCode>
                <c:ptCount val="10"/>
                <c:pt idx="0">
                  <c:v>0</c:v>
                </c:pt>
                <c:pt idx="1">
                  <c:v>-7.665647465549652E-3</c:v>
                </c:pt>
                <c:pt idx="2">
                  <c:v>-3.2824150645883066E-2</c:v>
                </c:pt>
                <c:pt idx="3">
                  <c:v>-7.5773459968468959E-2</c:v>
                </c:pt>
                <c:pt idx="4">
                  <c:v>-0.14927740977237702</c:v>
                </c:pt>
                <c:pt idx="5">
                  <c:v>-0.26569940080666354</c:v>
                </c:pt>
                <c:pt idx="6">
                  <c:v>-0.44519526800555465</c:v>
                </c:pt>
                <c:pt idx="7">
                  <c:v>-0.7104245165208205</c:v>
                </c:pt>
                <c:pt idx="8">
                  <c:v>-1.0950824493680367</c:v>
                </c:pt>
                <c:pt idx="9">
                  <c:v>-1.6336225419494594</c:v>
                </c:pt>
              </c:numCache>
            </c:numRef>
          </c:val>
          <c:extLst>
            <c:ext xmlns:c16="http://schemas.microsoft.com/office/drawing/2014/chart" uri="{C3380CC4-5D6E-409C-BE32-E72D297353CC}">
              <c16:uniqueId val="{00000001-595F-C742-A81F-0291D8BCB3CC}"/>
            </c:ext>
          </c:extLst>
        </c:ser>
        <c:dLbls>
          <c:showLegendKey val="0"/>
          <c:showVal val="0"/>
          <c:showCatName val="0"/>
          <c:showSerName val="0"/>
          <c:showPercent val="0"/>
          <c:showBubbleSize val="0"/>
        </c:dLbls>
        <c:axId val="-1643440160"/>
        <c:axId val="-1643437408"/>
      </c:areaChart>
      <c:lineChart>
        <c:grouping val="standard"/>
        <c:varyColors val="0"/>
        <c:ser>
          <c:idx val="2"/>
          <c:order val="2"/>
          <c:tx>
            <c:v>Line for Stabilization Case</c:v>
          </c:tx>
          <c:spPr>
            <a:ln w="28575">
              <a:solidFill>
                <a:srgbClr val="C00000"/>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[0]!GWPindexInt</c:f>
              <c:numCache>
                <c:formatCode>0.00</c:formatCode>
                <c:ptCount val="10"/>
                <c:pt idx="0">
                  <c:v>1</c:v>
                </c:pt>
                <c:pt idx="1">
                  <c:v>1.4764040117670409</c:v>
                </c:pt>
                <c:pt idx="2">
                  <c:v>2.0824099085246002</c:v>
                </c:pt>
                <c:pt idx="3">
                  <c:v>2.6775337234302716</c:v>
                </c:pt>
                <c:pt idx="4">
                  <c:v>3.2718000812724144</c:v>
                </c:pt>
                <c:pt idx="5">
                  <c:v>3.8716480121637038</c:v>
                </c:pt>
                <c:pt idx="6">
                  <c:v>4.5050410692720098</c:v>
                </c:pt>
                <c:pt idx="7">
                  <c:v>5.1276941171986561</c:v>
                </c:pt>
                <c:pt idx="8">
                  <c:v>5.7118558559216526</c:v>
                </c:pt>
                <c:pt idx="9">
                  <c:v>6.2283563127794315</c:v>
                </c:pt>
              </c:numCache>
            </c:numRef>
          </c:val>
          <c:smooth val="0"/>
          <c:extLst>
            <c:ext xmlns:c16="http://schemas.microsoft.com/office/drawing/2014/chart" uri="{C3380CC4-5D6E-409C-BE32-E72D297353CC}">
              <c16:uniqueId val="{00000002-595F-C742-A81F-0291D8BCB3CC}"/>
            </c:ext>
          </c:extLst>
        </c:ser>
        <c:ser>
          <c:idx val="3"/>
          <c:order val="3"/>
          <c:tx>
            <c:v>proj1</c:v>
          </c:tx>
          <c:spPr>
            <a:ln w="19050" cmpd="sng">
              <a:solidFill>
                <a:srgbClr val="008000"/>
              </a:solid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[0]!GWPprojindex1</c:f>
              <c:numCache>
                <c:formatCode>General</c:formatCode>
                <c:ptCount val="10"/>
                <c:pt idx="0">
                  <c:v>1</c:v>
                </c:pt>
                <c:pt idx="1">
                  <c:v>1.3522322804713878</c:v>
                </c:pt>
                <c:pt idx="2">
                  <c:v>1.8285321403488499</c:v>
                </c:pt>
                <c:pt idx="3">
                  <c:v>2.4726001860591529</c:v>
                </c:pt>
                <c:pt idx="4">
                  <c:v>3.343529788288746</c:v>
                </c:pt>
                <c:pt idx="5">
                  <c:v>4.5212289104417076</c:v>
                </c:pt>
                <c:pt idx="6">
                  <c:v>6.1137516800997584</c:v>
                </c:pt>
                <c:pt idx="7">
                  <c:v>8.2672123766170742</c:v>
                </c:pt>
                <c:pt idx="8">
                  <c:v>11.179191445174189</c:v>
                </c:pt>
                <c:pt idx="9">
                  <c:v>15.116863541734123</c:v>
                </c:pt>
              </c:numCache>
            </c:numRef>
          </c:val>
          <c:smooth val="0"/>
          <c:extLst>
            <c:ext xmlns:c16="http://schemas.microsoft.com/office/drawing/2014/chart" uri="{C3380CC4-5D6E-409C-BE32-E72D297353CC}">
              <c16:uniqueId val="{00000003-595F-C742-A81F-0291D8BCB3CC}"/>
            </c:ext>
          </c:extLst>
        </c:ser>
        <c:ser>
          <c:idx val="5"/>
          <c:order val="4"/>
          <c:tx>
            <c:v>proj2</c:v>
          </c:tx>
          <c:spPr>
            <a:ln w="19050" cmpd="sng">
              <a:solidFill>
                <a:srgbClr val="3366FF"/>
              </a:solid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[0]!GWPprojindex2</c:f>
              <c:numCache>
                <c:formatCode>General</c:formatCode>
                <c:ptCount val="10"/>
                <c:pt idx="0">
                  <c:v>1</c:v>
                </c:pt>
                <c:pt idx="1">
                  <c:v>1.4445381599025695</c:v>
                </c:pt>
                <c:pt idx="2">
                  <c:v>2.0866904954147016</c:v>
                </c:pt>
                <c:pt idx="3">
                  <c:v>3.0143040485325341</c:v>
                </c:pt>
                <c:pt idx="4">
                  <c:v>4.3542772236540523</c:v>
                </c:pt>
                <c:pt idx="5">
                  <c:v>6.2899196083628937</c:v>
                </c:pt>
                <c:pt idx="6">
                  <c:v>9.0860288969996255</c:v>
                </c:pt>
                <c:pt idx="7">
                  <c:v>13.125115463693412</c:v>
                </c:pt>
                <c:pt idx="8">
                  <c:v>18.959730140432441</c:v>
                </c:pt>
                <c:pt idx="9">
                  <c:v>27.388053689309565</c:v>
                </c:pt>
              </c:numCache>
            </c:numRef>
          </c:val>
          <c:smooth val="0"/>
          <c:extLst>
            <c:ext xmlns:c16="http://schemas.microsoft.com/office/drawing/2014/chart" uri="{C3380CC4-5D6E-409C-BE32-E72D297353CC}">
              <c16:uniqueId val="{00000004-595F-C742-A81F-0291D8BCB3CC}"/>
            </c:ext>
          </c:extLst>
        </c:ser>
        <c:dLbls>
          <c:showLegendKey val="0"/>
          <c:showVal val="0"/>
          <c:showCatName val="0"/>
          <c:showSerName val="0"/>
          <c:showPercent val="0"/>
          <c:showBubbleSize val="0"/>
        </c:dLbls>
        <c:marker val="1"/>
        <c:smooth val="0"/>
        <c:axId val="-1643440160"/>
        <c:axId val="-1643437408"/>
      </c:lineChart>
      <c:catAx>
        <c:axId val="-1643440160"/>
        <c:scaling>
          <c:orientation val="minMax"/>
        </c:scaling>
        <c:delete val="0"/>
        <c:axPos val="b"/>
        <c:numFmt formatCode="General" sourceLinked="1"/>
        <c:majorTickMark val="none"/>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3437408"/>
        <c:crosses val="autoZero"/>
        <c:auto val="1"/>
        <c:lblAlgn val="ctr"/>
        <c:lblOffset val="100"/>
        <c:tickLblSkip val="9"/>
        <c:tickMarkSkip val="1"/>
        <c:noMultiLvlLbl val="0"/>
      </c:catAx>
      <c:valAx>
        <c:axId val="-1643437408"/>
        <c:scaling>
          <c:orientation val="minMax"/>
          <c:max val="10"/>
          <c:min val="0"/>
        </c:scaling>
        <c:delete val="0"/>
        <c:axPos val="l"/>
        <c:title>
          <c:tx>
            <c:rich>
              <a:bodyPr rot="-5400000" vert="horz"/>
              <a:lstStyle/>
              <a:p>
                <a:pPr marL="0" marR="0" indent="0" algn="ctr" defTabSz="914400" rtl="0" eaLnBrk="1" fontAlgn="auto" latinLnBrk="0" hangingPunct="1">
                  <a:lnSpc>
                    <a:spcPct val="100000"/>
                  </a:lnSpc>
                  <a:spcBef>
                    <a:spcPts val="0"/>
                  </a:spcBef>
                  <a:spcAft>
                    <a:spcPts val="0"/>
                  </a:spcAft>
                  <a:buClrTx/>
                  <a:buSzTx/>
                  <a:buFontTx/>
                  <a:buNone/>
                  <a:tabLst/>
                  <a:defRPr sz="800" b="0" i="0" u="none" strike="noStrike" kern="1200" baseline="0">
                    <a:solidFill>
                      <a:srgbClr val="000000"/>
                    </a:solidFill>
                    <a:latin typeface="Arial"/>
                    <a:ea typeface="Arial"/>
                    <a:cs typeface="Arial"/>
                  </a:defRPr>
                </a:pPr>
                <a:r>
                  <a:rPr lang="en-US" sz="800" b="0" i="0" kern="1200" baseline="0">
                    <a:solidFill>
                      <a:srgbClr val="000000"/>
                    </a:solidFill>
                    <a:effectLst/>
                    <a:latin typeface="Arial" panose="020B0604020202020204" pitchFamily="34" charset="0"/>
                    <a:ea typeface="Arial" panose="020B0604020202020204" pitchFamily="34" charset="0"/>
                    <a:cs typeface="Arial" panose="020B0604020202020204" pitchFamily="34" charset="0"/>
                  </a:rPr>
                  <a:t>GNP (2010=1)</a:t>
                </a:r>
                <a:endParaRPr lang="en-US">
                  <a:effectLst/>
                </a:endParaRPr>
              </a:p>
            </c:rich>
          </c:tx>
          <c:layout>
            <c:manualLayout>
              <c:xMode val="edge"/>
              <c:yMode val="edge"/>
              <c:x val="2.7946652017335042E-2"/>
              <c:y val="0.2441150481189851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3440160"/>
        <c:crosses val="autoZero"/>
        <c:crossBetween val="midCat"/>
        <c:majorUnit val="2"/>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 verticalDpi="1200"/>
  </c:printSettings>
  <c:userShapes r:id="rId2"/>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23079197358394701"/>
          <c:y val="0.18389020122484701"/>
          <c:w val="0.60464719329438599"/>
          <c:h val="0.67512817147856496"/>
        </c:manualLayout>
      </c:layout>
      <c:areaChart>
        <c:grouping val="stacked"/>
        <c:varyColors val="0"/>
        <c:ser>
          <c:idx val="0"/>
          <c:order val="0"/>
          <c:tx>
            <c:v>Reference case</c:v>
          </c:tx>
          <c:spPr>
            <a:noFill/>
            <a:ln w="12700">
              <a:noFill/>
              <a:prstDash val="solid"/>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[0]!PEffindexRef</c:f>
              <c:numCache>
                <c:formatCode>0.00</c:formatCode>
                <c:ptCount val="10"/>
                <c:pt idx="0">
                  <c:v>1</c:v>
                </c:pt>
                <c:pt idx="1">
                  <c:v>1.1638682653301538</c:v>
                </c:pt>
                <c:pt idx="2">
                  <c:v>1.3119651880020937</c:v>
                </c:pt>
                <c:pt idx="3">
                  <c:v>1.4285279162510256</c:v>
                </c:pt>
                <c:pt idx="4">
                  <c:v>1.5634483884907835</c:v>
                </c:pt>
                <c:pt idx="5">
                  <c:v>1.7383166297017092</c:v>
                </c:pt>
                <c:pt idx="6">
                  <c:v>1.8446385836399442</c:v>
                </c:pt>
                <c:pt idx="7">
                  <c:v>1.9227886015576987</c:v>
                </c:pt>
                <c:pt idx="8">
                  <c:v>2.0107732043264237</c:v>
                </c:pt>
                <c:pt idx="9">
                  <c:v>2.105700695364134</c:v>
                </c:pt>
              </c:numCache>
            </c:numRef>
          </c:val>
          <c:extLst>
            <c:ext xmlns:c16="http://schemas.microsoft.com/office/drawing/2014/chart" uri="{C3380CC4-5D6E-409C-BE32-E72D297353CC}">
              <c16:uniqueId val="{00000000-305B-BD49-ABDB-32B3BEEE03E1}"/>
            </c:ext>
          </c:extLst>
        </c:ser>
        <c:ser>
          <c:idx val="1"/>
          <c:order val="1"/>
          <c:tx>
            <c:v>Intervention case area</c:v>
          </c:tx>
          <c:spPr>
            <a:solidFill>
              <a:srgbClr val="A1F4FF"/>
            </a:solidFill>
            <a:ln w="12700">
              <a:solidFill>
                <a:sysClr val="windowText" lastClr="000000"/>
              </a:solidFill>
              <a:prstDash val="solid"/>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[0]!AreaIndexPEff</c:f>
              <c:numCache>
                <c:formatCode>General</c:formatCode>
                <c:ptCount val="10"/>
                <c:pt idx="0">
                  <c:v>0</c:v>
                </c:pt>
                <c:pt idx="1">
                  <c:v>-0.2160131573362758</c:v>
                </c:pt>
                <c:pt idx="2">
                  <c:v>-0.62672037589726148</c:v>
                </c:pt>
                <c:pt idx="3">
                  <c:v>-0.98867554257015366</c:v>
                </c:pt>
                <c:pt idx="4">
                  <c:v>-1.2027490741422355</c:v>
                </c:pt>
                <c:pt idx="5">
                  <c:v>-1.3708730164196168</c:v>
                </c:pt>
                <c:pt idx="6">
                  <c:v>-1.4292541875361451</c:v>
                </c:pt>
                <c:pt idx="7">
                  <c:v>-1.5245443179022693</c:v>
                </c:pt>
                <c:pt idx="8">
                  <c:v>-1.6505935377599017</c:v>
                </c:pt>
                <c:pt idx="9">
                  <c:v>-1.7477764176017949</c:v>
                </c:pt>
              </c:numCache>
            </c:numRef>
          </c:val>
          <c:extLst>
            <c:ext xmlns:c16="http://schemas.microsoft.com/office/drawing/2014/chart" uri="{C3380CC4-5D6E-409C-BE32-E72D297353CC}">
              <c16:uniqueId val="{00000001-305B-BD49-ABDB-32B3BEEE03E1}"/>
            </c:ext>
          </c:extLst>
        </c:ser>
        <c:dLbls>
          <c:showLegendKey val="0"/>
          <c:showVal val="0"/>
          <c:showCatName val="0"/>
          <c:showSerName val="0"/>
          <c:showPercent val="0"/>
          <c:showBubbleSize val="0"/>
        </c:dLbls>
        <c:axId val="-1643058464"/>
        <c:axId val="-1643055712"/>
      </c:areaChart>
      <c:lineChart>
        <c:grouping val="standard"/>
        <c:varyColors val="0"/>
        <c:ser>
          <c:idx val="2"/>
          <c:order val="2"/>
          <c:tx>
            <c:v>Line for Intervention Case</c:v>
          </c:tx>
          <c:spPr>
            <a:ln w="28575">
              <a:solidFill>
                <a:srgbClr val="C00000"/>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[0]!PEffindexInt</c:f>
              <c:numCache>
                <c:formatCode>0.00</c:formatCode>
                <c:ptCount val="10"/>
                <c:pt idx="0">
                  <c:v>1</c:v>
                </c:pt>
                <c:pt idx="1">
                  <c:v>0.94785510799387795</c:v>
                </c:pt>
                <c:pt idx="2">
                  <c:v>0.68524481210483223</c:v>
                </c:pt>
                <c:pt idx="3">
                  <c:v>0.43985237368087199</c:v>
                </c:pt>
                <c:pt idx="4">
                  <c:v>0.36069931434854796</c:v>
                </c:pt>
                <c:pt idx="5">
                  <c:v>0.3674436132820923</c:v>
                </c:pt>
                <c:pt idx="6">
                  <c:v>0.41538439610379896</c:v>
                </c:pt>
                <c:pt idx="7">
                  <c:v>0.39824428365542941</c:v>
                </c:pt>
                <c:pt idx="8">
                  <c:v>0.36017966656652212</c:v>
                </c:pt>
                <c:pt idx="9">
                  <c:v>0.35792427776233915</c:v>
                </c:pt>
              </c:numCache>
            </c:numRef>
          </c:val>
          <c:smooth val="0"/>
          <c:extLst>
            <c:ext xmlns:c16="http://schemas.microsoft.com/office/drawing/2014/chart" uri="{C3380CC4-5D6E-409C-BE32-E72D297353CC}">
              <c16:uniqueId val="{00000002-305B-BD49-ABDB-32B3BEEE03E1}"/>
            </c:ext>
          </c:extLst>
        </c:ser>
        <c:ser>
          <c:idx val="3"/>
          <c:order val="3"/>
          <c:tx>
            <c:v>proj1</c:v>
          </c:tx>
          <c:spPr>
            <a:ln w="19050" cmpd="sng">
              <a:solidFill>
                <a:srgbClr val="008000"/>
              </a:solid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[0]!PEffprojindex1</c:f>
              <c:numCache>
                <c:formatCode>General</c:formatCode>
                <c:ptCount val="10"/>
                <c:pt idx="0">
                  <c:v>1</c:v>
                </c:pt>
                <c:pt idx="1">
                  <c:v>1.2675779116777026</c:v>
                </c:pt>
                <c:pt idx="2">
                  <c:v>1.6067537621732058</c:v>
                </c:pt>
                <c:pt idx="3">
                  <c:v>2.036685578435804</c:v>
                </c:pt>
                <c:pt idx="4">
                  <c:v>2.5816576522577503</c:v>
                </c:pt>
                <c:pt idx="5">
                  <c:v>3.2724522155156399</c:v>
                </c:pt>
                <c:pt idx="6">
                  <c:v>4.1480881454083862</c:v>
                </c:pt>
                <c:pt idx="7">
                  <c:v>5.2580249088117963</c:v>
                </c:pt>
                <c:pt idx="8">
                  <c:v>6.6649562334609991</c:v>
                </c:pt>
                <c:pt idx="9">
                  <c:v>8.4483513038337801</c:v>
                </c:pt>
              </c:numCache>
            </c:numRef>
          </c:val>
          <c:smooth val="0"/>
          <c:extLst>
            <c:ext xmlns:c16="http://schemas.microsoft.com/office/drawing/2014/chart" uri="{C3380CC4-5D6E-409C-BE32-E72D297353CC}">
              <c16:uniqueId val="{00000003-305B-BD49-ABDB-32B3BEEE03E1}"/>
            </c:ext>
          </c:extLst>
        </c:ser>
        <c:ser>
          <c:idx val="4"/>
          <c:order val="4"/>
          <c:tx>
            <c:v>proj2</c:v>
          </c:tx>
          <c:spPr>
            <a:ln w="19050" cmpd="sng">
              <a:solidFill>
                <a:srgbClr val="3366FF"/>
              </a:solid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[0]!PEffprojindex2</c:f>
              <c:numCache>
                <c:formatCode>General</c:formatCode>
                <c:ptCount val="10"/>
                <c:pt idx="0">
                  <c:v>1</c:v>
                </c:pt>
                <c:pt idx="1">
                  <c:v>1.2424386146522097</c:v>
                </c:pt>
                <c:pt idx="2">
                  <c:v>1.5436537111789022</c:v>
                </c:pt>
                <c:pt idx="3">
                  <c:v>1.9178949784198576</c:v>
                </c:pt>
                <c:pt idx="4">
                  <c:v>2.3828667800363976</c:v>
                </c:pt>
                <c:pt idx="5">
                  <c:v>2.9605657010891937</c:v>
                </c:pt>
                <c:pt idx="6">
                  <c:v>3.6783211482481057</c:v>
                </c:pt>
                <c:pt idx="7">
                  <c:v>4.5700882316753022</c:v>
                </c:pt>
                <c:pt idx="8">
                  <c:v>5.6780540914010293</c:v>
                </c:pt>
                <c:pt idx="9">
                  <c:v>7.054633659240606</c:v>
                </c:pt>
              </c:numCache>
            </c:numRef>
          </c:val>
          <c:smooth val="0"/>
          <c:extLst>
            <c:ext xmlns:c16="http://schemas.microsoft.com/office/drawing/2014/chart" uri="{C3380CC4-5D6E-409C-BE32-E72D297353CC}">
              <c16:uniqueId val="{00000004-305B-BD49-ABDB-32B3BEEE03E1}"/>
            </c:ext>
          </c:extLst>
        </c:ser>
        <c:dLbls>
          <c:showLegendKey val="0"/>
          <c:showVal val="0"/>
          <c:showCatName val="0"/>
          <c:showSerName val="0"/>
          <c:showPercent val="0"/>
          <c:showBubbleSize val="0"/>
        </c:dLbls>
        <c:marker val="1"/>
        <c:smooth val="0"/>
        <c:axId val="-1643058464"/>
        <c:axId val="-1643055712"/>
      </c:lineChart>
      <c:catAx>
        <c:axId val="-1643058464"/>
        <c:scaling>
          <c:orientation val="minMax"/>
        </c:scaling>
        <c:delete val="0"/>
        <c:axPos val="b"/>
        <c:numFmt formatCode="General" sourceLinked="1"/>
        <c:majorTickMark val="none"/>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3055712"/>
        <c:crosses val="autoZero"/>
        <c:auto val="1"/>
        <c:lblAlgn val="ctr"/>
        <c:lblOffset val="100"/>
        <c:tickLblSkip val="9"/>
        <c:tickMarkSkip val="1"/>
        <c:noMultiLvlLbl val="0"/>
      </c:catAx>
      <c:valAx>
        <c:axId val="-1643055712"/>
        <c:scaling>
          <c:orientation val="minMax"/>
          <c:max val="5"/>
          <c:min val="0"/>
        </c:scaling>
        <c:delete val="0"/>
        <c:axPos val="l"/>
        <c:title>
          <c:tx>
            <c:rich>
              <a:bodyPr/>
              <a:lstStyle/>
              <a:p>
                <a:pPr>
                  <a:defRPr sz="800" b="0" i="0" u="none" strike="noStrike" baseline="0">
                    <a:solidFill>
                      <a:srgbClr val="000000"/>
                    </a:solidFill>
                    <a:latin typeface="Arial"/>
                    <a:ea typeface="Arial"/>
                    <a:cs typeface="Arial"/>
                  </a:defRPr>
                </a:pPr>
                <a:r>
                  <a:rPr lang="en-US"/>
                  <a:t>Fossil PE (2010=1)</a:t>
                </a:r>
              </a:p>
            </c:rich>
          </c:tx>
          <c:layout>
            <c:manualLayout>
              <c:xMode val="edge"/>
              <c:yMode val="edge"/>
              <c:x val="1.5068973936397501E-2"/>
              <c:y val="0.3229881889763779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3058464"/>
        <c:crosses val="autoZero"/>
        <c:crossBetween val="midCat"/>
        <c:majorUnit val="1"/>
        <c:minorUnit val="0.5"/>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 verticalDpi="1200"/>
  </c:printSettings>
  <c:userShapes r:id="rId2"/>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000" b="1" i="0" u="none" strike="noStrike" baseline="0">
                <a:solidFill>
                  <a:srgbClr val="000000"/>
                </a:solidFill>
                <a:latin typeface="Arial"/>
                <a:ea typeface="Arial"/>
                <a:cs typeface="Arial"/>
              </a:defRPr>
            </a:pPr>
            <a:r>
              <a:rPr lang="en-US"/>
              <a:t>Energy Supply </a:t>
            </a:r>
          </a:p>
          <a:p>
            <a:pPr>
              <a:defRPr sz="1000" b="1" i="0" u="none" strike="noStrike" baseline="0">
                <a:solidFill>
                  <a:srgbClr val="000000"/>
                </a:solidFill>
                <a:latin typeface="Arial"/>
                <a:ea typeface="Arial"/>
                <a:cs typeface="Arial"/>
              </a:defRPr>
            </a:pPr>
            <a:r>
              <a:rPr lang="en-US"/>
              <a:t>Loss Factor</a:t>
            </a:r>
          </a:p>
        </c:rich>
      </c:tx>
      <c:layout>
        <c:manualLayout>
          <c:xMode val="edge"/>
          <c:yMode val="edge"/>
          <c:x val="0.27286770839691549"/>
          <c:y val="4.6731975966267734E-2"/>
        </c:manualLayout>
      </c:layout>
      <c:overlay val="0"/>
      <c:spPr>
        <a:noFill/>
        <a:ln w="25400">
          <a:noFill/>
        </a:ln>
      </c:spPr>
    </c:title>
    <c:autoTitleDeleted val="0"/>
    <c:plotArea>
      <c:layout>
        <c:manualLayout>
          <c:layoutTarget val="inner"/>
          <c:xMode val="edge"/>
          <c:yMode val="edge"/>
          <c:x val="0.224671407353151"/>
          <c:y val="0.211764654418198"/>
          <c:w val="0.60800830128792005"/>
          <c:h val="0.69313735783027097"/>
        </c:manualLayout>
      </c:layout>
      <c:lineChart>
        <c:grouping val="standard"/>
        <c:varyColors val="0"/>
        <c:ser>
          <c:idx val="0"/>
          <c:order val="0"/>
          <c:tx>
            <c:v>Reference case</c:v>
          </c:tx>
          <c:spPr>
            <a:ln w="12700">
              <a:solidFill>
                <a:sysClr val="windowText" lastClr="000000"/>
              </a:solidFill>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[0]!PEdeqperFEchngRef</c:f>
              <c:numCache>
                <c:formatCode>0.00</c:formatCode>
                <c:ptCount val="10"/>
                <c:pt idx="1">
                  <c:v>2.1516927401187976E-3</c:v>
                </c:pt>
                <c:pt idx="2">
                  <c:v>4.7608979205731325E-4</c:v>
                </c:pt>
                <c:pt idx="3">
                  <c:v>-1.2447201809849364E-3</c:v>
                </c:pt>
                <c:pt idx="4">
                  <c:v>-8.4472049584079104E-4</c:v>
                </c:pt>
                <c:pt idx="5">
                  <c:v>-9.4793915553592796E-4</c:v>
                </c:pt>
                <c:pt idx="6">
                  <c:v>-7.9988501394961616E-4</c:v>
                </c:pt>
                <c:pt idx="7">
                  <c:v>-2.0765236637825251E-4</c:v>
                </c:pt>
                <c:pt idx="8">
                  <c:v>8.5997124785732642E-4</c:v>
                </c:pt>
                <c:pt idx="9">
                  <c:v>1.2556259008588669E-3</c:v>
                </c:pt>
              </c:numCache>
            </c:numRef>
          </c:val>
          <c:smooth val="0"/>
          <c:extLst>
            <c:ext xmlns:c16="http://schemas.microsoft.com/office/drawing/2014/chart" uri="{C3380CC4-5D6E-409C-BE32-E72D297353CC}">
              <c16:uniqueId val="{00000000-1B63-1544-9719-3453E13F75CE}"/>
            </c:ext>
          </c:extLst>
        </c:ser>
        <c:ser>
          <c:idx val="1"/>
          <c:order val="1"/>
          <c:tx>
            <c:v>Line for Intervention Case</c:v>
          </c:tx>
          <c:spPr>
            <a:ln w="28575">
              <a:solidFill>
                <a:srgbClr val="C00000"/>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[0]!PEdeqperFEchngInt</c:f>
              <c:numCache>
                <c:formatCode>0.00</c:formatCode>
                <c:ptCount val="10"/>
                <c:pt idx="1">
                  <c:v>1.8768929436359515E-3</c:v>
                </c:pt>
                <c:pt idx="2">
                  <c:v>-4.3395015296219626E-3</c:v>
                </c:pt>
                <c:pt idx="3">
                  <c:v>-9.0950292343954207E-3</c:v>
                </c:pt>
                <c:pt idx="4">
                  <c:v>2.5517753772607479E-3</c:v>
                </c:pt>
                <c:pt idx="5">
                  <c:v>1.7982957244704915E-3</c:v>
                </c:pt>
                <c:pt idx="6">
                  <c:v>6.920809766909666E-3</c:v>
                </c:pt>
                <c:pt idx="7">
                  <c:v>2.2892649229566647E-3</c:v>
                </c:pt>
                <c:pt idx="8">
                  <c:v>-4.8944499857062388E-4</c:v>
                </c:pt>
                <c:pt idx="9">
                  <c:v>1.9274038097355521E-3</c:v>
                </c:pt>
              </c:numCache>
            </c:numRef>
          </c:val>
          <c:smooth val="0"/>
          <c:extLst>
            <c:ext xmlns:c16="http://schemas.microsoft.com/office/drawing/2014/chart" uri="{C3380CC4-5D6E-409C-BE32-E72D297353CC}">
              <c16:uniqueId val="{00000001-1B63-1544-9719-3453E13F75CE}"/>
            </c:ext>
          </c:extLst>
        </c:ser>
        <c:ser>
          <c:idx val="2"/>
          <c:order val="2"/>
          <c:tx>
            <c:v>rate1</c:v>
          </c:tx>
          <c:spPr>
            <a:ln w="19050" cmpd="sng">
              <a:no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[0]!PEdeqperFErate1</c:f>
              <c:numCache>
                <c:formatCode>0.00%</c:formatCode>
                <c:ptCount val="10"/>
                <c:pt idx="0">
                  <c:v>2.0153774592224227E-3</c:v>
                </c:pt>
                <c:pt idx="1">
                  <c:v>2.0153774592224227E-3</c:v>
                </c:pt>
                <c:pt idx="2">
                  <c:v>2.0153774592224227E-3</c:v>
                </c:pt>
                <c:pt idx="3">
                  <c:v>2.0153774592224227E-3</c:v>
                </c:pt>
                <c:pt idx="4">
                  <c:v>2.0153774592224227E-3</c:v>
                </c:pt>
                <c:pt idx="5">
                  <c:v>2.0153774592224227E-3</c:v>
                </c:pt>
                <c:pt idx="6">
                  <c:v>2.0153774592224227E-3</c:v>
                </c:pt>
                <c:pt idx="7">
                  <c:v>2.0153774592224227E-3</c:v>
                </c:pt>
                <c:pt idx="8">
                  <c:v>2.0153774592224227E-3</c:v>
                </c:pt>
                <c:pt idx="9">
                  <c:v>2.0153774592224227E-3</c:v>
                </c:pt>
              </c:numCache>
            </c:numRef>
          </c:val>
          <c:smooth val="0"/>
          <c:extLst>
            <c:ext xmlns:c16="http://schemas.microsoft.com/office/drawing/2014/chart" uri="{C3380CC4-5D6E-409C-BE32-E72D297353CC}">
              <c16:uniqueId val="{00000002-1B63-1544-9719-3453E13F75CE}"/>
            </c:ext>
          </c:extLst>
        </c:ser>
        <c:ser>
          <c:idx val="3"/>
          <c:order val="3"/>
          <c:tx>
            <c:v>rate2</c:v>
          </c:tx>
          <c:spPr>
            <a:ln w="19050" cmpd="sng">
              <a:no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[0]!PEdeqperFErate2</c:f>
              <c:numCache>
                <c:formatCode>0.00%</c:formatCode>
                <c:ptCount val="10"/>
                <c:pt idx="0">
                  <c:v>2.4377147280183475E-3</c:v>
                </c:pt>
                <c:pt idx="1">
                  <c:v>2.4377147280183475E-3</c:v>
                </c:pt>
                <c:pt idx="2">
                  <c:v>2.4377147280183475E-3</c:v>
                </c:pt>
                <c:pt idx="3">
                  <c:v>2.4377147280183475E-3</c:v>
                </c:pt>
                <c:pt idx="4">
                  <c:v>2.4377147280183475E-3</c:v>
                </c:pt>
                <c:pt idx="5">
                  <c:v>2.4377147280183475E-3</c:v>
                </c:pt>
                <c:pt idx="6">
                  <c:v>2.4377147280183475E-3</c:v>
                </c:pt>
                <c:pt idx="7">
                  <c:v>2.4377147280183475E-3</c:v>
                </c:pt>
                <c:pt idx="8">
                  <c:v>2.4377147280183475E-3</c:v>
                </c:pt>
                <c:pt idx="9">
                  <c:v>2.4377147280183475E-3</c:v>
                </c:pt>
              </c:numCache>
            </c:numRef>
          </c:val>
          <c:smooth val="0"/>
          <c:extLst>
            <c:ext xmlns:c16="http://schemas.microsoft.com/office/drawing/2014/chart" uri="{C3380CC4-5D6E-409C-BE32-E72D297353CC}">
              <c16:uniqueId val="{00000003-1B63-1544-9719-3453E13F75CE}"/>
            </c:ext>
          </c:extLst>
        </c:ser>
        <c:dLbls>
          <c:showLegendKey val="0"/>
          <c:showVal val="0"/>
          <c:showCatName val="0"/>
          <c:showSerName val="0"/>
          <c:showPercent val="0"/>
          <c:showBubbleSize val="0"/>
        </c:dLbls>
        <c:smooth val="0"/>
        <c:axId val="-1642852896"/>
        <c:axId val="-1642849632"/>
      </c:lineChart>
      <c:catAx>
        <c:axId val="-1642852896"/>
        <c:scaling>
          <c:orientation val="minMax"/>
        </c:scaling>
        <c:delete val="0"/>
        <c:axPos val="b"/>
        <c:numFmt formatCode="General" sourceLinked="1"/>
        <c:majorTickMark val="none"/>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2849632"/>
        <c:crosses val="autoZero"/>
        <c:auto val="1"/>
        <c:lblAlgn val="ctr"/>
        <c:lblOffset val="100"/>
        <c:tickLblSkip val="9"/>
        <c:tickMarkSkip val="1"/>
        <c:noMultiLvlLbl val="0"/>
      </c:catAx>
      <c:valAx>
        <c:axId val="-1642849632"/>
        <c:scaling>
          <c:orientation val="minMax"/>
          <c:max val="0.05"/>
          <c:min val="-0.05"/>
        </c:scaling>
        <c:delete val="0"/>
        <c:axPos val="l"/>
        <c:majorGridlines>
          <c:spPr>
            <a:ln w="3175">
              <a:solidFill>
                <a:schemeClr val="bg1">
                  <a:lumMod val="65000"/>
                </a:schemeClr>
              </a:solidFill>
              <a:prstDash val="sysDash"/>
            </a:ln>
          </c:spPr>
        </c:majorGridlines>
        <c:title>
          <c:tx>
            <c:rich>
              <a:bodyPr/>
              <a:lstStyle/>
              <a:p>
                <a:pPr>
                  <a:defRPr sz="800" b="0" i="0" u="none" strike="noStrike" baseline="0">
                    <a:solidFill>
                      <a:srgbClr val="000000"/>
                    </a:solidFill>
                    <a:latin typeface="Arial"/>
                    <a:ea typeface="Arial"/>
                    <a:cs typeface="Arial"/>
                  </a:defRPr>
                </a:pPr>
                <a:r>
                  <a:rPr lang="en-US"/>
                  <a:t>Annual Rate of Change</a:t>
                </a:r>
              </a:p>
            </c:rich>
          </c:tx>
          <c:layout>
            <c:manualLayout>
              <c:xMode val="edge"/>
              <c:yMode val="edge"/>
              <c:x val="2.7210861757561901E-2"/>
              <c:y val="0.288235294117646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2852896"/>
        <c:crosses val="autoZero"/>
        <c:crossBetween val="midCat"/>
        <c:majorUnit val="0.01"/>
        <c:minorUnit val="0.01"/>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 verticalDpi="1200"/>
  </c:printSettings>
  <c:userShapes r:id="rId2"/>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000" b="1" i="0" u="none" strike="noStrike" baseline="0">
                <a:solidFill>
                  <a:srgbClr val="000000"/>
                </a:solidFill>
                <a:latin typeface="Arial"/>
                <a:ea typeface="Arial"/>
                <a:cs typeface="Arial"/>
              </a:defRPr>
            </a:pPr>
            <a:r>
              <a:rPr lang="en-US"/>
              <a:t>Fraction Disposed</a:t>
            </a:r>
          </a:p>
          <a:p>
            <a:pPr>
              <a:defRPr sz="1000" b="1" i="0" u="none" strike="noStrike" baseline="0">
                <a:solidFill>
                  <a:srgbClr val="000000"/>
                </a:solidFill>
                <a:latin typeface="Arial"/>
                <a:ea typeface="Arial"/>
                <a:cs typeface="Arial"/>
              </a:defRPr>
            </a:pPr>
            <a:r>
              <a:rPr lang="en-US"/>
              <a:t>to Atmosphere </a:t>
            </a:r>
          </a:p>
        </c:rich>
      </c:tx>
      <c:layout>
        <c:manualLayout>
          <c:xMode val="edge"/>
          <c:yMode val="edge"/>
          <c:x val="0.249611379222758"/>
          <c:y val="2.16797900262467E-3"/>
        </c:manualLayout>
      </c:layout>
      <c:overlay val="0"/>
      <c:spPr>
        <a:noFill/>
        <a:ln w="25400">
          <a:noFill/>
        </a:ln>
      </c:spPr>
    </c:title>
    <c:autoTitleDeleted val="0"/>
    <c:plotArea>
      <c:layout>
        <c:manualLayout>
          <c:layoutTarget val="inner"/>
          <c:xMode val="edge"/>
          <c:yMode val="edge"/>
          <c:x val="0.22936703073406101"/>
          <c:y val="0.167922572178478"/>
          <c:w val="0.60689859542899904"/>
          <c:h val="0.67081977252843406"/>
        </c:manualLayout>
      </c:layout>
      <c:areaChart>
        <c:grouping val="stacked"/>
        <c:varyColors val="0"/>
        <c:ser>
          <c:idx val="1"/>
          <c:order val="0"/>
          <c:tx>
            <c:v>reference scenario area</c:v>
          </c:tx>
          <c:spPr>
            <a:noFill/>
            <a:ln w="12700">
              <a:noFill/>
              <a:prstDash val="solid"/>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[0]!NFCperTFCRef</c:f>
              <c:numCache>
                <c:formatCode>0.00</c:formatCode>
                <c:ptCount val="10"/>
                <c:pt idx="0">
                  <c:v>1</c:v>
                </c:pt>
                <c:pt idx="1">
                  <c:v>1</c:v>
                </c:pt>
                <c:pt idx="2">
                  <c:v>1</c:v>
                </c:pt>
                <c:pt idx="3">
                  <c:v>1</c:v>
                </c:pt>
                <c:pt idx="4">
                  <c:v>1</c:v>
                </c:pt>
                <c:pt idx="5">
                  <c:v>1</c:v>
                </c:pt>
                <c:pt idx="6">
                  <c:v>1</c:v>
                </c:pt>
                <c:pt idx="7">
                  <c:v>1</c:v>
                </c:pt>
                <c:pt idx="8">
                  <c:v>1</c:v>
                </c:pt>
                <c:pt idx="9">
                  <c:v>1</c:v>
                </c:pt>
              </c:numCache>
            </c:numRef>
          </c:val>
          <c:extLst>
            <c:ext xmlns:c16="http://schemas.microsoft.com/office/drawing/2014/chart" uri="{C3380CC4-5D6E-409C-BE32-E72D297353CC}">
              <c16:uniqueId val="{00000000-8797-1941-83DF-6C39D91CBFC4}"/>
            </c:ext>
          </c:extLst>
        </c:ser>
        <c:ser>
          <c:idx val="0"/>
          <c:order val="1"/>
          <c:tx>
            <c:v>Intervention scenario</c:v>
          </c:tx>
          <c:spPr>
            <a:solidFill>
              <a:srgbClr val="A1F4FF"/>
            </a:solidFill>
            <a:ln w="12700">
              <a:solidFill>
                <a:sysClr val="windowText" lastClr="000000"/>
              </a:solidFill>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[0]!AreaNFC_TFC</c:f>
              <c:numCache>
                <c:formatCode>General</c:formatCode>
                <c:ptCount val="10"/>
                <c:pt idx="0">
                  <c:v>0</c:v>
                </c:pt>
                <c:pt idx="1">
                  <c:v>-1.1258968232363831E-3</c:v>
                </c:pt>
                <c:pt idx="2">
                  <c:v>-6.1888774135854918E-2</c:v>
                </c:pt>
                <c:pt idx="3">
                  <c:v>-0.21179335977533897</c:v>
                </c:pt>
                <c:pt idx="4">
                  <c:v>-0.35107223682439015</c:v>
                </c:pt>
                <c:pt idx="5">
                  <c:v>-0.49852626033660641</c:v>
                </c:pt>
                <c:pt idx="6">
                  <c:v>-0.63162083835447258</c:v>
                </c:pt>
                <c:pt idx="7">
                  <c:v>-0.67151058384419637</c:v>
                </c:pt>
                <c:pt idx="8">
                  <c:v>-0.6638756733198441</c:v>
                </c:pt>
                <c:pt idx="9">
                  <c:v>-0.6549966352746559</c:v>
                </c:pt>
              </c:numCache>
            </c:numRef>
          </c:val>
          <c:extLst>
            <c:ext xmlns:c16="http://schemas.microsoft.com/office/drawing/2014/chart" uri="{C3380CC4-5D6E-409C-BE32-E72D297353CC}">
              <c16:uniqueId val="{00000001-8797-1941-83DF-6C39D91CBFC4}"/>
            </c:ext>
          </c:extLst>
        </c:ser>
        <c:dLbls>
          <c:showLegendKey val="0"/>
          <c:showVal val="0"/>
          <c:showCatName val="0"/>
          <c:showSerName val="0"/>
          <c:showPercent val="0"/>
          <c:showBubbleSize val="0"/>
        </c:dLbls>
        <c:axId val="-1687519472"/>
        <c:axId val="-1686351152"/>
      </c:areaChart>
      <c:lineChart>
        <c:grouping val="standard"/>
        <c:varyColors val="0"/>
        <c:ser>
          <c:idx val="2"/>
          <c:order val="2"/>
          <c:tx>
            <c:v>Intervention scenario Line</c:v>
          </c:tx>
          <c:spPr>
            <a:ln w="28575">
              <a:solidFill>
                <a:srgbClr val="C00000"/>
              </a:solidFill>
              <a:prstDash val="solid"/>
            </a:ln>
          </c:spPr>
          <c:marker>
            <c:symbol val="none"/>
          </c:marker>
          <c:cat>
            <c:numRef>
              <c:f>ExpKayaFactorsRef!$E$10:$N$10</c:f>
              <c:numCache>
                <c:formatCode>0.00</c:formatCode>
                <c:ptCount val="10"/>
              </c:numCache>
            </c:numRef>
          </c:cat>
          <c:val>
            <c:numRef>
              <c:f>[0]!NFCperTFCInt</c:f>
              <c:numCache>
                <c:formatCode>0.00</c:formatCode>
                <c:ptCount val="10"/>
                <c:pt idx="0">
                  <c:v>1</c:v>
                </c:pt>
                <c:pt idx="1">
                  <c:v>0.99887410317676362</c:v>
                </c:pt>
                <c:pt idx="2">
                  <c:v>0.93811122586414508</c:v>
                </c:pt>
                <c:pt idx="3">
                  <c:v>0.78820664022466103</c:v>
                </c:pt>
                <c:pt idx="4">
                  <c:v>0.64892776317560985</c:v>
                </c:pt>
                <c:pt idx="5">
                  <c:v>0.50147373966339359</c:v>
                </c:pt>
                <c:pt idx="6">
                  <c:v>0.36837916164552736</c:v>
                </c:pt>
                <c:pt idx="7">
                  <c:v>0.32848941615580363</c:v>
                </c:pt>
                <c:pt idx="8">
                  <c:v>0.3361243266801559</c:v>
                </c:pt>
                <c:pt idx="9">
                  <c:v>0.34500336472534404</c:v>
                </c:pt>
              </c:numCache>
            </c:numRef>
          </c:val>
          <c:smooth val="0"/>
          <c:extLst>
            <c:ext xmlns:c16="http://schemas.microsoft.com/office/drawing/2014/chart" uri="{C3380CC4-5D6E-409C-BE32-E72D297353CC}">
              <c16:uniqueId val="{00000002-8797-1941-83DF-6C39D91CBFC4}"/>
            </c:ext>
          </c:extLst>
        </c:ser>
        <c:ser>
          <c:idx val="3"/>
          <c:order val="3"/>
          <c:tx>
            <c:v>reference scenario line</c:v>
          </c:tx>
          <c:spPr>
            <a:ln w="12700">
              <a:noFill/>
              <a:prstDash val="solid"/>
            </a:ln>
          </c:spPr>
          <c:marker>
            <c:symbol val="none"/>
          </c:marker>
          <c:cat>
            <c:numRef>
              <c:f>ExpKayaFactorsRef!$E$10:$N$10</c:f>
              <c:numCache>
                <c:formatCode>0.00</c:formatCode>
                <c:ptCount val="10"/>
              </c:numCache>
            </c:numRef>
          </c:cat>
          <c:val>
            <c:numRef>
              <c:f>[0]!NFCperTFCRef</c:f>
              <c:numCache>
                <c:formatCode>0.00</c:formatCode>
                <c:ptCount val="10"/>
                <c:pt idx="0">
                  <c:v>1</c:v>
                </c:pt>
                <c:pt idx="1">
                  <c:v>1</c:v>
                </c:pt>
                <c:pt idx="2">
                  <c:v>1</c:v>
                </c:pt>
                <c:pt idx="3">
                  <c:v>1</c:v>
                </c:pt>
                <c:pt idx="4">
                  <c:v>1</c:v>
                </c:pt>
                <c:pt idx="5">
                  <c:v>1</c:v>
                </c:pt>
                <c:pt idx="6">
                  <c:v>1</c:v>
                </c:pt>
                <c:pt idx="7">
                  <c:v>1</c:v>
                </c:pt>
                <c:pt idx="8">
                  <c:v>1</c:v>
                </c:pt>
                <c:pt idx="9">
                  <c:v>1</c:v>
                </c:pt>
              </c:numCache>
            </c:numRef>
          </c:val>
          <c:smooth val="0"/>
          <c:extLst>
            <c:ext xmlns:c16="http://schemas.microsoft.com/office/drawing/2014/chart" uri="{C3380CC4-5D6E-409C-BE32-E72D297353CC}">
              <c16:uniqueId val="{00000003-8797-1941-83DF-6C39D91CBFC4}"/>
            </c:ext>
          </c:extLst>
        </c:ser>
        <c:ser>
          <c:idx val="5"/>
          <c:order val="4"/>
          <c:marker>
            <c:symbol val="none"/>
          </c:marker>
          <c:cat>
            <c:numRef>
              <c:f>ExpKayaFactorsRef!$E$10:$N$10</c:f>
              <c:numCache>
                <c:formatCode>0.00</c:formatCode>
                <c:ptCount val="10"/>
              </c:numCache>
            </c:numRef>
          </c:cat>
          <c:val>
            <c:numRef>
              <c:f>ExpKayaFactorsRef!$E$10:$N$10</c:f>
              <c:numCache>
                <c:formatCode>0.00</c:formatCode>
                <c:ptCount val="10"/>
              </c:numCache>
            </c:numRef>
          </c:val>
          <c:smooth val="0"/>
          <c:extLst>
            <c:ext xmlns:c16="http://schemas.microsoft.com/office/drawing/2014/chart" uri="{C3380CC4-5D6E-409C-BE32-E72D297353CC}">
              <c16:uniqueId val="{00000000-D09E-A446-9320-6315C282E714}"/>
            </c:ext>
          </c:extLst>
        </c:ser>
        <c:dLbls>
          <c:showLegendKey val="0"/>
          <c:showVal val="0"/>
          <c:showCatName val="0"/>
          <c:showSerName val="0"/>
          <c:showPercent val="0"/>
          <c:showBubbleSize val="0"/>
        </c:dLbls>
        <c:marker val="1"/>
        <c:smooth val="0"/>
        <c:axId val="-1687519472"/>
        <c:axId val="-1686351152"/>
      </c:lineChart>
      <c:catAx>
        <c:axId val="-1687519472"/>
        <c:scaling>
          <c:orientation val="minMax"/>
        </c:scaling>
        <c:delete val="0"/>
        <c:axPos val="b"/>
        <c:numFmt formatCode="General" sourceLinked="1"/>
        <c:majorTickMark val="none"/>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86351152"/>
        <c:crosses val="autoZero"/>
        <c:auto val="1"/>
        <c:lblAlgn val="ctr"/>
        <c:lblOffset val="100"/>
        <c:tickLblSkip val="9"/>
        <c:tickMarkSkip val="1"/>
        <c:noMultiLvlLbl val="0"/>
      </c:catAx>
      <c:valAx>
        <c:axId val="-1686351152"/>
        <c:scaling>
          <c:orientation val="minMax"/>
          <c:max val="1"/>
        </c:scaling>
        <c:delete val="0"/>
        <c:axPos val="l"/>
        <c:title>
          <c:tx>
            <c:rich>
              <a:bodyPr/>
              <a:lstStyle/>
              <a:p>
                <a:pPr>
                  <a:defRPr sz="800" b="0" i="0" u="none" strike="noStrike" baseline="0">
                    <a:solidFill>
                      <a:srgbClr val="000000"/>
                    </a:solidFill>
                    <a:latin typeface="Arial"/>
                    <a:ea typeface="Arial"/>
                    <a:cs typeface="Arial"/>
                  </a:defRPr>
                </a:pPr>
                <a:r>
                  <a:rPr lang="en-US"/>
                  <a:t>Fraction Not Sequestered</a:t>
                </a:r>
              </a:p>
            </c:rich>
          </c:tx>
          <c:layout>
            <c:manualLayout>
              <c:xMode val="edge"/>
              <c:yMode val="edge"/>
              <c:x val="3.4482874740283997E-2"/>
              <c:y val="0.23780434703321399"/>
            </c:manualLayout>
          </c:layout>
          <c:overlay val="0"/>
          <c:spPr>
            <a:noFill/>
            <a:ln w="25400">
              <a:noFill/>
            </a:ln>
          </c:spPr>
        </c:title>
        <c:numFmt formatCode="0.0" sourceLinked="0"/>
        <c:majorTickMark val="out"/>
        <c:minorTickMark val="cross"/>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87519472"/>
        <c:crosses val="autoZero"/>
        <c:crossBetween val="midCat"/>
        <c:majorUnit val="0.5"/>
        <c:minorUnit val="0.25"/>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 verticalDpi="1200"/>
  </c:printSettings>
  <c:userShapes r:id="rId2"/>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000" b="1" i="0" u="none" strike="noStrike" baseline="0">
                <a:solidFill>
                  <a:srgbClr val="000000"/>
                </a:solidFill>
                <a:latin typeface="Arial"/>
                <a:ea typeface="Arial"/>
                <a:cs typeface="Arial"/>
              </a:defRPr>
            </a:pPr>
            <a:r>
              <a:rPr lang="en-US"/>
              <a:t>Carbon Intensity of </a:t>
            </a:r>
          </a:p>
          <a:p>
            <a:pPr>
              <a:defRPr sz="1000" b="1" i="0" u="none" strike="noStrike" baseline="0">
                <a:solidFill>
                  <a:srgbClr val="000000"/>
                </a:solidFill>
                <a:latin typeface="Arial"/>
                <a:ea typeface="Arial"/>
                <a:cs typeface="Arial"/>
              </a:defRPr>
            </a:pPr>
            <a:r>
              <a:rPr lang="en-US"/>
              <a:t>Fossil Energy Supply</a:t>
            </a:r>
          </a:p>
        </c:rich>
      </c:tx>
      <c:layout>
        <c:manualLayout>
          <c:xMode val="edge"/>
          <c:yMode val="edge"/>
          <c:x val="0.206672085344171"/>
          <c:y val="4.4685039370078701E-3"/>
        </c:manualLayout>
      </c:layout>
      <c:overlay val="0"/>
      <c:spPr>
        <a:noFill/>
        <a:ln w="25400">
          <a:noFill/>
        </a:ln>
      </c:spPr>
    </c:title>
    <c:autoTitleDeleted val="0"/>
    <c:plotArea>
      <c:layout>
        <c:manualLayout>
          <c:layoutTarget val="inner"/>
          <c:xMode val="edge"/>
          <c:yMode val="edge"/>
          <c:x val="0.22721971043942099"/>
          <c:y val="0.167512248468941"/>
          <c:w val="0.60393141986284005"/>
          <c:h val="0.67053193350831097"/>
        </c:manualLayout>
      </c:layout>
      <c:areaChart>
        <c:grouping val="stacked"/>
        <c:varyColors val="0"/>
        <c:ser>
          <c:idx val="2"/>
          <c:order val="0"/>
          <c:tx>
            <c:v>Reference case</c:v>
          </c:tx>
          <c:spPr>
            <a:noFill/>
            <a:ln>
              <a:noFill/>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[0]!TFCperPEffRef</c:f>
              <c:numCache>
                <c:formatCode>0.00</c:formatCode>
                <c:ptCount val="10"/>
                <c:pt idx="0">
                  <c:v>70.809223457492806</c:v>
                </c:pt>
                <c:pt idx="1">
                  <c:v>72.66908654603688</c:v>
                </c:pt>
                <c:pt idx="2">
                  <c:v>72.890883419106402</c:v>
                </c:pt>
                <c:pt idx="3">
                  <c:v>72.567464850194185</c:v>
                </c:pt>
                <c:pt idx="4">
                  <c:v>72.266403819653618</c:v>
                </c:pt>
                <c:pt idx="5">
                  <c:v>71.675915512519595</c:v>
                </c:pt>
                <c:pt idx="6">
                  <c:v>72.396571674596771</c:v>
                </c:pt>
                <c:pt idx="7">
                  <c:v>73.244974333014838</c:v>
                </c:pt>
                <c:pt idx="8">
                  <c:v>74.641929933170829</c:v>
                </c:pt>
                <c:pt idx="9">
                  <c:v>76.434424487093352</c:v>
                </c:pt>
              </c:numCache>
            </c:numRef>
          </c:val>
          <c:extLst>
            <c:ext xmlns:c16="http://schemas.microsoft.com/office/drawing/2014/chart" uri="{C3380CC4-5D6E-409C-BE32-E72D297353CC}">
              <c16:uniqueId val="{00000000-5FFD-334F-A5DF-D30C37A69187}"/>
            </c:ext>
          </c:extLst>
        </c:ser>
        <c:ser>
          <c:idx val="0"/>
          <c:order val="1"/>
          <c:tx>
            <c:v>Area for Intervention case</c:v>
          </c:tx>
          <c:spPr>
            <a:solidFill>
              <a:srgbClr val="A1F4FF"/>
            </a:solidFill>
            <a:ln>
              <a:solidFill>
                <a:sysClr val="windowText" lastClr="000000"/>
              </a:solidFill>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[0]!AreaTFC_PEff</c:f>
              <c:numCache>
                <c:formatCode>General</c:formatCode>
                <c:ptCount val="10"/>
                <c:pt idx="0">
                  <c:v>-7.9784689616602122E-2</c:v>
                </c:pt>
                <c:pt idx="1">
                  <c:v>-1.550721921012439</c:v>
                </c:pt>
                <c:pt idx="2">
                  <c:v>-5.1165558608221318</c:v>
                </c:pt>
                <c:pt idx="3">
                  <c:v>-11.641991596812929</c:v>
                </c:pt>
                <c:pt idx="4">
                  <c:v>-16.767401104898781</c:v>
                </c:pt>
                <c:pt idx="5">
                  <c:v>-17.066709887682741</c:v>
                </c:pt>
                <c:pt idx="6">
                  <c:v>-17.59038922905799</c:v>
                </c:pt>
                <c:pt idx="7">
                  <c:v>-19.31826626994701</c:v>
                </c:pt>
                <c:pt idx="8">
                  <c:v>-20.298678490516359</c:v>
                </c:pt>
                <c:pt idx="9">
                  <c:v>-20.029947772067366</c:v>
                </c:pt>
              </c:numCache>
            </c:numRef>
          </c:val>
          <c:extLst>
            <c:ext xmlns:c16="http://schemas.microsoft.com/office/drawing/2014/chart" uri="{C3380CC4-5D6E-409C-BE32-E72D297353CC}">
              <c16:uniqueId val="{00000002-5FFD-334F-A5DF-D30C37A69187}"/>
            </c:ext>
          </c:extLst>
        </c:ser>
        <c:dLbls>
          <c:showLegendKey val="0"/>
          <c:showVal val="0"/>
          <c:showCatName val="0"/>
          <c:showSerName val="0"/>
          <c:showPercent val="0"/>
          <c:showBubbleSize val="0"/>
        </c:dLbls>
        <c:axId val="-1665764288"/>
        <c:axId val="-1686207616"/>
      </c:areaChart>
      <c:lineChart>
        <c:grouping val="standard"/>
        <c:varyColors val="0"/>
        <c:ser>
          <c:idx val="1"/>
          <c:order val="2"/>
          <c:tx>
            <c:v>Line for Intervention Case</c:v>
          </c:tx>
          <c:spPr>
            <a:ln w="19050">
              <a:solidFill>
                <a:srgbClr val="FF0000"/>
              </a:solidFill>
            </a:ln>
          </c:spPr>
          <c:marker>
            <c:symbol val="none"/>
          </c:marker>
          <c:val>
            <c:numRef>
              <c:f>[0]!TFCperPEffInt</c:f>
              <c:numCache>
                <c:formatCode>0.00</c:formatCode>
                <c:ptCount val="10"/>
                <c:pt idx="0">
                  <c:v>70.729438767876204</c:v>
                </c:pt>
                <c:pt idx="1">
                  <c:v>71.118364625024441</c:v>
                </c:pt>
                <c:pt idx="2">
                  <c:v>67.77432755828427</c:v>
                </c:pt>
                <c:pt idx="3">
                  <c:v>60.925473253381256</c:v>
                </c:pt>
                <c:pt idx="4">
                  <c:v>55.499002714754837</c:v>
                </c:pt>
                <c:pt idx="5">
                  <c:v>54.609205624836854</c:v>
                </c:pt>
                <c:pt idx="6">
                  <c:v>54.806182445538781</c:v>
                </c:pt>
                <c:pt idx="7">
                  <c:v>53.926708063067828</c:v>
                </c:pt>
                <c:pt idx="8">
                  <c:v>54.34325144265447</c:v>
                </c:pt>
                <c:pt idx="9">
                  <c:v>56.404476715025986</c:v>
                </c:pt>
              </c:numCache>
            </c:numRef>
          </c:val>
          <c:smooth val="0"/>
          <c:extLst>
            <c:ext xmlns:c16="http://schemas.microsoft.com/office/drawing/2014/chart" uri="{C3380CC4-5D6E-409C-BE32-E72D297353CC}">
              <c16:uniqueId val="{00000001-5FFD-334F-A5DF-D30C37A69187}"/>
            </c:ext>
          </c:extLst>
        </c:ser>
        <c:ser>
          <c:idx val="3"/>
          <c:order val="3"/>
          <c:tx>
            <c:v>proj1</c:v>
          </c:tx>
          <c:spPr>
            <a:ln>
              <a:solidFill>
                <a:srgbClr val="3C8105"/>
              </a:solidFill>
              <a:prstDash val="sysDash"/>
            </a:ln>
          </c:spPr>
          <c:marker>
            <c:symbol val="none"/>
          </c:marker>
          <c:val>
            <c:numRef>
              <c:f>[0]!TFCperPEffproj1</c:f>
              <c:numCache>
                <c:formatCode>General</c:formatCode>
                <c:ptCount val="10"/>
                <c:pt idx="0">
                  <c:v>70.809223457492806</c:v>
                </c:pt>
                <c:pt idx="1">
                  <c:v>71.910967609571813</c:v>
                </c:pt>
                <c:pt idx="2">
                  <c:v>73.0298541636907</c:v>
                </c:pt>
                <c:pt idx="3">
                  <c:v>74.166149844158511</c:v>
                </c:pt>
                <c:pt idx="4">
                  <c:v>75.32012552533611</c:v>
                </c:pt>
                <c:pt idx="5">
                  <c:v>76.492056296208219</c:v>
                </c:pt>
                <c:pt idx="6">
                  <c:v>77.682221525960188</c:v>
                </c:pt>
                <c:pt idx="7">
                  <c:v>78.890904930574976</c:v>
                </c:pt>
                <c:pt idx="8">
                  <c:v>80.118394640466491</c:v>
                </c:pt>
                <c:pt idx="9">
                  <c:v>81.364983269165137</c:v>
                </c:pt>
              </c:numCache>
            </c:numRef>
          </c:val>
          <c:smooth val="0"/>
          <c:extLst>
            <c:ext xmlns:c16="http://schemas.microsoft.com/office/drawing/2014/chart" uri="{C3380CC4-5D6E-409C-BE32-E72D297353CC}">
              <c16:uniqueId val="{00000003-5FFD-334F-A5DF-D30C37A69187}"/>
            </c:ext>
          </c:extLst>
        </c:ser>
        <c:ser>
          <c:idx val="4"/>
          <c:order val="4"/>
          <c:tx>
            <c:v>proj2</c:v>
          </c:tx>
          <c:spPr>
            <a:ln>
              <a:solidFill>
                <a:srgbClr val="3465FC"/>
              </a:solidFill>
              <a:prstDash val="sysDash"/>
            </a:ln>
          </c:spPr>
          <c:marker>
            <c:symbol val="none"/>
          </c:marker>
          <c:val>
            <c:numRef>
              <c:f>[0]!TFCperPEffproj2</c:f>
              <c:numCache>
                <c:formatCode>General</c:formatCode>
                <c:ptCount val="10"/>
                <c:pt idx="0">
                  <c:v>70.809223457492806</c:v>
                </c:pt>
                <c:pt idx="1">
                  <c:v>71.361846417496551</c:v>
                </c:pt>
                <c:pt idx="2">
                  <c:v>71.91878226388728</c:v>
                </c:pt>
                <c:pt idx="3">
                  <c:v>72.480064656122423</c:v>
                </c:pt>
                <c:pt idx="4">
                  <c:v>73.045727516350993</c:v>
                </c:pt>
                <c:pt idx="5">
                  <c:v>73.615805031463765</c:v>
                </c:pt>
                <c:pt idx="6">
                  <c:v>74.19033165515944</c:v>
                </c:pt>
                <c:pt idx="7">
                  <c:v>74.769342110026884</c:v>
                </c:pt>
                <c:pt idx="8">
                  <c:v>75.352871389643681</c:v>
                </c:pt>
                <c:pt idx="9">
                  <c:v>75.940954760691014</c:v>
                </c:pt>
              </c:numCache>
            </c:numRef>
          </c:val>
          <c:smooth val="0"/>
          <c:extLst>
            <c:ext xmlns:c16="http://schemas.microsoft.com/office/drawing/2014/chart" uri="{C3380CC4-5D6E-409C-BE32-E72D297353CC}">
              <c16:uniqueId val="{00000004-5FFD-334F-A5DF-D30C37A69187}"/>
            </c:ext>
          </c:extLst>
        </c:ser>
        <c:dLbls>
          <c:showLegendKey val="0"/>
          <c:showVal val="0"/>
          <c:showCatName val="0"/>
          <c:showSerName val="0"/>
          <c:showPercent val="0"/>
          <c:showBubbleSize val="0"/>
        </c:dLbls>
        <c:marker val="1"/>
        <c:smooth val="0"/>
        <c:axId val="-1665764288"/>
        <c:axId val="-1686207616"/>
      </c:lineChart>
      <c:catAx>
        <c:axId val="-1665764288"/>
        <c:scaling>
          <c:orientation val="minMax"/>
        </c:scaling>
        <c:delete val="0"/>
        <c:axPos val="b"/>
        <c:numFmt formatCode="General" sourceLinked="1"/>
        <c:majorTickMark val="none"/>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86207616"/>
        <c:crosses val="autoZero"/>
        <c:auto val="1"/>
        <c:lblAlgn val="ctr"/>
        <c:lblOffset val="100"/>
        <c:tickLblSkip val="9"/>
        <c:tickMarkSkip val="1"/>
        <c:noMultiLvlLbl val="0"/>
      </c:catAx>
      <c:valAx>
        <c:axId val="-1686207616"/>
        <c:scaling>
          <c:orientation val="minMax"/>
          <c:min val="0"/>
        </c:scaling>
        <c:delete val="0"/>
        <c:axPos val="l"/>
        <c:title>
          <c:tx>
            <c:rich>
              <a:bodyPr/>
              <a:lstStyle/>
              <a:p>
                <a:pPr>
                  <a:defRPr sz="800" b="0" i="0" u="none" strike="noStrike" baseline="0">
                    <a:solidFill>
                      <a:srgbClr val="000000"/>
                    </a:solidFill>
                    <a:latin typeface="Arial"/>
                    <a:ea typeface="Arial"/>
                    <a:cs typeface="Arial"/>
                  </a:defRPr>
                </a:pPr>
                <a:r>
                  <a:rPr lang="en-US"/>
                  <a:t>CO2 per unit of fossil PE (MtCO2/EJ)</a:t>
                </a:r>
              </a:p>
            </c:rich>
          </c:tx>
          <c:layout>
            <c:manualLayout>
              <c:xMode val="edge"/>
              <c:yMode val="edge"/>
              <c:x val="1.9883415735823702E-3"/>
              <c:y val="0.1084540682414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65764288"/>
        <c:crosses val="autoZero"/>
        <c:crossBetween val="midCat"/>
        <c:majorUnit val="100"/>
        <c:minorUnit val="9.73512470242269E-2"/>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 verticalDpi="1200"/>
  </c:printSettings>
  <c:userShapes r:id="rId2"/>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000" b="1" i="0" u="none" strike="noStrike" baseline="0">
                <a:solidFill>
                  <a:srgbClr val="000000"/>
                </a:solidFill>
                <a:latin typeface="Arial"/>
                <a:ea typeface="Arial"/>
                <a:cs typeface="Arial"/>
              </a:defRPr>
            </a:pPr>
            <a:r>
              <a:rPr lang="en-US"/>
              <a:t>Energy Intensity</a:t>
            </a:r>
          </a:p>
          <a:p>
            <a:pPr>
              <a:defRPr sz="1000" b="1" i="0" u="none" strike="noStrike" baseline="0">
                <a:solidFill>
                  <a:srgbClr val="000000"/>
                </a:solidFill>
                <a:latin typeface="Arial"/>
                <a:ea typeface="Arial"/>
                <a:cs typeface="Arial"/>
              </a:defRPr>
            </a:pPr>
            <a:r>
              <a:rPr lang="en-US"/>
              <a:t>of Economic Activity</a:t>
            </a:r>
          </a:p>
        </c:rich>
      </c:tx>
      <c:layout>
        <c:manualLayout>
          <c:xMode val="edge"/>
          <c:yMode val="edge"/>
          <c:x val="0.184024384048768"/>
          <c:y val="8.1504811898512695E-3"/>
        </c:manualLayout>
      </c:layout>
      <c:overlay val="0"/>
      <c:spPr>
        <a:noFill/>
        <a:ln w="25400">
          <a:noFill/>
        </a:ln>
      </c:spPr>
    </c:title>
    <c:autoTitleDeleted val="0"/>
    <c:plotArea>
      <c:layout>
        <c:manualLayout>
          <c:layoutTarget val="inner"/>
          <c:xMode val="edge"/>
          <c:yMode val="edge"/>
          <c:x val="0.23146558293116601"/>
          <c:y val="0.16513692038495201"/>
          <c:w val="0.60144780289560595"/>
          <c:h val="0.68047375328084003"/>
        </c:manualLayout>
      </c:layout>
      <c:areaChart>
        <c:grouping val="stacked"/>
        <c:varyColors val="0"/>
        <c:ser>
          <c:idx val="0"/>
          <c:order val="0"/>
          <c:tx>
            <c:v>Reference case</c:v>
          </c:tx>
          <c:spPr>
            <a:noFill/>
            <a:ln w="12700">
              <a:noFill/>
              <a:prstDash val="solid"/>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[0]!FEperGWPRef</c:f>
              <c:numCache>
                <c:formatCode>0.00</c:formatCode>
                <c:ptCount val="10"/>
                <c:pt idx="0">
                  <c:v>4.8881986641254178</c:v>
                </c:pt>
                <c:pt idx="1">
                  <c:v>3.785090672076461</c:v>
                </c:pt>
                <c:pt idx="2">
                  <c:v>3.0096676660541926</c:v>
                </c:pt>
                <c:pt idx="3">
                  <c:v>2.6137239853503771</c:v>
                </c:pt>
                <c:pt idx="4">
                  <c:v>2.3365353266329931</c:v>
                </c:pt>
                <c:pt idx="5">
                  <c:v>2.1328361375101297</c:v>
                </c:pt>
                <c:pt idx="6">
                  <c:v>1.9288233877938881</c:v>
                </c:pt>
                <c:pt idx="7">
                  <c:v>1.7411165660960337</c:v>
                </c:pt>
                <c:pt idx="8">
                  <c:v>1.5625579324616352</c:v>
                </c:pt>
                <c:pt idx="9">
                  <c:v>1.4049040446769456</c:v>
                </c:pt>
              </c:numCache>
            </c:numRef>
          </c:val>
          <c:extLst>
            <c:ext xmlns:c16="http://schemas.microsoft.com/office/drawing/2014/chart" uri="{C3380CC4-5D6E-409C-BE32-E72D297353CC}">
              <c16:uniqueId val="{00000000-37CE-FD48-A09E-AEB50202C787}"/>
            </c:ext>
          </c:extLst>
        </c:ser>
        <c:ser>
          <c:idx val="1"/>
          <c:order val="1"/>
          <c:tx>
            <c:v>Area for Intervention Case</c:v>
          </c:tx>
          <c:spPr>
            <a:solidFill>
              <a:srgbClr val="A1F4FF"/>
            </a:solidFill>
            <a:ln w="12700">
              <a:solidFill>
                <a:sysClr val="windowText" lastClr="000000"/>
              </a:solidFill>
              <a:prstDash val="solid"/>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[0]!AreaFE_GWP</c:f>
              <c:numCache>
                <c:formatCode>General</c:formatCode>
                <c:ptCount val="10"/>
                <c:pt idx="0">
                  <c:v>-3.6238207059846594E-2</c:v>
                </c:pt>
                <c:pt idx="1">
                  <c:v>-0.52074628461391992</c:v>
                </c:pt>
                <c:pt idx="2">
                  <c:v>-1.1096523313866664</c:v>
                </c:pt>
                <c:pt idx="3">
                  <c:v>-1.2775922563444095</c:v>
                </c:pt>
                <c:pt idx="4">
                  <c:v>-1.2066708614458439</c:v>
                </c:pt>
                <c:pt idx="5">
                  <c:v>-1.1102322646115246</c:v>
                </c:pt>
                <c:pt idx="6">
                  <c:v>-0.99626823755812655</c:v>
                </c:pt>
                <c:pt idx="7">
                  <c:v>-0.88050723621183091</c:v>
                </c:pt>
                <c:pt idx="8">
                  <c:v>-0.77129137120975666</c:v>
                </c:pt>
                <c:pt idx="9">
                  <c:v>-0.67205904477120171</c:v>
                </c:pt>
              </c:numCache>
            </c:numRef>
          </c:val>
          <c:extLst>
            <c:ext xmlns:c16="http://schemas.microsoft.com/office/drawing/2014/chart" uri="{C3380CC4-5D6E-409C-BE32-E72D297353CC}">
              <c16:uniqueId val="{00000001-37CE-FD48-A09E-AEB50202C787}"/>
            </c:ext>
          </c:extLst>
        </c:ser>
        <c:dLbls>
          <c:showLegendKey val="0"/>
          <c:showVal val="0"/>
          <c:showCatName val="0"/>
          <c:showSerName val="0"/>
          <c:showPercent val="0"/>
          <c:showBubbleSize val="0"/>
        </c:dLbls>
        <c:axId val="-1686220624"/>
        <c:axId val="-1686208784"/>
      </c:areaChart>
      <c:lineChart>
        <c:grouping val="standard"/>
        <c:varyColors val="0"/>
        <c:ser>
          <c:idx val="2"/>
          <c:order val="2"/>
          <c:tx>
            <c:v>Line for Intervention Case</c:v>
          </c:tx>
          <c:spPr>
            <a:ln w="28575">
              <a:solidFill>
                <a:srgbClr val="C00000"/>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[0]!FEperGWPInt</c:f>
              <c:numCache>
                <c:formatCode>0.00</c:formatCode>
                <c:ptCount val="10"/>
                <c:pt idx="0">
                  <c:v>4.8519604570655712</c:v>
                </c:pt>
                <c:pt idx="1">
                  <c:v>3.2643443874625411</c:v>
                </c:pt>
                <c:pt idx="2">
                  <c:v>1.9000153346675261</c:v>
                </c:pt>
                <c:pt idx="3">
                  <c:v>1.3361317290059675</c:v>
                </c:pt>
                <c:pt idx="4">
                  <c:v>1.1298644651871492</c:v>
                </c:pt>
                <c:pt idx="5">
                  <c:v>1.0226038728986051</c:v>
                </c:pt>
                <c:pt idx="6">
                  <c:v>0.93255515023576152</c:v>
                </c:pt>
                <c:pt idx="7">
                  <c:v>0.8606093298842028</c:v>
                </c:pt>
                <c:pt idx="8">
                  <c:v>0.79126656125187855</c:v>
                </c:pt>
                <c:pt idx="9">
                  <c:v>0.73284499990574392</c:v>
                </c:pt>
              </c:numCache>
            </c:numRef>
          </c:val>
          <c:smooth val="0"/>
          <c:extLst>
            <c:ext xmlns:c16="http://schemas.microsoft.com/office/drawing/2014/chart" uri="{C3380CC4-5D6E-409C-BE32-E72D297353CC}">
              <c16:uniqueId val="{00000002-37CE-FD48-A09E-AEB50202C787}"/>
            </c:ext>
          </c:extLst>
        </c:ser>
        <c:ser>
          <c:idx val="3"/>
          <c:order val="3"/>
          <c:tx>
            <c:v>proj1</c:v>
          </c:tx>
          <c:spPr>
            <a:ln w="19050" cmpd="sng">
              <a:solidFill>
                <a:srgbClr val="008000"/>
              </a:solid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[0]!FEperGWPproj1</c:f>
              <c:numCache>
                <c:formatCode>General</c:formatCode>
                <c:ptCount val="10"/>
                <c:pt idx="0">
                  <c:v>4.8881986641254178</c:v>
                </c:pt>
                <c:pt idx="1">
                  <c:v>4.5058444116278009</c:v>
                </c:pt>
                <c:pt idx="2">
                  <c:v>4.1533978581514903</c:v>
                </c:pt>
                <c:pt idx="3">
                  <c:v>3.828519627437672</c:v>
                </c:pt>
                <c:pt idx="4">
                  <c:v>3.5290533289288546</c:v>
                </c:pt>
                <c:pt idx="5">
                  <c:v>3.2530112446515291</c:v>
                </c:pt>
                <c:pt idx="6">
                  <c:v>2.9985611356689774</c:v>
                </c:pt>
                <c:pt idx="7">
                  <c:v>2.7640140805315925</c:v>
                </c:pt>
                <c:pt idx="8">
                  <c:v>2.5478132650020071</c:v>
                </c:pt>
                <c:pt idx="9">
                  <c:v>2.3485236486464394</c:v>
                </c:pt>
              </c:numCache>
            </c:numRef>
          </c:val>
          <c:smooth val="0"/>
          <c:extLst>
            <c:ext xmlns:c16="http://schemas.microsoft.com/office/drawing/2014/chart" uri="{C3380CC4-5D6E-409C-BE32-E72D297353CC}">
              <c16:uniqueId val="{00000003-37CE-FD48-A09E-AEB50202C787}"/>
            </c:ext>
          </c:extLst>
        </c:ser>
        <c:ser>
          <c:idx val="5"/>
          <c:order val="4"/>
          <c:tx>
            <c:v>proj2</c:v>
          </c:tx>
          <c:spPr>
            <a:ln w="19050" cmpd="sng">
              <a:solidFill>
                <a:srgbClr val="3366FF"/>
              </a:solid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[0]!FEperGWPproj2</c:f>
              <c:numCache>
                <c:formatCode>General</c:formatCode>
                <c:ptCount val="10"/>
                <c:pt idx="0">
                  <c:v>4.8881986641254178</c:v>
                </c:pt>
                <c:pt idx="1">
                  <c:v>4.0656199098705184</c:v>
                </c:pt>
                <c:pt idx="2">
                  <c:v>3.3814634770972285</c:v>
                </c:pt>
                <c:pt idx="3">
                  <c:v>2.8124358647453196</c:v>
                </c:pt>
                <c:pt idx="4">
                  <c:v>2.3391633672458916</c:v>
                </c:pt>
                <c:pt idx="5">
                  <c:v>1.9455324572034736</c:v>
                </c:pt>
                <c:pt idx="6">
                  <c:v>1.6181411674930262</c:v>
                </c:pt>
                <c:pt idx="7">
                  <c:v>1.345842793956457</c:v>
                </c:pt>
                <c:pt idx="8">
                  <c:v>1.1193663831263527</c:v>
                </c:pt>
                <c:pt idx="9">
                  <c:v>0.93100108370748624</c:v>
                </c:pt>
              </c:numCache>
            </c:numRef>
          </c:val>
          <c:smooth val="0"/>
          <c:extLst>
            <c:ext xmlns:c16="http://schemas.microsoft.com/office/drawing/2014/chart" uri="{C3380CC4-5D6E-409C-BE32-E72D297353CC}">
              <c16:uniqueId val="{00000004-37CE-FD48-A09E-AEB50202C787}"/>
            </c:ext>
          </c:extLst>
        </c:ser>
        <c:dLbls>
          <c:showLegendKey val="0"/>
          <c:showVal val="0"/>
          <c:showCatName val="0"/>
          <c:showSerName val="0"/>
          <c:showPercent val="0"/>
          <c:showBubbleSize val="0"/>
        </c:dLbls>
        <c:marker val="1"/>
        <c:smooth val="0"/>
        <c:axId val="-1686220624"/>
        <c:axId val="-1686208784"/>
      </c:lineChart>
      <c:catAx>
        <c:axId val="-1686220624"/>
        <c:scaling>
          <c:orientation val="minMax"/>
        </c:scaling>
        <c:delete val="0"/>
        <c:axPos val="b"/>
        <c:numFmt formatCode="General" sourceLinked="1"/>
        <c:majorTickMark val="none"/>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86208784"/>
        <c:crosses val="autoZero"/>
        <c:auto val="1"/>
        <c:lblAlgn val="ctr"/>
        <c:lblOffset val="100"/>
        <c:tickLblSkip val="9"/>
        <c:tickMarkSkip val="1"/>
        <c:noMultiLvlLbl val="0"/>
      </c:catAx>
      <c:valAx>
        <c:axId val="-1686208784"/>
        <c:scaling>
          <c:orientation val="minMax"/>
          <c:max val="6"/>
          <c:min val="0"/>
        </c:scaling>
        <c:delete val="0"/>
        <c:axPos val="l"/>
        <c:title>
          <c:tx>
            <c:rich>
              <a:bodyPr rot="-5400000" vert="horz"/>
              <a:lstStyle/>
              <a:p>
                <a:pPr marL="0" marR="0" indent="0" algn="ctr" defTabSz="914400" rtl="0" eaLnBrk="1" fontAlgn="auto" latinLnBrk="0" hangingPunct="1">
                  <a:lnSpc>
                    <a:spcPct val="100000"/>
                  </a:lnSpc>
                  <a:spcBef>
                    <a:spcPts val="0"/>
                  </a:spcBef>
                  <a:spcAft>
                    <a:spcPts val="0"/>
                  </a:spcAft>
                  <a:buClrTx/>
                  <a:buSzTx/>
                  <a:buFontTx/>
                  <a:buNone/>
                  <a:tabLst/>
                  <a:defRPr sz="800" b="0" i="0" u="none" strike="noStrike" kern="1200" baseline="0">
                    <a:solidFill>
                      <a:srgbClr val="000000"/>
                    </a:solidFill>
                    <a:latin typeface="Arial"/>
                    <a:ea typeface="Arial"/>
                    <a:cs typeface="Arial"/>
                  </a:defRPr>
                </a:pPr>
                <a:r>
                  <a:rPr lang="en-US" sz="800" b="0" i="0" kern="1200" baseline="0">
                    <a:solidFill>
                      <a:srgbClr val="000000"/>
                    </a:solidFill>
                    <a:effectLst/>
                    <a:latin typeface="Arial" panose="020B0604020202020204" pitchFamily="34" charset="0"/>
                    <a:ea typeface="Arial" panose="020B0604020202020204" pitchFamily="34" charset="0"/>
                    <a:cs typeface="Arial" panose="020B0604020202020204" pitchFamily="34" charset="0"/>
                  </a:rPr>
                  <a:t>Energy Use/$GNP (EJ/US$2010B)</a:t>
                </a:r>
                <a:endParaRPr lang="en-US">
                  <a:effectLst/>
                </a:endParaRPr>
              </a:p>
            </c:rich>
          </c:tx>
          <c:layout>
            <c:manualLayout>
              <c:xMode val="edge"/>
              <c:yMode val="edge"/>
              <c:x val="7.3074422148844298E-2"/>
              <c:y val="0.1496706036745409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86220624"/>
        <c:crosses val="autoZero"/>
        <c:crossBetween val="midCat"/>
        <c:majorUnit val="2"/>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 verticalDpi="1200"/>
  </c:printSettings>
  <c:userShapes r:id="rId2"/>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000" b="1" i="0" u="none" strike="noStrike" baseline="0">
                <a:solidFill>
                  <a:srgbClr val="000000"/>
                </a:solidFill>
                <a:latin typeface="Arial"/>
                <a:ea typeface="Arial"/>
                <a:cs typeface="Arial"/>
              </a:defRPr>
            </a:pPr>
            <a:r>
              <a:rPr lang="en-US"/>
              <a:t>Energy Supply Loss Factor</a:t>
            </a:r>
          </a:p>
        </c:rich>
      </c:tx>
      <c:layout>
        <c:manualLayout>
          <c:xMode val="edge"/>
          <c:yMode val="edge"/>
          <c:x val="0.20188214376428801"/>
          <c:y val="7.7252843394575599E-3"/>
        </c:manualLayout>
      </c:layout>
      <c:overlay val="0"/>
      <c:spPr>
        <a:noFill/>
        <a:ln w="25400">
          <a:noFill/>
        </a:ln>
      </c:spPr>
    </c:title>
    <c:autoTitleDeleted val="0"/>
    <c:plotArea>
      <c:layout>
        <c:manualLayout>
          <c:layoutTarget val="inner"/>
          <c:xMode val="edge"/>
          <c:yMode val="edge"/>
          <c:x val="0.22461173803162829"/>
          <c:y val="0.16857305336832898"/>
          <c:w val="0.60189128778257595"/>
          <c:h val="0.67310892388451404"/>
        </c:manualLayout>
      </c:layout>
      <c:areaChart>
        <c:grouping val="stacked"/>
        <c:varyColors val="0"/>
        <c:ser>
          <c:idx val="0"/>
          <c:order val="0"/>
          <c:tx>
            <c:v>Reference case</c:v>
          </c:tx>
          <c:spPr>
            <a:noFill/>
            <a:ln w="12700">
              <a:noFill/>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[0]!PEdeqperFERef</c:f>
              <c:numCache>
                <c:formatCode>0.00</c:formatCode>
                <c:ptCount val="10"/>
                <c:pt idx="0">
                  <c:v>1.375178461283006</c:v>
                </c:pt>
                <c:pt idx="1">
                  <c:v>1.4047680763981099</c:v>
                </c:pt>
                <c:pt idx="2">
                  <c:v>1.4113151606748491</c:v>
                </c:pt>
                <c:pt idx="3">
                  <c:v>1.3941980368427014</c:v>
                </c:pt>
                <c:pt idx="4">
                  <c:v>1.3825816225258558</c:v>
                </c:pt>
                <c:pt idx="5">
                  <c:v>1.3695457674328577</c:v>
                </c:pt>
                <c:pt idx="6">
                  <c:v>1.358545921005992</c:v>
                </c:pt>
                <c:pt idx="7">
                  <c:v>1.3556903303892138</c:v>
                </c:pt>
                <c:pt idx="8">
                  <c:v>1.3675164697629745</c:v>
                </c:pt>
                <c:pt idx="9">
                  <c:v>1.3847835667058763</c:v>
                </c:pt>
              </c:numCache>
            </c:numRef>
          </c:val>
          <c:extLst>
            <c:ext xmlns:c16="http://schemas.microsoft.com/office/drawing/2014/chart" uri="{C3380CC4-5D6E-409C-BE32-E72D297353CC}">
              <c16:uniqueId val="{00000000-5331-774A-8339-8E17BFAB7CDF}"/>
            </c:ext>
          </c:extLst>
        </c:ser>
        <c:ser>
          <c:idx val="2"/>
          <c:order val="2"/>
          <c:tx>
            <c:v>Area</c:v>
          </c:tx>
          <c:spPr>
            <a:solidFill>
              <a:srgbClr val="A1F4FF"/>
            </a:solidFill>
            <a:ln w="12700">
              <a:solidFill>
                <a:sysClr val="windowText" lastClr="000000"/>
              </a:solidFill>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[0]!AreaPEdeq_FE</c:f>
              <c:numCache>
                <c:formatCode>General</c:formatCode>
                <c:ptCount val="10"/>
                <c:pt idx="0">
                  <c:v>1.8085134537413339E-3</c:v>
                </c:pt>
                <c:pt idx="1">
                  <c:v>-1.9365302977423227E-3</c:v>
                </c:pt>
                <c:pt idx="2">
                  <c:v>-6.8237985405877888E-2</c:v>
                </c:pt>
                <c:pt idx="3">
                  <c:v>-0.17635822947985447</c:v>
                </c:pt>
                <c:pt idx="4">
                  <c:v>-0.1296042005935889</c:v>
                </c:pt>
                <c:pt idx="5">
                  <c:v>-9.1806047607384311E-2</c:v>
                </c:pt>
                <c:pt idx="6">
                  <c:v>1.4492447856136126E-2</c:v>
                </c:pt>
                <c:pt idx="7">
                  <c:v>4.8870918279244835E-2</c:v>
                </c:pt>
                <c:pt idx="8">
                  <c:v>3.0305185026666237E-2</c:v>
                </c:pt>
                <c:pt idx="9">
                  <c:v>3.9578187494402783E-2</c:v>
                </c:pt>
              </c:numCache>
            </c:numRef>
          </c:val>
          <c:extLst>
            <c:ext xmlns:c16="http://schemas.microsoft.com/office/drawing/2014/chart" uri="{C3380CC4-5D6E-409C-BE32-E72D297353CC}">
              <c16:uniqueId val="{00000001-5331-774A-8339-8E17BFAB7CDF}"/>
            </c:ext>
          </c:extLst>
        </c:ser>
        <c:dLbls>
          <c:showLegendKey val="0"/>
          <c:showVal val="0"/>
          <c:showCatName val="0"/>
          <c:showSerName val="0"/>
          <c:showPercent val="0"/>
          <c:showBubbleSize val="0"/>
        </c:dLbls>
        <c:axId val="-1765598496"/>
        <c:axId val="-1765596176"/>
      </c:areaChart>
      <c:lineChart>
        <c:grouping val="standard"/>
        <c:varyColors val="0"/>
        <c:ser>
          <c:idx val="1"/>
          <c:order val="1"/>
          <c:tx>
            <c:v>Intervention case</c:v>
          </c:tx>
          <c:spPr>
            <a:ln>
              <a:solidFill>
                <a:srgbClr val="C00000"/>
              </a:solidFill>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[0]!PEdeqperFEInt</c:f>
              <c:numCache>
                <c:formatCode>0.00</c:formatCode>
                <c:ptCount val="10"/>
                <c:pt idx="0">
                  <c:v>1.3769869747367474</c:v>
                </c:pt>
                <c:pt idx="1">
                  <c:v>1.4028315461003675</c:v>
                </c:pt>
                <c:pt idx="2">
                  <c:v>1.3430771752689712</c:v>
                </c:pt>
                <c:pt idx="3">
                  <c:v>1.2178398073628469</c:v>
                </c:pt>
                <c:pt idx="4">
                  <c:v>1.2529774219322669</c:v>
                </c:pt>
                <c:pt idx="5">
                  <c:v>1.2777397198254734</c:v>
                </c:pt>
                <c:pt idx="6">
                  <c:v>1.3730383688621282</c:v>
                </c:pt>
                <c:pt idx="7">
                  <c:v>1.4045612486684587</c:v>
                </c:pt>
                <c:pt idx="8">
                  <c:v>1.3978216547896407</c:v>
                </c:pt>
                <c:pt idx="9">
                  <c:v>1.4243617542002791</c:v>
                </c:pt>
              </c:numCache>
            </c:numRef>
          </c:val>
          <c:smooth val="0"/>
          <c:extLst>
            <c:ext xmlns:c16="http://schemas.microsoft.com/office/drawing/2014/chart" uri="{C3380CC4-5D6E-409C-BE32-E72D297353CC}">
              <c16:uniqueId val="{00000002-5331-774A-8339-8E17BFAB7CDF}"/>
            </c:ext>
          </c:extLst>
        </c:ser>
        <c:ser>
          <c:idx val="3"/>
          <c:order val="3"/>
          <c:tx>
            <c:v>proj1</c:v>
          </c:tx>
          <c:spPr>
            <a:ln>
              <a:solidFill>
                <a:srgbClr val="3C8105"/>
              </a:solid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[0]!PEdeqperFEproj1</c:f>
              <c:numCache>
                <c:formatCode>General</c:formatCode>
                <c:ptCount val="10"/>
                <c:pt idx="0">
                  <c:v>1.375178461283006</c:v>
                </c:pt>
                <c:pt idx="1">
                  <c:v>1.4031462068204634</c:v>
                </c:pt>
                <c:pt idx="2">
                  <c:v>1.4316827474724967</c:v>
                </c:pt>
                <c:pt idx="3">
                  <c:v>1.4607996511319108</c:v>
                </c:pt>
                <c:pt idx="4">
                  <c:v>1.4905087209539809</c:v>
                </c:pt>
                <c:pt idx="5">
                  <c:v>1.5208220001411126</c:v>
                </c:pt>
                <c:pt idx="6">
                  <c:v>1.5517517768248097</c:v>
                </c:pt>
                <c:pt idx="7">
                  <c:v>1.5833105890469292</c:v>
                </c:pt>
                <c:pt idx="8">
                  <c:v>1.6155112298422429</c:v>
                </c:pt>
                <c:pt idx="9">
                  <c:v>1.6483667524243657</c:v>
                </c:pt>
              </c:numCache>
            </c:numRef>
          </c:val>
          <c:smooth val="0"/>
          <c:extLst>
            <c:ext xmlns:c16="http://schemas.microsoft.com/office/drawing/2014/chart" uri="{C3380CC4-5D6E-409C-BE32-E72D297353CC}">
              <c16:uniqueId val="{00000003-5331-774A-8339-8E17BFAB7CDF}"/>
            </c:ext>
          </c:extLst>
        </c:ser>
        <c:ser>
          <c:idx val="4"/>
          <c:order val="4"/>
          <c:tx>
            <c:v>proj2</c:v>
          </c:tx>
          <c:spPr>
            <a:ln>
              <a:solidFill>
                <a:srgbClr val="3465FC"/>
              </a:solid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[0]!PEdeqperFEproj2</c:f>
              <c:numCache>
                <c:formatCode>General</c:formatCode>
                <c:ptCount val="10"/>
                <c:pt idx="0">
                  <c:v>1.375178461283006</c:v>
                </c:pt>
                <c:pt idx="1">
                  <c:v>1.409071526906795</c:v>
                </c:pt>
                <c:pt idx="2">
                  <c:v>1.4437999313100371</c:v>
                </c:pt>
                <c:pt idx="3">
                  <c:v>1.4793842625057556</c:v>
                </c:pt>
                <c:pt idx="4">
                  <c:v>1.5158456159253897</c:v>
                </c:pt>
                <c:pt idx="5">
                  <c:v>1.5532056069247826</c:v>
                </c:pt>
                <c:pt idx="6">
                  <c:v>1.5914863835983963</c:v>
                </c:pt>
                <c:pt idx="7">
                  <c:v>1.6307106399093496</c:v>
                </c:pt>
                <c:pt idx="8">
                  <c:v>1.6709016291430621</c:v>
                </c:pt>
                <c:pt idx="9">
                  <c:v>1.7120831776924812</c:v>
                </c:pt>
              </c:numCache>
            </c:numRef>
          </c:val>
          <c:smooth val="0"/>
          <c:extLst>
            <c:ext xmlns:c16="http://schemas.microsoft.com/office/drawing/2014/chart" uri="{C3380CC4-5D6E-409C-BE32-E72D297353CC}">
              <c16:uniqueId val="{00000004-5331-774A-8339-8E17BFAB7CDF}"/>
            </c:ext>
          </c:extLst>
        </c:ser>
        <c:dLbls>
          <c:showLegendKey val="0"/>
          <c:showVal val="0"/>
          <c:showCatName val="0"/>
          <c:showSerName val="0"/>
          <c:showPercent val="0"/>
          <c:showBubbleSize val="0"/>
        </c:dLbls>
        <c:marker val="1"/>
        <c:smooth val="0"/>
        <c:axId val="-1765598496"/>
        <c:axId val="-1765596176"/>
      </c:lineChart>
      <c:catAx>
        <c:axId val="-1765598496"/>
        <c:scaling>
          <c:orientation val="minMax"/>
        </c:scaling>
        <c:delete val="0"/>
        <c:axPos val="b"/>
        <c:numFmt formatCode="General" sourceLinked="1"/>
        <c:majorTickMark val="none"/>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5596176"/>
        <c:crosses val="autoZero"/>
        <c:auto val="1"/>
        <c:lblAlgn val="ctr"/>
        <c:lblOffset val="100"/>
        <c:tickLblSkip val="9"/>
        <c:tickMarkSkip val="1"/>
        <c:noMultiLvlLbl val="0"/>
      </c:catAx>
      <c:valAx>
        <c:axId val="-1765596176"/>
        <c:scaling>
          <c:orientation val="minMax"/>
          <c:max val="3"/>
          <c:min val="0"/>
        </c:scaling>
        <c:delete val="0"/>
        <c:axPos val="l"/>
        <c:title>
          <c:tx>
            <c:rich>
              <a:bodyPr/>
              <a:lstStyle/>
              <a:p>
                <a:pPr>
                  <a:defRPr sz="800" b="0" i="0" u="none" strike="noStrike" baseline="0">
                    <a:solidFill>
                      <a:srgbClr val="000000"/>
                    </a:solidFill>
                    <a:latin typeface="Arial"/>
                    <a:ea typeface="Arial"/>
                    <a:cs typeface="Arial"/>
                  </a:defRPr>
                </a:pPr>
                <a:r>
                  <a:rPr lang="en-US"/>
                  <a:t>Primary Energy/Final Energy</a:t>
                </a:r>
              </a:p>
            </c:rich>
          </c:tx>
          <c:layout>
            <c:manualLayout>
              <c:xMode val="edge"/>
              <c:yMode val="edge"/>
              <c:x val="2.1901866595060267E-2"/>
              <c:y val="0.17630577427821523"/>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5598496"/>
        <c:crosses val="autoZero"/>
        <c:crossBetween val="midCat"/>
        <c:majorUnit val="1"/>
        <c:minorUnit val="0.05"/>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 verticalDpi="1200"/>
  </c:printSettings>
  <c:userShapes r:id="rId2"/>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000" b="1" i="0" u="none" strike="noStrike" baseline="0">
                <a:solidFill>
                  <a:srgbClr val="000000"/>
                </a:solidFill>
                <a:latin typeface="Arial"/>
                <a:ea typeface="Arial"/>
                <a:cs typeface="Arial"/>
              </a:defRPr>
            </a:pPr>
            <a:r>
              <a:rPr lang="en-US"/>
              <a:t>Economic Welfare</a:t>
            </a:r>
          </a:p>
          <a:p>
            <a:pPr>
              <a:defRPr sz="1000" b="1" i="0" u="none" strike="noStrike" baseline="0">
                <a:solidFill>
                  <a:srgbClr val="000000"/>
                </a:solidFill>
                <a:latin typeface="Arial"/>
                <a:ea typeface="Arial"/>
                <a:cs typeface="Arial"/>
              </a:defRPr>
            </a:pPr>
            <a:r>
              <a:rPr lang="en-US"/>
              <a:t>(GNP per Capita)</a:t>
            </a:r>
          </a:p>
        </c:rich>
      </c:tx>
      <c:layout>
        <c:manualLayout>
          <c:xMode val="edge"/>
          <c:yMode val="edge"/>
          <c:x val="0.29143416070952782"/>
          <c:y val="1.3280839895013125E-2"/>
        </c:manualLayout>
      </c:layout>
      <c:overlay val="0"/>
      <c:spPr>
        <a:noFill/>
        <a:ln w="25400">
          <a:noFill/>
        </a:ln>
      </c:spPr>
    </c:title>
    <c:autoTitleDeleted val="0"/>
    <c:plotArea>
      <c:layout>
        <c:manualLayout>
          <c:layoutTarget val="inner"/>
          <c:xMode val="edge"/>
          <c:yMode val="edge"/>
          <c:x val="0.28219486630875984"/>
          <c:y val="0.16857305336832898"/>
          <c:w val="0.60189128778257595"/>
          <c:h val="0.67310892388451404"/>
        </c:manualLayout>
      </c:layout>
      <c:areaChart>
        <c:grouping val="stacked"/>
        <c:varyColors val="0"/>
        <c:ser>
          <c:idx val="0"/>
          <c:order val="0"/>
          <c:tx>
            <c:v>Reference case</c:v>
          </c:tx>
          <c:spPr>
            <a:noFill/>
            <a:ln w="12700">
              <a:noFill/>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[0]!GWPperPRef</c:f>
              <c:numCache>
                <c:formatCode>0.00</c:formatCode>
                <c:ptCount val="10"/>
                <c:pt idx="0">
                  <c:v>10879.842592952973</c:v>
                </c:pt>
                <c:pt idx="1">
                  <c:v>14568.519187601125</c:v>
                </c:pt>
                <c:pt idx="2">
                  <c:v>19128.274242202668</c:v>
                </c:pt>
                <c:pt idx="3">
                  <c:v>23409.973814089757</c:v>
                </c:pt>
                <c:pt idx="4">
                  <c:v>27874.876834667815</c:v>
                </c:pt>
                <c:pt idx="5">
                  <c:v>32936.227752199971</c:v>
                </c:pt>
                <c:pt idx="6">
                  <c:v>39113.319159858984</c:v>
                </c:pt>
                <c:pt idx="7">
                  <c:v>46376.255347387611</c:v>
                </c:pt>
                <c:pt idx="8">
                  <c:v>54968.206924792466</c:v>
                </c:pt>
                <c:pt idx="9">
                  <c:v>65039.571443528832</c:v>
                </c:pt>
              </c:numCache>
            </c:numRef>
          </c:val>
          <c:extLst>
            <c:ext xmlns:c16="http://schemas.microsoft.com/office/drawing/2014/chart" uri="{C3380CC4-5D6E-409C-BE32-E72D297353CC}">
              <c16:uniqueId val="{00000000-6176-F64E-A063-729AB118BCFA}"/>
            </c:ext>
          </c:extLst>
        </c:ser>
        <c:ser>
          <c:idx val="2"/>
          <c:order val="2"/>
          <c:tx>
            <c:v>Area</c:v>
          </c:tx>
          <c:spPr>
            <a:solidFill>
              <a:srgbClr val="A1F4FF"/>
            </a:solidFill>
            <a:ln w="12700">
              <a:solidFill>
                <a:sysClr val="windowText" lastClr="000000"/>
              </a:solidFill>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[0]!AreaGWP_P</c:f>
              <c:numCache>
                <c:formatCode>General</c:formatCode>
                <c:ptCount val="10"/>
                <c:pt idx="0">
                  <c:v>76.554530028502995</c:v>
                </c:pt>
                <c:pt idx="1">
                  <c:v>210.51009377883929</c:v>
                </c:pt>
                <c:pt idx="2">
                  <c:v>460.77893697666877</c:v>
                </c:pt>
                <c:pt idx="3">
                  <c:v>796.06455357867162</c:v>
                </c:pt>
                <c:pt idx="4">
                  <c:v>1212.124342358733</c:v>
                </c:pt>
                <c:pt idx="5">
                  <c:v>1638.8821056333181</c:v>
                </c:pt>
                <c:pt idx="6">
                  <c:v>2054.9182316126607</c:v>
                </c:pt>
                <c:pt idx="7">
                  <c:v>2431.9527082522909</c:v>
                </c:pt>
                <c:pt idx="8">
                  <c:v>2708.13657210151</c:v>
                </c:pt>
                <c:pt idx="9">
                  <c:v>2845.8319891963401</c:v>
                </c:pt>
              </c:numCache>
            </c:numRef>
          </c:val>
          <c:extLst>
            <c:ext xmlns:c16="http://schemas.microsoft.com/office/drawing/2014/chart" uri="{C3380CC4-5D6E-409C-BE32-E72D297353CC}">
              <c16:uniqueId val="{00000001-6176-F64E-A063-729AB118BCFA}"/>
            </c:ext>
          </c:extLst>
        </c:ser>
        <c:dLbls>
          <c:showLegendKey val="0"/>
          <c:showVal val="0"/>
          <c:showCatName val="0"/>
          <c:showSerName val="0"/>
          <c:showPercent val="0"/>
          <c:showBubbleSize val="0"/>
        </c:dLbls>
        <c:axId val="-1765598496"/>
        <c:axId val="-1765596176"/>
      </c:areaChart>
      <c:lineChart>
        <c:grouping val="standard"/>
        <c:varyColors val="0"/>
        <c:ser>
          <c:idx val="1"/>
          <c:order val="1"/>
          <c:tx>
            <c:v>GDP per capita</c:v>
          </c:tx>
          <c:spPr>
            <a:ln>
              <a:solidFill>
                <a:srgbClr val="C00000"/>
              </a:solidFill>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[0]!GWPperPInt</c:f>
              <c:numCache>
                <c:formatCode>0.00</c:formatCode>
                <c:ptCount val="10"/>
                <c:pt idx="0">
                  <c:v>10956.397122981476</c:v>
                </c:pt>
                <c:pt idx="1">
                  <c:v>14779.029281379964</c:v>
                </c:pt>
                <c:pt idx="2">
                  <c:v>19589.053179179336</c:v>
                </c:pt>
                <c:pt idx="3">
                  <c:v>24206.038367668429</c:v>
                </c:pt>
                <c:pt idx="4">
                  <c:v>29087.001177026548</c:v>
                </c:pt>
                <c:pt idx="5">
                  <c:v>34575.109857833289</c:v>
                </c:pt>
                <c:pt idx="6">
                  <c:v>41168.237391471645</c:v>
                </c:pt>
                <c:pt idx="7">
                  <c:v>48808.208055639901</c:v>
                </c:pt>
                <c:pt idx="8">
                  <c:v>57676.343496893976</c:v>
                </c:pt>
                <c:pt idx="9">
                  <c:v>67885.403432725172</c:v>
                </c:pt>
              </c:numCache>
            </c:numRef>
          </c:val>
          <c:smooth val="0"/>
          <c:extLst>
            <c:ext xmlns:c16="http://schemas.microsoft.com/office/drawing/2014/chart" uri="{C3380CC4-5D6E-409C-BE32-E72D297353CC}">
              <c16:uniqueId val="{00000002-6176-F64E-A063-729AB118BCFA}"/>
            </c:ext>
          </c:extLst>
        </c:ser>
        <c:ser>
          <c:idx val="3"/>
          <c:order val="3"/>
          <c:tx>
            <c:v>proj1</c:v>
          </c:tx>
          <c:spPr>
            <a:ln>
              <a:solidFill>
                <a:srgbClr val="3C8105"/>
              </a:solid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[0]!GWPperPproj1</c:f>
              <c:numCache>
                <c:formatCode>General</c:formatCode>
                <c:ptCount val="10"/>
                <c:pt idx="0">
                  <c:v>10879.842592952973</c:v>
                </c:pt>
                <c:pt idx="1">
                  <c:v>12886.150650073936</c:v>
                </c:pt>
                <c:pt idx="2">
                  <c:v>15262.433914618923</c:v>
                </c:pt>
                <c:pt idx="3">
                  <c:v>18076.918028020522</c:v>
                </c:pt>
                <c:pt idx="4">
                  <c:v>21410.409848115785</c:v>
                </c:pt>
                <c:pt idx="5">
                  <c:v>25358.617500711774</c:v>
                </c:pt>
                <c:pt idx="6">
                  <c:v>30034.898262538289</c:v>
                </c:pt>
                <c:pt idx="7">
                  <c:v>35573.513170254853</c:v>
                </c:pt>
                <c:pt idx="8">
                  <c:v>42133.481798827597</c:v>
                </c:pt>
                <c:pt idx="9">
                  <c:v>49903.147884098013</c:v>
                </c:pt>
              </c:numCache>
            </c:numRef>
          </c:val>
          <c:smooth val="0"/>
          <c:extLst>
            <c:ext xmlns:c16="http://schemas.microsoft.com/office/drawing/2014/chart" uri="{C3380CC4-5D6E-409C-BE32-E72D297353CC}">
              <c16:uniqueId val="{00000003-6176-F64E-A063-729AB118BCFA}"/>
            </c:ext>
          </c:extLst>
        </c:ser>
        <c:ser>
          <c:idx val="4"/>
          <c:order val="4"/>
          <c:tx>
            <c:v>proj2</c:v>
          </c:tx>
          <c:spPr>
            <a:ln>
              <a:solidFill>
                <a:srgbClr val="3465FC"/>
              </a:solid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[0]!GWPperPproj2</c:f>
              <c:numCache>
                <c:formatCode>General</c:formatCode>
                <c:ptCount val="10"/>
                <c:pt idx="0">
                  <c:v>10879.842592952973</c:v>
                </c:pt>
                <c:pt idx="1">
                  <c:v>14004.09161220315</c:v>
                </c:pt>
                <c:pt idx="2">
                  <c:v>18025.49809038642</c:v>
                </c:pt>
                <c:pt idx="3">
                  <c:v>23201.689220841054</c:v>
                </c:pt>
                <c:pt idx="4">
                  <c:v>29864.272265940574</c:v>
                </c:pt>
                <c:pt idx="5">
                  <c:v>38440.078628977397</c:v>
                </c:pt>
                <c:pt idx="6">
                  <c:v>49478.508360880915</c:v>
                </c:pt>
                <c:pt idx="7">
                  <c:v>63686.726898947782</c:v>
                </c:pt>
                <c:pt idx="8">
                  <c:v>81974.968879780223</c:v>
                </c:pt>
                <c:pt idx="9">
                  <c:v>105514.85136774961</c:v>
                </c:pt>
              </c:numCache>
            </c:numRef>
          </c:val>
          <c:smooth val="0"/>
          <c:extLst>
            <c:ext xmlns:c16="http://schemas.microsoft.com/office/drawing/2014/chart" uri="{C3380CC4-5D6E-409C-BE32-E72D297353CC}">
              <c16:uniqueId val="{00000004-6176-F64E-A063-729AB118BCFA}"/>
            </c:ext>
          </c:extLst>
        </c:ser>
        <c:dLbls>
          <c:showLegendKey val="0"/>
          <c:showVal val="0"/>
          <c:showCatName val="0"/>
          <c:showSerName val="0"/>
          <c:showPercent val="0"/>
          <c:showBubbleSize val="0"/>
        </c:dLbls>
        <c:marker val="1"/>
        <c:smooth val="0"/>
        <c:axId val="-1765598496"/>
        <c:axId val="-1765596176"/>
      </c:lineChart>
      <c:catAx>
        <c:axId val="-1765598496"/>
        <c:scaling>
          <c:orientation val="minMax"/>
        </c:scaling>
        <c:delete val="0"/>
        <c:axPos val="b"/>
        <c:numFmt formatCode="General" sourceLinked="1"/>
        <c:majorTickMark val="none"/>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5596176"/>
        <c:crosses val="autoZero"/>
        <c:auto val="1"/>
        <c:lblAlgn val="ctr"/>
        <c:lblOffset val="100"/>
        <c:tickLblSkip val="9"/>
        <c:tickMarkSkip val="1"/>
        <c:noMultiLvlLbl val="0"/>
      </c:catAx>
      <c:valAx>
        <c:axId val="-1765596176"/>
        <c:scaling>
          <c:orientation val="minMax"/>
          <c:max val="50000"/>
          <c:min val="0"/>
        </c:scaling>
        <c:delete val="0"/>
        <c:axPos val="l"/>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800" b="0" i="0" u="none" strike="noStrike" kern="1200" baseline="0">
                    <a:solidFill>
                      <a:srgbClr val="000000"/>
                    </a:solidFill>
                    <a:latin typeface="Arial"/>
                    <a:ea typeface="Arial"/>
                    <a:cs typeface="Arial"/>
                  </a:defRPr>
                </a:pPr>
                <a:r>
                  <a:rPr lang="en-US" sz="800" b="0" i="0" u="none" strike="noStrike" baseline="0">
                    <a:effectLst/>
                  </a:rPr>
                  <a:t>GNP/capita (US$2010/person)</a:t>
                </a:r>
                <a:r>
                  <a:rPr lang="en-US" sz="800" b="0" i="0" u="none" strike="noStrike" baseline="0"/>
                  <a:t> </a:t>
                </a:r>
                <a:endParaRPr lang="en-US"/>
              </a:p>
            </c:rich>
          </c:tx>
          <c:layout>
            <c:manualLayout>
              <c:xMode val="edge"/>
              <c:yMode val="edge"/>
              <c:x val="2.739452804501585E-3"/>
              <c:y val="0.19454286964129486"/>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5598496"/>
        <c:crosses val="autoZero"/>
        <c:crossBetween val="midCat"/>
        <c:majorUnit val="10000"/>
        <c:minorUnit val="0.05"/>
      </c:valAx>
      <c:spPr>
        <a:noFill/>
        <a:ln w="3175">
          <a:solidFill>
            <a:sysClr val="windowText" lastClr="000000"/>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 verticalDpi="1200"/>
  </c:printSettings>
  <c:userShapes r:id="rId2"/>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000" b="1" i="0" u="none" strike="noStrike" baseline="0">
                <a:solidFill>
                  <a:srgbClr val="000000"/>
                </a:solidFill>
                <a:latin typeface="Arial"/>
                <a:ea typeface="Arial"/>
                <a:cs typeface="Arial"/>
              </a:defRPr>
            </a:pPr>
            <a:r>
              <a:rPr lang="en-US"/>
              <a:t>Carbon Intensity of </a:t>
            </a:r>
          </a:p>
          <a:p>
            <a:pPr>
              <a:defRPr sz="1000" b="1" i="0" u="none" strike="noStrike" baseline="0">
                <a:solidFill>
                  <a:srgbClr val="000000"/>
                </a:solidFill>
                <a:latin typeface="Arial"/>
                <a:ea typeface="Arial"/>
                <a:cs typeface="Arial"/>
              </a:defRPr>
            </a:pPr>
            <a:r>
              <a:rPr lang="en-US"/>
              <a:t>Energy Supply</a:t>
            </a:r>
          </a:p>
        </c:rich>
      </c:tx>
      <c:layout>
        <c:manualLayout>
          <c:xMode val="edge"/>
          <c:yMode val="edge"/>
          <c:x val="0.20826813472982075"/>
          <c:y val="4.6731846019247597E-2"/>
        </c:manualLayout>
      </c:layout>
      <c:overlay val="0"/>
      <c:spPr>
        <a:noFill/>
        <a:ln w="25400">
          <a:noFill/>
        </a:ln>
      </c:spPr>
    </c:title>
    <c:autoTitleDeleted val="0"/>
    <c:plotArea>
      <c:layout>
        <c:manualLayout>
          <c:layoutTarget val="inner"/>
          <c:xMode val="edge"/>
          <c:yMode val="edge"/>
          <c:x val="0.224671407353151"/>
          <c:y val="0.211764654418198"/>
          <c:w val="0.60800830128792005"/>
          <c:h val="0.69313735783027097"/>
        </c:manualLayout>
      </c:layout>
      <c:lineChart>
        <c:grouping val="standard"/>
        <c:varyColors val="0"/>
        <c:ser>
          <c:idx val="0"/>
          <c:order val="0"/>
          <c:tx>
            <c:v>Reference case</c:v>
          </c:tx>
          <c:spPr>
            <a:ln w="12700">
              <a:solidFill>
                <a:srgbClr val="000000"/>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[0]!TFCperPEffchngRef</c:f>
              <c:numCache>
                <c:formatCode>0.00</c:formatCode>
                <c:ptCount val="10"/>
                <c:pt idx="1">
                  <c:v>2.6265830886573146E-3</c:v>
                </c:pt>
                <c:pt idx="2">
                  <c:v>3.1323161339661895E-4</c:v>
                </c:pt>
                <c:pt idx="3">
                  <c:v>-4.5674638573937643E-4</c:v>
                </c:pt>
                <c:pt idx="4">
                  <c:v>-4.2517205505197364E-4</c:v>
                </c:pt>
                <c:pt idx="5">
                  <c:v>-8.339143946247303E-4</c:v>
                </c:pt>
                <c:pt idx="6">
                  <c:v>1.0177433488022794E-3</c:v>
                </c:pt>
                <c:pt idx="7">
                  <c:v>1.1981527504356377E-3</c:v>
                </c:pt>
                <c:pt idx="8">
                  <c:v>1.9728441182448376E-3</c:v>
                </c:pt>
                <c:pt idx="9">
                  <c:v>2.5314421856335828E-3</c:v>
                </c:pt>
              </c:numCache>
            </c:numRef>
          </c:val>
          <c:smooth val="0"/>
          <c:extLst>
            <c:ext xmlns:c16="http://schemas.microsoft.com/office/drawing/2014/chart" uri="{C3380CC4-5D6E-409C-BE32-E72D297353CC}">
              <c16:uniqueId val="{00000000-1B63-1544-9719-3453E13F75CE}"/>
            </c:ext>
          </c:extLst>
        </c:ser>
        <c:ser>
          <c:idx val="1"/>
          <c:order val="1"/>
          <c:tx>
            <c:v>Line for Intervention Case</c:v>
          </c:tx>
          <c:spPr>
            <a:ln w="28575">
              <a:solidFill>
                <a:srgbClr val="C00000"/>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[0]!TFCperPEffchngInt</c:f>
              <c:numCache>
                <c:formatCode>0.00</c:formatCode>
                <c:ptCount val="10"/>
                <c:pt idx="1">
                  <c:v>5.4987833061228674E-4</c:v>
                </c:pt>
                <c:pt idx="2">
                  <c:v>-4.7279281795446128E-3</c:v>
                </c:pt>
                <c:pt idx="3">
                  <c:v>-9.6831735472692835E-3</c:v>
                </c:pt>
                <c:pt idx="4">
                  <c:v>-7.6721526893989787E-3</c:v>
                </c:pt>
                <c:pt idx="5">
                  <c:v>-1.2580293374561747E-3</c:v>
                </c:pt>
                <c:pt idx="6">
                  <c:v>2.7849340265285663E-4</c:v>
                </c:pt>
                <c:pt idx="7">
                  <c:v>-1.2434346967706907E-3</c:v>
                </c:pt>
                <c:pt idx="8">
                  <c:v>5.8892504569939708E-4</c:v>
                </c:pt>
                <c:pt idx="9">
                  <c:v>2.9142395419482392E-3</c:v>
                </c:pt>
              </c:numCache>
            </c:numRef>
          </c:val>
          <c:smooth val="0"/>
          <c:extLst>
            <c:ext xmlns:c16="http://schemas.microsoft.com/office/drawing/2014/chart" uri="{C3380CC4-5D6E-409C-BE32-E72D297353CC}">
              <c16:uniqueId val="{00000001-1B63-1544-9719-3453E13F75CE}"/>
            </c:ext>
          </c:extLst>
        </c:ser>
        <c:ser>
          <c:idx val="2"/>
          <c:order val="2"/>
          <c:tx>
            <c:v>rate1</c:v>
          </c:tx>
          <c:spPr>
            <a:ln w="19050" cmpd="sng">
              <a:no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[0]!TFCperPEffrate1</c:f>
              <c:numCache>
                <c:formatCode>0.00%</c:formatCode>
                <c:ptCount val="10"/>
                <c:pt idx="0">
                  <c:v>1.5451450911869724E-3</c:v>
                </c:pt>
                <c:pt idx="1">
                  <c:v>1.5451450911869724E-3</c:v>
                </c:pt>
                <c:pt idx="2">
                  <c:v>1.5451450911869724E-3</c:v>
                </c:pt>
                <c:pt idx="3">
                  <c:v>1.5451450911869724E-3</c:v>
                </c:pt>
                <c:pt idx="4">
                  <c:v>1.5451450911869724E-3</c:v>
                </c:pt>
                <c:pt idx="5">
                  <c:v>1.5451450911869724E-3</c:v>
                </c:pt>
                <c:pt idx="6">
                  <c:v>1.5451450911869724E-3</c:v>
                </c:pt>
                <c:pt idx="7">
                  <c:v>1.5451450911869724E-3</c:v>
                </c:pt>
                <c:pt idx="8">
                  <c:v>1.5451450911869724E-3</c:v>
                </c:pt>
                <c:pt idx="9">
                  <c:v>1.5451450911869724E-3</c:v>
                </c:pt>
              </c:numCache>
            </c:numRef>
          </c:val>
          <c:smooth val="0"/>
          <c:extLst>
            <c:ext xmlns:c16="http://schemas.microsoft.com/office/drawing/2014/chart" uri="{C3380CC4-5D6E-409C-BE32-E72D297353CC}">
              <c16:uniqueId val="{00000002-1B63-1544-9719-3453E13F75CE}"/>
            </c:ext>
          </c:extLst>
        </c:ser>
        <c:ser>
          <c:idx val="3"/>
          <c:order val="3"/>
          <c:tx>
            <c:v>rate2</c:v>
          </c:tx>
          <c:spPr>
            <a:ln w="19050" cmpd="sng">
              <a:no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[0]!TFCperPEffrate2</c:f>
              <c:numCache>
                <c:formatCode>0.00%</c:formatCode>
                <c:ptCount val="10"/>
                <c:pt idx="0">
                  <c:v>7.7771181949937152E-4</c:v>
                </c:pt>
                <c:pt idx="1">
                  <c:v>7.7771181949937152E-4</c:v>
                </c:pt>
                <c:pt idx="2">
                  <c:v>7.7771181949937152E-4</c:v>
                </c:pt>
                <c:pt idx="3">
                  <c:v>7.7771181949937152E-4</c:v>
                </c:pt>
                <c:pt idx="4">
                  <c:v>7.7771181949937152E-4</c:v>
                </c:pt>
                <c:pt idx="5">
                  <c:v>7.7771181949937152E-4</c:v>
                </c:pt>
                <c:pt idx="6">
                  <c:v>7.7771181949937152E-4</c:v>
                </c:pt>
                <c:pt idx="7">
                  <c:v>7.7771181949937152E-4</c:v>
                </c:pt>
                <c:pt idx="8">
                  <c:v>7.7771181949937152E-4</c:v>
                </c:pt>
                <c:pt idx="9">
                  <c:v>7.7771181949937152E-4</c:v>
                </c:pt>
              </c:numCache>
            </c:numRef>
          </c:val>
          <c:smooth val="0"/>
          <c:extLst>
            <c:ext xmlns:c16="http://schemas.microsoft.com/office/drawing/2014/chart" uri="{C3380CC4-5D6E-409C-BE32-E72D297353CC}">
              <c16:uniqueId val="{00000003-1B63-1544-9719-3453E13F75CE}"/>
            </c:ext>
          </c:extLst>
        </c:ser>
        <c:dLbls>
          <c:showLegendKey val="0"/>
          <c:showVal val="0"/>
          <c:showCatName val="0"/>
          <c:showSerName val="0"/>
          <c:showPercent val="0"/>
          <c:showBubbleSize val="0"/>
        </c:dLbls>
        <c:smooth val="0"/>
        <c:axId val="-1642852896"/>
        <c:axId val="-1642849632"/>
      </c:lineChart>
      <c:catAx>
        <c:axId val="-1642852896"/>
        <c:scaling>
          <c:orientation val="minMax"/>
        </c:scaling>
        <c:delete val="0"/>
        <c:axPos val="b"/>
        <c:numFmt formatCode="General" sourceLinked="1"/>
        <c:majorTickMark val="none"/>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2849632"/>
        <c:crosses val="autoZero"/>
        <c:auto val="1"/>
        <c:lblAlgn val="ctr"/>
        <c:lblOffset val="100"/>
        <c:tickLblSkip val="9"/>
        <c:tickMarkSkip val="1"/>
        <c:noMultiLvlLbl val="0"/>
      </c:catAx>
      <c:valAx>
        <c:axId val="-1642849632"/>
        <c:scaling>
          <c:orientation val="minMax"/>
          <c:max val="0.2"/>
          <c:min val="-5.000000000000001E-2"/>
        </c:scaling>
        <c:delete val="0"/>
        <c:axPos val="l"/>
        <c:majorGridlines>
          <c:spPr>
            <a:ln w="3175">
              <a:solidFill>
                <a:schemeClr val="bg1">
                  <a:lumMod val="65000"/>
                </a:schemeClr>
              </a:solidFill>
              <a:prstDash val="sysDash"/>
            </a:ln>
          </c:spPr>
        </c:majorGridlines>
        <c:title>
          <c:tx>
            <c:rich>
              <a:bodyPr/>
              <a:lstStyle/>
              <a:p>
                <a:pPr>
                  <a:defRPr sz="800" b="0" i="0" u="none" strike="noStrike" baseline="0">
                    <a:solidFill>
                      <a:srgbClr val="000000"/>
                    </a:solidFill>
                    <a:latin typeface="Arial"/>
                    <a:ea typeface="Arial"/>
                    <a:cs typeface="Arial"/>
                  </a:defRPr>
                </a:pPr>
                <a:r>
                  <a:rPr lang="en-US"/>
                  <a:t>Annual Rate of Change</a:t>
                </a:r>
              </a:p>
            </c:rich>
          </c:tx>
          <c:layout>
            <c:manualLayout>
              <c:xMode val="edge"/>
              <c:yMode val="edge"/>
              <c:x val="2.7210861757561901E-2"/>
              <c:y val="0.288235294117646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2852896"/>
        <c:crosses val="autoZero"/>
        <c:crossBetween val="midCat"/>
        <c:majorUnit val="5.000000000000001E-2"/>
        <c:minorUnit val="0.01"/>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 verticalDpi="1200"/>
  </c:printSettings>
  <c:userShapes r:id="rId2"/>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000" b="1" i="0" u="none" strike="noStrike" baseline="0">
                <a:solidFill>
                  <a:srgbClr val="000000"/>
                </a:solidFill>
                <a:latin typeface="Arial"/>
                <a:ea typeface="Arial"/>
                <a:cs typeface="Arial"/>
              </a:defRPr>
            </a:pPr>
            <a:r>
              <a:rPr lang="en-US"/>
              <a:t>Fraction Disposed</a:t>
            </a:r>
          </a:p>
          <a:p>
            <a:pPr>
              <a:defRPr sz="1000" b="1" i="0" u="none" strike="noStrike" baseline="0">
                <a:solidFill>
                  <a:srgbClr val="000000"/>
                </a:solidFill>
                <a:latin typeface="Arial"/>
                <a:ea typeface="Arial"/>
                <a:cs typeface="Arial"/>
              </a:defRPr>
            </a:pPr>
            <a:r>
              <a:rPr lang="en-US"/>
              <a:t>to Atmosphere </a:t>
            </a:r>
          </a:p>
        </c:rich>
      </c:tx>
      <c:layout>
        <c:manualLayout>
          <c:xMode val="edge"/>
          <c:yMode val="edge"/>
          <c:x val="0.20826813472982075"/>
          <c:y val="4.6731846019247597E-2"/>
        </c:manualLayout>
      </c:layout>
      <c:overlay val="0"/>
      <c:spPr>
        <a:noFill/>
        <a:ln w="25400">
          <a:noFill/>
        </a:ln>
      </c:spPr>
    </c:title>
    <c:autoTitleDeleted val="0"/>
    <c:plotArea>
      <c:layout>
        <c:manualLayout>
          <c:layoutTarget val="inner"/>
          <c:xMode val="edge"/>
          <c:yMode val="edge"/>
          <c:x val="0.224671407353151"/>
          <c:y val="0.211764654418198"/>
          <c:w val="0.60800830128792005"/>
          <c:h val="0.69313735783027097"/>
        </c:manualLayout>
      </c:layout>
      <c:lineChart>
        <c:grouping val="standard"/>
        <c:varyColors val="0"/>
        <c:ser>
          <c:idx val="0"/>
          <c:order val="0"/>
          <c:tx>
            <c:v>reference scenario</c:v>
          </c:tx>
          <c:spPr>
            <a:ln w="12700">
              <a:solidFill>
                <a:srgbClr val="000000"/>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[0]!NFCperTFCchngRef</c:f>
              <c:numCache>
                <c:formatCode>0.00</c:formatCode>
                <c:ptCount val="10"/>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0-1B63-1544-9719-3453E13F75CE}"/>
            </c:ext>
          </c:extLst>
        </c:ser>
        <c:ser>
          <c:idx val="1"/>
          <c:order val="1"/>
          <c:tx>
            <c:v>Intervention scenario Line</c:v>
          </c:tx>
          <c:spPr>
            <a:ln w="28575">
              <a:solidFill>
                <a:srgbClr val="C00000"/>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[0]!NFCperTFCchngInt</c:f>
              <c:numCache>
                <c:formatCode>0.00</c:formatCode>
                <c:ptCount val="10"/>
                <c:pt idx="1">
                  <c:v>-1.1258968232363831E-4</c:v>
                </c:pt>
                <c:pt idx="2">
                  <c:v>-6.0762877312618537E-3</c:v>
                </c:pt>
                <c:pt idx="3">
                  <c:v>-1.4990458563948405E-2</c:v>
                </c:pt>
                <c:pt idx="4">
                  <c:v>-1.3927887704905117E-2</c:v>
                </c:pt>
                <c:pt idx="5">
                  <c:v>-1.4745402351221626E-2</c:v>
                </c:pt>
                <c:pt idx="6">
                  <c:v>-1.3309457801786623E-2</c:v>
                </c:pt>
                <c:pt idx="7">
                  <c:v>-3.9889745489723738E-3</c:v>
                </c:pt>
                <c:pt idx="8">
                  <c:v>7.6349105243522786E-4</c:v>
                </c:pt>
                <c:pt idx="9">
                  <c:v>8.8790380451881366E-4</c:v>
                </c:pt>
              </c:numCache>
            </c:numRef>
          </c:val>
          <c:smooth val="0"/>
          <c:extLst>
            <c:ext xmlns:c16="http://schemas.microsoft.com/office/drawing/2014/chart" uri="{C3380CC4-5D6E-409C-BE32-E72D297353CC}">
              <c16:uniqueId val="{00000001-1B63-1544-9719-3453E13F75CE}"/>
            </c:ext>
          </c:extLst>
        </c:ser>
        <c:ser>
          <c:idx val="2"/>
          <c:order val="2"/>
          <c:marker>
            <c:symbol val="none"/>
          </c:marker>
          <c:val>
            <c:numRef>
              <c:f>ExpKayaFactorsInt!$E$11:$N$11</c:f>
              <c:numCache>
                <c:formatCode>0.00</c:formatCode>
                <c:ptCount val="10"/>
              </c:numCache>
            </c:numRef>
          </c:val>
          <c:smooth val="0"/>
          <c:extLst>
            <c:ext xmlns:c16="http://schemas.microsoft.com/office/drawing/2014/chart" uri="{C3380CC4-5D6E-409C-BE32-E72D297353CC}">
              <c16:uniqueId val="{00000000-6028-E641-ACA6-5F67F274622E}"/>
            </c:ext>
          </c:extLst>
        </c:ser>
        <c:dLbls>
          <c:showLegendKey val="0"/>
          <c:showVal val="0"/>
          <c:showCatName val="0"/>
          <c:showSerName val="0"/>
          <c:showPercent val="0"/>
          <c:showBubbleSize val="0"/>
        </c:dLbls>
        <c:smooth val="0"/>
        <c:axId val="-1642852896"/>
        <c:axId val="-1642849632"/>
      </c:lineChart>
      <c:catAx>
        <c:axId val="-1642852896"/>
        <c:scaling>
          <c:orientation val="minMax"/>
        </c:scaling>
        <c:delete val="0"/>
        <c:axPos val="b"/>
        <c:numFmt formatCode="General" sourceLinked="1"/>
        <c:majorTickMark val="none"/>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2849632"/>
        <c:crosses val="autoZero"/>
        <c:auto val="1"/>
        <c:lblAlgn val="ctr"/>
        <c:lblOffset val="100"/>
        <c:tickLblSkip val="9"/>
        <c:tickMarkSkip val="1"/>
        <c:noMultiLvlLbl val="0"/>
      </c:catAx>
      <c:valAx>
        <c:axId val="-1642849632"/>
        <c:scaling>
          <c:orientation val="minMax"/>
          <c:max val="0.05"/>
          <c:min val="-0.05"/>
        </c:scaling>
        <c:delete val="0"/>
        <c:axPos val="l"/>
        <c:majorGridlines>
          <c:spPr>
            <a:ln w="3175">
              <a:solidFill>
                <a:schemeClr val="bg1">
                  <a:lumMod val="65000"/>
                </a:schemeClr>
              </a:solidFill>
              <a:prstDash val="sysDash"/>
            </a:ln>
          </c:spPr>
        </c:majorGridlines>
        <c:title>
          <c:tx>
            <c:rich>
              <a:bodyPr/>
              <a:lstStyle/>
              <a:p>
                <a:pPr>
                  <a:defRPr sz="800" b="0" i="0" u="none" strike="noStrike" baseline="0">
                    <a:solidFill>
                      <a:srgbClr val="000000"/>
                    </a:solidFill>
                    <a:latin typeface="Arial"/>
                    <a:ea typeface="Arial"/>
                    <a:cs typeface="Arial"/>
                  </a:defRPr>
                </a:pPr>
                <a:r>
                  <a:rPr lang="en-US"/>
                  <a:t>Annual Rate of Change</a:t>
                </a:r>
              </a:p>
            </c:rich>
          </c:tx>
          <c:layout>
            <c:manualLayout>
              <c:xMode val="edge"/>
              <c:yMode val="edge"/>
              <c:x val="2.7210861757561901E-2"/>
              <c:y val="0.288235294117646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2852896"/>
        <c:crosses val="autoZero"/>
        <c:crossBetween val="midCat"/>
        <c:majorUnit val="0.01"/>
        <c:minorUnit val="0.01"/>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 verticalDpi="1200"/>
  </c:printSettings>
  <c:userShapes r:id="rId2"/>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000" b="1" i="0" u="none" strike="noStrike" baseline="0">
                <a:solidFill>
                  <a:srgbClr val="000000"/>
                </a:solidFill>
                <a:latin typeface="Arial"/>
                <a:ea typeface="Arial"/>
                <a:cs typeface="Arial"/>
              </a:defRPr>
            </a:pPr>
            <a:r>
              <a:rPr lang="en-US"/>
              <a:t>Energy Intensity</a:t>
            </a:r>
          </a:p>
          <a:p>
            <a:pPr>
              <a:defRPr sz="1000" b="1" i="0" u="none" strike="noStrike" baseline="0">
                <a:solidFill>
                  <a:srgbClr val="000000"/>
                </a:solidFill>
                <a:latin typeface="Arial"/>
                <a:ea typeface="Arial"/>
                <a:cs typeface="Arial"/>
              </a:defRPr>
            </a:pPr>
            <a:r>
              <a:rPr lang="en-US"/>
              <a:t>of Economic Activity</a:t>
            </a:r>
          </a:p>
        </c:rich>
      </c:tx>
      <c:layout>
        <c:manualLayout>
          <c:xMode val="edge"/>
          <c:yMode val="edge"/>
          <c:x val="0.20826813472982075"/>
          <c:y val="4.6731846019247597E-2"/>
        </c:manualLayout>
      </c:layout>
      <c:overlay val="0"/>
      <c:spPr>
        <a:noFill/>
        <a:ln w="25400">
          <a:noFill/>
        </a:ln>
      </c:spPr>
    </c:title>
    <c:autoTitleDeleted val="0"/>
    <c:plotArea>
      <c:layout>
        <c:manualLayout>
          <c:layoutTarget val="inner"/>
          <c:xMode val="edge"/>
          <c:yMode val="edge"/>
          <c:x val="0.224671407353151"/>
          <c:y val="0.211764654418198"/>
          <c:w val="0.60800830128792005"/>
          <c:h val="0.69313735783027097"/>
        </c:manualLayout>
      </c:layout>
      <c:lineChart>
        <c:grouping val="standard"/>
        <c:varyColors val="0"/>
        <c:ser>
          <c:idx val="0"/>
          <c:order val="0"/>
          <c:tx>
            <c:v>Reference case</c:v>
          </c:tx>
          <c:spPr>
            <a:ln w="12700">
              <a:solidFill>
                <a:srgbClr val="000000"/>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[0]!FEperGWPchngRef</c:f>
              <c:numCache>
                <c:formatCode>0.00</c:formatCode>
                <c:ptCount val="10"/>
                <c:pt idx="1">
                  <c:v>-2.2566758592376519E-2</c:v>
                </c:pt>
                <c:pt idx="2">
                  <c:v>-1.5863164721866004E-2</c:v>
                </c:pt>
                <c:pt idx="3">
                  <c:v>-8.0999915901465627E-3</c:v>
                </c:pt>
                <c:pt idx="4">
                  <c:v>-5.6705686033523299E-3</c:v>
                </c:pt>
                <c:pt idx="5">
                  <c:v>-4.1671626527337285E-3</c:v>
                </c:pt>
                <c:pt idx="6">
                  <c:v>-4.1735772977783215E-3</c:v>
                </c:pt>
                <c:pt idx="7">
                  <c:v>-3.839999856704644E-3</c:v>
                </c:pt>
                <c:pt idx="8">
                  <c:v>-3.6528514060781467E-3</c:v>
                </c:pt>
                <c:pt idx="9">
                  <c:v>-3.2251939542006433E-3</c:v>
                </c:pt>
              </c:numCache>
            </c:numRef>
          </c:val>
          <c:smooth val="0"/>
          <c:extLst>
            <c:ext xmlns:c16="http://schemas.microsoft.com/office/drawing/2014/chart" uri="{C3380CC4-5D6E-409C-BE32-E72D297353CC}">
              <c16:uniqueId val="{00000000-1B63-1544-9719-3453E13F75CE}"/>
            </c:ext>
          </c:extLst>
        </c:ser>
        <c:ser>
          <c:idx val="1"/>
          <c:order val="1"/>
          <c:tx>
            <c:v>Line for Stabilization Case</c:v>
          </c:tx>
          <c:spPr>
            <a:ln w="28575">
              <a:solidFill>
                <a:srgbClr val="C00000"/>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[0]!FEperGWPchngInt</c:f>
              <c:numCache>
                <c:formatCode>0.00</c:formatCode>
                <c:ptCount val="10"/>
                <c:pt idx="1">
                  <c:v>-3.2721125484258547E-2</c:v>
                </c:pt>
                <c:pt idx="2">
                  <c:v>-2.8119129676917251E-2</c:v>
                </c:pt>
                <c:pt idx="3">
                  <c:v>-1.1621768368709894E-2</c:v>
                </c:pt>
                <c:pt idx="4">
                  <c:v>-4.2512148572531275E-3</c:v>
                </c:pt>
                <c:pt idx="5">
                  <c:v>-2.2106650134039738E-3</c:v>
                </c:pt>
                <c:pt idx="6">
                  <c:v>-1.8559244960809997E-3</c:v>
                </c:pt>
                <c:pt idx="7">
                  <c:v>-1.4828195940218153E-3</c:v>
                </c:pt>
                <c:pt idx="8">
                  <c:v>-1.4291701106373448E-3</c:v>
                </c:pt>
                <c:pt idx="9">
                  <c:v>-1.2040815637946799E-3</c:v>
                </c:pt>
              </c:numCache>
            </c:numRef>
          </c:val>
          <c:smooth val="0"/>
          <c:extLst>
            <c:ext xmlns:c16="http://schemas.microsoft.com/office/drawing/2014/chart" uri="{C3380CC4-5D6E-409C-BE32-E72D297353CC}">
              <c16:uniqueId val="{00000001-1B63-1544-9719-3453E13F75CE}"/>
            </c:ext>
          </c:extLst>
        </c:ser>
        <c:ser>
          <c:idx val="2"/>
          <c:order val="2"/>
          <c:tx>
            <c:v>rate1</c:v>
          </c:tx>
          <c:spPr>
            <a:ln w="19050" cmpd="sng">
              <a:no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[0]!FEperGWPrate1</c:f>
              <c:numCache>
                <c:formatCode>0.00%</c:formatCode>
                <c:ptCount val="10"/>
                <c:pt idx="0">
                  <c:v>-8.1117757387337841E-3</c:v>
                </c:pt>
                <c:pt idx="1">
                  <c:v>-8.1117757387337841E-3</c:v>
                </c:pt>
                <c:pt idx="2">
                  <c:v>-8.1117757387337841E-3</c:v>
                </c:pt>
                <c:pt idx="3">
                  <c:v>-8.1117757387337841E-3</c:v>
                </c:pt>
                <c:pt idx="4">
                  <c:v>-8.1117757387337841E-3</c:v>
                </c:pt>
                <c:pt idx="5">
                  <c:v>-8.1117757387337841E-3</c:v>
                </c:pt>
                <c:pt idx="6">
                  <c:v>-8.1117757387337841E-3</c:v>
                </c:pt>
                <c:pt idx="7">
                  <c:v>-8.1117757387337841E-3</c:v>
                </c:pt>
                <c:pt idx="8">
                  <c:v>-8.1117757387337841E-3</c:v>
                </c:pt>
                <c:pt idx="9">
                  <c:v>-8.1117757387337841E-3</c:v>
                </c:pt>
              </c:numCache>
            </c:numRef>
          </c:val>
          <c:smooth val="0"/>
          <c:extLst>
            <c:ext xmlns:c16="http://schemas.microsoft.com/office/drawing/2014/chart" uri="{C3380CC4-5D6E-409C-BE32-E72D297353CC}">
              <c16:uniqueId val="{00000002-1B63-1544-9719-3453E13F75CE}"/>
            </c:ext>
          </c:extLst>
        </c:ser>
        <c:ser>
          <c:idx val="3"/>
          <c:order val="3"/>
          <c:tx>
            <c:v>rate2</c:v>
          </c:tx>
          <c:spPr>
            <a:ln w="19050" cmpd="sng">
              <a:no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[0]!FEperGWPrate2</c:f>
              <c:numCache>
                <c:formatCode>0.00%</c:formatCode>
                <c:ptCount val="10"/>
                <c:pt idx="0">
                  <c:v>-1.8257046810357003E-2</c:v>
                </c:pt>
                <c:pt idx="1">
                  <c:v>-1.8257046810357003E-2</c:v>
                </c:pt>
                <c:pt idx="2">
                  <c:v>-1.8257046810357003E-2</c:v>
                </c:pt>
                <c:pt idx="3">
                  <c:v>-1.8257046810357003E-2</c:v>
                </c:pt>
                <c:pt idx="4">
                  <c:v>-1.8257046810357003E-2</c:v>
                </c:pt>
                <c:pt idx="5">
                  <c:v>-1.8257046810357003E-2</c:v>
                </c:pt>
                <c:pt idx="6">
                  <c:v>-1.8257046810357003E-2</c:v>
                </c:pt>
                <c:pt idx="7">
                  <c:v>-1.8257046810357003E-2</c:v>
                </c:pt>
                <c:pt idx="8">
                  <c:v>-1.8257046810357003E-2</c:v>
                </c:pt>
                <c:pt idx="9">
                  <c:v>-1.8257046810357003E-2</c:v>
                </c:pt>
              </c:numCache>
            </c:numRef>
          </c:val>
          <c:smooth val="0"/>
          <c:extLst>
            <c:ext xmlns:c16="http://schemas.microsoft.com/office/drawing/2014/chart" uri="{C3380CC4-5D6E-409C-BE32-E72D297353CC}">
              <c16:uniqueId val="{00000003-1B63-1544-9719-3453E13F75CE}"/>
            </c:ext>
          </c:extLst>
        </c:ser>
        <c:dLbls>
          <c:showLegendKey val="0"/>
          <c:showVal val="0"/>
          <c:showCatName val="0"/>
          <c:showSerName val="0"/>
          <c:showPercent val="0"/>
          <c:showBubbleSize val="0"/>
        </c:dLbls>
        <c:smooth val="0"/>
        <c:axId val="-1642852896"/>
        <c:axId val="-1642849632"/>
      </c:lineChart>
      <c:catAx>
        <c:axId val="-1642852896"/>
        <c:scaling>
          <c:orientation val="minMax"/>
        </c:scaling>
        <c:delete val="0"/>
        <c:axPos val="b"/>
        <c:numFmt formatCode="General" sourceLinked="1"/>
        <c:majorTickMark val="none"/>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2849632"/>
        <c:crosses val="autoZero"/>
        <c:auto val="1"/>
        <c:lblAlgn val="ctr"/>
        <c:lblOffset val="100"/>
        <c:tickLblSkip val="9"/>
        <c:tickMarkSkip val="1"/>
        <c:noMultiLvlLbl val="0"/>
      </c:catAx>
      <c:valAx>
        <c:axId val="-1642849632"/>
        <c:scaling>
          <c:orientation val="minMax"/>
          <c:max val="0.05"/>
          <c:min val="-5.000000000000001E-2"/>
        </c:scaling>
        <c:delete val="0"/>
        <c:axPos val="l"/>
        <c:majorGridlines>
          <c:spPr>
            <a:ln w="3175">
              <a:solidFill>
                <a:schemeClr val="bg1">
                  <a:lumMod val="65000"/>
                </a:schemeClr>
              </a:solidFill>
              <a:prstDash val="sysDash"/>
            </a:ln>
          </c:spPr>
        </c:majorGridlines>
        <c:title>
          <c:tx>
            <c:rich>
              <a:bodyPr/>
              <a:lstStyle/>
              <a:p>
                <a:pPr>
                  <a:defRPr sz="800" b="0" i="0" u="none" strike="noStrike" baseline="0">
                    <a:solidFill>
                      <a:srgbClr val="000000"/>
                    </a:solidFill>
                    <a:latin typeface="Arial"/>
                    <a:ea typeface="Arial"/>
                    <a:cs typeface="Arial"/>
                  </a:defRPr>
                </a:pPr>
                <a:r>
                  <a:rPr lang="en-US" sz="800" b="0" i="0" u="none" strike="noStrike" baseline="0">
                    <a:effectLst/>
                  </a:rPr>
                  <a:t>Annual Rate of Change</a:t>
                </a:r>
                <a:r>
                  <a:rPr lang="en-US" sz="800" b="0" i="0" u="none" strike="noStrike" baseline="0"/>
                  <a:t> </a:t>
                </a:r>
                <a:endParaRPr lang="en-US"/>
              </a:p>
            </c:rich>
          </c:tx>
          <c:layout>
            <c:manualLayout>
              <c:xMode val="edge"/>
              <c:yMode val="edge"/>
              <c:x val="2.7210861757561901E-2"/>
              <c:y val="0.288235294117646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2852896"/>
        <c:crosses val="autoZero"/>
        <c:crossBetween val="midCat"/>
        <c:majorUnit val="0.01"/>
        <c:minorUnit val="0.01"/>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 verticalDpi="1200"/>
  </c:printSettings>
  <c:userShapes r:id="rId2"/>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000" b="1" i="0" u="none" strike="noStrike" baseline="0">
                <a:solidFill>
                  <a:srgbClr val="000000"/>
                </a:solidFill>
                <a:latin typeface="Arial"/>
                <a:ea typeface="Arial"/>
                <a:cs typeface="Arial"/>
              </a:defRPr>
            </a:pPr>
            <a:r>
              <a:rPr lang="en-US"/>
              <a:t>Economic Welfare</a:t>
            </a:r>
          </a:p>
          <a:p>
            <a:pPr>
              <a:defRPr sz="1000" b="1" i="0" u="none" strike="noStrike" baseline="0">
                <a:solidFill>
                  <a:srgbClr val="000000"/>
                </a:solidFill>
                <a:latin typeface="Arial"/>
                <a:ea typeface="Arial"/>
                <a:cs typeface="Arial"/>
              </a:defRPr>
            </a:pPr>
            <a:r>
              <a:rPr lang="en-US"/>
              <a:t>(GNP per Capita)</a:t>
            </a:r>
          </a:p>
        </c:rich>
      </c:tx>
      <c:layout>
        <c:manualLayout>
          <c:xMode val="edge"/>
          <c:yMode val="edge"/>
          <c:x val="0.20826813472982075"/>
          <c:y val="4.6731846019247597E-2"/>
        </c:manualLayout>
      </c:layout>
      <c:overlay val="0"/>
      <c:spPr>
        <a:noFill/>
        <a:ln w="25400">
          <a:noFill/>
        </a:ln>
      </c:spPr>
    </c:title>
    <c:autoTitleDeleted val="0"/>
    <c:plotArea>
      <c:layout>
        <c:manualLayout>
          <c:layoutTarget val="inner"/>
          <c:xMode val="edge"/>
          <c:yMode val="edge"/>
          <c:x val="0.224671407353151"/>
          <c:y val="0.211764654418198"/>
          <c:w val="0.60800830128792005"/>
          <c:h val="0.69313735783027097"/>
        </c:manualLayout>
      </c:layout>
      <c:lineChart>
        <c:grouping val="standard"/>
        <c:varyColors val="0"/>
        <c:ser>
          <c:idx val="0"/>
          <c:order val="0"/>
          <c:tx>
            <c:v>Reference case</c:v>
          </c:tx>
          <c:spPr>
            <a:ln w="12700">
              <a:solidFill>
                <a:srgbClr val="000000"/>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[0]!GWPperPchngRef</c:f>
              <c:numCache>
                <c:formatCode>0.00</c:formatCode>
                <c:ptCount val="10"/>
                <c:pt idx="1">
                  <c:v>3.3903768029119825E-2</c:v>
                </c:pt>
                <c:pt idx="2">
                  <c:v>4.1910119706648701E-2</c:v>
                </c:pt>
                <c:pt idx="3">
                  <c:v>3.9354425721750852E-2</c:v>
                </c:pt>
                <c:pt idx="4">
                  <c:v>4.1038305310317991E-2</c:v>
                </c:pt>
                <c:pt idx="5">
                  <c:v>4.6520442499880139E-2</c:v>
                </c:pt>
                <c:pt idx="6">
                  <c:v>5.6775558606518825E-2</c:v>
                </c:pt>
                <c:pt idx="7">
                  <c:v>6.6755893989063161E-2</c:v>
                </c:pt>
                <c:pt idx="8">
                  <c:v>7.8971285696449164E-2</c:v>
                </c:pt>
                <c:pt idx="9">
                  <c:v>9.2569027839242174E-2</c:v>
                </c:pt>
              </c:numCache>
            </c:numRef>
          </c:val>
          <c:smooth val="0"/>
          <c:extLst>
            <c:ext xmlns:c16="http://schemas.microsoft.com/office/drawing/2014/chart" uri="{C3380CC4-5D6E-409C-BE32-E72D297353CC}">
              <c16:uniqueId val="{00000000-1B63-1544-9719-3453E13F75CE}"/>
            </c:ext>
          </c:extLst>
        </c:ser>
        <c:ser>
          <c:idx val="1"/>
          <c:order val="1"/>
          <c:tx>
            <c:v>GDP per capita</c:v>
          </c:tx>
          <c:spPr>
            <a:ln w="28575">
              <a:solidFill>
                <a:srgbClr val="C00000"/>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[0]!GWPperPchngInt</c:f>
              <c:numCache>
                <c:formatCode>0.00</c:formatCode>
                <c:ptCount val="10"/>
                <c:pt idx="1">
                  <c:v>3.4889499855571743E-2</c:v>
                </c:pt>
                <c:pt idx="2">
                  <c:v>4.3901511088076182E-2</c:v>
                </c:pt>
                <c:pt idx="3">
                  <c:v>4.2139629813205501E-2</c:v>
                </c:pt>
                <c:pt idx="4">
                  <c:v>4.4548976771936338E-2</c:v>
                </c:pt>
                <c:pt idx="5">
                  <c:v>5.0090450530450532E-2</c:v>
                </c:pt>
                <c:pt idx="6">
                  <c:v>6.0176054770860854E-2</c:v>
                </c:pt>
                <c:pt idx="7">
                  <c:v>6.9730684078100055E-2</c:v>
                </c:pt>
                <c:pt idx="8">
                  <c:v>8.0940251998102647E-2</c:v>
                </c:pt>
                <c:pt idx="9">
                  <c:v>9.3178987775254046E-2</c:v>
                </c:pt>
              </c:numCache>
            </c:numRef>
          </c:val>
          <c:smooth val="0"/>
          <c:extLst>
            <c:ext xmlns:c16="http://schemas.microsoft.com/office/drawing/2014/chart" uri="{C3380CC4-5D6E-409C-BE32-E72D297353CC}">
              <c16:uniqueId val="{00000001-1B63-1544-9719-3453E13F75CE}"/>
            </c:ext>
          </c:extLst>
        </c:ser>
        <c:ser>
          <c:idx val="2"/>
          <c:order val="2"/>
          <c:tx>
            <c:v>rate1</c:v>
          </c:tx>
          <c:spPr>
            <a:ln w="19050" cmpd="sng">
              <a:no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[0]!GWPperPrate1</c:f>
              <c:numCache>
                <c:formatCode>0.00%</c:formatCode>
                <c:ptCount val="10"/>
                <c:pt idx="0">
                  <c:v>1.7068161340146881E-2</c:v>
                </c:pt>
                <c:pt idx="1">
                  <c:v>1.7068161340146881E-2</c:v>
                </c:pt>
                <c:pt idx="2">
                  <c:v>1.7068161340146881E-2</c:v>
                </c:pt>
                <c:pt idx="3">
                  <c:v>1.7068161340146881E-2</c:v>
                </c:pt>
                <c:pt idx="4">
                  <c:v>1.7068161340146881E-2</c:v>
                </c:pt>
                <c:pt idx="5">
                  <c:v>1.7068161340146881E-2</c:v>
                </c:pt>
                <c:pt idx="6">
                  <c:v>1.7068161340146881E-2</c:v>
                </c:pt>
                <c:pt idx="7">
                  <c:v>1.7068161340146881E-2</c:v>
                </c:pt>
                <c:pt idx="8">
                  <c:v>1.7068161340146881E-2</c:v>
                </c:pt>
                <c:pt idx="9">
                  <c:v>1.7068161340146881E-2</c:v>
                </c:pt>
              </c:numCache>
            </c:numRef>
          </c:val>
          <c:smooth val="0"/>
          <c:extLst>
            <c:ext xmlns:c16="http://schemas.microsoft.com/office/drawing/2014/chart" uri="{C3380CC4-5D6E-409C-BE32-E72D297353CC}">
              <c16:uniqueId val="{00000002-1B63-1544-9719-3453E13F75CE}"/>
            </c:ext>
          </c:extLst>
        </c:ser>
        <c:ser>
          <c:idx val="3"/>
          <c:order val="3"/>
          <c:tx>
            <c:v>rate2</c:v>
          </c:tx>
          <c:spPr>
            <a:ln w="19050" cmpd="sng">
              <a:no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[0]!GWPperPrate2</c:f>
              <c:numCache>
                <c:formatCode>0.00%</c:formatCode>
                <c:ptCount val="10"/>
                <c:pt idx="0">
                  <c:v>2.5565099356545273E-2</c:v>
                </c:pt>
                <c:pt idx="1">
                  <c:v>2.5565099356545273E-2</c:v>
                </c:pt>
                <c:pt idx="2">
                  <c:v>2.5565099356545273E-2</c:v>
                </c:pt>
                <c:pt idx="3">
                  <c:v>2.5565099356545273E-2</c:v>
                </c:pt>
                <c:pt idx="4">
                  <c:v>2.5565099356545273E-2</c:v>
                </c:pt>
                <c:pt idx="5">
                  <c:v>2.5565099356545273E-2</c:v>
                </c:pt>
                <c:pt idx="6">
                  <c:v>2.5565099356545273E-2</c:v>
                </c:pt>
                <c:pt idx="7">
                  <c:v>2.5565099356545273E-2</c:v>
                </c:pt>
                <c:pt idx="8">
                  <c:v>2.5565099356545273E-2</c:v>
                </c:pt>
                <c:pt idx="9">
                  <c:v>2.5565099356545273E-2</c:v>
                </c:pt>
              </c:numCache>
            </c:numRef>
          </c:val>
          <c:smooth val="0"/>
          <c:extLst>
            <c:ext xmlns:c16="http://schemas.microsoft.com/office/drawing/2014/chart" uri="{C3380CC4-5D6E-409C-BE32-E72D297353CC}">
              <c16:uniqueId val="{00000003-1B63-1544-9719-3453E13F75CE}"/>
            </c:ext>
          </c:extLst>
        </c:ser>
        <c:dLbls>
          <c:showLegendKey val="0"/>
          <c:showVal val="0"/>
          <c:showCatName val="0"/>
          <c:showSerName val="0"/>
          <c:showPercent val="0"/>
          <c:showBubbleSize val="0"/>
        </c:dLbls>
        <c:smooth val="0"/>
        <c:axId val="-1642852896"/>
        <c:axId val="-1642849632"/>
      </c:lineChart>
      <c:catAx>
        <c:axId val="-1642852896"/>
        <c:scaling>
          <c:orientation val="minMax"/>
        </c:scaling>
        <c:delete val="0"/>
        <c:axPos val="b"/>
        <c:numFmt formatCode="General" sourceLinked="1"/>
        <c:majorTickMark val="none"/>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2849632"/>
        <c:crosses val="autoZero"/>
        <c:auto val="1"/>
        <c:lblAlgn val="ctr"/>
        <c:lblOffset val="100"/>
        <c:tickLblSkip val="9"/>
        <c:tickMarkSkip val="1"/>
        <c:noMultiLvlLbl val="0"/>
      </c:catAx>
      <c:valAx>
        <c:axId val="-1642849632"/>
        <c:scaling>
          <c:orientation val="minMax"/>
          <c:max val="0.05"/>
          <c:min val="-0.05"/>
        </c:scaling>
        <c:delete val="0"/>
        <c:axPos val="l"/>
        <c:majorGridlines>
          <c:spPr>
            <a:ln w="3175">
              <a:solidFill>
                <a:schemeClr val="bg1">
                  <a:lumMod val="65000"/>
                </a:schemeClr>
              </a:solidFill>
              <a:prstDash val="sysDash"/>
            </a:ln>
          </c:spPr>
        </c:majorGridlines>
        <c:title>
          <c:tx>
            <c:rich>
              <a:bodyPr/>
              <a:lstStyle/>
              <a:p>
                <a:pPr>
                  <a:defRPr sz="800" b="0" i="0" u="none" strike="noStrike" baseline="0">
                    <a:solidFill>
                      <a:srgbClr val="000000"/>
                    </a:solidFill>
                    <a:latin typeface="Arial"/>
                    <a:ea typeface="Arial"/>
                    <a:cs typeface="Arial"/>
                  </a:defRPr>
                </a:pPr>
                <a:r>
                  <a:rPr lang="en-US" sz="800" b="0" i="0" u="none" strike="noStrike" baseline="0">
                    <a:effectLst/>
                  </a:rPr>
                  <a:t>Annual Rate of Change</a:t>
                </a:r>
                <a:r>
                  <a:rPr lang="en-US" sz="800" b="0" i="0" u="none" strike="noStrike" baseline="0"/>
                  <a:t> </a:t>
                </a:r>
                <a:endParaRPr lang="en-US"/>
              </a:p>
            </c:rich>
          </c:tx>
          <c:layout>
            <c:manualLayout>
              <c:xMode val="edge"/>
              <c:yMode val="edge"/>
              <c:x val="2.7210861757561901E-2"/>
              <c:y val="0.288235294117646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2852896"/>
        <c:crosses val="autoZero"/>
        <c:crossBetween val="midCat"/>
        <c:majorUnit val="0.01"/>
        <c:minorUnit val="0.01"/>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 verticalDpi="1200"/>
  </c:printSettings>
  <c:userShapes r:id="rId2"/>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b="1"/>
              <a:t>Population</a:t>
            </a:r>
          </a:p>
        </c:rich>
      </c:tx>
      <c:layout>
        <c:manualLayout>
          <c:xMode val="edge"/>
          <c:yMode val="edge"/>
          <c:x val="0.34002082804165601"/>
          <c:y val="4.4444444444444398E-2"/>
        </c:manualLayout>
      </c:layout>
      <c:overlay val="0"/>
    </c:title>
    <c:autoTitleDeleted val="0"/>
    <c:plotArea>
      <c:layout>
        <c:manualLayout>
          <c:layoutTarget val="inner"/>
          <c:xMode val="edge"/>
          <c:yMode val="edge"/>
          <c:x val="0.229590551181102"/>
          <c:y val="0.176248031496063"/>
          <c:w val="0.60464363728727399"/>
          <c:h val="0.67409186351705996"/>
        </c:manualLayout>
      </c:layout>
      <c:areaChart>
        <c:grouping val="stacked"/>
        <c:varyColors val="0"/>
        <c:ser>
          <c:idx val="0"/>
          <c:order val="0"/>
          <c:tx>
            <c:v>Reference case</c:v>
          </c:tx>
          <c:spPr>
            <a:noFill/>
            <a:ln>
              <a:solidFill>
                <a:sysClr val="windowText" lastClr="000000"/>
              </a:solidFill>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[0]!PopRef</c:f>
              <c:numCache>
                <c:formatCode>0.00</c:formatCode>
                <c:ptCount val="10"/>
                <c:pt idx="0">
                  <c:v>6.9217978520000001</c:v>
                </c:pt>
                <c:pt idx="1">
                  <c:v>7.6715019529999999</c:v>
                </c:pt>
                <c:pt idx="2">
                  <c:v>8.3276826170000007</c:v>
                </c:pt>
                <c:pt idx="3">
                  <c:v>8.8571757810000005</c:v>
                </c:pt>
                <c:pt idx="4">
                  <c:v>9.2425429690000005</c:v>
                </c:pt>
                <c:pt idx="5">
                  <c:v>9.4599677730000007</c:v>
                </c:pt>
                <c:pt idx="6">
                  <c:v>9.5310947269999993</c:v>
                </c:pt>
                <c:pt idx="7">
                  <c:v>9.4802275389999995</c:v>
                </c:pt>
                <c:pt idx="8">
                  <c:v>9.3257070310000003</c:v>
                </c:pt>
                <c:pt idx="9">
                  <c:v>9.1032343749999995</c:v>
                </c:pt>
              </c:numCache>
            </c:numRef>
          </c:val>
          <c:extLst>
            <c:ext xmlns:c16="http://schemas.microsoft.com/office/drawing/2014/chart" uri="{C3380CC4-5D6E-409C-BE32-E72D297353CC}">
              <c16:uniqueId val="{00000000-99A4-E54C-A875-5D3C1E5E0FD8}"/>
            </c:ext>
          </c:extLst>
        </c:ser>
        <c:ser>
          <c:idx val="4"/>
          <c:order val="4"/>
          <c:tx>
            <c:v>Area</c:v>
          </c:tx>
          <c:spPr>
            <a:solidFill>
              <a:srgbClr val="A1F5FF"/>
            </a:solidFill>
            <a:ln>
              <a:solidFill>
                <a:sysClr val="windowText" lastClr="000000"/>
              </a:solidFill>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AreasForDashboardsRatios!$E$2:$N$2</c:f>
              <c:numCache>
                <c:formatCode>General</c:formatCode>
                <c:ptCount val="10"/>
                <c:pt idx="0">
                  <c:v>-4.3749981415430739E-10</c:v>
                </c:pt>
                <c:pt idx="1">
                  <c:v>-9.5396972531250235E-2</c:v>
                </c:pt>
                <c:pt idx="2">
                  <c:v>-0.26574462871875149</c:v>
                </c:pt>
                <c:pt idx="3">
                  <c:v>-0.46841308568749973</c:v>
                </c:pt>
                <c:pt idx="4">
                  <c:v>-0.71204296900000053</c:v>
                </c:pt>
                <c:pt idx="5">
                  <c:v>-0.9677919917500013</c:v>
                </c:pt>
                <c:pt idx="6">
                  <c:v>-1.2321445316874993</c:v>
                </c:pt>
                <c:pt idx="7">
                  <c:v>-1.5128403319687491</c:v>
                </c:pt>
                <c:pt idx="8">
                  <c:v>-1.8152529294375004</c:v>
                </c:pt>
                <c:pt idx="9">
                  <c:v>-2.1452456054687499</c:v>
                </c:pt>
              </c:numCache>
            </c:numRef>
          </c:val>
          <c:extLst>
            <c:ext xmlns:c16="http://schemas.microsoft.com/office/drawing/2014/chart" uri="{C3380CC4-5D6E-409C-BE32-E72D297353CC}">
              <c16:uniqueId val="{00000001-BFB7-244C-AA4A-AB65D8424A41}"/>
            </c:ext>
          </c:extLst>
        </c:ser>
        <c:dLbls>
          <c:showLegendKey val="0"/>
          <c:showVal val="0"/>
          <c:showCatName val="0"/>
          <c:showSerName val="0"/>
          <c:showPercent val="0"/>
          <c:showBubbleSize val="0"/>
        </c:dLbls>
        <c:axId val="-1642923760"/>
        <c:axId val="-1642920496"/>
      </c:areaChart>
      <c:lineChart>
        <c:grouping val="standard"/>
        <c:varyColors val="0"/>
        <c:ser>
          <c:idx val="1"/>
          <c:order val="1"/>
          <c:tx>
            <c:v>Mitigation Case</c:v>
          </c:tx>
          <c:spPr>
            <a:ln w="28575">
              <a:solidFill>
                <a:srgbClr val="C00000"/>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[0]!PopInt</c:f>
              <c:numCache>
                <c:formatCode>0.00</c:formatCode>
                <c:ptCount val="10"/>
                <c:pt idx="0">
                  <c:v>6.9217978515625003</c:v>
                </c:pt>
                <c:pt idx="1">
                  <c:v>7.5761049804687497</c:v>
                </c:pt>
                <c:pt idx="2">
                  <c:v>8.0619379882812492</c:v>
                </c:pt>
                <c:pt idx="3">
                  <c:v>8.3887626953125007</c:v>
                </c:pt>
                <c:pt idx="4">
                  <c:v>8.5305</c:v>
                </c:pt>
                <c:pt idx="5">
                  <c:v>8.4921757812499994</c:v>
                </c:pt>
                <c:pt idx="6">
                  <c:v>8.2989501953125</c:v>
                </c:pt>
                <c:pt idx="7">
                  <c:v>7.9673872070312504</c:v>
                </c:pt>
                <c:pt idx="8">
                  <c:v>7.5104541015624999</c:v>
                </c:pt>
                <c:pt idx="9">
                  <c:v>6.9579887695312497</c:v>
                </c:pt>
              </c:numCache>
            </c:numRef>
          </c:val>
          <c:smooth val="0"/>
          <c:extLst>
            <c:ext xmlns:c16="http://schemas.microsoft.com/office/drawing/2014/chart" uri="{C3380CC4-5D6E-409C-BE32-E72D297353CC}">
              <c16:uniqueId val="{00000001-99A4-E54C-A875-5D3C1E5E0FD8}"/>
            </c:ext>
          </c:extLst>
        </c:ser>
        <c:ser>
          <c:idx val="2"/>
          <c:order val="2"/>
          <c:tx>
            <c:v>proj1</c:v>
          </c:tx>
          <c:spPr>
            <a:ln w="19050" cmpd="sng">
              <a:solidFill>
                <a:srgbClr val="008000"/>
              </a:solid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[0]!Pproj1</c:f>
              <c:numCache>
                <c:formatCode>General</c:formatCode>
                <c:ptCount val="10"/>
                <c:pt idx="0">
                  <c:v>6.9217978520000001</c:v>
                </c:pt>
                <c:pt idx="1">
                  <c:v>7.9025930608181971</c:v>
                </c:pt>
                <c:pt idx="2">
                  <c:v>9.0223636142230301</c:v>
                </c:pt>
                <c:pt idx="3">
                  <c:v>10.300801845771312</c:v>
                </c:pt>
                <c:pt idx="4">
                  <c:v>11.760390425694803</c:v>
                </c:pt>
                <c:pt idx="5">
                  <c:v>13.426797742114777</c:v>
                </c:pt>
                <c:pt idx="6">
                  <c:v>15.32932930642969</c:v>
                </c:pt>
                <c:pt idx="7">
                  <c:v>17.501443121310658</c:v>
                </c:pt>
                <c:pt idx="8">
                  <c:v>19.981338074588713</c:v>
                </c:pt>
                <c:pt idx="9">
                  <c:v>22.81262570655425</c:v>
                </c:pt>
              </c:numCache>
            </c:numRef>
          </c:val>
          <c:smooth val="0"/>
          <c:extLst>
            <c:ext xmlns:c16="http://schemas.microsoft.com/office/drawing/2014/chart" uri="{C3380CC4-5D6E-409C-BE32-E72D297353CC}">
              <c16:uniqueId val="{00000002-99A4-E54C-A875-5D3C1E5E0FD8}"/>
            </c:ext>
          </c:extLst>
        </c:ser>
        <c:ser>
          <c:idx val="3"/>
          <c:order val="3"/>
          <c:tx>
            <c:v>proj2</c:v>
          </c:tx>
          <c:spPr>
            <a:ln w="19050" cmpd="sng">
              <a:solidFill>
                <a:srgbClr val="3366FF"/>
              </a:solid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[0]!Pproj2</c:f>
              <c:numCache>
                <c:formatCode>General</c:formatCode>
                <c:ptCount val="10"/>
                <c:pt idx="0">
                  <c:v>6.9217978520000001</c:v>
                </c:pt>
                <c:pt idx="1">
                  <c:v>7.839139256025204</c:v>
                </c:pt>
                <c:pt idx="2">
                  <c:v>8.8780553245424922</c:v>
                </c:pt>
                <c:pt idx="3">
                  <c:v>10.054658269408332</c:v>
                </c:pt>
                <c:pt idx="4">
                  <c:v>11.387195643522427</c:v>
                </c:pt>
                <c:pt idx="5">
                  <c:v>12.896333336198655</c:v>
                </c:pt>
                <c:pt idx="6">
                  <c:v>14.60547607372995</c:v>
                </c:pt>
                <c:pt idx="7">
                  <c:v>16.541130395686295</c:v>
                </c:pt>
                <c:pt idx="8">
                  <c:v>18.733315736227333</c:v>
                </c:pt>
                <c:pt idx="9">
                  <c:v>21.21602998575613</c:v>
                </c:pt>
              </c:numCache>
            </c:numRef>
          </c:val>
          <c:smooth val="0"/>
          <c:extLst>
            <c:ext xmlns:c16="http://schemas.microsoft.com/office/drawing/2014/chart" uri="{C3380CC4-5D6E-409C-BE32-E72D297353CC}">
              <c16:uniqueId val="{00000003-99A4-E54C-A875-5D3C1E5E0FD8}"/>
            </c:ext>
          </c:extLst>
        </c:ser>
        <c:dLbls>
          <c:showLegendKey val="0"/>
          <c:showVal val="0"/>
          <c:showCatName val="0"/>
          <c:showSerName val="0"/>
          <c:showPercent val="0"/>
          <c:showBubbleSize val="0"/>
        </c:dLbls>
        <c:marker val="1"/>
        <c:smooth val="0"/>
        <c:axId val="-1642923760"/>
        <c:axId val="-1642920496"/>
      </c:lineChart>
      <c:catAx>
        <c:axId val="-1642923760"/>
        <c:scaling>
          <c:orientation val="minMax"/>
        </c:scaling>
        <c:delete val="0"/>
        <c:axPos val="b"/>
        <c:numFmt formatCode="General" sourceLinked="1"/>
        <c:majorTickMark val="none"/>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2920496"/>
        <c:crosses val="autoZero"/>
        <c:auto val="1"/>
        <c:lblAlgn val="ctr"/>
        <c:lblOffset val="100"/>
        <c:tickLblSkip val="9"/>
        <c:tickMarkSkip val="1"/>
        <c:noMultiLvlLbl val="0"/>
      </c:catAx>
      <c:valAx>
        <c:axId val="-1642920496"/>
        <c:scaling>
          <c:orientation val="minMax"/>
          <c:max val="20"/>
          <c:min val="0"/>
        </c:scaling>
        <c:delete val="0"/>
        <c:axPos val="l"/>
        <c:title>
          <c:tx>
            <c:rich>
              <a:bodyPr rot="-5400000" vert="horz" anchor="b" anchorCtr="1"/>
              <a:lstStyle/>
              <a:p>
                <a:pPr>
                  <a:defRPr/>
                </a:pPr>
                <a:r>
                  <a:rPr lang="en-US"/>
                  <a:t>Billions</a:t>
                </a:r>
              </a:p>
            </c:rich>
          </c:tx>
          <c:layout>
            <c:manualLayout>
              <c:xMode val="edge"/>
              <c:yMode val="edge"/>
              <c:x val="1.4998270565016601E-2"/>
              <c:y val="0.456806649168854"/>
            </c:manualLayout>
          </c:layout>
          <c:overlay val="0"/>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2923760"/>
        <c:crossesAt val="0"/>
        <c:crossBetween val="midCat"/>
        <c:majorUnit val="5"/>
        <c:minorUnit val="0.5"/>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1200" verticalDpi="1200"/>
  </c:printSettings>
  <c:userShapes r:id="rId2"/>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231154686309373"/>
          <c:y val="0.18121872265966699"/>
          <c:w val="0.60308001016002"/>
          <c:h val="0.66327296587926499"/>
        </c:manualLayout>
      </c:layout>
      <c:lineChart>
        <c:grouping val="standard"/>
        <c:varyColors val="0"/>
        <c:ser>
          <c:idx val="0"/>
          <c:order val="0"/>
          <c:tx>
            <c:v>Reference case</c:v>
          </c:tx>
          <c:spPr>
            <a:ln w="19050">
              <a:solidFill>
                <a:srgbClr val="000000"/>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[0]!PopindexRef</c:f>
              <c:numCache>
                <c:formatCode>0.00</c:formatCode>
                <c:ptCount val="10"/>
                <c:pt idx="0">
                  <c:v>1</c:v>
                </c:pt>
                <c:pt idx="1">
                  <c:v>1.1083106032608825</c:v>
                </c:pt>
                <c:pt idx="2">
                  <c:v>1.2031097693200881</c:v>
                </c:pt>
                <c:pt idx="3">
                  <c:v>1.2796062483160771</c:v>
                </c:pt>
                <c:pt idx="4">
                  <c:v>1.3352806838081004</c:v>
                </c:pt>
                <c:pt idx="5">
                  <c:v>1.3666922922729701</c:v>
                </c:pt>
                <c:pt idx="6">
                  <c:v>1.3769680841294814</c:v>
                </c:pt>
                <c:pt idx="7">
                  <c:v>1.3696192436854771</c:v>
                </c:pt>
                <c:pt idx="8">
                  <c:v>1.3472954903335423</c:v>
                </c:pt>
                <c:pt idx="9">
                  <c:v>1.3151546129550273</c:v>
                </c:pt>
              </c:numCache>
            </c:numRef>
          </c:val>
          <c:smooth val="0"/>
          <c:extLst>
            <c:ext xmlns:c16="http://schemas.microsoft.com/office/drawing/2014/chart" uri="{C3380CC4-5D6E-409C-BE32-E72D297353CC}">
              <c16:uniqueId val="{00000000-DDB7-FF46-97A4-784A83219FA7}"/>
            </c:ext>
          </c:extLst>
        </c:ser>
        <c:ser>
          <c:idx val="1"/>
          <c:order val="1"/>
          <c:tx>
            <c:v>Mitigation Case</c:v>
          </c:tx>
          <c:spPr>
            <a:ln w="28575">
              <a:solidFill>
                <a:srgbClr val="C00000"/>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[0]!PopindexInt</c:f>
              <c:numCache>
                <c:formatCode>0.00</c:formatCode>
                <c:ptCount val="10"/>
                <c:pt idx="0">
                  <c:v>1</c:v>
                </c:pt>
                <c:pt idx="1">
                  <c:v>1.0945284943215365</c:v>
                </c:pt>
                <c:pt idx="2">
                  <c:v>1.1647173409523044</c:v>
                </c:pt>
                <c:pt idx="3">
                  <c:v>1.2119340777076946</c:v>
                </c:pt>
                <c:pt idx="4">
                  <c:v>1.2324110271545068</c:v>
                </c:pt>
                <c:pt idx="5">
                  <c:v>1.2268742837286137</c:v>
                </c:pt>
                <c:pt idx="6">
                  <c:v>1.1989587637898333</c:v>
                </c:pt>
                <c:pt idx="7">
                  <c:v>1.1510574821587318</c:v>
                </c:pt>
                <c:pt idx="8">
                  <c:v>1.085043837254958</c:v>
                </c:pt>
                <c:pt idx="9">
                  <c:v>1.0052285430382195</c:v>
                </c:pt>
              </c:numCache>
            </c:numRef>
          </c:val>
          <c:smooth val="0"/>
          <c:extLst>
            <c:ext xmlns:c16="http://schemas.microsoft.com/office/drawing/2014/chart" uri="{C3380CC4-5D6E-409C-BE32-E72D297353CC}">
              <c16:uniqueId val="{00000001-DDB7-FF46-97A4-784A83219FA7}"/>
            </c:ext>
          </c:extLst>
        </c:ser>
        <c:ser>
          <c:idx val="2"/>
          <c:order val="2"/>
          <c:tx>
            <c:v>proj1</c:v>
          </c:tx>
          <c:spPr>
            <a:ln w="19050" cmpd="sng">
              <a:solidFill>
                <a:srgbClr val="008000"/>
              </a:solid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[0]!Pprojindex1</c:f>
              <c:numCache>
                <c:formatCode>General</c:formatCode>
                <c:ptCount val="10"/>
                <c:pt idx="0">
                  <c:v>1</c:v>
                </c:pt>
                <c:pt idx="1">
                  <c:v>1.1416965981655769</c:v>
                </c:pt>
                <c:pt idx="2">
                  <c:v>1.3034711222628508</c:v>
                </c:pt>
                <c:pt idx="3">
                  <c:v>1.4881685460945635</c:v>
                </c:pt>
                <c:pt idx="4">
                  <c:v>1.6990369665731757</c:v>
                </c:pt>
                <c:pt idx="5">
                  <c:v>1.9397847248941558</c:v>
                </c:pt>
                <c:pt idx="6">
                  <c:v>2.2146456215852073</c:v>
                </c:pt>
                <c:pt idx="7">
                  <c:v>2.5284533723061204</c:v>
                </c:pt>
                <c:pt idx="8">
                  <c:v>2.8867266137821788</c:v>
                </c:pt>
                <c:pt idx="9">
                  <c:v>3.2957659547891485</c:v>
                </c:pt>
              </c:numCache>
            </c:numRef>
          </c:val>
          <c:smooth val="0"/>
          <c:extLst>
            <c:ext xmlns:c16="http://schemas.microsoft.com/office/drawing/2014/chart" uri="{C3380CC4-5D6E-409C-BE32-E72D297353CC}">
              <c16:uniqueId val="{00000002-DDB7-FF46-97A4-784A83219FA7}"/>
            </c:ext>
          </c:extLst>
        </c:ser>
        <c:ser>
          <c:idx val="3"/>
          <c:order val="3"/>
          <c:tx>
            <c:v>proj2</c:v>
          </c:tx>
          <c:spPr>
            <a:ln w="19050" cmpd="sng">
              <a:solidFill>
                <a:srgbClr val="3366FF"/>
              </a:solid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[0]!Pprojindex2</c:f>
              <c:numCache>
                <c:formatCode>General</c:formatCode>
                <c:ptCount val="10"/>
                <c:pt idx="0">
                  <c:v>1</c:v>
                </c:pt>
                <c:pt idx="1">
                  <c:v>1.1325293548929842</c:v>
                </c:pt>
                <c:pt idx="2">
                  <c:v>1.2826227396943191</c:v>
                </c:pt>
                <c:pt idx="3">
                  <c:v>1.4526079039570792</c:v>
                </c:pt>
                <c:pt idx="4">
                  <c:v>1.6451210923809609</c:v>
                </c:pt>
                <c:pt idx="5">
                  <c:v>1.8631479294750513</c:v>
                </c:pt>
                <c:pt idx="6">
                  <c:v>2.1100697226385789</c:v>
                </c:pt>
                <c:pt idx="7">
                  <c:v>2.3897159017590881</c:v>
                </c:pt>
                <c:pt idx="8">
                  <c:v>2.7064234085967263</c:v>
                </c:pt>
                <c:pt idx="9">
                  <c:v>3.0651039570053218</c:v>
                </c:pt>
              </c:numCache>
            </c:numRef>
          </c:val>
          <c:smooth val="0"/>
          <c:extLst>
            <c:ext xmlns:c16="http://schemas.microsoft.com/office/drawing/2014/chart" uri="{C3380CC4-5D6E-409C-BE32-E72D297353CC}">
              <c16:uniqueId val="{00000003-DDB7-FF46-97A4-784A83219FA7}"/>
            </c:ext>
          </c:extLst>
        </c:ser>
        <c:dLbls>
          <c:showLegendKey val="0"/>
          <c:showVal val="0"/>
          <c:showCatName val="0"/>
          <c:showSerName val="0"/>
          <c:showPercent val="0"/>
          <c:showBubbleSize val="0"/>
        </c:dLbls>
        <c:smooth val="0"/>
        <c:axId val="-1642887488"/>
        <c:axId val="-1642884224"/>
      </c:lineChart>
      <c:catAx>
        <c:axId val="-1642887488"/>
        <c:scaling>
          <c:orientation val="minMax"/>
        </c:scaling>
        <c:delete val="0"/>
        <c:axPos val="b"/>
        <c:numFmt formatCode="General" sourceLinked="1"/>
        <c:majorTickMark val="none"/>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2884224"/>
        <c:crosses val="autoZero"/>
        <c:auto val="1"/>
        <c:lblAlgn val="ctr"/>
        <c:lblOffset val="100"/>
        <c:tickLblSkip val="9"/>
        <c:tickMarkSkip val="1"/>
        <c:noMultiLvlLbl val="0"/>
      </c:catAx>
      <c:valAx>
        <c:axId val="-1642884224"/>
        <c:scaling>
          <c:orientation val="minMax"/>
          <c:max val="6"/>
          <c:min val="0"/>
        </c:scaling>
        <c:delete val="0"/>
        <c:axPos val="l"/>
        <c:title>
          <c:tx>
            <c:rich>
              <a:bodyPr rot="-5400000" vert="horz"/>
              <a:lstStyle/>
              <a:p>
                <a:pPr marL="0" marR="0" indent="0" algn="ctr" defTabSz="914400" rtl="0" eaLnBrk="1" fontAlgn="auto" latinLnBrk="0" hangingPunct="1">
                  <a:lnSpc>
                    <a:spcPct val="100000"/>
                  </a:lnSpc>
                  <a:spcBef>
                    <a:spcPts val="0"/>
                  </a:spcBef>
                  <a:spcAft>
                    <a:spcPts val="0"/>
                  </a:spcAft>
                  <a:buClrTx/>
                  <a:buSzTx/>
                  <a:buFontTx/>
                  <a:buNone/>
                  <a:tabLst/>
                  <a:defRPr sz="800" b="0" i="0" u="none" strike="noStrike" kern="1200" baseline="0">
                    <a:solidFill>
                      <a:srgbClr val="000000"/>
                    </a:solidFill>
                    <a:latin typeface="Arial"/>
                    <a:ea typeface="Arial"/>
                    <a:cs typeface="Arial"/>
                  </a:defRPr>
                </a:pPr>
                <a:r>
                  <a:rPr lang="en-US" sz="800" b="0" i="0" kern="1200" baseline="0">
                    <a:solidFill>
                      <a:srgbClr val="000000"/>
                    </a:solidFill>
                    <a:effectLst/>
                    <a:latin typeface="Arial" panose="020B0604020202020204" pitchFamily="34" charset="0"/>
                    <a:ea typeface="Arial" panose="020B0604020202020204" pitchFamily="34" charset="0"/>
                    <a:cs typeface="Arial" panose="020B0604020202020204" pitchFamily="34" charset="0"/>
                  </a:rPr>
                  <a:t> Population (2010=1)</a:t>
                </a:r>
                <a:endParaRPr lang="en-US">
                  <a:effectLst/>
                </a:endParaRPr>
              </a:p>
            </c:rich>
          </c:tx>
          <c:layout>
            <c:manualLayout>
              <c:xMode val="edge"/>
              <c:yMode val="edge"/>
              <c:x val="2.1039593887973301E-2"/>
              <c:y val="0.25310498687664001"/>
            </c:manualLayout>
          </c:layout>
          <c:overlay val="0"/>
        </c:title>
        <c:numFmt formatCode="#,##0" sourceLinked="0"/>
        <c:majorTickMark val="out"/>
        <c:minorTickMark val="out"/>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2887488"/>
        <c:crosses val="autoZero"/>
        <c:crossBetween val="midCat"/>
        <c:majorUnit val="1"/>
        <c:minorUnit val="1"/>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1200" verticalDpi="1200"/>
  </c:printSettings>
  <c:userShapes r:id="rId2"/>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000" b="1" i="0" u="none" strike="noStrike" baseline="0">
                <a:solidFill>
                  <a:srgbClr val="000000"/>
                </a:solidFill>
                <a:latin typeface="Arial"/>
                <a:ea typeface="Arial"/>
                <a:cs typeface="Arial"/>
              </a:defRPr>
            </a:pPr>
            <a:r>
              <a:rPr lang="en-US"/>
              <a:t>Population</a:t>
            </a:r>
          </a:p>
        </c:rich>
      </c:tx>
      <c:layout>
        <c:manualLayout>
          <c:xMode val="edge"/>
          <c:yMode val="edge"/>
          <c:x val="0.34013611670634197"/>
          <c:y val="5.2287401574803098E-2"/>
        </c:manualLayout>
      </c:layout>
      <c:overlay val="0"/>
      <c:spPr>
        <a:noFill/>
        <a:ln w="25400">
          <a:noFill/>
        </a:ln>
      </c:spPr>
    </c:title>
    <c:autoTitleDeleted val="0"/>
    <c:plotArea>
      <c:layout>
        <c:manualLayout>
          <c:layoutTarget val="inner"/>
          <c:xMode val="edge"/>
          <c:yMode val="edge"/>
          <c:x val="0.22467154539362089"/>
          <c:y val="0.21176472104088159"/>
          <c:w val="0.60800830128792005"/>
          <c:h val="0.69313735783027097"/>
        </c:manualLayout>
      </c:layout>
      <c:lineChart>
        <c:grouping val="standard"/>
        <c:varyColors val="0"/>
        <c:ser>
          <c:idx val="0"/>
          <c:order val="0"/>
          <c:tx>
            <c:v>Reference case</c:v>
          </c:tx>
          <c:spPr>
            <a:ln w="12700">
              <a:solidFill>
                <a:srgbClr val="000000"/>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[0]!PopchngRef</c:f>
              <c:numCache>
                <c:formatCode>0.00</c:formatCode>
                <c:ptCount val="10"/>
                <c:pt idx="1">
                  <c:v>1.0831060326088238E-2</c:v>
                </c:pt>
                <c:pt idx="2">
                  <c:v>9.4799166059205617E-3</c:v>
                </c:pt>
                <c:pt idx="3">
                  <c:v>7.6496478995989005E-3</c:v>
                </c:pt>
                <c:pt idx="4">
                  <c:v>5.5674435492023382E-3</c:v>
                </c:pt>
                <c:pt idx="5">
                  <c:v>3.1411608464869713E-3</c:v>
                </c:pt>
                <c:pt idx="6">
                  <c:v>1.0275791856511236E-3</c:v>
                </c:pt>
                <c:pt idx="7">
                  <c:v>-7.3488404440043135E-4</c:v>
                </c:pt>
                <c:pt idx="8">
                  <c:v>-2.2323753351934667E-3</c:v>
                </c:pt>
                <c:pt idx="9">
                  <c:v>-3.2140877378515034E-3</c:v>
                </c:pt>
              </c:numCache>
            </c:numRef>
          </c:val>
          <c:smooth val="0"/>
          <c:extLst>
            <c:ext xmlns:c16="http://schemas.microsoft.com/office/drawing/2014/chart" uri="{C3380CC4-5D6E-409C-BE32-E72D297353CC}">
              <c16:uniqueId val="{00000000-1B63-1544-9719-3453E13F75CE}"/>
            </c:ext>
          </c:extLst>
        </c:ser>
        <c:ser>
          <c:idx val="1"/>
          <c:order val="1"/>
          <c:tx>
            <c:v>Mitigation Case</c:v>
          </c:tx>
          <c:spPr>
            <a:ln w="28575">
              <a:solidFill>
                <a:srgbClr val="C00000"/>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[0]!PopchngInt</c:f>
              <c:numCache>
                <c:formatCode>0.00</c:formatCode>
                <c:ptCount val="10"/>
                <c:pt idx="1">
                  <c:v>9.4528494321536507E-3</c:v>
                </c:pt>
                <c:pt idx="2">
                  <c:v>7.0188846630767961E-3</c:v>
                </c:pt>
                <c:pt idx="3">
                  <c:v>4.7216736755390128E-3</c:v>
                </c:pt>
                <c:pt idx="4">
                  <c:v>2.0476949446812287E-3</c:v>
                </c:pt>
                <c:pt idx="5">
                  <c:v>-5.5367434258932343E-4</c:v>
                </c:pt>
                <c:pt idx="6">
                  <c:v>-2.7915519938780265E-3</c:v>
                </c:pt>
                <c:pt idx="7">
                  <c:v>-4.7901281631101645E-3</c:v>
                </c:pt>
                <c:pt idx="8">
                  <c:v>-6.6013644903773682E-3</c:v>
                </c:pt>
                <c:pt idx="9">
                  <c:v>-7.9815294216738619E-3</c:v>
                </c:pt>
              </c:numCache>
            </c:numRef>
          </c:val>
          <c:smooth val="0"/>
          <c:extLst>
            <c:ext xmlns:c16="http://schemas.microsoft.com/office/drawing/2014/chart" uri="{C3380CC4-5D6E-409C-BE32-E72D297353CC}">
              <c16:uniqueId val="{00000001-1B63-1544-9719-3453E13F75CE}"/>
            </c:ext>
          </c:extLst>
        </c:ser>
        <c:ser>
          <c:idx val="2"/>
          <c:order val="2"/>
          <c:tx>
            <c:v>rate1</c:v>
          </c:tx>
          <c:spPr>
            <a:ln w="19050" cmpd="sng">
              <a:no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[0]!Prate1</c:f>
              <c:numCache>
                <c:formatCode>0.00%</c:formatCode>
                <c:ptCount val="10"/>
                <c:pt idx="0">
                  <c:v>1.33397307876435E-2</c:v>
                </c:pt>
                <c:pt idx="1">
                  <c:v>1.33397307876435E-2</c:v>
                </c:pt>
                <c:pt idx="2">
                  <c:v>1.33397307876435E-2</c:v>
                </c:pt>
                <c:pt idx="3">
                  <c:v>1.33397307876435E-2</c:v>
                </c:pt>
                <c:pt idx="4">
                  <c:v>1.33397307876435E-2</c:v>
                </c:pt>
                <c:pt idx="5">
                  <c:v>1.33397307876435E-2</c:v>
                </c:pt>
                <c:pt idx="6">
                  <c:v>1.33397307876435E-2</c:v>
                </c:pt>
                <c:pt idx="7">
                  <c:v>1.33397307876435E-2</c:v>
                </c:pt>
                <c:pt idx="8">
                  <c:v>1.33397307876435E-2</c:v>
                </c:pt>
                <c:pt idx="9">
                  <c:v>1.33397307876435E-2</c:v>
                </c:pt>
              </c:numCache>
            </c:numRef>
          </c:val>
          <c:smooth val="0"/>
          <c:extLst>
            <c:ext xmlns:c16="http://schemas.microsoft.com/office/drawing/2014/chart" uri="{C3380CC4-5D6E-409C-BE32-E72D297353CC}">
              <c16:uniqueId val="{00000002-1B63-1544-9719-3453E13F75CE}"/>
            </c:ext>
          </c:extLst>
        </c:ser>
        <c:ser>
          <c:idx val="3"/>
          <c:order val="3"/>
          <c:tx>
            <c:v>rate2</c:v>
          </c:tx>
          <c:spPr>
            <a:ln w="19050" cmpd="sng">
              <a:no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[0]!Prate2</c:f>
              <c:numCache>
                <c:formatCode>0.00%</c:formatCode>
                <c:ptCount val="10"/>
                <c:pt idx="0">
                  <c:v>1.2523115485857383E-2</c:v>
                </c:pt>
                <c:pt idx="1">
                  <c:v>1.2523115485857383E-2</c:v>
                </c:pt>
                <c:pt idx="2">
                  <c:v>1.2523115485857383E-2</c:v>
                </c:pt>
                <c:pt idx="3">
                  <c:v>1.2523115485857383E-2</c:v>
                </c:pt>
                <c:pt idx="4">
                  <c:v>1.2523115485857383E-2</c:v>
                </c:pt>
                <c:pt idx="5">
                  <c:v>1.2523115485857383E-2</c:v>
                </c:pt>
                <c:pt idx="6">
                  <c:v>1.2523115485857383E-2</c:v>
                </c:pt>
                <c:pt idx="7">
                  <c:v>1.2523115485857383E-2</c:v>
                </c:pt>
                <c:pt idx="8">
                  <c:v>1.2523115485857383E-2</c:v>
                </c:pt>
                <c:pt idx="9">
                  <c:v>1.2523115485857383E-2</c:v>
                </c:pt>
              </c:numCache>
            </c:numRef>
          </c:val>
          <c:smooth val="0"/>
          <c:extLst>
            <c:ext xmlns:c16="http://schemas.microsoft.com/office/drawing/2014/chart" uri="{C3380CC4-5D6E-409C-BE32-E72D297353CC}">
              <c16:uniqueId val="{00000003-1B63-1544-9719-3453E13F75CE}"/>
            </c:ext>
          </c:extLst>
        </c:ser>
        <c:dLbls>
          <c:showLegendKey val="0"/>
          <c:showVal val="0"/>
          <c:showCatName val="0"/>
          <c:showSerName val="0"/>
          <c:showPercent val="0"/>
          <c:showBubbleSize val="0"/>
        </c:dLbls>
        <c:smooth val="0"/>
        <c:axId val="-1642852896"/>
        <c:axId val="-1642849632"/>
      </c:lineChart>
      <c:catAx>
        <c:axId val="-1642852896"/>
        <c:scaling>
          <c:orientation val="minMax"/>
        </c:scaling>
        <c:delete val="0"/>
        <c:axPos val="b"/>
        <c:numFmt formatCode="General" sourceLinked="1"/>
        <c:majorTickMark val="none"/>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2849632"/>
        <c:crosses val="autoZero"/>
        <c:auto val="1"/>
        <c:lblAlgn val="ctr"/>
        <c:lblOffset val="100"/>
        <c:tickLblSkip val="9"/>
        <c:tickMarkSkip val="1"/>
        <c:noMultiLvlLbl val="0"/>
      </c:catAx>
      <c:valAx>
        <c:axId val="-1642849632"/>
        <c:scaling>
          <c:orientation val="minMax"/>
          <c:max val="0.05"/>
          <c:min val="-0.05"/>
        </c:scaling>
        <c:delete val="0"/>
        <c:axPos val="l"/>
        <c:majorGridlines>
          <c:spPr>
            <a:ln w="3175">
              <a:solidFill>
                <a:schemeClr val="bg1">
                  <a:lumMod val="65000"/>
                </a:schemeClr>
              </a:solidFill>
              <a:prstDash val="sysDash"/>
            </a:ln>
          </c:spPr>
        </c:majorGridlines>
        <c:title>
          <c:tx>
            <c:rich>
              <a:bodyPr/>
              <a:lstStyle/>
              <a:p>
                <a:pPr>
                  <a:defRPr sz="800" b="0" i="0" u="none" strike="noStrike" baseline="0">
                    <a:solidFill>
                      <a:srgbClr val="000000"/>
                    </a:solidFill>
                    <a:latin typeface="Arial"/>
                    <a:ea typeface="Arial"/>
                    <a:cs typeface="Arial"/>
                  </a:defRPr>
                </a:pPr>
                <a:r>
                  <a:rPr lang="en-US"/>
                  <a:t>Annual Rate of Change</a:t>
                </a:r>
              </a:p>
            </c:rich>
          </c:tx>
          <c:layout>
            <c:manualLayout>
              <c:xMode val="edge"/>
              <c:yMode val="edge"/>
              <c:x val="2.7210861757561901E-2"/>
              <c:y val="0.288235294117646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2852896"/>
        <c:crosses val="autoZero"/>
        <c:crossBetween val="midCat"/>
        <c:majorUnit val="0.01"/>
        <c:minorUnit val="0.01"/>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 verticalDpi="1200"/>
  </c:printSettings>
  <c:userShapes r:id="rId2"/>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000" b="1" i="0" u="none" strike="noStrike" baseline="0">
                <a:solidFill>
                  <a:srgbClr val="000000"/>
                </a:solidFill>
                <a:latin typeface="Arial"/>
                <a:ea typeface="Arial"/>
                <a:cs typeface="Arial"/>
              </a:defRPr>
            </a:pPr>
            <a:r>
              <a:rPr lang="en-US"/>
              <a:t>Fossil Fuel Fraction</a:t>
            </a:r>
          </a:p>
        </c:rich>
      </c:tx>
      <c:layout>
        <c:manualLayout>
          <c:xMode val="edge"/>
          <c:yMode val="edge"/>
          <c:x val="0.20188214376428801"/>
          <c:y val="7.7252843394575599E-3"/>
        </c:manualLayout>
      </c:layout>
      <c:overlay val="0"/>
      <c:spPr>
        <a:noFill/>
        <a:ln w="25400">
          <a:noFill/>
        </a:ln>
      </c:spPr>
    </c:title>
    <c:autoTitleDeleted val="0"/>
    <c:plotArea>
      <c:layout>
        <c:manualLayout>
          <c:layoutTarget val="inner"/>
          <c:xMode val="edge"/>
          <c:yMode val="edge"/>
          <c:x val="0.23102209804419599"/>
          <c:y val="0.16857305336832901"/>
          <c:w val="0.60189128778257595"/>
          <c:h val="0.67310892388451404"/>
        </c:manualLayout>
      </c:layout>
      <c:areaChart>
        <c:grouping val="stacked"/>
        <c:varyColors val="0"/>
        <c:ser>
          <c:idx val="0"/>
          <c:order val="0"/>
          <c:tx>
            <c:v>Reference case</c:v>
          </c:tx>
          <c:spPr>
            <a:noFill/>
            <a:ln w="12700">
              <a:noFill/>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[0]!PEffperPEdeqRef</c:f>
              <c:numCache>
                <c:formatCode>0.00</c:formatCode>
                <c:ptCount val="10"/>
                <c:pt idx="0">
                  <c:v>0.85060341362881065</c:v>
                </c:pt>
                <c:pt idx="1">
                  <c:v>0.84334185416428931</c:v>
                </c:pt>
                <c:pt idx="2">
                  <c:v>0.83494210452710382</c:v>
                </c:pt>
                <c:pt idx="3">
                  <c:v>0.81411340290131473</c:v>
                </c:pt>
                <c:pt idx="4">
                  <c:v>0.80889571916540337</c:v>
                </c:pt>
                <c:pt idx="5">
                  <c:v>0.82244693228204069</c:v>
                </c:pt>
                <c:pt idx="6">
                  <c:v>0.81311804509185615</c:v>
                </c:pt>
                <c:pt idx="7">
                  <c:v>0.79782071414392741</c:v>
                </c:pt>
                <c:pt idx="8">
                  <c:v>0.79045583960897325</c:v>
                </c:pt>
                <c:pt idx="9">
                  <c:v>0.78717489716685785</c:v>
                </c:pt>
              </c:numCache>
            </c:numRef>
          </c:val>
          <c:extLst>
            <c:ext xmlns:c16="http://schemas.microsoft.com/office/drawing/2014/chart" uri="{C3380CC4-5D6E-409C-BE32-E72D297353CC}">
              <c16:uniqueId val="{00000000-5331-774A-8339-8E17BFAB7CDF}"/>
            </c:ext>
          </c:extLst>
        </c:ser>
        <c:ser>
          <c:idx val="1"/>
          <c:order val="1"/>
          <c:tx>
            <c:v>Intervention case area</c:v>
          </c:tx>
          <c:spPr>
            <a:solidFill>
              <a:srgbClr val="A1F4FF"/>
            </a:solidFill>
            <a:ln>
              <a:solidFill>
                <a:sysClr val="windowText" lastClr="000000"/>
              </a:solidFill>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[0]!AreaPEff_PEdeq</c:f>
              <c:numCache>
                <c:formatCode>General</c:formatCode>
                <c:ptCount val="10"/>
                <c:pt idx="0">
                  <c:v>3.1979871566950591E-3</c:v>
                </c:pt>
                <c:pt idx="1">
                  <c:v>-4.361958020432366E-2</c:v>
                </c:pt>
                <c:pt idx="2">
                  <c:v>-9.9369734081787175E-2</c:v>
                </c:pt>
                <c:pt idx="3">
                  <c:v>-0.23822743642269384</c:v>
                </c:pt>
                <c:pt idx="4">
                  <c:v>-0.36468103521047573</c:v>
                </c:pt>
                <c:pt idx="5">
                  <c:v>-0.4081144752006704</c:v>
                </c:pt>
                <c:pt idx="6">
                  <c:v>-0.40234856035960159</c:v>
                </c:pt>
                <c:pt idx="7">
                  <c:v>-0.43131170357172749</c:v>
                </c:pt>
                <c:pt idx="8">
                  <c:v>-0.46524027429255393</c:v>
                </c:pt>
                <c:pt idx="9">
                  <c:v>-0.47313182119195707</c:v>
                </c:pt>
              </c:numCache>
            </c:numRef>
          </c:val>
          <c:extLst>
            <c:ext xmlns:c16="http://schemas.microsoft.com/office/drawing/2014/chart" uri="{C3380CC4-5D6E-409C-BE32-E72D297353CC}">
              <c16:uniqueId val="{00000002-5331-774A-8339-8E17BFAB7CDF}"/>
            </c:ext>
          </c:extLst>
        </c:ser>
        <c:dLbls>
          <c:showLegendKey val="0"/>
          <c:showVal val="0"/>
          <c:showCatName val="0"/>
          <c:showSerName val="0"/>
          <c:showPercent val="0"/>
          <c:showBubbleSize val="0"/>
        </c:dLbls>
        <c:axId val="-1765598496"/>
        <c:axId val="-1765596176"/>
      </c:areaChart>
      <c:lineChart>
        <c:grouping val="standard"/>
        <c:varyColors val="0"/>
        <c:ser>
          <c:idx val="2"/>
          <c:order val="2"/>
          <c:tx>
            <c:v>Line for Intervention Case</c:v>
          </c:tx>
          <c:spPr>
            <a:ln w="25400">
              <a:solidFill>
                <a:srgbClr val="FF0000"/>
              </a:solidFill>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[0]!PEffperPEdeqInt</c:f>
              <c:numCache>
                <c:formatCode>0.00</c:formatCode>
                <c:ptCount val="10"/>
                <c:pt idx="0">
                  <c:v>0.8538014007855057</c:v>
                </c:pt>
                <c:pt idx="1">
                  <c:v>0.79972227395996565</c:v>
                </c:pt>
                <c:pt idx="2">
                  <c:v>0.73557237044531665</c:v>
                </c:pt>
                <c:pt idx="3">
                  <c:v>0.57588596647862089</c:v>
                </c:pt>
                <c:pt idx="4">
                  <c:v>0.44421468395492764</c:v>
                </c:pt>
                <c:pt idx="5">
                  <c:v>0.41433245708137029</c:v>
                </c:pt>
                <c:pt idx="6">
                  <c:v>0.41076948473225455</c:v>
                </c:pt>
                <c:pt idx="7">
                  <c:v>0.36650901057219992</c:v>
                </c:pt>
                <c:pt idx="8">
                  <c:v>0.32521556531641932</c:v>
                </c:pt>
                <c:pt idx="9">
                  <c:v>0.31404307597490078</c:v>
                </c:pt>
              </c:numCache>
            </c:numRef>
          </c:val>
          <c:smooth val="0"/>
          <c:extLst>
            <c:ext xmlns:c16="http://schemas.microsoft.com/office/drawing/2014/chart" uri="{C3380CC4-5D6E-409C-BE32-E72D297353CC}">
              <c16:uniqueId val="{00000001-5331-774A-8339-8E17BFAB7CDF}"/>
            </c:ext>
          </c:extLst>
        </c:ser>
        <c:ser>
          <c:idx val="3"/>
          <c:order val="3"/>
          <c:tx>
            <c:v>proj1</c:v>
          </c:tx>
          <c:spPr>
            <a:ln>
              <a:solidFill>
                <a:srgbClr val="3C8105"/>
              </a:solid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[0]!PEffperPEdeqproj1</c:f>
              <c:numCache>
                <c:formatCode>General</c:formatCode>
                <c:ptCount val="10"/>
                <c:pt idx="0">
                  <c:v>0.85060341362881065</c:v>
                </c:pt>
                <c:pt idx="1">
                  <c:v>0.84706826558057302</c:v>
                </c:pt>
                <c:pt idx="2">
                  <c:v>0.84354780977495125</c:v>
                </c:pt>
                <c:pt idx="3">
                  <c:v>0.84004198515028972</c:v>
                </c:pt>
                <c:pt idx="4">
                  <c:v>0.83655073089870768</c:v>
                </c:pt>
                <c:pt idx="5">
                  <c:v>0.83307398646504505</c:v>
                </c:pt>
                <c:pt idx="6">
                  <c:v>0.82961169154581182</c:v>
                </c:pt>
                <c:pt idx="7">
                  <c:v>0.826163786088142</c:v>
                </c:pt>
                <c:pt idx="8">
                  <c:v>0.82273021028875226</c:v>
                </c:pt>
                <c:pt idx="9">
                  <c:v>0.81931090459290457</c:v>
                </c:pt>
              </c:numCache>
            </c:numRef>
          </c:val>
          <c:smooth val="0"/>
          <c:extLst>
            <c:ext xmlns:c16="http://schemas.microsoft.com/office/drawing/2014/chart" uri="{C3380CC4-5D6E-409C-BE32-E72D297353CC}">
              <c16:uniqueId val="{00000003-5331-774A-8339-8E17BFAB7CDF}"/>
            </c:ext>
          </c:extLst>
        </c:ser>
        <c:ser>
          <c:idx val="4"/>
          <c:order val="4"/>
          <c:tx>
            <c:v>proj2</c:v>
          </c:tx>
          <c:spPr>
            <a:ln>
              <a:solidFill>
                <a:srgbClr val="3465FC"/>
              </a:solid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[0]!PEffperPEdeqproj2</c:f>
              <c:numCache>
                <c:formatCode>General</c:formatCode>
                <c:ptCount val="10"/>
                <c:pt idx="0">
                  <c:v>0.85060341362881065</c:v>
                </c:pt>
                <c:pt idx="1">
                  <c:v>0.85068418545405555</c:v>
                </c:pt>
                <c:pt idx="2">
                  <c:v>0.85076496494925291</c:v>
                </c:pt>
                <c:pt idx="3">
                  <c:v>0.85084575211513103</c:v>
                </c:pt>
                <c:pt idx="4">
                  <c:v>0.85092654695241832</c:v>
                </c:pt>
                <c:pt idx="5">
                  <c:v>0.85100734946184331</c:v>
                </c:pt>
                <c:pt idx="6">
                  <c:v>0.85108815964413442</c:v>
                </c:pt>
                <c:pt idx="7">
                  <c:v>0.85116897750002041</c:v>
                </c:pt>
                <c:pt idx="8">
                  <c:v>0.85124980303022979</c:v>
                </c:pt>
                <c:pt idx="9">
                  <c:v>0.85133063623549143</c:v>
                </c:pt>
              </c:numCache>
            </c:numRef>
          </c:val>
          <c:smooth val="0"/>
          <c:extLst>
            <c:ext xmlns:c16="http://schemas.microsoft.com/office/drawing/2014/chart" uri="{C3380CC4-5D6E-409C-BE32-E72D297353CC}">
              <c16:uniqueId val="{00000004-5331-774A-8339-8E17BFAB7CDF}"/>
            </c:ext>
          </c:extLst>
        </c:ser>
        <c:dLbls>
          <c:showLegendKey val="0"/>
          <c:showVal val="0"/>
          <c:showCatName val="0"/>
          <c:showSerName val="0"/>
          <c:showPercent val="0"/>
          <c:showBubbleSize val="0"/>
        </c:dLbls>
        <c:marker val="1"/>
        <c:smooth val="0"/>
        <c:axId val="-1765598496"/>
        <c:axId val="-1765596176"/>
      </c:lineChart>
      <c:catAx>
        <c:axId val="-1765598496"/>
        <c:scaling>
          <c:orientation val="minMax"/>
        </c:scaling>
        <c:delete val="0"/>
        <c:axPos val="b"/>
        <c:numFmt formatCode="General" sourceLinked="1"/>
        <c:majorTickMark val="none"/>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5596176"/>
        <c:crosses val="autoZero"/>
        <c:auto val="1"/>
        <c:lblAlgn val="ctr"/>
        <c:lblOffset val="100"/>
        <c:tickLblSkip val="9"/>
        <c:tickMarkSkip val="1"/>
        <c:noMultiLvlLbl val="0"/>
      </c:catAx>
      <c:valAx>
        <c:axId val="-1765596176"/>
        <c:scaling>
          <c:orientation val="minMax"/>
          <c:max val="3"/>
          <c:min val="0"/>
        </c:scaling>
        <c:delete val="0"/>
        <c:axPos val="l"/>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800" b="0" i="0" u="none" strike="noStrike" kern="1200" baseline="0">
                    <a:solidFill>
                      <a:srgbClr val="000000"/>
                    </a:solidFill>
                    <a:latin typeface="Arial"/>
                    <a:ea typeface="Arial"/>
                    <a:cs typeface="Arial"/>
                  </a:defRPr>
                </a:pPr>
                <a:r>
                  <a:rPr lang="en-US" sz="800" b="0" i="0" kern="1200" baseline="0">
                    <a:solidFill>
                      <a:srgbClr val="000000"/>
                    </a:solidFill>
                    <a:effectLst/>
                    <a:latin typeface="Arial" panose="020B0604020202020204" pitchFamily="34" charset="0"/>
                    <a:ea typeface="Arial" panose="020B0604020202020204" pitchFamily="34" charset="0"/>
                    <a:cs typeface="Arial" panose="020B0604020202020204" pitchFamily="34" charset="0"/>
                  </a:rPr>
                  <a:t>PE Fossil/PE</a:t>
                </a:r>
                <a:r>
                  <a:rPr lang="en-US" sz="800" b="0" i="0" kern="1200" baseline="0">
                    <a:solidFill>
                      <a:srgbClr val="FFFFFF"/>
                    </a:solidFill>
                    <a:effectLst/>
                    <a:latin typeface="Arial" panose="020B0604020202020204" pitchFamily="34" charset="0"/>
                    <a:ea typeface="Arial" panose="020B0604020202020204" pitchFamily="34" charset="0"/>
                    <a:cs typeface="Arial" panose="020B0604020202020204" pitchFamily="34" charset="0"/>
                  </a:rPr>
                  <a:t>.</a:t>
                </a:r>
                <a:endParaRPr lang="en-US">
                  <a:effectLst/>
                </a:endParaRPr>
              </a:p>
              <a:p>
                <a:pPr marL="0" marR="0" lvl="0" indent="0" algn="ctr" defTabSz="914400" rtl="0" eaLnBrk="1" fontAlgn="auto" latinLnBrk="0" hangingPunct="1">
                  <a:lnSpc>
                    <a:spcPct val="100000"/>
                  </a:lnSpc>
                  <a:spcBef>
                    <a:spcPts val="0"/>
                  </a:spcBef>
                  <a:spcAft>
                    <a:spcPts val="0"/>
                  </a:spcAft>
                  <a:buClrTx/>
                  <a:buSzTx/>
                  <a:buFontTx/>
                  <a:buNone/>
                  <a:tabLst/>
                  <a:defRPr sz="800" b="0" i="0" u="none" strike="noStrike" kern="1200" baseline="0">
                    <a:solidFill>
                      <a:srgbClr val="000000"/>
                    </a:solidFill>
                    <a:latin typeface="Arial"/>
                    <a:ea typeface="Arial"/>
                    <a:cs typeface="Arial"/>
                  </a:defRPr>
                </a:pPr>
                <a:endParaRPr lang="en-US"/>
              </a:p>
            </c:rich>
          </c:tx>
          <c:layout>
            <c:manualLayout>
              <c:xMode val="edge"/>
              <c:yMode val="edge"/>
              <c:x val="3.472237294449175E-2"/>
              <c:y val="0.35009842519685042"/>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5598496"/>
        <c:crosses val="autoZero"/>
        <c:crossBetween val="midCat"/>
        <c:majorUnit val="1"/>
        <c:minorUnit val="0.05"/>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 verticalDpi="1200"/>
  </c:printSettings>
  <c:userShapes r:id="rId2"/>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000" b="1" i="0" u="none" strike="noStrike" baseline="0">
                <a:solidFill>
                  <a:srgbClr val="000000"/>
                </a:solidFill>
                <a:latin typeface="Arial"/>
                <a:ea typeface="Arial"/>
                <a:cs typeface="Arial"/>
              </a:defRPr>
            </a:pPr>
            <a:r>
              <a:rPr lang="en-US"/>
              <a:t>Fossil Fuel Fraction</a:t>
            </a:r>
          </a:p>
        </c:rich>
      </c:tx>
      <c:layout>
        <c:manualLayout>
          <c:xMode val="edge"/>
          <c:yMode val="edge"/>
          <c:x val="0.20826813472982075"/>
          <c:y val="4.6731846019247597E-2"/>
        </c:manualLayout>
      </c:layout>
      <c:overlay val="0"/>
      <c:spPr>
        <a:noFill/>
        <a:ln w="25400">
          <a:noFill/>
        </a:ln>
      </c:spPr>
    </c:title>
    <c:autoTitleDeleted val="0"/>
    <c:plotArea>
      <c:layout>
        <c:manualLayout>
          <c:layoutTarget val="inner"/>
          <c:xMode val="edge"/>
          <c:yMode val="edge"/>
          <c:x val="0.224671407353151"/>
          <c:y val="0.211764654418198"/>
          <c:w val="0.60800830128792005"/>
          <c:h val="0.69313735783027097"/>
        </c:manualLayout>
      </c:layout>
      <c:lineChart>
        <c:grouping val="standard"/>
        <c:varyColors val="0"/>
        <c:ser>
          <c:idx val="0"/>
          <c:order val="0"/>
          <c:tx>
            <c:v>Reference case</c:v>
          </c:tx>
          <c:spPr>
            <a:ln w="12700">
              <a:solidFill>
                <a:srgbClr val="000000"/>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[0]!PEffperPEdeqchngRef</c:f>
              <c:numCache>
                <c:formatCode>0.00</c:formatCode>
                <c:ptCount val="10"/>
                <c:pt idx="1">
                  <c:v>-8.5369507671528865E-4</c:v>
                </c:pt>
                <c:pt idx="2">
                  <c:v>-9.8750481159613529E-4</c:v>
                </c:pt>
                <c:pt idx="3">
                  <c:v>-2.4486971592237688E-3</c:v>
                </c:pt>
                <c:pt idx="4">
                  <c:v>-6.1340968685416912E-4</c:v>
                </c:pt>
                <c:pt idx="5">
                  <c:v>1.5931294066673994E-3</c:v>
                </c:pt>
                <c:pt idx="6">
                  <c:v>-1.0967375677915531E-3</c:v>
                </c:pt>
                <c:pt idx="7">
                  <c:v>-1.7984093060087621E-3</c:v>
                </c:pt>
                <c:pt idx="8">
                  <c:v>-8.6584116839296722E-4</c:v>
                </c:pt>
                <c:pt idx="9">
                  <c:v>-3.8571940689943648E-4</c:v>
                </c:pt>
              </c:numCache>
            </c:numRef>
          </c:val>
          <c:smooth val="0"/>
          <c:extLst>
            <c:ext xmlns:c16="http://schemas.microsoft.com/office/drawing/2014/chart" uri="{C3380CC4-5D6E-409C-BE32-E72D297353CC}">
              <c16:uniqueId val="{00000000-1B63-1544-9719-3453E13F75CE}"/>
            </c:ext>
          </c:extLst>
        </c:ser>
        <c:ser>
          <c:idx val="1"/>
          <c:order val="1"/>
          <c:tx>
            <c:v>Line for Intervention Case</c:v>
          </c:tx>
          <c:spPr>
            <a:ln w="28575">
              <a:solidFill>
                <a:srgbClr val="C00000"/>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[0]!PEffperPEdeqchngInt</c:f>
              <c:numCache>
                <c:formatCode>0.00</c:formatCode>
                <c:ptCount val="10"/>
                <c:pt idx="1">
                  <c:v>-6.33392341307788E-3</c:v>
                </c:pt>
                <c:pt idx="2">
                  <c:v>-7.5134455689145566E-3</c:v>
                </c:pt>
                <c:pt idx="3">
                  <c:v>-1.8702991564523399E-2</c:v>
                </c:pt>
                <c:pt idx="4">
                  <c:v>-1.5421769325109372E-2</c:v>
                </c:pt>
                <c:pt idx="5">
                  <c:v>-3.4999037066541943E-3</c:v>
                </c:pt>
                <c:pt idx="6">
                  <c:v>-4.1730692241050013E-4</c:v>
                </c:pt>
                <c:pt idx="7">
                  <c:v>-5.1839308437927794E-3</c:v>
                </c:pt>
                <c:pt idx="8">
                  <c:v>-4.8364227580079194E-3</c:v>
                </c:pt>
                <c:pt idx="9">
                  <c:v>-1.3085583288150785E-3</c:v>
                </c:pt>
              </c:numCache>
            </c:numRef>
          </c:val>
          <c:smooth val="0"/>
          <c:extLst>
            <c:ext xmlns:c16="http://schemas.microsoft.com/office/drawing/2014/chart" uri="{C3380CC4-5D6E-409C-BE32-E72D297353CC}">
              <c16:uniqueId val="{00000001-1B63-1544-9719-3453E13F75CE}"/>
            </c:ext>
          </c:extLst>
        </c:ser>
        <c:ser>
          <c:idx val="2"/>
          <c:order val="2"/>
          <c:tx>
            <c:v>rate1</c:v>
          </c:tx>
          <c:spPr>
            <a:ln w="19050" cmpd="sng">
              <a:no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[0]!PEffperPEdeqrate1</c:f>
              <c:numCache>
                <c:formatCode>0.00%</c:formatCode>
                <c:ptCount val="10"/>
                <c:pt idx="0">
                  <c:v>-4.1638405816923907E-4</c:v>
                </c:pt>
                <c:pt idx="1">
                  <c:v>-4.1638405816923907E-4</c:v>
                </c:pt>
                <c:pt idx="2">
                  <c:v>-4.1638405816923907E-4</c:v>
                </c:pt>
                <c:pt idx="3">
                  <c:v>-4.1638405816923907E-4</c:v>
                </c:pt>
                <c:pt idx="4">
                  <c:v>-4.1638405816923907E-4</c:v>
                </c:pt>
                <c:pt idx="5">
                  <c:v>-4.1638405816923907E-4</c:v>
                </c:pt>
                <c:pt idx="6">
                  <c:v>-4.1638405816923907E-4</c:v>
                </c:pt>
                <c:pt idx="7">
                  <c:v>-4.1638405816923907E-4</c:v>
                </c:pt>
                <c:pt idx="8">
                  <c:v>-4.1638405816923907E-4</c:v>
                </c:pt>
                <c:pt idx="9">
                  <c:v>-4.1638405816923907E-4</c:v>
                </c:pt>
              </c:numCache>
            </c:numRef>
          </c:val>
          <c:smooth val="0"/>
          <c:extLst>
            <c:ext xmlns:c16="http://schemas.microsoft.com/office/drawing/2014/chart" uri="{C3380CC4-5D6E-409C-BE32-E72D297353CC}">
              <c16:uniqueId val="{00000002-1B63-1544-9719-3453E13F75CE}"/>
            </c:ext>
          </c:extLst>
        </c:ser>
        <c:ser>
          <c:idx val="3"/>
          <c:order val="3"/>
          <c:tx>
            <c:v>rate2</c:v>
          </c:tx>
          <c:spPr>
            <a:ln w="19050" cmpd="sng">
              <a:no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[0]!PEffperPEdeqrate2</c:f>
              <c:numCache>
                <c:formatCode>0.00%</c:formatCode>
                <c:ptCount val="10"/>
                <c:pt idx="0">
                  <c:v>9.4954208600395162E-6</c:v>
                </c:pt>
                <c:pt idx="1">
                  <c:v>9.4954208600395162E-6</c:v>
                </c:pt>
                <c:pt idx="2">
                  <c:v>9.4954208600395162E-6</c:v>
                </c:pt>
                <c:pt idx="3">
                  <c:v>9.4954208600395162E-6</c:v>
                </c:pt>
                <c:pt idx="4">
                  <c:v>9.4954208600395162E-6</c:v>
                </c:pt>
                <c:pt idx="5">
                  <c:v>9.4954208600395162E-6</c:v>
                </c:pt>
                <c:pt idx="6">
                  <c:v>9.4954208600395162E-6</c:v>
                </c:pt>
                <c:pt idx="7">
                  <c:v>9.4954208600395162E-6</c:v>
                </c:pt>
                <c:pt idx="8">
                  <c:v>9.4954208600395162E-6</c:v>
                </c:pt>
                <c:pt idx="9">
                  <c:v>9.4954208600395162E-6</c:v>
                </c:pt>
              </c:numCache>
            </c:numRef>
          </c:val>
          <c:smooth val="0"/>
          <c:extLst>
            <c:ext xmlns:c16="http://schemas.microsoft.com/office/drawing/2014/chart" uri="{C3380CC4-5D6E-409C-BE32-E72D297353CC}">
              <c16:uniqueId val="{00000003-1B63-1544-9719-3453E13F75CE}"/>
            </c:ext>
          </c:extLst>
        </c:ser>
        <c:dLbls>
          <c:showLegendKey val="0"/>
          <c:showVal val="0"/>
          <c:showCatName val="0"/>
          <c:showSerName val="0"/>
          <c:showPercent val="0"/>
          <c:showBubbleSize val="0"/>
        </c:dLbls>
        <c:smooth val="0"/>
        <c:axId val="-1642852896"/>
        <c:axId val="-1642849632"/>
      </c:lineChart>
      <c:catAx>
        <c:axId val="-1642852896"/>
        <c:scaling>
          <c:orientation val="minMax"/>
        </c:scaling>
        <c:delete val="0"/>
        <c:axPos val="b"/>
        <c:numFmt formatCode="General" sourceLinked="1"/>
        <c:majorTickMark val="none"/>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2849632"/>
        <c:crosses val="autoZero"/>
        <c:auto val="1"/>
        <c:lblAlgn val="ctr"/>
        <c:lblOffset val="100"/>
        <c:tickLblSkip val="9"/>
        <c:tickMarkSkip val="1"/>
        <c:noMultiLvlLbl val="0"/>
      </c:catAx>
      <c:valAx>
        <c:axId val="-1642849632"/>
        <c:scaling>
          <c:orientation val="minMax"/>
          <c:max val="5.000000000000001E-2"/>
          <c:min val="-5.000000000000001E-2"/>
        </c:scaling>
        <c:delete val="0"/>
        <c:axPos val="l"/>
        <c:majorGridlines>
          <c:spPr>
            <a:ln w="3175">
              <a:solidFill>
                <a:schemeClr val="bg1">
                  <a:lumMod val="65000"/>
                </a:schemeClr>
              </a:solidFill>
              <a:prstDash val="sysDash"/>
            </a:ln>
          </c:spPr>
        </c:majorGridlines>
        <c:title>
          <c:tx>
            <c:rich>
              <a:bodyPr/>
              <a:lstStyle/>
              <a:p>
                <a:pPr>
                  <a:defRPr sz="800" b="0" i="0" u="none" strike="noStrike" baseline="0">
                    <a:solidFill>
                      <a:srgbClr val="000000"/>
                    </a:solidFill>
                    <a:latin typeface="Arial"/>
                    <a:ea typeface="Arial"/>
                    <a:cs typeface="Arial"/>
                  </a:defRPr>
                </a:pPr>
                <a:r>
                  <a:rPr lang="en-US"/>
                  <a:t>Annual Rate of Change</a:t>
                </a:r>
              </a:p>
            </c:rich>
          </c:tx>
          <c:layout>
            <c:manualLayout>
              <c:xMode val="edge"/>
              <c:yMode val="edge"/>
              <c:x val="2.7210861757561901E-2"/>
              <c:y val="0.288235294117646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2852896"/>
        <c:crosses val="autoZero"/>
        <c:crossBetween val="midCat"/>
        <c:majorUnit val="1.0000000000000002E-2"/>
        <c:minorUnit val="0.01"/>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 verticalDpi="1200"/>
  </c:printSettings>
  <c:userShapes r:id="rId2"/>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23079197358394701"/>
          <c:y val="0.18389020122484701"/>
          <c:w val="0.60464719329438599"/>
          <c:h val="0.67512817147856496"/>
        </c:manualLayout>
      </c:layout>
      <c:areaChart>
        <c:grouping val="stacked"/>
        <c:varyColors val="0"/>
        <c:ser>
          <c:idx val="0"/>
          <c:order val="0"/>
          <c:tx>
            <c:v>Reference case</c:v>
          </c:tx>
          <c:spPr>
            <a:noFill/>
            <a:ln w="12700">
              <a:noFill/>
              <a:prstDash val="solid"/>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[0]!FEperGWPindexRef</c:f>
              <c:numCache>
                <c:formatCode>0.00</c:formatCode>
                <c:ptCount val="10"/>
                <c:pt idx="0">
                  <c:v>1</c:v>
                </c:pt>
                <c:pt idx="1">
                  <c:v>0.77433241407623488</c:v>
                </c:pt>
                <c:pt idx="2">
                  <c:v>0.6157007668575748</c:v>
                </c:pt>
                <c:pt idx="3">
                  <c:v>0.5347008509561092</c:v>
                </c:pt>
                <c:pt idx="4">
                  <c:v>0.47799516492258587</c:v>
                </c:pt>
                <c:pt idx="5">
                  <c:v>0.43632353839524862</c:v>
                </c:pt>
                <c:pt idx="6">
                  <c:v>0.39458776541746537</c:v>
                </c:pt>
                <c:pt idx="7">
                  <c:v>0.35618776685041897</c:v>
                </c:pt>
                <c:pt idx="8">
                  <c:v>0.31965925278963747</c:v>
                </c:pt>
                <c:pt idx="9">
                  <c:v>0.28740731324763108</c:v>
                </c:pt>
              </c:numCache>
            </c:numRef>
          </c:val>
          <c:extLst>
            <c:ext xmlns:c16="http://schemas.microsoft.com/office/drawing/2014/chart" uri="{C3380CC4-5D6E-409C-BE32-E72D297353CC}">
              <c16:uniqueId val="{00000000-305B-BD49-ABDB-32B3BEEE03E1}"/>
            </c:ext>
          </c:extLst>
        </c:ser>
        <c:ser>
          <c:idx val="1"/>
          <c:order val="1"/>
          <c:tx>
            <c:v>Area for Intervention Case</c:v>
          </c:tx>
          <c:spPr>
            <a:solidFill>
              <a:srgbClr val="A1F4FF"/>
            </a:solidFill>
            <a:ln w="12700">
              <a:solidFill>
                <a:sysClr val="windowText" lastClr="000000"/>
              </a:solidFill>
              <a:prstDash val="solid"/>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[0]!AreaIndexFE_GWP</c:f>
              <c:numCache>
                <c:formatCode>General</c:formatCode>
                <c:ptCount val="10"/>
                <c:pt idx="0">
                  <c:v>0</c:v>
                </c:pt>
                <c:pt idx="1">
                  <c:v>-0.10154366891882038</c:v>
                </c:pt>
                <c:pt idx="2">
                  <c:v>-0.22410331846933279</c:v>
                </c:pt>
                <c:pt idx="3">
                  <c:v>-0.25932108625496614</c:v>
                </c:pt>
                <c:pt idx="4">
                  <c:v>-0.24512754879397408</c:v>
                </c:pt>
                <c:pt idx="5">
                  <c:v>-0.22556257240067656</c:v>
                </c:pt>
                <c:pt idx="6">
                  <c:v>-0.20238604438370333</c:v>
                </c:pt>
                <c:pt idx="7">
                  <c:v>-0.17881424175687508</c:v>
                </c:pt>
                <c:pt idx="8">
                  <c:v>-0.15657742880246703</c:v>
                </c:pt>
                <c:pt idx="9">
                  <c:v>-0.13636630489840743</c:v>
                </c:pt>
              </c:numCache>
            </c:numRef>
          </c:val>
          <c:extLst>
            <c:ext xmlns:c16="http://schemas.microsoft.com/office/drawing/2014/chart" uri="{C3380CC4-5D6E-409C-BE32-E72D297353CC}">
              <c16:uniqueId val="{00000001-305B-BD49-ABDB-32B3BEEE03E1}"/>
            </c:ext>
          </c:extLst>
        </c:ser>
        <c:dLbls>
          <c:showLegendKey val="0"/>
          <c:showVal val="0"/>
          <c:showCatName val="0"/>
          <c:showSerName val="0"/>
          <c:showPercent val="0"/>
          <c:showBubbleSize val="0"/>
        </c:dLbls>
        <c:axId val="-1643058464"/>
        <c:axId val="-1643055712"/>
      </c:areaChart>
      <c:lineChart>
        <c:grouping val="standard"/>
        <c:varyColors val="0"/>
        <c:ser>
          <c:idx val="2"/>
          <c:order val="2"/>
          <c:tx>
            <c:v>Line for Intervention Case</c:v>
          </c:tx>
          <c:spPr>
            <a:ln w="28575">
              <a:solidFill>
                <a:srgbClr val="C00000"/>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[0]!FEperGWPindexInt</c:f>
              <c:numCache>
                <c:formatCode>0.00</c:formatCode>
                <c:ptCount val="10"/>
                <c:pt idx="0">
                  <c:v>1</c:v>
                </c:pt>
                <c:pt idx="1">
                  <c:v>0.67278874515741449</c:v>
                </c:pt>
                <c:pt idx="2">
                  <c:v>0.39159744838824201</c:v>
                </c:pt>
                <c:pt idx="3">
                  <c:v>0.27537976470114306</c:v>
                </c:pt>
                <c:pt idx="4">
                  <c:v>0.23286761612861179</c:v>
                </c:pt>
                <c:pt idx="5">
                  <c:v>0.21076096599457206</c:v>
                </c:pt>
                <c:pt idx="6">
                  <c:v>0.19220172103376204</c:v>
                </c:pt>
                <c:pt idx="7">
                  <c:v>0.1773735250935439</c:v>
                </c:pt>
                <c:pt idx="8">
                  <c:v>0.16308182398717044</c:v>
                </c:pt>
                <c:pt idx="9">
                  <c:v>0.15104100834922365</c:v>
                </c:pt>
              </c:numCache>
            </c:numRef>
          </c:val>
          <c:smooth val="0"/>
          <c:extLst>
            <c:ext xmlns:c16="http://schemas.microsoft.com/office/drawing/2014/chart" uri="{C3380CC4-5D6E-409C-BE32-E72D297353CC}">
              <c16:uniqueId val="{00000002-305B-BD49-ABDB-32B3BEEE03E1}"/>
            </c:ext>
          </c:extLst>
        </c:ser>
        <c:ser>
          <c:idx val="3"/>
          <c:order val="3"/>
          <c:tx>
            <c:v>projindex1</c:v>
          </c:tx>
          <c:spPr>
            <a:ln w="19050" cmpd="sng">
              <a:solidFill>
                <a:srgbClr val="008000"/>
              </a:solid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[0]!FEperGWPprojindex1</c:f>
              <c:numCache>
                <c:formatCode>General</c:formatCode>
                <c:ptCount val="10"/>
                <c:pt idx="0">
                  <c:v>1</c:v>
                </c:pt>
                <c:pt idx="1">
                  <c:v>0.92178013236169765</c:v>
                </c:pt>
                <c:pt idx="2">
                  <c:v>0.8496786124167488</c:v>
                </c:pt>
                <c:pt idx="3">
                  <c:v>0.78321686381841427</c:v>
                </c:pt>
                <c:pt idx="4">
                  <c:v>0.72195374439845161</c:v>
                </c:pt>
                <c:pt idx="5">
                  <c:v>0.66548261807062792</c:v>
                </c:pt>
                <c:pt idx="6">
                  <c:v>0.61342865576955252</c:v>
                </c:pt>
                <c:pt idx="7">
                  <c:v>0.56544634750971634</c:v>
                </c:pt>
                <c:pt idx="8">
                  <c:v>0.52121720905094482</c:v>
                </c:pt>
                <c:pt idx="9">
                  <c:v>0.48044766794817456</c:v>
                </c:pt>
              </c:numCache>
            </c:numRef>
          </c:val>
          <c:smooth val="0"/>
          <c:extLst>
            <c:ext xmlns:c16="http://schemas.microsoft.com/office/drawing/2014/chart" uri="{C3380CC4-5D6E-409C-BE32-E72D297353CC}">
              <c16:uniqueId val="{00000003-305B-BD49-ABDB-32B3BEEE03E1}"/>
            </c:ext>
          </c:extLst>
        </c:ser>
        <c:ser>
          <c:idx val="4"/>
          <c:order val="4"/>
          <c:tx>
            <c:v>projindex2</c:v>
          </c:tx>
          <c:spPr>
            <a:ln w="19050" cmpd="sng">
              <a:solidFill>
                <a:srgbClr val="3366FF"/>
              </a:solid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[0]!FEperGWPprojindex2</c:f>
              <c:numCache>
                <c:formatCode>General</c:formatCode>
                <c:ptCount val="10"/>
                <c:pt idx="0">
                  <c:v>1</c:v>
                </c:pt>
                <c:pt idx="1">
                  <c:v>0.83172149685899222</c:v>
                </c:pt>
                <c:pt idx="2">
                  <c:v>0.69176064833736262</c:v>
                </c:pt>
                <c:pt idx="3">
                  <c:v>0.57535220190329817</c:v>
                </c:pt>
                <c:pt idx="4">
                  <c:v>0.47853279458812825</c:v>
                </c:pt>
                <c:pt idx="5">
                  <c:v>0.39800601221095466</c:v>
                </c:pt>
                <c:pt idx="6">
                  <c:v>0.33103015623497356</c:v>
                </c:pt>
                <c:pt idx="7">
                  <c:v>0.27532489704921825</c:v>
                </c:pt>
                <c:pt idx="8">
                  <c:v>0.22899363549632373</c:v>
                </c:pt>
                <c:pt idx="9">
                  <c:v>0.19045892928618482</c:v>
                </c:pt>
              </c:numCache>
            </c:numRef>
          </c:val>
          <c:smooth val="0"/>
          <c:extLst>
            <c:ext xmlns:c16="http://schemas.microsoft.com/office/drawing/2014/chart" uri="{C3380CC4-5D6E-409C-BE32-E72D297353CC}">
              <c16:uniqueId val="{00000004-305B-BD49-ABDB-32B3BEEE03E1}"/>
            </c:ext>
          </c:extLst>
        </c:ser>
        <c:dLbls>
          <c:showLegendKey val="0"/>
          <c:showVal val="0"/>
          <c:showCatName val="0"/>
          <c:showSerName val="0"/>
          <c:showPercent val="0"/>
          <c:showBubbleSize val="0"/>
        </c:dLbls>
        <c:marker val="1"/>
        <c:smooth val="0"/>
        <c:axId val="-1643058464"/>
        <c:axId val="-1643055712"/>
      </c:lineChart>
      <c:catAx>
        <c:axId val="-1643058464"/>
        <c:scaling>
          <c:orientation val="minMax"/>
        </c:scaling>
        <c:delete val="0"/>
        <c:axPos val="b"/>
        <c:numFmt formatCode="General" sourceLinked="1"/>
        <c:majorTickMark val="none"/>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3055712"/>
        <c:crosses val="autoZero"/>
        <c:auto val="1"/>
        <c:lblAlgn val="ctr"/>
        <c:lblOffset val="100"/>
        <c:tickLblSkip val="9"/>
        <c:tickMarkSkip val="1"/>
        <c:noMultiLvlLbl val="0"/>
      </c:catAx>
      <c:valAx>
        <c:axId val="-1643055712"/>
        <c:scaling>
          <c:orientation val="minMax"/>
          <c:max val="2"/>
          <c:min val="0"/>
        </c:scaling>
        <c:delete val="0"/>
        <c:axPos val="l"/>
        <c:title>
          <c:tx>
            <c:rich>
              <a:bodyPr/>
              <a:lstStyle/>
              <a:p>
                <a:pPr marL="0" marR="0" indent="0" algn="ctr" defTabSz="914400" rtl="0" eaLnBrk="1" fontAlgn="auto" latinLnBrk="0" hangingPunct="1">
                  <a:lnSpc>
                    <a:spcPct val="100000"/>
                  </a:lnSpc>
                  <a:spcBef>
                    <a:spcPts val="0"/>
                  </a:spcBef>
                  <a:spcAft>
                    <a:spcPts val="0"/>
                  </a:spcAft>
                  <a:buClrTx/>
                  <a:buSzTx/>
                  <a:buFontTx/>
                  <a:buNone/>
                  <a:tabLst/>
                  <a:defRPr sz="800" b="0" i="0" u="none" strike="noStrike" kern="1200" baseline="0">
                    <a:solidFill>
                      <a:srgbClr val="000000"/>
                    </a:solidFill>
                    <a:latin typeface="Arial"/>
                    <a:ea typeface="Arial"/>
                    <a:cs typeface="Arial"/>
                  </a:defRPr>
                </a:pPr>
                <a:r>
                  <a:rPr lang="en-US"/>
                  <a:t>Energy use/productivity (2010=1)</a:t>
                </a:r>
              </a:p>
            </c:rich>
          </c:tx>
          <c:layout>
            <c:manualLayout>
              <c:xMode val="edge"/>
              <c:yMode val="edge"/>
              <c:x val="2.1528922256810919E-2"/>
              <c:y val="0.18436078153466068"/>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3058464"/>
        <c:crosses val="autoZero"/>
        <c:crossBetween val="midCat"/>
        <c:majorUnit val="0.5"/>
        <c:minorUnit val="0.5"/>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 verticalDpi="1200"/>
  </c:printSettings>
  <c:userShapes r:id="rId2"/>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23079197358394701"/>
          <c:y val="0.18389020122484701"/>
          <c:w val="0.60464719329438599"/>
          <c:h val="0.67512817147856496"/>
        </c:manualLayout>
      </c:layout>
      <c:areaChart>
        <c:grouping val="stacked"/>
        <c:varyColors val="0"/>
        <c:ser>
          <c:idx val="0"/>
          <c:order val="0"/>
          <c:tx>
            <c:v>Reference case</c:v>
          </c:tx>
          <c:spPr>
            <a:noFill/>
            <a:ln w="12700">
              <a:noFill/>
              <a:prstDash val="solid"/>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[0]!GWPperPindexRef</c:f>
              <c:numCache>
                <c:formatCode>0.00</c:formatCode>
                <c:ptCount val="10"/>
                <c:pt idx="0">
                  <c:v>1</c:v>
                </c:pt>
                <c:pt idx="1">
                  <c:v>1.3390376802911983</c:v>
                </c:pt>
                <c:pt idx="2">
                  <c:v>1.7581388773576854</c:v>
                </c:pt>
                <c:pt idx="3">
                  <c:v>2.1516831345751939</c:v>
                </c:pt>
                <c:pt idx="4">
                  <c:v>2.5620661876783735</c:v>
                </c:pt>
                <c:pt idx="5">
                  <c:v>3.0272706126771749</c:v>
                </c:pt>
                <c:pt idx="6">
                  <c:v>3.5950261987423633</c:v>
                </c:pt>
                <c:pt idx="7">
                  <c:v>4.2625851386329945</c:v>
                </c:pt>
                <c:pt idx="8">
                  <c:v>5.0522979955974865</c:v>
                </c:pt>
                <c:pt idx="9">
                  <c:v>5.977988273989908</c:v>
                </c:pt>
              </c:numCache>
            </c:numRef>
          </c:val>
          <c:extLst>
            <c:ext xmlns:c16="http://schemas.microsoft.com/office/drawing/2014/chart" uri="{C3380CC4-5D6E-409C-BE32-E72D297353CC}">
              <c16:uniqueId val="{00000000-305B-BD49-ABDB-32B3BEEE03E1}"/>
            </c:ext>
          </c:extLst>
        </c:ser>
        <c:ser>
          <c:idx val="1"/>
          <c:order val="1"/>
          <c:tx>
            <c:v>Area for Intervention Case</c:v>
          </c:tx>
          <c:spPr>
            <a:solidFill>
              <a:srgbClr val="A1F4FF"/>
            </a:solidFill>
            <a:ln w="12700">
              <a:solidFill>
                <a:sysClr val="windowText" lastClr="000000"/>
              </a:solidFill>
              <a:prstDash val="solid"/>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[0]!AreaIndexGWP_P</c:f>
              <c:numCache>
                <c:formatCode>General</c:formatCode>
                <c:ptCount val="10"/>
                <c:pt idx="0">
                  <c:v>0</c:v>
                </c:pt>
                <c:pt idx="1">
                  <c:v>9.8573182645191881E-3</c:v>
                </c:pt>
                <c:pt idx="2">
                  <c:v>2.977123207879373E-2</c:v>
                </c:pt>
                <c:pt idx="3">
                  <c:v>5.7623272993340358E-2</c:v>
                </c:pt>
                <c:pt idx="4">
                  <c:v>9.2729987609524223E-2</c:v>
                </c:pt>
                <c:pt idx="5">
                  <c:v>0.12843006791522793</c:v>
                </c:pt>
                <c:pt idx="6">
                  <c:v>0.1624350295586483</c:v>
                </c:pt>
                <c:pt idx="7">
                  <c:v>0.19218293044901724</c:v>
                </c:pt>
                <c:pt idx="8">
                  <c:v>0.21187259346555187</c:v>
                </c:pt>
                <c:pt idx="9">
                  <c:v>0.2179721928256706</c:v>
                </c:pt>
              </c:numCache>
            </c:numRef>
          </c:val>
          <c:extLst>
            <c:ext xmlns:c16="http://schemas.microsoft.com/office/drawing/2014/chart" uri="{C3380CC4-5D6E-409C-BE32-E72D297353CC}">
              <c16:uniqueId val="{00000001-305B-BD49-ABDB-32B3BEEE03E1}"/>
            </c:ext>
          </c:extLst>
        </c:ser>
        <c:dLbls>
          <c:showLegendKey val="0"/>
          <c:showVal val="0"/>
          <c:showCatName val="0"/>
          <c:showSerName val="0"/>
          <c:showPercent val="0"/>
          <c:showBubbleSize val="0"/>
        </c:dLbls>
        <c:axId val="-1643058464"/>
        <c:axId val="-1643055712"/>
      </c:areaChart>
      <c:lineChart>
        <c:grouping val="standard"/>
        <c:varyColors val="0"/>
        <c:ser>
          <c:idx val="2"/>
          <c:order val="2"/>
          <c:tx>
            <c:v>Line for Intervention Case</c:v>
          </c:tx>
          <c:spPr>
            <a:ln w="28575">
              <a:solidFill>
                <a:srgbClr val="C00000"/>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[0]!GWPperPindexInt</c:f>
              <c:numCache>
                <c:formatCode>0.00</c:formatCode>
                <c:ptCount val="10"/>
                <c:pt idx="0">
                  <c:v>1</c:v>
                </c:pt>
                <c:pt idx="1">
                  <c:v>1.3488949985557175</c:v>
                </c:pt>
                <c:pt idx="2">
                  <c:v>1.7879101094364791</c:v>
                </c:pt>
                <c:pt idx="3">
                  <c:v>2.2093064075685342</c:v>
                </c:pt>
                <c:pt idx="4">
                  <c:v>2.6547961752878977</c:v>
                </c:pt>
                <c:pt idx="5">
                  <c:v>3.1557006805924028</c:v>
                </c:pt>
                <c:pt idx="6">
                  <c:v>3.7574612283010116</c:v>
                </c:pt>
                <c:pt idx="7">
                  <c:v>4.4547680690820117</c:v>
                </c:pt>
                <c:pt idx="8">
                  <c:v>5.2641705890630384</c:v>
                </c:pt>
                <c:pt idx="9">
                  <c:v>6.1959604668155785</c:v>
                </c:pt>
              </c:numCache>
            </c:numRef>
          </c:val>
          <c:smooth val="0"/>
          <c:extLst>
            <c:ext xmlns:c16="http://schemas.microsoft.com/office/drawing/2014/chart" uri="{C3380CC4-5D6E-409C-BE32-E72D297353CC}">
              <c16:uniqueId val="{00000002-305B-BD49-ABDB-32B3BEEE03E1}"/>
            </c:ext>
          </c:extLst>
        </c:ser>
        <c:ser>
          <c:idx val="3"/>
          <c:order val="3"/>
          <c:tx>
            <c:v>projindex1</c:v>
          </c:tx>
          <c:spPr>
            <a:ln w="19050" cmpd="sng">
              <a:solidFill>
                <a:srgbClr val="008000"/>
              </a:solid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[0]!GWPperPprojindex1</c:f>
              <c:numCache>
                <c:formatCode>General</c:formatCode>
                <c:ptCount val="10"/>
                <c:pt idx="0">
                  <c:v>1</c:v>
                </c:pt>
                <c:pt idx="1">
                  <c:v>1.1844059819781287</c:v>
                </c:pt>
                <c:pt idx="2">
                  <c:v>1.4028175301455754</c:v>
                </c:pt>
                <c:pt idx="3">
                  <c:v>1.6615054743282034</c:v>
                </c:pt>
                <c:pt idx="4">
                  <c:v>1.9678970228837322</c:v>
                </c:pt>
                <c:pt idx="5">
                  <c:v>2.330789005820443</c:v>
                </c:pt>
                <c:pt idx="6">
                  <c:v>2.7606004412225884</c:v>
                </c:pt>
                <c:pt idx="7">
                  <c:v>3.2696716764354954</c:v>
                </c:pt>
                <c:pt idx="8">
                  <c:v>3.8726186926746573</c:v>
                </c:pt>
                <c:pt idx="9">
                  <c:v>4.5867527455241843</c:v>
                </c:pt>
              </c:numCache>
            </c:numRef>
          </c:val>
          <c:smooth val="0"/>
          <c:extLst>
            <c:ext xmlns:c16="http://schemas.microsoft.com/office/drawing/2014/chart" uri="{C3380CC4-5D6E-409C-BE32-E72D297353CC}">
              <c16:uniqueId val="{00000003-305B-BD49-ABDB-32B3BEEE03E1}"/>
            </c:ext>
          </c:extLst>
        </c:ser>
        <c:ser>
          <c:idx val="4"/>
          <c:order val="4"/>
          <c:tx>
            <c:v>projindex2</c:v>
          </c:tx>
          <c:spPr>
            <a:ln w="19050" cmpd="sng">
              <a:solidFill>
                <a:srgbClr val="3366FF"/>
              </a:solid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[0]!GWPperPprojindex2</c:f>
              <c:numCache>
                <c:formatCode>General</c:formatCode>
                <c:ptCount val="10"/>
                <c:pt idx="0">
                  <c:v>1</c:v>
                </c:pt>
                <c:pt idx="1">
                  <c:v>1.2871593952355338</c:v>
                </c:pt>
                <c:pt idx="2">
                  <c:v>1.6567793087431051</c:v>
                </c:pt>
                <c:pt idx="3">
                  <c:v>2.1325390530805208</c:v>
                </c:pt>
                <c:pt idx="4">
                  <c:v>2.7449176778792812</c:v>
                </c:pt>
                <c:pt idx="5">
                  <c:v>3.5331465782304212</c:v>
                </c:pt>
                <c:pt idx="6">
                  <c:v>4.5477228129135643</c:v>
                </c:pt>
                <c:pt idx="7">
                  <c:v>5.8536441455686639</c:v>
                </c:pt>
                <c:pt idx="8">
                  <c:v>7.5345730583341846</c:v>
                </c:pt>
                <c:pt idx="9">
                  <c:v>9.6981965011233751</c:v>
                </c:pt>
              </c:numCache>
            </c:numRef>
          </c:val>
          <c:smooth val="0"/>
          <c:extLst>
            <c:ext xmlns:c16="http://schemas.microsoft.com/office/drawing/2014/chart" uri="{C3380CC4-5D6E-409C-BE32-E72D297353CC}">
              <c16:uniqueId val="{00000004-305B-BD49-ABDB-32B3BEEE03E1}"/>
            </c:ext>
          </c:extLst>
        </c:ser>
        <c:dLbls>
          <c:showLegendKey val="0"/>
          <c:showVal val="0"/>
          <c:showCatName val="0"/>
          <c:showSerName val="0"/>
          <c:showPercent val="0"/>
          <c:showBubbleSize val="0"/>
        </c:dLbls>
        <c:marker val="1"/>
        <c:smooth val="0"/>
        <c:axId val="-1643058464"/>
        <c:axId val="-1643055712"/>
      </c:lineChart>
      <c:catAx>
        <c:axId val="-1643058464"/>
        <c:scaling>
          <c:orientation val="minMax"/>
        </c:scaling>
        <c:delete val="0"/>
        <c:axPos val="b"/>
        <c:numFmt formatCode="General" sourceLinked="1"/>
        <c:majorTickMark val="none"/>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3055712"/>
        <c:crosses val="autoZero"/>
        <c:auto val="1"/>
        <c:lblAlgn val="ctr"/>
        <c:lblOffset val="100"/>
        <c:tickLblSkip val="9"/>
        <c:tickMarkSkip val="1"/>
        <c:noMultiLvlLbl val="0"/>
      </c:catAx>
      <c:valAx>
        <c:axId val="-1643055712"/>
        <c:scaling>
          <c:orientation val="minMax"/>
          <c:max val="6"/>
          <c:min val="0"/>
        </c:scaling>
        <c:delete val="0"/>
        <c:axPos val="l"/>
        <c:title>
          <c:tx>
            <c:rich>
              <a:bodyPr/>
              <a:lstStyle/>
              <a:p>
                <a:pPr marL="0" marR="0" indent="0" algn="ctr" defTabSz="914400" rtl="0" eaLnBrk="1" fontAlgn="auto" latinLnBrk="0" hangingPunct="1">
                  <a:lnSpc>
                    <a:spcPct val="100000"/>
                  </a:lnSpc>
                  <a:spcBef>
                    <a:spcPts val="0"/>
                  </a:spcBef>
                  <a:spcAft>
                    <a:spcPts val="0"/>
                  </a:spcAft>
                  <a:buClrTx/>
                  <a:buSzTx/>
                  <a:buFontTx/>
                  <a:buNone/>
                  <a:tabLst/>
                  <a:defRPr sz="800" b="0" i="0" u="none" strike="noStrike" kern="1200" baseline="0">
                    <a:solidFill>
                      <a:srgbClr val="000000"/>
                    </a:solidFill>
                    <a:latin typeface="Arial"/>
                    <a:ea typeface="Arial"/>
                    <a:cs typeface="Arial"/>
                  </a:defRPr>
                </a:pPr>
                <a:r>
                  <a:rPr lang="en-US"/>
                  <a:t>GNP/capita (2010=1)</a:t>
                </a:r>
              </a:p>
            </c:rich>
          </c:tx>
          <c:layout>
            <c:manualLayout>
              <c:xMode val="edge"/>
              <c:yMode val="edge"/>
              <c:x val="4.0908767218051229E-2"/>
              <c:y val="0.2722361423592656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3058464"/>
        <c:crosses val="autoZero"/>
        <c:crossBetween val="midCat"/>
        <c:majorUnit val="1"/>
        <c:minorUnit val="0.5"/>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 verticalDpi="1200"/>
  </c:printSettings>
  <c:userShapes r:id="rId2"/>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23079197358394701"/>
          <c:y val="0.18389020122484701"/>
          <c:w val="0.60464719329438599"/>
          <c:h val="0.67512817147856496"/>
        </c:manualLayout>
      </c:layout>
      <c:areaChart>
        <c:grouping val="stacked"/>
        <c:varyColors val="0"/>
        <c:ser>
          <c:idx val="0"/>
          <c:order val="0"/>
          <c:tx>
            <c:v>Reference case</c:v>
          </c:tx>
          <c:spPr>
            <a:noFill/>
            <a:ln w="12700">
              <a:noFill/>
              <a:prstDash val="solid"/>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[0]!PEdeqperFEindexRef</c:f>
              <c:numCache>
                <c:formatCode>0.00</c:formatCode>
                <c:ptCount val="10"/>
                <c:pt idx="0">
                  <c:v>1</c:v>
                </c:pt>
                <c:pt idx="1">
                  <c:v>1.0215169274011879</c:v>
                </c:pt>
                <c:pt idx="2">
                  <c:v>1.026277825321761</c:v>
                </c:pt>
                <c:pt idx="3">
                  <c:v>1.0138306235119117</c:v>
                </c:pt>
                <c:pt idx="4">
                  <c:v>1.0053834185535038</c:v>
                </c:pt>
                <c:pt idx="5">
                  <c:v>0.99590402699814451</c:v>
                </c:pt>
                <c:pt idx="6">
                  <c:v>0.98790517685864843</c:v>
                </c:pt>
                <c:pt idx="7">
                  <c:v>0.9858286531948659</c:v>
                </c:pt>
                <c:pt idx="8">
                  <c:v>0.99442836567343917</c:v>
                </c:pt>
                <c:pt idx="9">
                  <c:v>1.0069846246820278</c:v>
                </c:pt>
              </c:numCache>
            </c:numRef>
          </c:val>
          <c:extLst>
            <c:ext xmlns:c16="http://schemas.microsoft.com/office/drawing/2014/chart" uri="{C3380CC4-5D6E-409C-BE32-E72D297353CC}">
              <c16:uniqueId val="{00000000-A840-CE40-98D1-958DC727FA63}"/>
            </c:ext>
          </c:extLst>
        </c:ser>
        <c:ser>
          <c:idx val="1"/>
          <c:order val="1"/>
          <c:tx>
            <c:v>Area for Intervention Case</c:v>
          </c:tx>
          <c:spPr>
            <a:solidFill>
              <a:srgbClr val="A1F4FF"/>
            </a:solidFill>
            <a:ln w="12700">
              <a:solidFill>
                <a:sysClr val="windowText" lastClr="000000"/>
              </a:solidFill>
              <a:prstDash val="solid"/>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[0]!AreaIndexPEdeq_FE</c:f>
              <c:numCache>
                <c:formatCode>General</c:formatCode>
                <c:ptCount val="10"/>
                <c:pt idx="0">
                  <c:v>0</c:v>
                </c:pt>
                <c:pt idx="1">
                  <c:v>-2.7479979648283859E-3</c:v>
                </c:pt>
                <c:pt idx="2">
                  <c:v>-5.0903911181621186E-2</c:v>
                </c:pt>
                <c:pt idx="3">
                  <c:v>-0.12940700171572594</c:v>
                </c:pt>
                <c:pt idx="4">
                  <c:v>-9.5442042984710596E-2</c:v>
                </c:pt>
                <c:pt idx="5">
                  <c:v>-6.7979694184646444E-2</c:v>
                </c:pt>
                <c:pt idx="6">
                  <c:v>9.2272536239462744E-3</c:v>
                </c:pt>
                <c:pt idx="7">
                  <c:v>3.4196426517295375E-2</c:v>
                </c:pt>
                <c:pt idx="8">
                  <c:v>2.0702264053015895E-2</c:v>
                </c:pt>
                <c:pt idx="9">
                  <c:v>2.7420043141782813E-2</c:v>
                </c:pt>
              </c:numCache>
            </c:numRef>
          </c:val>
          <c:extLst>
            <c:ext xmlns:c16="http://schemas.microsoft.com/office/drawing/2014/chart" uri="{C3380CC4-5D6E-409C-BE32-E72D297353CC}">
              <c16:uniqueId val="{00000001-A840-CE40-98D1-958DC727FA63}"/>
            </c:ext>
          </c:extLst>
        </c:ser>
        <c:dLbls>
          <c:showLegendKey val="0"/>
          <c:showVal val="0"/>
          <c:showCatName val="0"/>
          <c:showSerName val="0"/>
          <c:showPercent val="0"/>
          <c:showBubbleSize val="0"/>
        </c:dLbls>
        <c:axId val="-1660977584"/>
        <c:axId val="-1660974832"/>
      </c:areaChart>
      <c:lineChart>
        <c:grouping val="standard"/>
        <c:varyColors val="0"/>
        <c:ser>
          <c:idx val="2"/>
          <c:order val="2"/>
          <c:tx>
            <c:v>Line for Intervention Case</c:v>
          </c:tx>
          <c:spPr>
            <a:ln w="28575">
              <a:solidFill>
                <a:srgbClr val="C00000"/>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[0]!PEdeqperFEindexInt</c:f>
              <c:numCache>
                <c:formatCode>0.00</c:formatCode>
                <c:ptCount val="10"/>
                <c:pt idx="0">
                  <c:v>1</c:v>
                </c:pt>
                <c:pt idx="1">
                  <c:v>1.0187689294363595</c:v>
                </c:pt>
                <c:pt idx="2">
                  <c:v>0.97537391414013985</c:v>
                </c:pt>
                <c:pt idx="3">
                  <c:v>0.88442362179618572</c:v>
                </c:pt>
                <c:pt idx="4">
                  <c:v>0.90994137556879318</c:v>
                </c:pt>
                <c:pt idx="5">
                  <c:v>0.92792433281349807</c:v>
                </c:pt>
                <c:pt idx="6">
                  <c:v>0.9971324304825947</c:v>
                </c:pt>
                <c:pt idx="7">
                  <c:v>1.0200250797121613</c:v>
                </c:pt>
                <c:pt idx="8">
                  <c:v>1.0151306297264551</c:v>
                </c:pt>
                <c:pt idx="9">
                  <c:v>1.0344046678238106</c:v>
                </c:pt>
              </c:numCache>
            </c:numRef>
          </c:val>
          <c:smooth val="0"/>
          <c:extLst>
            <c:ext xmlns:c16="http://schemas.microsoft.com/office/drawing/2014/chart" uri="{C3380CC4-5D6E-409C-BE32-E72D297353CC}">
              <c16:uniqueId val="{00000002-A840-CE40-98D1-958DC727FA63}"/>
            </c:ext>
          </c:extLst>
        </c:ser>
        <c:ser>
          <c:idx val="3"/>
          <c:order val="3"/>
          <c:tx>
            <c:v>projindex1</c:v>
          </c:tx>
          <c:spPr>
            <a:ln w="19050" cmpd="sng">
              <a:solidFill>
                <a:srgbClr val="008000"/>
              </a:solid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[0]!PEdeqperFEprojindex1</c:f>
              <c:numCache>
                <c:formatCode>General</c:formatCode>
                <c:ptCount val="10"/>
                <c:pt idx="0">
                  <c:v>1</c:v>
                </c:pt>
                <c:pt idx="1">
                  <c:v>1.020337538963026</c:v>
                </c:pt>
                <c:pt idx="2">
                  <c:v>1.0410886934171246</c:v>
                </c:pt>
                <c:pt idx="3">
                  <c:v>1.0622618752834612</c:v>
                </c:pt>
                <c:pt idx="4">
                  <c:v>1.0838656675609757</c:v>
                </c:pt>
                <c:pt idx="5">
                  <c:v>1.1059088278056832</c:v>
                </c:pt>
                <c:pt idx="6">
                  <c:v>1.1284002916807359</c:v>
                </c:pt>
                <c:pt idx="7">
                  <c:v>1.1513491765786827</c:v>
                </c:pt>
                <c:pt idx="8">
                  <c:v>1.1747647853173997</c:v>
                </c:pt>
                <c:pt idx="9">
                  <c:v>1.1986566099111833</c:v>
                </c:pt>
              </c:numCache>
            </c:numRef>
          </c:val>
          <c:smooth val="0"/>
          <c:extLst>
            <c:ext xmlns:c16="http://schemas.microsoft.com/office/drawing/2014/chart" uri="{C3380CC4-5D6E-409C-BE32-E72D297353CC}">
              <c16:uniqueId val="{00000003-A840-CE40-98D1-958DC727FA63}"/>
            </c:ext>
          </c:extLst>
        </c:ser>
        <c:ser>
          <c:idx val="4"/>
          <c:order val="4"/>
          <c:tx>
            <c:v>projindex2</c:v>
          </c:tx>
          <c:spPr>
            <a:ln w="19050" cmpd="sng">
              <a:solidFill>
                <a:srgbClr val="3366FF"/>
              </a:solid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[0]!PEdeqperFEprojindex2</c:f>
              <c:numCache>
                <c:formatCode>General</c:formatCode>
                <c:ptCount val="10"/>
                <c:pt idx="0">
                  <c:v>1</c:v>
                </c:pt>
                <c:pt idx="1">
                  <c:v>1.024646303427533</c:v>
                </c:pt>
                <c:pt idx="2">
                  <c:v>1.049900047127708</c:v>
                </c:pt>
                <c:pt idx="3">
                  <c:v>1.0757762022577988</c:v>
                </c:pt>
                <c:pt idx="4">
                  <c:v>1.1022901089587636</c:v>
                </c:pt>
                <c:pt idx="5">
                  <c:v>1.1294574854493298</c:v>
                </c:pt>
                <c:pt idx="6">
                  <c:v>1.1572944373442124</c:v>
                </c:pt>
                <c:pt idx="7">
                  <c:v>1.1858174672019941</c:v>
                </c:pt>
                <c:pt idx="8">
                  <c:v>1.2150434843083231</c:v>
                </c:pt>
                <c:pt idx="9">
                  <c:v>1.244989814700233</c:v>
                </c:pt>
              </c:numCache>
            </c:numRef>
          </c:val>
          <c:smooth val="0"/>
          <c:extLst>
            <c:ext xmlns:c16="http://schemas.microsoft.com/office/drawing/2014/chart" uri="{C3380CC4-5D6E-409C-BE32-E72D297353CC}">
              <c16:uniqueId val="{00000004-A840-CE40-98D1-958DC727FA63}"/>
            </c:ext>
          </c:extLst>
        </c:ser>
        <c:dLbls>
          <c:showLegendKey val="0"/>
          <c:showVal val="0"/>
          <c:showCatName val="0"/>
          <c:showSerName val="0"/>
          <c:showPercent val="0"/>
          <c:showBubbleSize val="0"/>
        </c:dLbls>
        <c:marker val="1"/>
        <c:smooth val="0"/>
        <c:axId val="-1660977584"/>
        <c:axId val="-1660974832"/>
      </c:lineChart>
      <c:catAx>
        <c:axId val="-1660977584"/>
        <c:scaling>
          <c:orientation val="minMax"/>
        </c:scaling>
        <c:delete val="0"/>
        <c:axPos val="b"/>
        <c:numFmt formatCode="General" sourceLinked="1"/>
        <c:majorTickMark val="none"/>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60974832"/>
        <c:crosses val="autoZero"/>
        <c:auto val="1"/>
        <c:lblAlgn val="ctr"/>
        <c:lblOffset val="100"/>
        <c:tickLblSkip val="9"/>
        <c:tickMarkSkip val="1"/>
        <c:noMultiLvlLbl val="0"/>
      </c:catAx>
      <c:valAx>
        <c:axId val="-1660974832"/>
        <c:scaling>
          <c:orientation val="minMax"/>
          <c:max val="2"/>
          <c:min val="0"/>
        </c:scaling>
        <c:delete val="0"/>
        <c:axPos val="l"/>
        <c:title>
          <c:tx>
            <c:rich>
              <a:bodyPr/>
              <a:lstStyle/>
              <a:p>
                <a:pPr>
                  <a:defRPr sz="800" b="0" i="0" u="none" strike="noStrike" baseline="0">
                    <a:solidFill>
                      <a:srgbClr val="000000"/>
                    </a:solidFill>
                    <a:latin typeface="Arial"/>
                    <a:ea typeface="Arial"/>
                    <a:cs typeface="Arial"/>
                  </a:defRPr>
                </a:pPr>
                <a:r>
                  <a:rPr lang="en-US"/>
                  <a:t>PE/FE (2010=1)</a:t>
                </a:r>
              </a:p>
            </c:rich>
          </c:tx>
          <c:layout>
            <c:manualLayout>
              <c:xMode val="edge"/>
              <c:yMode val="edge"/>
              <c:x val="3.4432033205151681E-2"/>
              <c:y val="0.34191053547903255"/>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60977584"/>
        <c:crosses val="autoZero"/>
        <c:crossBetween val="midCat"/>
        <c:majorUnit val="0.5"/>
        <c:minorUnit val="0.5"/>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 verticalDpi="1200"/>
  </c:printSettings>
  <c:userShapes r:id="rId2"/>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23079197358394701"/>
          <c:y val="0.18389020122484701"/>
          <c:w val="0.60464719329438599"/>
          <c:h val="0.67512817147856496"/>
        </c:manualLayout>
      </c:layout>
      <c:areaChart>
        <c:grouping val="stacked"/>
        <c:varyColors val="0"/>
        <c:ser>
          <c:idx val="0"/>
          <c:order val="0"/>
          <c:tx>
            <c:v>Reference case</c:v>
          </c:tx>
          <c:spPr>
            <a:noFill/>
            <a:ln w="12700">
              <a:noFill/>
              <a:prstDash val="solid"/>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[0]!PEffperPEdeqindexRef</c:f>
              <c:numCache>
                <c:formatCode>0.00</c:formatCode>
                <c:ptCount val="10"/>
                <c:pt idx="0">
                  <c:v>1</c:v>
                </c:pt>
                <c:pt idx="1">
                  <c:v>0.99146304923284712</c:v>
                </c:pt>
                <c:pt idx="2">
                  <c:v>0.98158800111688571</c:v>
                </c:pt>
                <c:pt idx="3">
                  <c:v>0.95710102952464804</c:v>
                </c:pt>
                <c:pt idx="4">
                  <c:v>0.95096693265610632</c:v>
                </c:pt>
                <c:pt idx="5">
                  <c:v>0.96689822672278036</c:v>
                </c:pt>
                <c:pt idx="6">
                  <c:v>0.95593085104486486</c:v>
                </c:pt>
                <c:pt idx="7">
                  <c:v>0.93794675798477722</c:v>
                </c:pt>
                <c:pt idx="8">
                  <c:v>0.92928834630084756</c:v>
                </c:pt>
                <c:pt idx="9">
                  <c:v>0.92543115223185324</c:v>
                </c:pt>
              </c:numCache>
            </c:numRef>
          </c:val>
          <c:extLst>
            <c:ext xmlns:c16="http://schemas.microsoft.com/office/drawing/2014/chart" uri="{C3380CC4-5D6E-409C-BE32-E72D297353CC}">
              <c16:uniqueId val="{00000000-A840-CE40-98D1-958DC727FA63}"/>
            </c:ext>
          </c:extLst>
        </c:ser>
        <c:ser>
          <c:idx val="1"/>
          <c:order val="1"/>
          <c:tx>
            <c:v>Area for Intervention Case</c:v>
          </c:tx>
          <c:spPr>
            <a:solidFill>
              <a:srgbClr val="A1F4FF"/>
            </a:solidFill>
            <a:ln w="12700">
              <a:solidFill>
                <a:sysClr val="windowText" lastClr="000000"/>
              </a:solidFill>
              <a:prstDash val="solid"/>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[0]!AreaIndexPEff_PEdeq</c:f>
              <c:numCache>
                <c:formatCode>General</c:formatCode>
                <c:ptCount val="10"/>
                <c:pt idx="0">
                  <c:v>0</c:v>
                </c:pt>
                <c:pt idx="1">
                  <c:v>-5.4802283363625914E-2</c:v>
                </c:pt>
                <c:pt idx="2">
                  <c:v>-0.12006169093681007</c:v>
                </c:pt>
                <c:pt idx="3">
                  <c:v>-0.28260463498980637</c:v>
                </c:pt>
                <c:pt idx="4">
                  <c:v>-0.43068823137235845</c:v>
                </c:pt>
                <c:pt idx="5">
                  <c:v>-0.48161856250557439</c:v>
                </c:pt>
                <c:pt idx="6">
                  <c:v>-0.47482425605176393</c:v>
                </c:pt>
                <c:pt idx="7">
                  <c:v>-0.50867947142960412</c:v>
                </c:pt>
                <c:pt idx="8">
                  <c:v>-0.54838528732575353</c:v>
                </c:pt>
                <c:pt idx="9">
                  <c:v>-0.55761367654491001</c:v>
                </c:pt>
              </c:numCache>
            </c:numRef>
          </c:val>
          <c:extLst>
            <c:ext xmlns:c16="http://schemas.microsoft.com/office/drawing/2014/chart" uri="{C3380CC4-5D6E-409C-BE32-E72D297353CC}">
              <c16:uniqueId val="{00000001-A840-CE40-98D1-958DC727FA63}"/>
            </c:ext>
          </c:extLst>
        </c:ser>
        <c:dLbls>
          <c:showLegendKey val="0"/>
          <c:showVal val="0"/>
          <c:showCatName val="0"/>
          <c:showSerName val="0"/>
          <c:showPercent val="0"/>
          <c:showBubbleSize val="0"/>
        </c:dLbls>
        <c:axId val="-1660977584"/>
        <c:axId val="-1660974832"/>
      </c:areaChart>
      <c:lineChart>
        <c:grouping val="standard"/>
        <c:varyColors val="0"/>
        <c:ser>
          <c:idx val="2"/>
          <c:order val="2"/>
          <c:tx>
            <c:v>Line for Intervention Case</c:v>
          </c:tx>
          <c:spPr>
            <a:ln w="28575">
              <a:solidFill>
                <a:srgbClr val="C00000"/>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[0]!PEffperPEdeqindexInt</c:f>
              <c:numCache>
                <c:formatCode>0.00</c:formatCode>
                <c:ptCount val="10"/>
                <c:pt idx="0">
                  <c:v>1</c:v>
                </c:pt>
                <c:pt idx="1">
                  <c:v>0.9366607658692212</c:v>
                </c:pt>
                <c:pt idx="2">
                  <c:v>0.86152631018007564</c:v>
                </c:pt>
                <c:pt idx="3">
                  <c:v>0.67449639453484167</c:v>
                </c:pt>
                <c:pt idx="4">
                  <c:v>0.52027870128374787</c:v>
                </c:pt>
                <c:pt idx="5">
                  <c:v>0.48527966421720597</c:v>
                </c:pt>
                <c:pt idx="6">
                  <c:v>0.48110659499310093</c:v>
                </c:pt>
                <c:pt idx="7">
                  <c:v>0.42926728655517316</c:v>
                </c:pt>
                <c:pt idx="8">
                  <c:v>0.38090305897509397</c:v>
                </c:pt>
                <c:pt idx="9">
                  <c:v>0.36781747568694317</c:v>
                </c:pt>
              </c:numCache>
            </c:numRef>
          </c:val>
          <c:smooth val="0"/>
          <c:extLst>
            <c:ext xmlns:c16="http://schemas.microsoft.com/office/drawing/2014/chart" uri="{C3380CC4-5D6E-409C-BE32-E72D297353CC}">
              <c16:uniqueId val="{00000002-A840-CE40-98D1-958DC727FA63}"/>
            </c:ext>
          </c:extLst>
        </c:ser>
        <c:ser>
          <c:idx val="3"/>
          <c:order val="3"/>
          <c:tx>
            <c:v>projindex1</c:v>
          </c:tx>
          <c:spPr>
            <a:ln w="19050" cmpd="sng">
              <a:solidFill>
                <a:srgbClr val="008000"/>
              </a:solid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[0]!PEffperPEdeqprojindex1</c:f>
              <c:numCache>
                <c:formatCode>General</c:formatCode>
                <c:ptCount val="10"/>
                <c:pt idx="0">
                  <c:v>1</c:v>
                </c:pt>
                <c:pt idx="1">
                  <c:v>0.99584395266748793</c:v>
                </c:pt>
                <c:pt idx="2">
                  <c:v>0.99170517806440595</c:v>
                </c:pt>
                <c:pt idx="3">
                  <c:v>0.98758360440447301</c:v>
                </c:pt>
                <c:pt idx="4">
                  <c:v>0.98347916019975512</c:v>
                </c:pt>
                <c:pt idx="5">
                  <c:v>0.9793917742594257</c:v>
                </c:pt>
                <c:pt idx="6">
                  <c:v>0.9753213756885305</c:v>
                </c:pt>
                <c:pt idx="7">
                  <c:v>0.97126789388675816</c:v>
                </c:pt>
                <c:pt idx="8">
                  <c:v>0.96723125854721548</c:v>
                </c:pt>
                <c:pt idx="9">
                  <c:v>0.96321139965520808</c:v>
                </c:pt>
              </c:numCache>
            </c:numRef>
          </c:val>
          <c:smooth val="0"/>
          <c:extLst>
            <c:ext xmlns:c16="http://schemas.microsoft.com/office/drawing/2014/chart" uri="{C3380CC4-5D6E-409C-BE32-E72D297353CC}">
              <c16:uniqueId val="{00000003-A840-CE40-98D1-958DC727FA63}"/>
            </c:ext>
          </c:extLst>
        </c:ser>
        <c:ser>
          <c:idx val="4"/>
          <c:order val="4"/>
          <c:tx>
            <c:v>projindex2</c:v>
          </c:tx>
          <c:spPr>
            <a:ln w="19050" cmpd="sng">
              <a:solidFill>
                <a:srgbClr val="3366FF"/>
              </a:solid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[0]!PEffperPEdeqprojindex2</c:f>
              <c:numCache>
                <c:formatCode>General</c:formatCode>
                <c:ptCount val="10"/>
                <c:pt idx="0">
                  <c:v>1</c:v>
                </c:pt>
                <c:pt idx="1">
                  <c:v>1.0000949582660388</c:v>
                </c:pt>
                <c:pt idx="2">
                  <c:v>1.0001899255491498</c:v>
                </c:pt>
                <c:pt idx="3">
                  <c:v>1.0002849018501894</c:v>
                </c:pt>
                <c:pt idx="4">
                  <c:v>1.0003798871700138</c:v>
                </c:pt>
                <c:pt idx="5">
                  <c:v>1.0004748815094795</c:v>
                </c:pt>
                <c:pt idx="6">
                  <c:v>1.0005698848694431</c:v>
                </c:pt>
                <c:pt idx="7">
                  <c:v>1.000664897250761</c:v>
                </c:pt>
                <c:pt idx="8">
                  <c:v>1.0007599186542899</c:v>
                </c:pt>
                <c:pt idx="9">
                  <c:v>1.0008549490808865</c:v>
                </c:pt>
              </c:numCache>
            </c:numRef>
          </c:val>
          <c:smooth val="0"/>
          <c:extLst>
            <c:ext xmlns:c16="http://schemas.microsoft.com/office/drawing/2014/chart" uri="{C3380CC4-5D6E-409C-BE32-E72D297353CC}">
              <c16:uniqueId val="{00000004-A840-CE40-98D1-958DC727FA63}"/>
            </c:ext>
          </c:extLst>
        </c:ser>
        <c:dLbls>
          <c:showLegendKey val="0"/>
          <c:showVal val="0"/>
          <c:showCatName val="0"/>
          <c:showSerName val="0"/>
          <c:showPercent val="0"/>
          <c:showBubbleSize val="0"/>
        </c:dLbls>
        <c:marker val="1"/>
        <c:smooth val="0"/>
        <c:axId val="-1660977584"/>
        <c:axId val="-1660974832"/>
      </c:lineChart>
      <c:catAx>
        <c:axId val="-1660977584"/>
        <c:scaling>
          <c:orientation val="minMax"/>
        </c:scaling>
        <c:delete val="0"/>
        <c:axPos val="b"/>
        <c:numFmt formatCode="General" sourceLinked="1"/>
        <c:majorTickMark val="none"/>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60974832"/>
        <c:crosses val="autoZero"/>
        <c:auto val="1"/>
        <c:lblAlgn val="ctr"/>
        <c:lblOffset val="100"/>
        <c:tickLblSkip val="9"/>
        <c:tickMarkSkip val="1"/>
        <c:noMultiLvlLbl val="0"/>
      </c:catAx>
      <c:valAx>
        <c:axId val="-1660974832"/>
        <c:scaling>
          <c:orientation val="minMax"/>
          <c:max val="2"/>
          <c:min val="0"/>
        </c:scaling>
        <c:delete val="0"/>
        <c:axPos val="l"/>
        <c:title>
          <c:tx>
            <c:rich>
              <a:bodyPr/>
              <a:lstStyle/>
              <a:p>
                <a:pPr>
                  <a:defRPr sz="800" b="0" i="0" u="none" strike="noStrike" baseline="0">
                    <a:solidFill>
                      <a:srgbClr val="000000"/>
                    </a:solidFill>
                    <a:latin typeface="Arial"/>
                    <a:ea typeface="Arial"/>
                    <a:cs typeface="Arial"/>
                  </a:defRPr>
                </a:pPr>
                <a:r>
                  <a:rPr lang="en-US"/>
                  <a:t>PE Fossil/PE (2010=1)</a:t>
                </a:r>
              </a:p>
            </c:rich>
          </c:tx>
          <c:layout>
            <c:manualLayout>
              <c:xMode val="edge"/>
              <c:yMode val="edge"/>
              <c:x val="2.7972084884738249E-2"/>
              <c:y val="0.25168495821516756"/>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60977584"/>
        <c:crosses val="autoZero"/>
        <c:crossBetween val="midCat"/>
        <c:majorUnit val="0.5"/>
        <c:minorUnit val="0.5"/>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 verticalDpi="1200"/>
  </c:printSettings>
  <c:userShapes r:id="rId2"/>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23079197358394701"/>
          <c:y val="0.18389020122484701"/>
          <c:w val="0.60464719329438599"/>
          <c:h val="0.67512817147856496"/>
        </c:manualLayout>
      </c:layout>
      <c:areaChart>
        <c:grouping val="stacked"/>
        <c:varyColors val="0"/>
        <c:ser>
          <c:idx val="0"/>
          <c:order val="0"/>
          <c:tx>
            <c:v>Reference case</c:v>
          </c:tx>
          <c:spPr>
            <a:noFill/>
            <a:ln w="12700">
              <a:noFill/>
              <a:prstDash val="solid"/>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[0]!TFCperPEffindexRef</c:f>
              <c:numCache>
                <c:formatCode>0.00</c:formatCode>
                <c:ptCount val="10"/>
                <c:pt idx="0">
                  <c:v>1</c:v>
                </c:pt>
                <c:pt idx="1">
                  <c:v>1.0262658308865731</c:v>
                </c:pt>
                <c:pt idx="2">
                  <c:v>1.0293981470205393</c:v>
                </c:pt>
                <c:pt idx="3">
                  <c:v>1.0248306831631455</c:v>
                </c:pt>
                <c:pt idx="4">
                  <c:v>1.0205789626126258</c:v>
                </c:pt>
                <c:pt idx="5">
                  <c:v>1.0122398186663786</c:v>
                </c:pt>
                <c:pt idx="6">
                  <c:v>1.0224172521544013</c:v>
                </c:pt>
                <c:pt idx="7">
                  <c:v>1.0343987796587577</c:v>
                </c:pt>
                <c:pt idx="8">
                  <c:v>1.054127220841206</c:v>
                </c:pt>
                <c:pt idx="9">
                  <c:v>1.0794416426975419</c:v>
                </c:pt>
              </c:numCache>
            </c:numRef>
          </c:val>
          <c:extLst>
            <c:ext xmlns:c16="http://schemas.microsoft.com/office/drawing/2014/chart" uri="{C3380CC4-5D6E-409C-BE32-E72D297353CC}">
              <c16:uniqueId val="{00000000-A840-CE40-98D1-958DC727FA63}"/>
            </c:ext>
          </c:extLst>
        </c:ser>
        <c:ser>
          <c:idx val="1"/>
          <c:order val="1"/>
          <c:tx>
            <c:v>Area for Intervention Case</c:v>
          </c:tx>
          <c:spPr>
            <a:solidFill>
              <a:srgbClr val="A1F4FF"/>
            </a:solidFill>
            <a:ln w="12700">
              <a:solidFill>
                <a:sysClr val="windowText" lastClr="000000"/>
              </a:solidFill>
              <a:prstDash val="solid"/>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[0]!AreaIndexTFC_PEff</c:f>
              <c:numCache>
                <c:formatCode>General</c:formatCode>
                <c:ptCount val="10"/>
                <c:pt idx="0">
                  <c:v>0</c:v>
                </c:pt>
                <c:pt idx="1">
                  <c:v>-2.0767047580450226E-2</c:v>
                </c:pt>
                <c:pt idx="2">
                  <c:v>-7.1178645509862637E-2</c:v>
                </c:pt>
                <c:pt idx="3">
                  <c:v>-0.16344291712516157</c:v>
                </c:pt>
                <c:pt idx="4">
                  <c:v>-0.23591272346863168</c:v>
                </c:pt>
                <c:pt idx="5">
                  <c:v>-0.24015387289694623</c:v>
                </c:pt>
                <c:pt idx="6">
                  <c:v>-0.24754637235844035</c:v>
                </c:pt>
                <c:pt idx="7">
                  <c:v>-0.27196224683050363</c:v>
                </c:pt>
                <c:pt idx="8">
                  <c:v>-0.28580143755595799</c:v>
                </c:pt>
                <c:pt idx="9">
                  <c:v>-0.28197346399281153</c:v>
                </c:pt>
              </c:numCache>
            </c:numRef>
          </c:val>
          <c:extLst>
            <c:ext xmlns:c16="http://schemas.microsoft.com/office/drawing/2014/chart" uri="{C3380CC4-5D6E-409C-BE32-E72D297353CC}">
              <c16:uniqueId val="{00000001-A840-CE40-98D1-958DC727FA63}"/>
            </c:ext>
          </c:extLst>
        </c:ser>
        <c:dLbls>
          <c:showLegendKey val="0"/>
          <c:showVal val="0"/>
          <c:showCatName val="0"/>
          <c:showSerName val="0"/>
          <c:showPercent val="0"/>
          <c:showBubbleSize val="0"/>
        </c:dLbls>
        <c:axId val="-1660977584"/>
        <c:axId val="-1660974832"/>
      </c:areaChart>
      <c:lineChart>
        <c:grouping val="standard"/>
        <c:varyColors val="0"/>
        <c:ser>
          <c:idx val="2"/>
          <c:order val="2"/>
          <c:tx>
            <c:v>Line for Intervention Case</c:v>
          </c:tx>
          <c:spPr>
            <a:ln w="28575">
              <a:solidFill>
                <a:srgbClr val="C00000"/>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[0]!TFCperPEffindexInt</c:f>
              <c:numCache>
                <c:formatCode>0.00</c:formatCode>
                <c:ptCount val="10"/>
                <c:pt idx="0">
                  <c:v>1</c:v>
                </c:pt>
                <c:pt idx="1">
                  <c:v>1.0054987833061229</c:v>
                </c:pt>
                <c:pt idx="2">
                  <c:v>0.9582195015106767</c:v>
                </c:pt>
                <c:pt idx="3">
                  <c:v>0.86138776603798395</c:v>
                </c:pt>
                <c:pt idx="4">
                  <c:v>0.78466623914399414</c:v>
                </c:pt>
                <c:pt idx="5">
                  <c:v>0.77208594576943235</c:v>
                </c:pt>
                <c:pt idx="6">
                  <c:v>0.77487087979596092</c:v>
                </c:pt>
                <c:pt idx="7">
                  <c:v>0.76243653282825408</c:v>
                </c:pt>
                <c:pt idx="8">
                  <c:v>0.76832578328524803</c:v>
                </c:pt>
                <c:pt idx="9">
                  <c:v>0.79746817870473041</c:v>
                </c:pt>
              </c:numCache>
            </c:numRef>
          </c:val>
          <c:smooth val="0"/>
          <c:extLst>
            <c:ext xmlns:c16="http://schemas.microsoft.com/office/drawing/2014/chart" uri="{C3380CC4-5D6E-409C-BE32-E72D297353CC}">
              <c16:uniqueId val="{00000002-A840-CE40-98D1-958DC727FA63}"/>
            </c:ext>
          </c:extLst>
        </c:ser>
        <c:ser>
          <c:idx val="3"/>
          <c:order val="3"/>
          <c:tx>
            <c:v>projindex1</c:v>
          </c:tx>
          <c:spPr>
            <a:ln w="19050" cmpd="sng">
              <a:solidFill>
                <a:srgbClr val="008000"/>
              </a:solid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[0]!TFCperPEffprojindex1</c:f>
              <c:numCache>
                <c:formatCode>General</c:formatCode>
                <c:ptCount val="10"/>
                <c:pt idx="0">
                  <c:v>1</c:v>
                </c:pt>
                <c:pt idx="1">
                  <c:v>1.0155593310911026</c:v>
                </c:pt>
                <c:pt idx="2">
                  <c:v>1.0313607549662078</c:v>
                </c:pt>
                <c:pt idx="3">
                  <c:v>1.0474080384270967</c:v>
                </c:pt>
                <c:pt idx="4">
                  <c:v>1.0637050068844662</c:v>
                </c:pt>
                <c:pt idx="5">
                  <c:v>1.0802555452698452</c:v>
                </c:pt>
                <c:pt idx="6">
                  <c:v>1.0970635989616984</c:v>
                </c:pt>
                <c:pt idx="7">
                  <c:v>1.11413317472594</c:v>
                </c:pt>
                <c:pt idx="8">
                  <c:v>1.1314683416710822</c:v>
                </c:pt>
                <c:pt idx="9">
                  <c:v>1.1490732322182435</c:v>
                </c:pt>
              </c:numCache>
            </c:numRef>
          </c:val>
          <c:smooth val="0"/>
          <c:extLst>
            <c:ext xmlns:c16="http://schemas.microsoft.com/office/drawing/2014/chart" uri="{C3380CC4-5D6E-409C-BE32-E72D297353CC}">
              <c16:uniqueId val="{00000003-A840-CE40-98D1-958DC727FA63}"/>
            </c:ext>
          </c:extLst>
        </c:ser>
        <c:ser>
          <c:idx val="4"/>
          <c:order val="4"/>
          <c:tx>
            <c:v>projindex2</c:v>
          </c:tx>
          <c:spPr>
            <a:ln w="19050" cmpd="sng">
              <a:solidFill>
                <a:srgbClr val="3366FF"/>
              </a:solid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[0]!TFCperPEffprojindex2</c:f>
              <c:numCache>
                <c:formatCode>General</c:formatCode>
                <c:ptCount val="10"/>
                <c:pt idx="0">
                  <c:v>1</c:v>
                </c:pt>
                <c:pt idx="1">
                  <c:v>1.0078043923237696</c:v>
                </c:pt>
                <c:pt idx="2">
                  <c:v>1.0156696931870826</c:v>
                </c:pt>
                <c:pt idx="3">
                  <c:v>1.0235963779440773</c:v>
                </c:pt>
                <c:pt idx="4">
                  <c:v>1.0315849256587424</c:v>
                </c:pt>
                <c:pt idx="5">
                  <c:v>1.0396358191338699</c:v>
                </c:pt>
                <c:pt idx="6">
                  <c:v>1.0477495449402343</c:v>
                </c:pt>
                <c:pt idx="7">
                  <c:v>1.0559265934459989</c:v>
                </c:pt>
                <c:pt idx="8">
                  <c:v>1.064167458846353</c:v>
                </c:pt>
                <c:pt idx="9">
                  <c:v>1.072472639193379</c:v>
                </c:pt>
              </c:numCache>
            </c:numRef>
          </c:val>
          <c:smooth val="0"/>
          <c:extLst>
            <c:ext xmlns:c16="http://schemas.microsoft.com/office/drawing/2014/chart" uri="{C3380CC4-5D6E-409C-BE32-E72D297353CC}">
              <c16:uniqueId val="{00000004-A840-CE40-98D1-958DC727FA63}"/>
            </c:ext>
          </c:extLst>
        </c:ser>
        <c:dLbls>
          <c:showLegendKey val="0"/>
          <c:showVal val="0"/>
          <c:showCatName val="0"/>
          <c:showSerName val="0"/>
          <c:showPercent val="0"/>
          <c:showBubbleSize val="0"/>
        </c:dLbls>
        <c:marker val="1"/>
        <c:smooth val="0"/>
        <c:axId val="-1660977584"/>
        <c:axId val="-1660974832"/>
      </c:lineChart>
      <c:catAx>
        <c:axId val="-1660977584"/>
        <c:scaling>
          <c:orientation val="minMax"/>
        </c:scaling>
        <c:delete val="0"/>
        <c:axPos val="b"/>
        <c:numFmt formatCode="General" sourceLinked="1"/>
        <c:majorTickMark val="none"/>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60974832"/>
        <c:crosses val="autoZero"/>
        <c:auto val="1"/>
        <c:lblAlgn val="ctr"/>
        <c:lblOffset val="100"/>
        <c:tickLblSkip val="9"/>
        <c:tickMarkSkip val="1"/>
        <c:noMultiLvlLbl val="0"/>
      </c:catAx>
      <c:valAx>
        <c:axId val="-1660974832"/>
        <c:scaling>
          <c:orientation val="minMax"/>
          <c:max val="2"/>
          <c:min val="0"/>
        </c:scaling>
        <c:delete val="0"/>
        <c:axPos val="l"/>
        <c:title>
          <c:tx>
            <c:rich>
              <a:bodyPr/>
              <a:lstStyle/>
              <a:p>
                <a:pPr>
                  <a:defRPr sz="800" b="0" i="0" u="none" strike="noStrike" baseline="0">
                    <a:solidFill>
                      <a:srgbClr val="000000"/>
                    </a:solidFill>
                    <a:latin typeface="Arial"/>
                    <a:ea typeface="Arial"/>
                    <a:cs typeface="Arial"/>
                  </a:defRPr>
                </a:pPr>
                <a:r>
                  <a:rPr lang="en-US" sz="800" b="0" i="0" u="none" strike="noStrike" baseline="0">
                    <a:effectLst/>
                  </a:rPr>
                  <a:t>CO2 per unit of fossil PE (2010=1)</a:t>
                </a:r>
                <a:r>
                  <a:rPr lang="en-US" sz="800" b="0" i="0" u="none" strike="noStrike" baseline="0"/>
                  <a:t> </a:t>
                </a:r>
                <a:endParaRPr lang="en-US"/>
              </a:p>
            </c:rich>
          </c:tx>
          <c:layout>
            <c:manualLayout>
              <c:xMode val="edge"/>
              <c:yMode val="edge"/>
              <c:x val="2.7972027972028E-2"/>
              <c:y val="0.18965503936063299"/>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60977584"/>
        <c:crosses val="autoZero"/>
        <c:crossBetween val="midCat"/>
        <c:majorUnit val="1"/>
        <c:minorUnit val="0.5"/>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 verticalDpi="1200"/>
  </c:printSettings>
  <c:userShapes r:id="rId2"/>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22936703073406101"/>
          <c:y val="0.179501749781277"/>
          <c:w val="0.60689859542899904"/>
          <c:h val="0.67720253718285195"/>
        </c:manualLayout>
      </c:layout>
      <c:areaChart>
        <c:grouping val="stacked"/>
        <c:varyColors val="0"/>
        <c:ser>
          <c:idx val="1"/>
          <c:order val="0"/>
          <c:tx>
            <c:v>reference scenario area</c:v>
          </c:tx>
          <c:spPr>
            <a:noFill/>
            <a:ln w="12700">
              <a:noFill/>
              <a:prstDash val="solid"/>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[0]!NFCperTFCindexRef</c:f>
              <c:numCache>
                <c:formatCode>0.00</c:formatCode>
                <c:ptCount val="10"/>
                <c:pt idx="0">
                  <c:v>1</c:v>
                </c:pt>
                <c:pt idx="1">
                  <c:v>1</c:v>
                </c:pt>
                <c:pt idx="2">
                  <c:v>1</c:v>
                </c:pt>
                <c:pt idx="3">
                  <c:v>1</c:v>
                </c:pt>
                <c:pt idx="4">
                  <c:v>1</c:v>
                </c:pt>
                <c:pt idx="5">
                  <c:v>1</c:v>
                </c:pt>
                <c:pt idx="6">
                  <c:v>1</c:v>
                </c:pt>
                <c:pt idx="7">
                  <c:v>1</c:v>
                </c:pt>
                <c:pt idx="8">
                  <c:v>1</c:v>
                </c:pt>
                <c:pt idx="9">
                  <c:v>1</c:v>
                </c:pt>
              </c:numCache>
            </c:numRef>
          </c:val>
          <c:extLst>
            <c:ext xmlns:c16="http://schemas.microsoft.com/office/drawing/2014/chart" uri="{C3380CC4-5D6E-409C-BE32-E72D297353CC}">
              <c16:uniqueId val="{00000000-099B-B342-8702-3D064D4378BB}"/>
            </c:ext>
          </c:extLst>
        </c:ser>
        <c:ser>
          <c:idx val="0"/>
          <c:order val="1"/>
          <c:tx>
            <c:v>Intervention scenario</c:v>
          </c:tx>
          <c:spPr>
            <a:solidFill>
              <a:srgbClr val="A1F4FF"/>
            </a:solidFill>
            <a:ln w="12700">
              <a:solidFill>
                <a:sysClr val="windowText" lastClr="000000"/>
              </a:solidFill>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[0]!AreaIndexNFC_TFC</c:f>
              <c:numCache>
                <c:formatCode>General</c:formatCode>
                <c:ptCount val="10"/>
                <c:pt idx="0">
                  <c:v>0</c:v>
                </c:pt>
                <c:pt idx="1">
                  <c:v>-1.1258968232363831E-3</c:v>
                </c:pt>
                <c:pt idx="2">
                  <c:v>-6.1888774135854918E-2</c:v>
                </c:pt>
                <c:pt idx="3">
                  <c:v>-0.21179335977533897</c:v>
                </c:pt>
                <c:pt idx="4">
                  <c:v>-0.35107223682439015</c:v>
                </c:pt>
                <c:pt idx="5">
                  <c:v>-0.49852626033660641</c:v>
                </c:pt>
                <c:pt idx="6">
                  <c:v>-0.63162083835447258</c:v>
                </c:pt>
                <c:pt idx="7">
                  <c:v>-0.67151058384419637</c:v>
                </c:pt>
                <c:pt idx="8">
                  <c:v>-0.6638756733198441</c:v>
                </c:pt>
                <c:pt idx="9">
                  <c:v>-0.6549966352746559</c:v>
                </c:pt>
              </c:numCache>
            </c:numRef>
          </c:val>
          <c:extLst>
            <c:ext xmlns:c16="http://schemas.microsoft.com/office/drawing/2014/chart" uri="{C3380CC4-5D6E-409C-BE32-E72D297353CC}">
              <c16:uniqueId val="{00000001-099B-B342-8702-3D064D4378BB}"/>
            </c:ext>
          </c:extLst>
        </c:ser>
        <c:dLbls>
          <c:showLegendKey val="0"/>
          <c:showVal val="0"/>
          <c:showCatName val="0"/>
          <c:showSerName val="0"/>
          <c:showPercent val="0"/>
          <c:showBubbleSize val="0"/>
        </c:dLbls>
        <c:axId val="-1661017152"/>
        <c:axId val="-1661014400"/>
      </c:areaChart>
      <c:lineChart>
        <c:grouping val="standard"/>
        <c:varyColors val="0"/>
        <c:ser>
          <c:idx val="2"/>
          <c:order val="2"/>
          <c:tx>
            <c:v>Intervention scenario Line</c:v>
          </c:tx>
          <c:spPr>
            <a:ln w="28575">
              <a:solidFill>
                <a:srgbClr val="C00000"/>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[0]!NFCperTFCindexInt</c:f>
              <c:numCache>
                <c:formatCode>0.00</c:formatCode>
                <c:ptCount val="10"/>
                <c:pt idx="0">
                  <c:v>1</c:v>
                </c:pt>
                <c:pt idx="1">
                  <c:v>0.99887410317676362</c:v>
                </c:pt>
                <c:pt idx="2">
                  <c:v>0.93811122586414508</c:v>
                </c:pt>
                <c:pt idx="3">
                  <c:v>0.78820664022466103</c:v>
                </c:pt>
                <c:pt idx="4">
                  <c:v>0.64892776317560985</c:v>
                </c:pt>
                <c:pt idx="5">
                  <c:v>0.50147373966339359</c:v>
                </c:pt>
                <c:pt idx="6">
                  <c:v>0.36837916164552736</c:v>
                </c:pt>
                <c:pt idx="7">
                  <c:v>0.32848941615580363</c:v>
                </c:pt>
                <c:pt idx="8">
                  <c:v>0.3361243266801559</c:v>
                </c:pt>
                <c:pt idx="9">
                  <c:v>0.34500336472534404</c:v>
                </c:pt>
              </c:numCache>
            </c:numRef>
          </c:val>
          <c:smooth val="0"/>
          <c:extLst>
            <c:ext xmlns:c16="http://schemas.microsoft.com/office/drawing/2014/chart" uri="{C3380CC4-5D6E-409C-BE32-E72D297353CC}">
              <c16:uniqueId val="{00000002-099B-B342-8702-3D064D4378BB}"/>
            </c:ext>
          </c:extLst>
        </c:ser>
        <c:ser>
          <c:idx val="3"/>
          <c:order val="3"/>
          <c:tx>
            <c:v>reference scenario line</c:v>
          </c:tx>
          <c:spPr>
            <a:ln w="12700">
              <a:no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[0]!NFCperTFCindexRef</c:f>
              <c:numCache>
                <c:formatCode>0.00</c:formatCode>
                <c:ptCount val="10"/>
                <c:pt idx="0">
                  <c:v>1</c:v>
                </c:pt>
                <c:pt idx="1">
                  <c:v>1</c:v>
                </c:pt>
                <c:pt idx="2">
                  <c:v>1</c:v>
                </c:pt>
                <c:pt idx="3">
                  <c:v>1</c:v>
                </c:pt>
                <c:pt idx="4">
                  <c:v>1</c:v>
                </c:pt>
                <c:pt idx="5">
                  <c:v>1</c:v>
                </c:pt>
                <c:pt idx="6">
                  <c:v>1</c:v>
                </c:pt>
                <c:pt idx="7">
                  <c:v>1</c:v>
                </c:pt>
                <c:pt idx="8">
                  <c:v>1</c:v>
                </c:pt>
                <c:pt idx="9">
                  <c:v>1</c:v>
                </c:pt>
              </c:numCache>
            </c:numRef>
          </c:val>
          <c:smooth val="0"/>
          <c:extLst>
            <c:ext xmlns:c16="http://schemas.microsoft.com/office/drawing/2014/chart" uri="{C3380CC4-5D6E-409C-BE32-E72D297353CC}">
              <c16:uniqueId val="{00000003-099B-B342-8702-3D064D4378BB}"/>
            </c:ext>
          </c:extLst>
        </c:ser>
        <c:ser>
          <c:idx val="4"/>
          <c:order val="4"/>
          <c:tx>
            <c:v>(NFC-Biomass CCS)/TFC mit</c:v>
          </c:tx>
          <c:spPr>
            <a:ln>
              <a:solidFill>
                <a:srgbClr val="008000"/>
              </a:solidFill>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[0]!biomassCCSNFCIntindex</c:f>
              <c:numCache>
                <c:formatCode>0.00</c:formatCode>
                <c:ptCount val="10"/>
                <c:pt idx="0">
                  <c:v>1</c:v>
                </c:pt>
                <c:pt idx="1">
                  <c:v>0.99887410317676362</c:v>
                </c:pt>
                <c:pt idx="2">
                  <c:v>0.93811122576436023</c:v>
                </c:pt>
                <c:pt idx="3">
                  <c:v>0.78820663627824705</c:v>
                </c:pt>
                <c:pt idx="4">
                  <c:v>0.6489168348714428</c:v>
                </c:pt>
                <c:pt idx="5">
                  <c:v>0.50146352330175292</c:v>
                </c:pt>
                <c:pt idx="6">
                  <c:v>0.36837189999305697</c:v>
                </c:pt>
                <c:pt idx="7">
                  <c:v>0.3284835453174012</c:v>
                </c:pt>
                <c:pt idx="8">
                  <c:v>0.336118202296389</c:v>
                </c:pt>
                <c:pt idx="9">
                  <c:v>0.34496515970277836</c:v>
                </c:pt>
              </c:numCache>
            </c:numRef>
          </c:val>
          <c:smooth val="0"/>
          <c:extLst>
            <c:ext xmlns:c16="http://schemas.microsoft.com/office/drawing/2014/chart" uri="{C3380CC4-5D6E-409C-BE32-E72D297353CC}">
              <c16:uniqueId val="{00000004-099B-B342-8702-3D064D4378BB}"/>
            </c:ext>
          </c:extLst>
        </c:ser>
        <c:ser>
          <c:idx val="5"/>
          <c:order val="5"/>
          <c:marker>
            <c:symbol val="none"/>
          </c:marker>
          <c:val>
            <c:numRef>
              <c:f>ExpKayaFactorsRef!$E$11:$N$11</c:f>
              <c:numCache>
                <c:formatCode>0.00</c:formatCode>
                <c:ptCount val="10"/>
              </c:numCache>
            </c:numRef>
          </c:val>
          <c:smooth val="0"/>
          <c:extLst>
            <c:ext xmlns:c16="http://schemas.microsoft.com/office/drawing/2014/chart" uri="{C3380CC4-5D6E-409C-BE32-E72D297353CC}">
              <c16:uniqueId val="{00000000-ABB5-404A-B756-B319D62A9A02}"/>
            </c:ext>
          </c:extLst>
        </c:ser>
        <c:dLbls>
          <c:showLegendKey val="0"/>
          <c:showVal val="0"/>
          <c:showCatName val="0"/>
          <c:showSerName val="0"/>
          <c:showPercent val="0"/>
          <c:showBubbleSize val="0"/>
        </c:dLbls>
        <c:marker val="1"/>
        <c:smooth val="0"/>
        <c:axId val="-1661017152"/>
        <c:axId val="-1661014400"/>
      </c:lineChart>
      <c:catAx>
        <c:axId val="-1661017152"/>
        <c:scaling>
          <c:orientation val="minMax"/>
        </c:scaling>
        <c:delete val="0"/>
        <c:axPos val="b"/>
        <c:numFmt formatCode="General" sourceLinked="1"/>
        <c:majorTickMark val="none"/>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61014400"/>
        <c:crosses val="autoZero"/>
        <c:auto val="1"/>
        <c:lblAlgn val="ctr"/>
        <c:lblOffset val="100"/>
        <c:tickLblSkip val="9"/>
        <c:tickMarkSkip val="1"/>
        <c:noMultiLvlLbl val="0"/>
      </c:catAx>
      <c:valAx>
        <c:axId val="-1661014400"/>
        <c:scaling>
          <c:orientation val="minMax"/>
          <c:max val="2"/>
        </c:scaling>
        <c:delete val="0"/>
        <c:axPos val="l"/>
        <c:title>
          <c:tx>
            <c:rich>
              <a:bodyPr/>
              <a:lstStyle/>
              <a:p>
                <a:pPr>
                  <a:defRPr sz="800" b="0" i="0" u="none" strike="noStrike" baseline="0">
                    <a:solidFill>
                      <a:srgbClr val="000000"/>
                    </a:solidFill>
                    <a:latin typeface="Arial"/>
                    <a:ea typeface="Arial"/>
                    <a:cs typeface="Arial"/>
                  </a:defRPr>
                </a:pPr>
                <a:r>
                  <a:rPr lang="en-US"/>
                  <a:t>Fraction not sequestered (2010=1)</a:t>
                </a:r>
              </a:p>
            </c:rich>
          </c:tx>
          <c:layout>
            <c:manualLayout>
              <c:xMode val="edge"/>
              <c:yMode val="edge"/>
              <c:x val="3.4482874740283997E-2"/>
              <c:y val="0.160919427336294"/>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61017152"/>
        <c:crosses val="autoZero"/>
        <c:crossBetween val="midCat"/>
        <c:majorUnit val="0.5"/>
        <c:minorUnit val="0.25"/>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 verticalDpi="1200"/>
  </c:printSettings>
  <c:userShapes r:id="rId2"/>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000" b="1" i="0" u="none" strike="noStrike" baseline="0">
                <a:solidFill>
                  <a:srgbClr val="000000"/>
                </a:solidFill>
                <a:latin typeface="Arial"/>
                <a:ea typeface="Arial"/>
                <a:cs typeface="Arial"/>
              </a:defRPr>
            </a:pPr>
            <a:r>
              <a:rPr lang="en-US"/>
              <a:t>Fossil Fuel Fraction</a:t>
            </a:r>
          </a:p>
        </c:rich>
      </c:tx>
      <c:layout>
        <c:manualLayout>
          <c:xMode val="edge"/>
          <c:yMode val="edge"/>
          <c:x val="0.20188214376428801"/>
          <c:y val="7.7252843394575599E-3"/>
        </c:manualLayout>
      </c:layout>
      <c:overlay val="0"/>
      <c:spPr>
        <a:noFill/>
        <a:ln w="25400">
          <a:noFill/>
        </a:ln>
      </c:spPr>
    </c:title>
    <c:autoTitleDeleted val="0"/>
    <c:plotArea>
      <c:layout>
        <c:manualLayout>
          <c:layoutTarget val="inner"/>
          <c:xMode val="edge"/>
          <c:yMode val="edge"/>
          <c:x val="0.23102209804419599"/>
          <c:y val="0.16857305336832901"/>
          <c:w val="0.60189128778257595"/>
          <c:h val="0.67310892388451404"/>
        </c:manualLayout>
      </c:layout>
      <c:areaChart>
        <c:grouping val="stacked"/>
        <c:varyColors val="0"/>
        <c:ser>
          <c:idx val="0"/>
          <c:order val="0"/>
          <c:tx>
            <c:v>Reference case</c:v>
          </c:tx>
          <c:spPr>
            <a:noFill/>
            <a:ln w="12700">
              <a:noFill/>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[0]!PEffperPEdeqRef</c:f>
              <c:numCache>
                <c:formatCode>0.00</c:formatCode>
                <c:ptCount val="10"/>
                <c:pt idx="0">
                  <c:v>0.85060341362881065</c:v>
                </c:pt>
                <c:pt idx="1">
                  <c:v>0.84334185416428931</c:v>
                </c:pt>
                <c:pt idx="2">
                  <c:v>0.83494210452710382</c:v>
                </c:pt>
                <c:pt idx="3">
                  <c:v>0.81411340290131473</c:v>
                </c:pt>
                <c:pt idx="4">
                  <c:v>0.80889571916540337</c:v>
                </c:pt>
                <c:pt idx="5">
                  <c:v>0.82244693228204069</c:v>
                </c:pt>
                <c:pt idx="6">
                  <c:v>0.81311804509185615</c:v>
                </c:pt>
                <c:pt idx="7">
                  <c:v>0.79782071414392741</c:v>
                </c:pt>
                <c:pt idx="8">
                  <c:v>0.79045583960897325</c:v>
                </c:pt>
                <c:pt idx="9">
                  <c:v>0.78717489716685785</c:v>
                </c:pt>
              </c:numCache>
            </c:numRef>
          </c:val>
          <c:extLst>
            <c:ext xmlns:c16="http://schemas.microsoft.com/office/drawing/2014/chart" uri="{C3380CC4-5D6E-409C-BE32-E72D297353CC}">
              <c16:uniqueId val="{00000000-C2A5-7342-B649-6B1CAFA96D4D}"/>
            </c:ext>
          </c:extLst>
        </c:ser>
        <c:ser>
          <c:idx val="1"/>
          <c:order val="1"/>
          <c:tx>
            <c:v>Intervention case area</c:v>
          </c:tx>
          <c:spPr>
            <a:solidFill>
              <a:srgbClr val="A1F4FF"/>
            </a:solidFill>
            <a:ln>
              <a:solidFill>
                <a:sysClr val="windowText" lastClr="000000"/>
              </a:solidFill>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[0]!AreaPEff_PEdeq</c:f>
              <c:numCache>
                <c:formatCode>General</c:formatCode>
                <c:ptCount val="10"/>
                <c:pt idx="0">
                  <c:v>3.1979871566950591E-3</c:v>
                </c:pt>
                <c:pt idx="1">
                  <c:v>-4.361958020432366E-2</c:v>
                </c:pt>
                <c:pt idx="2">
                  <c:v>-9.9369734081787175E-2</c:v>
                </c:pt>
                <c:pt idx="3">
                  <c:v>-0.23822743642269384</c:v>
                </c:pt>
                <c:pt idx="4">
                  <c:v>-0.36468103521047573</c:v>
                </c:pt>
                <c:pt idx="5">
                  <c:v>-0.4081144752006704</c:v>
                </c:pt>
                <c:pt idx="6">
                  <c:v>-0.40234856035960159</c:v>
                </c:pt>
                <c:pt idx="7">
                  <c:v>-0.43131170357172749</c:v>
                </c:pt>
                <c:pt idx="8">
                  <c:v>-0.46524027429255393</c:v>
                </c:pt>
                <c:pt idx="9">
                  <c:v>-0.47313182119195707</c:v>
                </c:pt>
              </c:numCache>
            </c:numRef>
          </c:val>
          <c:extLst>
            <c:ext xmlns:c16="http://schemas.microsoft.com/office/drawing/2014/chart" uri="{C3380CC4-5D6E-409C-BE32-E72D297353CC}">
              <c16:uniqueId val="{00000001-C2A5-7342-B649-6B1CAFA96D4D}"/>
            </c:ext>
          </c:extLst>
        </c:ser>
        <c:dLbls>
          <c:showLegendKey val="0"/>
          <c:showVal val="0"/>
          <c:showCatName val="0"/>
          <c:showSerName val="0"/>
          <c:showPercent val="0"/>
          <c:showBubbleSize val="0"/>
        </c:dLbls>
        <c:axId val="-1765598496"/>
        <c:axId val="-1765596176"/>
      </c:areaChart>
      <c:lineChart>
        <c:grouping val="standard"/>
        <c:varyColors val="0"/>
        <c:ser>
          <c:idx val="2"/>
          <c:order val="2"/>
          <c:tx>
            <c:v>Line for Intervention Case</c:v>
          </c:tx>
          <c:spPr>
            <a:ln w="25400">
              <a:solidFill>
                <a:srgbClr val="FF0000"/>
              </a:solidFill>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[0]!PEffperPEdeqInt</c:f>
              <c:numCache>
                <c:formatCode>0.00</c:formatCode>
                <c:ptCount val="10"/>
                <c:pt idx="0">
                  <c:v>0.8538014007855057</c:v>
                </c:pt>
                <c:pt idx="1">
                  <c:v>0.79972227395996565</c:v>
                </c:pt>
                <c:pt idx="2">
                  <c:v>0.73557237044531665</c:v>
                </c:pt>
                <c:pt idx="3">
                  <c:v>0.57588596647862089</c:v>
                </c:pt>
                <c:pt idx="4">
                  <c:v>0.44421468395492764</c:v>
                </c:pt>
                <c:pt idx="5">
                  <c:v>0.41433245708137029</c:v>
                </c:pt>
                <c:pt idx="6">
                  <c:v>0.41076948473225455</c:v>
                </c:pt>
                <c:pt idx="7">
                  <c:v>0.36650901057219992</c:v>
                </c:pt>
                <c:pt idx="8">
                  <c:v>0.32521556531641932</c:v>
                </c:pt>
                <c:pt idx="9">
                  <c:v>0.31404307597490078</c:v>
                </c:pt>
              </c:numCache>
            </c:numRef>
          </c:val>
          <c:smooth val="0"/>
          <c:extLst>
            <c:ext xmlns:c16="http://schemas.microsoft.com/office/drawing/2014/chart" uri="{C3380CC4-5D6E-409C-BE32-E72D297353CC}">
              <c16:uniqueId val="{00000002-C2A5-7342-B649-6B1CAFA96D4D}"/>
            </c:ext>
          </c:extLst>
        </c:ser>
        <c:ser>
          <c:idx val="3"/>
          <c:order val="3"/>
          <c:tx>
            <c:v>proj1</c:v>
          </c:tx>
          <c:spPr>
            <a:ln>
              <a:solidFill>
                <a:srgbClr val="3C8105"/>
              </a:solid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[0]!PEffperPEdeqproj1</c:f>
              <c:numCache>
                <c:formatCode>General</c:formatCode>
                <c:ptCount val="10"/>
                <c:pt idx="0">
                  <c:v>0.85060341362881065</c:v>
                </c:pt>
                <c:pt idx="1">
                  <c:v>0.84706826558057302</c:v>
                </c:pt>
                <c:pt idx="2">
                  <c:v>0.84354780977495125</c:v>
                </c:pt>
                <c:pt idx="3">
                  <c:v>0.84004198515028972</c:v>
                </c:pt>
                <c:pt idx="4">
                  <c:v>0.83655073089870768</c:v>
                </c:pt>
                <c:pt idx="5">
                  <c:v>0.83307398646504505</c:v>
                </c:pt>
                <c:pt idx="6">
                  <c:v>0.82961169154581182</c:v>
                </c:pt>
                <c:pt idx="7">
                  <c:v>0.826163786088142</c:v>
                </c:pt>
                <c:pt idx="8">
                  <c:v>0.82273021028875226</c:v>
                </c:pt>
                <c:pt idx="9">
                  <c:v>0.81931090459290457</c:v>
                </c:pt>
              </c:numCache>
            </c:numRef>
          </c:val>
          <c:smooth val="0"/>
          <c:extLst>
            <c:ext xmlns:c16="http://schemas.microsoft.com/office/drawing/2014/chart" uri="{C3380CC4-5D6E-409C-BE32-E72D297353CC}">
              <c16:uniqueId val="{00000003-C2A5-7342-B649-6B1CAFA96D4D}"/>
            </c:ext>
          </c:extLst>
        </c:ser>
        <c:ser>
          <c:idx val="4"/>
          <c:order val="4"/>
          <c:tx>
            <c:v>proj2</c:v>
          </c:tx>
          <c:spPr>
            <a:ln>
              <a:solidFill>
                <a:srgbClr val="3465FC"/>
              </a:solid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[0]!PEffperPEdeqproj2</c:f>
              <c:numCache>
                <c:formatCode>General</c:formatCode>
                <c:ptCount val="10"/>
                <c:pt idx="0">
                  <c:v>0.85060341362881065</c:v>
                </c:pt>
                <c:pt idx="1">
                  <c:v>0.85068418545405555</c:v>
                </c:pt>
                <c:pt idx="2">
                  <c:v>0.85076496494925291</c:v>
                </c:pt>
                <c:pt idx="3">
                  <c:v>0.85084575211513103</c:v>
                </c:pt>
                <c:pt idx="4">
                  <c:v>0.85092654695241832</c:v>
                </c:pt>
                <c:pt idx="5">
                  <c:v>0.85100734946184331</c:v>
                </c:pt>
                <c:pt idx="6">
                  <c:v>0.85108815964413442</c:v>
                </c:pt>
                <c:pt idx="7">
                  <c:v>0.85116897750002041</c:v>
                </c:pt>
                <c:pt idx="8">
                  <c:v>0.85124980303022979</c:v>
                </c:pt>
                <c:pt idx="9">
                  <c:v>0.85133063623549143</c:v>
                </c:pt>
              </c:numCache>
            </c:numRef>
          </c:val>
          <c:smooth val="0"/>
          <c:extLst>
            <c:ext xmlns:c16="http://schemas.microsoft.com/office/drawing/2014/chart" uri="{C3380CC4-5D6E-409C-BE32-E72D297353CC}">
              <c16:uniqueId val="{00000004-C2A5-7342-B649-6B1CAFA96D4D}"/>
            </c:ext>
          </c:extLst>
        </c:ser>
        <c:dLbls>
          <c:showLegendKey val="0"/>
          <c:showVal val="0"/>
          <c:showCatName val="0"/>
          <c:showSerName val="0"/>
          <c:showPercent val="0"/>
          <c:showBubbleSize val="0"/>
        </c:dLbls>
        <c:marker val="1"/>
        <c:smooth val="0"/>
        <c:axId val="-1765598496"/>
        <c:axId val="-1765596176"/>
      </c:lineChart>
      <c:catAx>
        <c:axId val="-1765598496"/>
        <c:scaling>
          <c:orientation val="minMax"/>
        </c:scaling>
        <c:delete val="0"/>
        <c:axPos val="b"/>
        <c:numFmt formatCode="General" sourceLinked="1"/>
        <c:majorTickMark val="none"/>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5596176"/>
        <c:crosses val="autoZero"/>
        <c:auto val="1"/>
        <c:lblAlgn val="ctr"/>
        <c:lblOffset val="100"/>
        <c:tickLblSkip val="9"/>
        <c:tickMarkSkip val="1"/>
        <c:noMultiLvlLbl val="0"/>
      </c:catAx>
      <c:valAx>
        <c:axId val="-1765596176"/>
        <c:scaling>
          <c:orientation val="minMax"/>
          <c:max val="3"/>
          <c:min val="0"/>
        </c:scaling>
        <c:delete val="0"/>
        <c:axPos val="l"/>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800" b="0" i="0" u="none" strike="noStrike" kern="1200" baseline="0">
                    <a:solidFill>
                      <a:srgbClr val="000000"/>
                    </a:solidFill>
                    <a:latin typeface="Arial"/>
                    <a:ea typeface="Arial"/>
                    <a:cs typeface="Arial"/>
                  </a:defRPr>
                </a:pPr>
                <a:r>
                  <a:rPr lang="en-US" sz="800" b="0" i="0" kern="1200" baseline="0">
                    <a:solidFill>
                      <a:srgbClr val="000000"/>
                    </a:solidFill>
                    <a:effectLst/>
                    <a:latin typeface="Arial" panose="020B0604020202020204" pitchFamily="34" charset="0"/>
                    <a:ea typeface="Arial" panose="020B0604020202020204" pitchFamily="34" charset="0"/>
                    <a:cs typeface="Arial" panose="020B0604020202020204" pitchFamily="34" charset="0"/>
                  </a:rPr>
                  <a:t>PE Fossil/PE</a:t>
                </a:r>
                <a:r>
                  <a:rPr lang="en-US" sz="800" b="0" i="0" kern="1200" baseline="0">
                    <a:solidFill>
                      <a:srgbClr val="FFFFFF"/>
                    </a:solidFill>
                    <a:effectLst/>
                    <a:latin typeface="Arial" panose="020B0604020202020204" pitchFamily="34" charset="0"/>
                    <a:ea typeface="Arial" panose="020B0604020202020204" pitchFamily="34" charset="0"/>
                    <a:cs typeface="Arial" panose="020B0604020202020204" pitchFamily="34" charset="0"/>
                  </a:rPr>
                  <a:t>.</a:t>
                </a:r>
                <a:endParaRPr lang="en-US">
                  <a:effectLst/>
                </a:endParaRPr>
              </a:p>
              <a:p>
                <a:pPr marL="0" marR="0" lvl="0" indent="0" algn="ctr" defTabSz="914400" rtl="0" eaLnBrk="1" fontAlgn="auto" latinLnBrk="0" hangingPunct="1">
                  <a:lnSpc>
                    <a:spcPct val="100000"/>
                  </a:lnSpc>
                  <a:spcBef>
                    <a:spcPts val="0"/>
                  </a:spcBef>
                  <a:spcAft>
                    <a:spcPts val="0"/>
                  </a:spcAft>
                  <a:buClrTx/>
                  <a:buSzTx/>
                  <a:buFontTx/>
                  <a:buNone/>
                  <a:tabLst/>
                  <a:defRPr sz="800" b="0" i="0" u="none" strike="noStrike" kern="1200" baseline="0">
                    <a:solidFill>
                      <a:srgbClr val="000000"/>
                    </a:solidFill>
                    <a:latin typeface="Arial"/>
                    <a:ea typeface="Arial"/>
                    <a:cs typeface="Arial"/>
                  </a:defRPr>
                </a:pPr>
                <a:endParaRPr lang="en-US"/>
              </a:p>
            </c:rich>
          </c:tx>
          <c:layout>
            <c:manualLayout>
              <c:xMode val="edge"/>
              <c:yMode val="edge"/>
              <c:x val="3.472237294449175E-2"/>
              <c:y val="0.35009842519685042"/>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5598496"/>
        <c:crosses val="autoZero"/>
        <c:crossBetween val="midCat"/>
        <c:majorUnit val="1"/>
        <c:minorUnit val="0.05"/>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 verticalDpi="1200"/>
  </c:printSettings>
  <c:userShapes r:id="rId2"/>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000" b="1" i="0" u="none" strike="noStrike" baseline="0">
                <a:solidFill>
                  <a:srgbClr val="000000"/>
                </a:solidFill>
                <a:latin typeface="Arial"/>
                <a:ea typeface="Arial"/>
                <a:cs typeface="Arial"/>
              </a:defRPr>
            </a:pPr>
            <a:r>
              <a:rPr lang="en-US"/>
              <a:t>Carbon Intensity of </a:t>
            </a:r>
          </a:p>
          <a:p>
            <a:pPr>
              <a:defRPr sz="1000" b="1" i="0" u="none" strike="noStrike" baseline="0">
                <a:solidFill>
                  <a:srgbClr val="000000"/>
                </a:solidFill>
                <a:latin typeface="Arial"/>
                <a:ea typeface="Arial"/>
                <a:cs typeface="Arial"/>
              </a:defRPr>
            </a:pPr>
            <a:r>
              <a:rPr lang="en-US"/>
              <a:t>Fossil Energy Supply</a:t>
            </a:r>
          </a:p>
        </c:rich>
      </c:tx>
      <c:layout>
        <c:manualLayout>
          <c:xMode val="edge"/>
          <c:yMode val="edge"/>
          <c:x val="0.206672085344171"/>
          <c:y val="4.4685039370078701E-3"/>
        </c:manualLayout>
      </c:layout>
      <c:overlay val="0"/>
      <c:spPr>
        <a:noFill/>
        <a:ln w="25400">
          <a:noFill/>
        </a:ln>
      </c:spPr>
    </c:title>
    <c:autoTitleDeleted val="0"/>
    <c:plotArea>
      <c:layout>
        <c:manualLayout>
          <c:layoutTarget val="inner"/>
          <c:xMode val="edge"/>
          <c:yMode val="edge"/>
          <c:x val="0.22721971043942099"/>
          <c:y val="0.167512248468941"/>
          <c:w val="0.60393141986284005"/>
          <c:h val="0.67053193350831097"/>
        </c:manualLayout>
      </c:layout>
      <c:areaChart>
        <c:grouping val="stacked"/>
        <c:varyColors val="0"/>
        <c:ser>
          <c:idx val="2"/>
          <c:order val="0"/>
          <c:tx>
            <c:v>Reference case</c:v>
          </c:tx>
          <c:spPr>
            <a:noFill/>
            <a:ln>
              <a:noFill/>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[0]!TFCperPEffRef</c:f>
              <c:numCache>
                <c:formatCode>0.00</c:formatCode>
                <c:ptCount val="10"/>
                <c:pt idx="0">
                  <c:v>70.809223457492806</c:v>
                </c:pt>
                <c:pt idx="1">
                  <c:v>72.66908654603688</c:v>
                </c:pt>
                <c:pt idx="2">
                  <c:v>72.890883419106402</c:v>
                </c:pt>
                <c:pt idx="3">
                  <c:v>72.567464850194185</c:v>
                </c:pt>
                <c:pt idx="4">
                  <c:v>72.266403819653618</c:v>
                </c:pt>
                <c:pt idx="5">
                  <c:v>71.675915512519595</c:v>
                </c:pt>
                <c:pt idx="6">
                  <c:v>72.396571674596771</c:v>
                </c:pt>
                <c:pt idx="7">
                  <c:v>73.244974333014838</c:v>
                </c:pt>
                <c:pt idx="8">
                  <c:v>74.641929933170829</c:v>
                </c:pt>
                <c:pt idx="9">
                  <c:v>76.434424487093352</c:v>
                </c:pt>
              </c:numCache>
            </c:numRef>
          </c:val>
          <c:extLst>
            <c:ext xmlns:c16="http://schemas.microsoft.com/office/drawing/2014/chart" uri="{C3380CC4-5D6E-409C-BE32-E72D297353CC}">
              <c16:uniqueId val="{00000000-0903-5B43-AAC3-9DAEABFC576D}"/>
            </c:ext>
          </c:extLst>
        </c:ser>
        <c:ser>
          <c:idx val="0"/>
          <c:order val="1"/>
          <c:tx>
            <c:v>Area for Intervention case</c:v>
          </c:tx>
          <c:spPr>
            <a:solidFill>
              <a:srgbClr val="A1F4FF"/>
            </a:solidFill>
            <a:ln>
              <a:solidFill>
                <a:sysClr val="windowText" lastClr="000000"/>
              </a:solidFill>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[0]!AreaTFC_PEff</c:f>
              <c:numCache>
                <c:formatCode>General</c:formatCode>
                <c:ptCount val="10"/>
                <c:pt idx="0">
                  <c:v>-7.9784689616602122E-2</c:v>
                </c:pt>
                <c:pt idx="1">
                  <c:v>-1.550721921012439</c:v>
                </c:pt>
                <c:pt idx="2">
                  <c:v>-5.1165558608221318</c:v>
                </c:pt>
                <c:pt idx="3">
                  <c:v>-11.641991596812929</c:v>
                </c:pt>
                <c:pt idx="4">
                  <c:v>-16.767401104898781</c:v>
                </c:pt>
                <c:pt idx="5">
                  <c:v>-17.066709887682741</c:v>
                </c:pt>
                <c:pt idx="6">
                  <c:v>-17.59038922905799</c:v>
                </c:pt>
                <c:pt idx="7">
                  <c:v>-19.31826626994701</c:v>
                </c:pt>
                <c:pt idx="8">
                  <c:v>-20.298678490516359</c:v>
                </c:pt>
                <c:pt idx="9">
                  <c:v>-20.029947772067366</c:v>
                </c:pt>
              </c:numCache>
            </c:numRef>
          </c:val>
          <c:extLst>
            <c:ext xmlns:c16="http://schemas.microsoft.com/office/drawing/2014/chart" uri="{C3380CC4-5D6E-409C-BE32-E72D297353CC}">
              <c16:uniqueId val="{00000001-0903-5B43-AAC3-9DAEABFC576D}"/>
            </c:ext>
          </c:extLst>
        </c:ser>
        <c:dLbls>
          <c:showLegendKey val="0"/>
          <c:showVal val="0"/>
          <c:showCatName val="0"/>
          <c:showSerName val="0"/>
          <c:showPercent val="0"/>
          <c:showBubbleSize val="0"/>
        </c:dLbls>
        <c:axId val="-1665764288"/>
        <c:axId val="-1686207616"/>
      </c:areaChart>
      <c:lineChart>
        <c:grouping val="standard"/>
        <c:varyColors val="0"/>
        <c:ser>
          <c:idx val="1"/>
          <c:order val="2"/>
          <c:tx>
            <c:v>Line for Intervention Case</c:v>
          </c:tx>
          <c:spPr>
            <a:ln w="19050">
              <a:solidFill>
                <a:srgbClr val="FF0000"/>
              </a:solidFill>
            </a:ln>
          </c:spPr>
          <c:marker>
            <c:symbol val="none"/>
          </c:marker>
          <c:val>
            <c:numRef>
              <c:f>[0]!TFCperPEffInt</c:f>
              <c:numCache>
                <c:formatCode>0.00</c:formatCode>
                <c:ptCount val="10"/>
                <c:pt idx="0">
                  <c:v>70.729438767876204</c:v>
                </c:pt>
                <c:pt idx="1">
                  <c:v>71.118364625024441</c:v>
                </c:pt>
                <c:pt idx="2">
                  <c:v>67.77432755828427</c:v>
                </c:pt>
                <c:pt idx="3">
                  <c:v>60.925473253381256</c:v>
                </c:pt>
                <c:pt idx="4">
                  <c:v>55.499002714754837</c:v>
                </c:pt>
                <c:pt idx="5">
                  <c:v>54.609205624836854</c:v>
                </c:pt>
                <c:pt idx="6">
                  <c:v>54.806182445538781</c:v>
                </c:pt>
                <c:pt idx="7">
                  <c:v>53.926708063067828</c:v>
                </c:pt>
                <c:pt idx="8">
                  <c:v>54.34325144265447</c:v>
                </c:pt>
                <c:pt idx="9">
                  <c:v>56.404476715025986</c:v>
                </c:pt>
              </c:numCache>
            </c:numRef>
          </c:val>
          <c:smooth val="0"/>
          <c:extLst>
            <c:ext xmlns:c16="http://schemas.microsoft.com/office/drawing/2014/chart" uri="{C3380CC4-5D6E-409C-BE32-E72D297353CC}">
              <c16:uniqueId val="{00000002-0903-5B43-AAC3-9DAEABFC576D}"/>
            </c:ext>
          </c:extLst>
        </c:ser>
        <c:ser>
          <c:idx val="3"/>
          <c:order val="3"/>
          <c:tx>
            <c:v>proj1</c:v>
          </c:tx>
          <c:spPr>
            <a:ln>
              <a:solidFill>
                <a:srgbClr val="3C8105"/>
              </a:solidFill>
              <a:prstDash val="sysDash"/>
            </a:ln>
          </c:spPr>
          <c:marker>
            <c:symbol val="none"/>
          </c:marker>
          <c:val>
            <c:numRef>
              <c:f>[0]!TFCperPEffproj1</c:f>
              <c:numCache>
                <c:formatCode>General</c:formatCode>
                <c:ptCount val="10"/>
                <c:pt idx="0">
                  <c:v>70.809223457492806</c:v>
                </c:pt>
                <c:pt idx="1">
                  <c:v>71.910967609571813</c:v>
                </c:pt>
                <c:pt idx="2">
                  <c:v>73.0298541636907</c:v>
                </c:pt>
                <c:pt idx="3">
                  <c:v>74.166149844158511</c:v>
                </c:pt>
                <c:pt idx="4">
                  <c:v>75.32012552533611</c:v>
                </c:pt>
                <c:pt idx="5">
                  <c:v>76.492056296208219</c:v>
                </c:pt>
                <c:pt idx="6">
                  <c:v>77.682221525960188</c:v>
                </c:pt>
                <c:pt idx="7">
                  <c:v>78.890904930574976</c:v>
                </c:pt>
                <c:pt idx="8">
                  <c:v>80.118394640466491</c:v>
                </c:pt>
                <c:pt idx="9">
                  <c:v>81.364983269165137</c:v>
                </c:pt>
              </c:numCache>
            </c:numRef>
          </c:val>
          <c:smooth val="0"/>
          <c:extLst>
            <c:ext xmlns:c16="http://schemas.microsoft.com/office/drawing/2014/chart" uri="{C3380CC4-5D6E-409C-BE32-E72D297353CC}">
              <c16:uniqueId val="{00000003-0903-5B43-AAC3-9DAEABFC576D}"/>
            </c:ext>
          </c:extLst>
        </c:ser>
        <c:ser>
          <c:idx val="4"/>
          <c:order val="4"/>
          <c:tx>
            <c:v>proj2</c:v>
          </c:tx>
          <c:spPr>
            <a:ln>
              <a:solidFill>
                <a:srgbClr val="3465FC"/>
              </a:solidFill>
              <a:prstDash val="sysDash"/>
            </a:ln>
          </c:spPr>
          <c:marker>
            <c:symbol val="none"/>
          </c:marker>
          <c:val>
            <c:numRef>
              <c:f>[0]!TFCperPEffproj2</c:f>
              <c:numCache>
                <c:formatCode>General</c:formatCode>
                <c:ptCount val="10"/>
                <c:pt idx="0">
                  <c:v>70.809223457492806</c:v>
                </c:pt>
                <c:pt idx="1">
                  <c:v>71.361846417496551</c:v>
                </c:pt>
                <c:pt idx="2">
                  <c:v>71.91878226388728</c:v>
                </c:pt>
                <c:pt idx="3">
                  <c:v>72.480064656122423</c:v>
                </c:pt>
                <c:pt idx="4">
                  <c:v>73.045727516350993</c:v>
                </c:pt>
                <c:pt idx="5">
                  <c:v>73.615805031463765</c:v>
                </c:pt>
                <c:pt idx="6">
                  <c:v>74.19033165515944</c:v>
                </c:pt>
                <c:pt idx="7">
                  <c:v>74.769342110026884</c:v>
                </c:pt>
                <c:pt idx="8">
                  <c:v>75.352871389643681</c:v>
                </c:pt>
                <c:pt idx="9">
                  <c:v>75.940954760691014</c:v>
                </c:pt>
              </c:numCache>
            </c:numRef>
          </c:val>
          <c:smooth val="0"/>
          <c:extLst>
            <c:ext xmlns:c16="http://schemas.microsoft.com/office/drawing/2014/chart" uri="{C3380CC4-5D6E-409C-BE32-E72D297353CC}">
              <c16:uniqueId val="{00000004-0903-5B43-AAC3-9DAEABFC576D}"/>
            </c:ext>
          </c:extLst>
        </c:ser>
        <c:dLbls>
          <c:showLegendKey val="0"/>
          <c:showVal val="0"/>
          <c:showCatName val="0"/>
          <c:showSerName val="0"/>
          <c:showPercent val="0"/>
          <c:showBubbleSize val="0"/>
        </c:dLbls>
        <c:marker val="1"/>
        <c:smooth val="0"/>
        <c:axId val="-1665764288"/>
        <c:axId val="-1686207616"/>
      </c:lineChart>
      <c:catAx>
        <c:axId val="-1665764288"/>
        <c:scaling>
          <c:orientation val="minMax"/>
        </c:scaling>
        <c:delete val="0"/>
        <c:axPos val="b"/>
        <c:numFmt formatCode="General" sourceLinked="1"/>
        <c:majorTickMark val="none"/>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86207616"/>
        <c:crosses val="autoZero"/>
        <c:auto val="1"/>
        <c:lblAlgn val="ctr"/>
        <c:lblOffset val="100"/>
        <c:tickLblSkip val="9"/>
        <c:tickMarkSkip val="1"/>
        <c:noMultiLvlLbl val="0"/>
      </c:catAx>
      <c:valAx>
        <c:axId val="-1686207616"/>
        <c:scaling>
          <c:orientation val="minMax"/>
          <c:min val="0"/>
        </c:scaling>
        <c:delete val="0"/>
        <c:axPos val="l"/>
        <c:title>
          <c:tx>
            <c:rich>
              <a:bodyPr/>
              <a:lstStyle/>
              <a:p>
                <a:pPr>
                  <a:defRPr sz="800" b="0" i="0" u="none" strike="noStrike" baseline="0">
                    <a:solidFill>
                      <a:srgbClr val="000000"/>
                    </a:solidFill>
                    <a:latin typeface="Arial"/>
                    <a:ea typeface="Arial"/>
                    <a:cs typeface="Arial"/>
                  </a:defRPr>
                </a:pPr>
                <a:r>
                  <a:rPr lang="en-US"/>
                  <a:t>CO2 per unit of fossil PE (MtCO2/EJ)</a:t>
                </a:r>
              </a:p>
            </c:rich>
          </c:tx>
          <c:layout>
            <c:manualLayout>
              <c:xMode val="edge"/>
              <c:yMode val="edge"/>
              <c:x val="1.9883415735823702E-3"/>
              <c:y val="0.1084540682414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65764288"/>
        <c:crosses val="autoZero"/>
        <c:crossBetween val="midCat"/>
        <c:majorUnit val="100"/>
        <c:minorUnit val="9.73512470242269E-2"/>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 verticalDpi="1200"/>
  </c:printSettings>
  <c:userShapes r:id="rId2"/>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000" b="1" i="0" u="none" strike="noStrike" baseline="0">
                <a:solidFill>
                  <a:srgbClr val="000000"/>
                </a:solidFill>
                <a:latin typeface="Arial"/>
                <a:ea typeface="Arial"/>
                <a:cs typeface="Arial"/>
              </a:defRPr>
            </a:pPr>
            <a:r>
              <a:rPr lang="en-US"/>
              <a:t>Energy Intensity</a:t>
            </a:r>
          </a:p>
          <a:p>
            <a:pPr>
              <a:defRPr sz="1000" b="1" i="0" u="none" strike="noStrike" baseline="0">
                <a:solidFill>
                  <a:srgbClr val="000000"/>
                </a:solidFill>
                <a:latin typeface="Arial"/>
                <a:ea typeface="Arial"/>
                <a:cs typeface="Arial"/>
              </a:defRPr>
            </a:pPr>
            <a:r>
              <a:rPr lang="en-US"/>
              <a:t>of Economic Activity</a:t>
            </a:r>
          </a:p>
        </c:rich>
      </c:tx>
      <c:layout>
        <c:manualLayout>
          <c:xMode val="edge"/>
          <c:yMode val="edge"/>
          <c:x val="0.184024384048768"/>
          <c:y val="8.1504811898512695E-3"/>
        </c:manualLayout>
      </c:layout>
      <c:overlay val="0"/>
      <c:spPr>
        <a:noFill/>
        <a:ln w="25400">
          <a:noFill/>
        </a:ln>
      </c:spPr>
    </c:title>
    <c:autoTitleDeleted val="0"/>
    <c:plotArea>
      <c:layout>
        <c:manualLayout>
          <c:layoutTarget val="inner"/>
          <c:xMode val="edge"/>
          <c:yMode val="edge"/>
          <c:x val="0.23146558293116601"/>
          <c:y val="0.16513692038495201"/>
          <c:w val="0.60144780289560595"/>
          <c:h val="0.68047375328084003"/>
        </c:manualLayout>
      </c:layout>
      <c:areaChart>
        <c:grouping val="stacked"/>
        <c:varyColors val="0"/>
        <c:ser>
          <c:idx val="0"/>
          <c:order val="0"/>
          <c:tx>
            <c:v>Reference case</c:v>
          </c:tx>
          <c:spPr>
            <a:noFill/>
            <a:ln w="12700">
              <a:noFill/>
              <a:prstDash val="solid"/>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[0]!FEperGWPRef</c:f>
              <c:numCache>
                <c:formatCode>0.00</c:formatCode>
                <c:ptCount val="10"/>
                <c:pt idx="0">
                  <c:v>4.8881986641254178</c:v>
                </c:pt>
                <c:pt idx="1">
                  <c:v>3.785090672076461</c:v>
                </c:pt>
                <c:pt idx="2">
                  <c:v>3.0096676660541926</c:v>
                </c:pt>
                <c:pt idx="3">
                  <c:v>2.6137239853503771</c:v>
                </c:pt>
                <c:pt idx="4">
                  <c:v>2.3365353266329931</c:v>
                </c:pt>
                <c:pt idx="5">
                  <c:v>2.1328361375101297</c:v>
                </c:pt>
                <c:pt idx="6">
                  <c:v>1.9288233877938881</c:v>
                </c:pt>
                <c:pt idx="7">
                  <c:v>1.7411165660960337</c:v>
                </c:pt>
                <c:pt idx="8">
                  <c:v>1.5625579324616352</c:v>
                </c:pt>
                <c:pt idx="9">
                  <c:v>1.4049040446769456</c:v>
                </c:pt>
              </c:numCache>
            </c:numRef>
          </c:val>
          <c:extLst>
            <c:ext xmlns:c16="http://schemas.microsoft.com/office/drawing/2014/chart" uri="{C3380CC4-5D6E-409C-BE32-E72D297353CC}">
              <c16:uniqueId val="{00000000-0CBA-3349-8216-FB313E82BC64}"/>
            </c:ext>
          </c:extLst>
        </c:ser>
        <c:ser>
          <c:idx val="1"/>
          <c:order val="1"/>
          <c:tx>
            <c:v>Area for Intervention Case</c:v>
          </c:tx>
          <c:spPr>
            <a:solidFill>
              <a:srgbClr val="A1F4FF"/>
            </a:solidFill>
            <a:ln w="12700">
              <a:solidFill>
                <a:sysClr val="windowText" lastClr="000000"/>
              </a:solidFill>
              <a:prstDash val="solid"/>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[0]!AreaFE_GWP</c:f>
              <c:numCache>
                <c:formatCode>General</c:formatCode>
                <c:ptCount val="10"/>
                <c:pt idx="0">
                  <c:v>-3.6238207059846594E-2</c:v>
                </c:pt>
                <c:pt idx="1">
                  <c:v>-0.52074628461391992</c:v>
                </c:pt>
                <c:pt idx="2">
                  <c:v>-1.1096523313866664</c:v>
                </c:pt>
                <c:pt idx="3">
                  <c:v>-1.2775922563444095</c:v>
                </c:pt>
                <c:pt idx="4">
                  <c:v>-1.2066708614458439</c:v>
                </c:pt>
                <c:pt idx="5">
                  <c:v>-1.1102322646115246</c:v>
                </c:pt>
                <c:pt idx="6">
                  <c:v>-0.99626823755812655</c:v>
                </c:pt>
                <c:pt idx="7">
                  <c:v>-0.88050723621183091</c:v>
                </c:pt>
                <c:pt idx="8">
                  <c:v>-0.77129137120975666</c:v>
                </c:pt>
                <c:pt idx="9">
                  <c:v>-0.67205904477120171</c:v>
                </c:pt>
              </c:numCache>
            </c:numRef>
          </c:val>
          <c:extLst>
            <c:ext xmlns:c16="http://schemas.microsoft.com/office/drawing/2014/chart" uri="{C3380CC4-5D6E-409C-BE32-E72D297353CC}">
              <c16:uniqueId val="{00000001-0CBA-3349-8216-FB313E82BC64}"/>
            </c:ext>
          </c:extLst>
        </c:ser>
        <c:dLbls>
          <c:showLegendKey val="0"/>
          <c:showVal val="0"/>
          <c:showCatName val="0"/>
          <c:showSerName val="0"/>
          <c:showPercent val="0"/>
          <c:showBubbleSize val="0"/>
        </c:dLbls>
        <c:axId val="-1686220624"/>
        <c:axId val="-1686208784"/>
      </c:areaChart>
      <c:lineChart>
        <c:grouping val="standard"/>
        <c:varyColors val="0"/>
        <c:ser>
          <c:idx val="2"/>
          <c:order val="2"/>
          <c:tx>
            <c:v>Line for Intervention Case</c:v>
          </c:tx>
          <c:spPr>
            <a:ln w="28575">
              <a:solidFill>
                <a:srgbClr val="C00000"/>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[0]!FEperGWPInt</c:f>
              <c:numCache>
                <c:formatCode>0.00</c:formatCode>
                <c:ptCount val="10"/>
                <c:pt idx="0">
                  <c:v>4.8519604570655712</c:v>
                </c:pt>
                <c:pt idx="1">
                  <c:v>3.2643443874625411</c:v>
                </c:pt>
                <c:pt idx="2">
                  <c:v>1.9000153346675261</c:v>
                </c:pt>
                <c:pt idx="3">
                  <c:v>1.3361317290059675</c:v>
                </c:pt>
                <c:pt idx="4">
                  <c:v>1.1298644651871492</c:v>
                </c:pt>
                <c:pt idx="5">
                  <c:v>1.0226038728986051</c:v>
                </c:pt>
                <c:pt idx="6">
                  <c:v>0.93255515023576152</c:v>
                </c:pt>
                <c:pt idx="7">
                  <c:v>0.8606093298842028</c:v>
                </c:pt>
                <c:pt idx="8">
                  <c:v>0.79126656125187855</c:v>
                </c:pt>
                <c:pt idx="9">
                  <c:v>0.73284499990574392</c:v>
                </c:pt>
              </c:numCache>
            </c:numRef>
          </c:val>
          <c:smooth val="0"/>
          <c:extLst>
            <c:ext xmlns:c16="http://schemas.microsoft.com/office/drawing/2014/chart" uri="{C3380CC4-5D6E-409C-BE32-E72D297353CC}">
              <c16:uniqueId val="{00000002-0CBA-3349-8216-FB313E82BC64}"/>
            </c:ext>
          </c:extLst>
        </c:ser>
        <c:ser>
          <c:idx val="3"/>
          <c:order val="3"/>
          <c:tx>
            <c:v>proj1</c:v>
          </c:tx>
          <c:spPr>
            <a:ln w="19050" cmpd="sng">
              <a:solidFill>
                <a:srgbClr val="008000"/>
              </a:solid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[0]!FEperGWPproj1</c:f>
              <c:numCache>
                <c:formatCode>General</c:formatCode>
                <c:ptCount val="10"/>
                <c:pt idx="0">
                  <c:v>4.8881986641254178</c:v>
                </c:pt>
                <c:pt idx="1">
                  <c:v>4.5058444116278009</c:v>
                </c:pt>
                <c:pt idx="2">
                  <c:v>4.1533978581514903</c:v>
                </c:pt>
                <c:pt idx="3">
                  <c:v>3.828519627437672</c:v>
                </c:pt>
                <c:pt idx="4">
                  <c:v>3.5290533289288546</c:v>
                </c:pt>
                <c:pt idx="5">
                  <c:v>3.2530112446515291</c:v>
                </c:pt>
                <c:pt idx="6">
                  <c:v>2.9985611356689774</c:v>
                </c:pt>
                <c:pt idx="7">
                  <c:v>2.7640140805315925</c:v>
                </c:pt>
                <c:pt idx="8">
                  <c:v>2.5478132650020071</c:v>
                </c:pt>
                <c:pt idx="9">
                  <c:v>2.3485236486464394</c:v>
                </c:pt>
              </c:numCache>
            </c:numRef>
          </c:val>
          <c:smooth val="0"/>
          <c:extLst>
            <c:ext xmlns:c16="http://schemas.microsoft.com/office/drawing/2014/chart" uri="{C3380CC4-5D6E-409C-BE32-E72D297353CC}">
              <c16:uniqueId val="{00000003-0CBA-3349-8216-FB313E82BC64}"/>
            </c:ext>
          </c:extLst>
        </c:ser>
        <c:ser>
          <c:idx val="5"/>
          <c:order val="4"/>
          <c:tx>
            <c:v>proj2</c:v>
          </c:tx>
          <c:spPr>
            <a:ln w="19050" cmpd="sng">
              <a:solidFill>
                <a:srgbClr val="3366FF"/>
              </a:solid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[0]!FEperGWPproj2</c:f>
              <c:numCache>
                <c:formatCode>General</c:formatCode>
                <c:ptCount val="10"/>
                <c:pt idx="0">
                  <c:v>4.8881986641254178</c:v>
                </c:pt>
                <c:pt idx="1">
                  <c:v>4.0656199098705184</c:v>
                </c:pt>
                <c:pt idx="2">
                  <c:v>3.3814634770972285</c:v>
                </c:pt>
                <c:pt idx="3">
                  <c:v>2.8124358647453196</c:v>
                </c:pt>
                <c:pt idx="4">
                  <c:v>2.3391633672458916</c:v>
                </c:pt>
                <c:pt idx="5">
                  <c:v>1.9455324572034736</c:v>
                </c:pt>
                <c:pt idx="6">
                  <c:v>1.6181411674930262</c:v>
                </c:pt>
                <c:pt idx="7">
                  <c:v>1.345842793956457</c:v>
                </c:pt>
                <c:pt idx="8">
                  <c:v>1.1193663831263527</c:v>
                </c:pt>
                <c:pt idx="9">
                  <c:v>0.93100108370748624</c:v>
                </c:pt>
              </c:numCache>
            </c:numRef>
          </c:val>
          <c:smooth val="0"/>
          <c:extLst>
            <c:ext xmlns:c16="http://schemas.microsoft.com/office/drawing/2014/chart" uri="{C3380CC4-5D6E-409C-BE32-E72D297353CC}">
              <c16:uniqueId val="{00000004-0CBA-3349-8216-FB313E82BC64}"/>
            </c:ext>
          </c:extLst>
        </c:ser>
        <c:dLbls>
          <c:showLegendKey val="0"/>
          <c:showVal val="0"/>
          <c:showCatName val="0"/>
          <c:showSerName val="0"/>
          <c:showPercent val="0"/>
          <c:showBubbleSize val="0"/>
        </c:dLbls>
        <c:marker val="1"/>
        <c:smooth val="0"/>
        <c:axId val="-1686220624"/>
        <c:axId val="-1686208784"/>
      </c:lineChart>
      <c:catAx>
        <c:axId val="-1686220624"/>
        <c:scaling>
          <c:orientation val="minMax"/>
        </c:scaling>
        <c:delete val="0"/>
        <c:axPos val="b"/>
        <c:numFmt formatCode="General" sourceLinked="1"/>
        <c:majorTickMark val="none"/>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86208784"/>
        <c:crosses val="autoZero"/>
        <c:auto val="1"/>
        <c:lblAlgn val="ctr"/>
        <c:lblOffset val="100"/>
        <c:tickLblSkip val="9"/>
        <c:tickMarkSkip val="1"/>
        <c:noMultiLvlLbl val="0"/>
      </c:catAx>
      <c:valAx>
        <c:axId val="-1686208784"/>
        <c:scaling>
          <c:orientation val="minMax"/>
          <c:max val="6"/>
          <c:min val="0"/>
        </c:scaling>
        <c:delete val="0"/>
        <c:axPos val="l"/>
        <c:title>
          <c:tx>
            <c:rich>
              <a:bodyPr rot="-5400000" vert="horz"/>
              <a:lstStyle/>
              <a:p>
                <a:pPr marL="0" marR="0" indent="0" algn="ctr" defTabSz="914400" rtl="0" eaLnBrk="1" fontAlgn="auto" latinLnBrk="0" hangingPunct="1">
                  <a:lnSpc>
                    <a:spcPct val="100000"/>
                  </a:lnSpc>
                  <a:spcBef>
                    <a:spcPts val="0"/>
                  </a:spcBef>
                  <a:spcAft>
                    <a:spcPts val="0"/>
                  </a:spcAft>
                  <a:buClrTx/>
                  <a:buSzTx/>
                  <a:buFontTx/>
                  <a:buNone/>
                  <a:tabLst/>
                  <a:defRPr sz="800" b="0" i="0" u="none" strike="noStrike" kern="1200" baseline="0">
                    <a:solidFill>
                      <a:srgbClr val="000000"/>
                    </a:solidFill>
                    <a:latin typeface="Arial"/>
                    <a:ea typeface="Arial"/>
                    <a:cs typeface="Arial"/>
                  </a:defRPr>
                </a:pPr>
                <a:r>
                  <a:rPr lang="en-US" sz="800" b="0" i="0" kern="1200" baseline="0">
                    <a:solidFill>
                      <a:srgbClr val="000000"/>
                    </a:solidFill>
                    <a:effectLst/>
                    <a:latin typeface="Arial" panose="020B0604020202020204" pitchFamily="34" charset="0"/>
                    <a:ea typeface="Arial" panose="020B0604020202020204" pitchFamily="34" charset="0"/>
                    <a:cs typeface="Arial" panose="020B0604020202020204" pitchFamily="34" charset="0"/>
                  </a:rPr>
                  <a:t>Energy Use/$GNP (EJ/US$2010B)</a:t>
                </a:r>
                <a:endParaRPr lang="en-US">
                  <a:effectLst/>
                </a:endParaRPr>
              </a:p>
            </c:rich>
          </c:tx>
          <c:layout>
            <c:manualLayout>
              <c:xMode val="edge"/>
              <c:yMode val="edge"/>
              <c:x val="7.3074422148844298E-2"/>
              <c:y val="0.1496706036745409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86220624"/>
        <c:crosses val="autoZero"/>
        <c:crossBetween val="midCat"/>
        <c:majorUnit val="2"/>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 verticalDpi="1200"/>
  </c:printSettings>
  <c:userShapes r:id="rId2"/>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000" b="1" i="0" u="none" strike="noStrike" baseline="0">
                <a:solidFill>
                  <a:srgbClr val="000000"/>
                </a:solidFill>
                <a:latin typeface="Arial"/>
                <a:ea typeface="Arial"/>
                <a:cs typeface="Arial"/>
              </a:defRPr>
            </a:pPr>
            <a:r>
              <a:rPr lang="en-US"/>
              <a:t>Energy Supply Loss Factor</a:t>
            </a:r>
          </a:p>
        </c:rich>
      </c:tx>
      <c:layout>
        <c:manualLayout>
          <c:xMode val="edge"/>
          <c:yMode val="edge"/>
          <c:x val="0.34822361953430631"/>
          <c:y val="6.00508148690716E-2"/>
        </c:manualLayout>
      </c:layout>
      <c:overlay val="0"/>
      <c:spPr>
        <a:noFill/>
        <a:ln w="25400">
          <a:noFill/>
        </a:ln>
      </c:spPr>
    </c:title>
    <c:autoTitleDeleted val="0"/>
    <c:plotArea>
      <c:layout>
        <c:manualLayout>
          <c:layoutTarget val="inner"/>
          <c:xMode val="edge"/>
          <c:yMode val="edge"/>
          <c:x val="0.22461173803162829"/>
          <c:y val="0.16857305336832898"/>
          <c:w val="0.60189128778257595"/>
          <c:h val="0.67310892388451404"/>
        </c:manualLayout>
      </c:layout>
      <c:areaChart>
        <c:grouping val="stacked"/>
        <c:varyColors val="0"/>
        <c:ser>
          <c:idx val="0"/>
          <c:order val="0"/>
          <c:tx>
            <c:v>Reference case</c:v>
          </c:tx>
          <c:spPr>
            <a:noFill/>
            <a:ln w="12700">
              <a:noFill/>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[0]!PEdeqperFERef</c:f>
              <c:numCache>
                <c:formatCode>0.00</c:formatCode>
                <c:ptCount val="10"/>
                <c:pt idx="0">
                  <c:v>1.375178461283006</c:v>
                </c:pt>
                <c:pt idx="1">
                  <c:v>1.4047680763981099</c:v>
                </c:pt>
                <c:pt idx="2">
                  <c:v>1.4113151606748491</c:v>
                </c:pt>
                <c:pt idx="3">
                  <c:v>1.3941980368427014</c:v>
                </c:pt>
                <c:pt idx="4">
                  <c:v>1.3825816225258558</c:v>
                </c:pt>
                <c:pt idx="5">
                  <c:v>1.3695457674328577</c:v>
                </c:pt>
                <c:pt idx="6">
                  <c:v>1.358545921005992</c:v>
                </c:pt>
                <c:pt idx="7">
                  <c:v>1.3556903303892138</c:v>
                </c:pt>
                <c:pt idx="8">
                  <c:v>1.3675164697629745</c:v>
                </c:pt>
                <c:pt idx="9">
                  <c:v>1.3847835667058763</c:v>
                </c:pt>
              </c:numCache>
            </c:numRef>
          </c:val>
          <c:extLst>
            <c:ext xmlns:c16="http://schemas.microsoft.com/office/drawing/2014/chart" uri="{C3380CC4-5D6E-409C-BE32-E72D297353CC}">
              <c16:uniqueId val="{00000000-24F4-6040-85D2-BC8A0E8206E9}"/>
            </c:ext>
          </c:extLst>
        </c:ser>
        <c:ser>
          <c:idx val="2"/>
          <c:order val="2"/>
          <c:tx>
            <c:v>Area</c:v>
          </c:tx>
          <c:spPr>
            <a:solidFill>
              <a:srgbClr val="A1F4FF"/>
            </a:solidFill>
            <a:ln w="12700">
              <a:solidFill>
                <a:sysClr val="windowText" lastClr="000000"/>
              </a:solidFill>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[0]!AreaPEdeq_FE</c:f>
              <c:numCache>
                <c:formatCode>General</c:formatCode>
                <c:ptCount val="10"/>
                <c:pt idx="0">
                  <c:v>1.8085134537413339E-3</c:v>
                </c:pt>
                <c:pt idx="1">
                  <c:v>-1.9365302977423227E-3</c:v>
                </c:pt>
                <c:pt idx="2">
                  <c:v>-6.8237985405877888E-2</c:v>
                </c:pt>
                <c:pt idx="3">
                  <c:v>-0.17635822947985447</c:v>
                </c:pt>
                <c:pt idx="4">
                  <c:v>-0.1296042005935889</c:v>
                </c:pt>
                <c:pt idx="5">
                  <c:v>-9.1806047607384311E-2</c:v>
                </c:pt>
                <c:pt idx="6">
                  <c:v>1.4492447856136126E-2</c:v>
                </c:pt>
                <c:pt idx="7">
                  <c:v>4.8870918279244835E-2</c:v>
                </c:pt>
                <c:pt idx="8">
                  <c:v>3.0305185026666237E-2</c:v>
                </c:pt>
                <c:pt idx="9">
                  <c:v>3.9578187494402783E-2</c:v>
                </c:pt>
              </c:numCache>
            </c:numRef>
          </c:val>
          <c:extLst>
            <c:ext xmlns:c16="http://schemas.microsoft.com/office/drawing/2014/chart" uri="{C3380CC4-5D6E-409C-BE32-E72D297353CC}">
              <c16:uniqueId val="{00000001-24F4-6040-85D2-BC8A0E8206E9}"/>
            </c:ext>
          </c:extLst>
        </c:ser>
        <c:dLbls>
          <c:showLegendKey val="0"/>
          <c:showVal val="0"/>
          <c:showCatName val="0"/>
          <c:showSerName val="0"/>
          <c:showPercent val="0"/>
          <c:showBubbleSize val="0"/>
        </c:dLbls>
        <c:axId val="-1765598496"/>
        <c:axId val="-1765596176"/>
      </c:areaChart>
      <c:lineChart>
        <c:grouping val="standard"/>
        <c:varyColors val="0"/>
        <c:ser>
          <c:idx val="1"/>
          <c:order val="1"/>
          <c:tx>
            <c:v>Intervention case</c:v>
          </c:tx>
          <c:spPr>
            <a:ln>
              <a:solidFill>
                <a:srgbClr val="C00000"/>
              </a:solidFill>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[0]!PEdeqperFEInt</c:f>
              <c:numCache>
                <c:formatCode>0.00</c:formatCode>
                <c:ptCount val="10"/>
                <c:pt idx="0">
                  <c:v>1.3769869747367474</c:v>
                </c:pt>
                <c:pt idx="1">
                  <c:v>1.4028315461003675</c:v>
                </c:pt>
                <c:pt idx="2">
                  <c:v>1.3430771752689712</c:v>
                </c:pt>
                <c:pt idx="3">
                  <c:v>1.2178398073628469</c:v>
                </c:pt>
                <c:pt idx="4">
                  <c:v>1.2529774219322669</c:v>
                </c:pt>
                <c:pt idx="5">
                  <c:v>1.2777397198254734</c:v>
                </c:pt>
                <c:pt idx="6">
                  <c:v>1.3730383688621282</c:v>
                </c:pt>
                <c:pt idx="7">
                  <c:v>1.4045612486684587</c:v>
                </c:pt>
                <c:pt idx="8">
                  <c:v>1.3978216547896407</c:v>
                </c:pt>
                <c:pt idx="9">
                  <c:v>1.4243617542002791</c:v>
                </c:pt>
              </c:numCache>
            </c:numRef>
          </c:val>
          <c:smooth val="0"/>
          <c:extLst>
            <c:ext xmlns:c16="http://schemas.microsoft.com/office/drawing/2014/chart" uri="{C3380CC4-5D6E-409C-BE32-E72D297353CC}">
              <c16:uniqueId val="{00000002-24F4-6040-85D2-BC8A0E8206E9}"/>
            </c:ext>
          </c:extLst>
        </c:ser>
        <c:ser>
          <c:idx val="3"/>
          <c:order val="3"/>
          <c:tx>
            <c:v>proj1</c:v>
          </c:tx>
          <c:spPr>
            <a:ln>
              <a:solidFill>
                <a:srgbClr val="3C8105"/>
              </a:solid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[0]!PEdeqperFEproj1</c:f>
              <c:numCache>
                <c:formatCode>General</c:formatCode>
                <c:ptCount val="10"/>
                <c:pt idx="0">
                  <c:v>1.375178461283006</c:v>
                </c:pt>
                <c:pt idx="1">
                  <c:v>1.4031462068204634</c:v>
                </c:pt>
                <c:pt idx="2">
                  <c:v>1.4316827474724967</c:v>
                </c:pt>
                <c:pt idx="3">
                  <c:v>1.4607996511319108</c:v>
                </c:pt>
                <c:pt idx="4">
                  <c:v>1.4905087209539809</c:v>
                </c:pt>
                <c:pt idx="5">
                  <c:v>1.5208220001411126</c:v>
                </c:pt>
                <c:pt idx="6">
                  <c:v>1.5517517768248097</c:v>
                </c:pt>
                <c:pt idx="7">
                  <c:v>1.5833105890469292</c:v>
                </c:pt>
                <c:pt idx="8">
                  <c:v>1.6155112298422429</c:v>
                </c:pt>
                <c:pt idx="9">
                  <c:v>1.6483667524243657</c:v>
                </c:pt>
              </c:numCache>
            </c:numRef>
          </c:val>
          <c:smooth val="0"/>
          <c:extLst>
            <c:ext xmlns:c16="http://schemas.microsoft.com/office/drawing/2014/chart" uri="{C3380CC4-5D6E-409C-BE32-E72D297353CC}">
              <c16:uniqueId val="{00000003-24F4-6040-85D2-BC8A0E8206E9}"/>
            </c:ext>
          </c:extLst>
        </c:ser>
        <c:ser>
          <c:idx val="4"/>
          <c:order val="4"/>
          <c:tx>
            <c:v>proj2</c:v>
          </c:tx>
          <c:spPr>
            <a:ln>
              <a:solidFill>
                <a:srgbClr val="3465FC"/>
              </a:solidFill>
              <a:prstDash val="sys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[0]!PEdeqperFEproj2</c:f>
              <c:numCache>
                <c:formatCode>General</c:formatCode>
                <c:ptCount val="10"/>
                <c:pt idx="0">
                  <c:v>1.375178461283006</c:v>
                </c:pt>
                <c:pt idx="1">
                  <c:v>1.409071526906795</c:v>
                </c:pt>
                <c:pt idx="2">
                  <c:v>1.4437999313100371</c:v>
                </c:pt>
                <c:pt idx="3">
                  <c:v>1.4793842625057556</c:v>
                </c:pt>
                <c:pt idx="4">
                  <c:v>1.5158456159253897</c:v>
                </c:pt>
                <c:pt idx="5">
                  <c:v>1.5532056069247826</c:v>
                </c:pt>
                <c:pt idx="6">
                  <c:v>1.5914863835983963</c:v>
                </c:pt>
                <c:pt idx="7">
                  <c:v>1.6307106399093496</c:v>
                </c:pt>
                <c:pt idx="8">
                  <c:v>1.6709016291430621</c:v>
                </c:pt>
                <c:pt idx="9">
                  <c:v>1.7120831776924812</c:v>
                </c:pt>
              </c:numCache>
            </c:numRef>
          </c:val>
          <c:smooth val="0"/>
          <c:extLst>
            <c:ext xmlns:c16="http://schemas.microsoft.com/office/drawing/2014/chart" uri="{C3380CC4-5D6E-409C-BE32-E72D297353CC}">
              <c16:uniqueId val="{00000004-24F4-6040-85D2-BC8A0E8206E9}"/>
            </c:ext>
          </c:extLst>
        </c:ser>
        <c:dLbls>
          <c:showLegendKey val="0"/>
          <c:showVal val="0"/>
          <c:showCatName val="0"/>
          <c:showSerName val="0"/>
          <c:showPercent val="0"/>
          <c:showBubbleSize val="0"/>
        </c:dLbls>
        <c:marker val="1"/>
        <c:smooth val="0"/>
        <c:axId val="-1765598496"/>
        <c:axId val="-1765596176"/>
      </c:lineChart>
      <c:catAx>
        <c:axId val="-1765598496"/>
        <c:scaling>
          <c:orientation val="minMax"/>
        </c:scaling>
        <c:delete val="0"/>
        <c:axPos val="b"/>
        <c:numFmt formatCode="General" sourceLinked="1"/>
        <c:majorTickMark val="none"/>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5596176"/>
        <c:crosses val="autoZero"/>
        <c:auto val="1"/>
        <c:lblAlgn val="ctr"/>
        <c:lblOffset val="100"/>
        <c:tickLblSkip val="9"/>
        <c:tickMarkSkip val="1"/>
        <c:noMultiLvlLbl val="0"/>
      </c:catAx>
      <c:valAx>
        <c:axId val="-1765596176"/>
        <c:scaling>
          <c:orientation val="minMax"/>
          <c:max val="3"/>
          <c:min val="0"/>
        </c:scaling>
        <c:delete val="0"/>
        <c:axPos val="l"/>
        <c:title>
          <c:tx>
            <c:rich>
              <a:bodyPr/>
              <a:lstStyle/>
              <a:p>
                <a:pPr>
                  <a:defRPr sz="800" b="0" i="0" u="none" strike="noStrike" baseline="0">
                    <a:solidFill>
                      <a:srgbClr val="000000"/>
                    </a:solidFill>
                    <a:latin typeface="Arial"/>
                    <a:ea typeface="Arial"/>
                    <a:cs typeface="Arial"/>
                  </a:defRPr>
                </a:pPr>
                <a:r>
                  <a:rPr lang="en-US"/>
                  <a:t>Primary Energy/Final Energy</a:t>
                </a:r>
              </a:p>
            </c:rich>
          </c:tx>
          <c:layout>
            <c:manualLayout>
              <c:xMode val="edge"/>
              <c:yMode val="edge"/>
              <c:x val="2.1901866595060267E-2"/>
              <c:y val="0.17630577427821523"/>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5598496"/>
        <c:crosses val="autoZero"/>
        <c:crossBetween val="midCat"/>
        <c:majorUnit val="1"/>
        <c:minorUnit val="0.05"/>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 verticalDpi="1200"/>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7219690253950002"/>
          <c:y val="0.20571428571428599"/>
          <c:w val="0.61589299681910603"/>
          <c:h val="0.65714330708661395"/>
        </c:manualLayout>
      </c:layout>
      <c:lineChart>
        <c:grouping val="standard"/>
        <c:varyColors val="0"/>
        <c:ser>
          <c:idx val="1"/>
          <c:order val="0"/>
          <c:tx>
            <c:v>Line for Intervention Case</c:v>
          </c:tx>
          <c:spPr>
            <a:ln w="28575" cmpd="sng">
              <a:solidFill>
                <a:srgbClr val="DD0806"/>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[0]!addlanduseintchng</c:f>
              <c:numCache>
                <c:formatCode>0.00</c:formatCode>
                <c:ptCount val="10"/>
                <c:pt idx="1">
                  <c:v>-4.1150423840872041E-3</c:v>
                </c:pt>
                <c:pt idx="2">
                  <c:v>-0.13959163597360066</c:v>
                </c:pt>
                <c:pt idx="3">
                  <c:v>-8.3875245833999523E-2</c:v>
                </c:pt>
                <c:pt idx="4">
                  <c:v>-9.8957044453516579E-2</c:v>
                </c:pt>
                <c:pt idx="5">
                  <c:v>7.7890371047305822E-3</c:v>
                </c:pt>
                <c:pt idx="6">
                  <c:v>1.03183155422279E-2</c:v>
                </c:pt>
                <c:pt idx="7">
                  <c:v>5.7998517204476636E-2</c:v>
                </c:pt>
                <c:pt idx="8">
                  <c:v>5.9383916380553757E-2</c:v>
                </c:pt>
                <c:pt idx="9">
                  <c:v>4.1632043040451421E-2</c:v>
                </c:pt>
              </c:numCache>
            </c:numRef>
          </c:val>
          <c:smooth val="0"/>
          <c:extLst>
            <c:ext xmlns:c16="http://schemas.microsoft.com/office/drawing/2014/chart" uri="{C3380CC4-5D6E-409C-BE32-E72D297353CC}">
              <c16:uniqueId val="{00000000-732B-AF4E-9DD6-31AF7981AD6D}"/>
            </c:ext>
          </c:extLst>
        </c:ser>
        <c:ser>
          <c:idx val="0"/>
          <c:order val="1"/>
          <c:tx>
            <c:v>Reference case</c:v>
          </c:tx>
          <c:spPr>
            <a:ln w="12700">
              <a:solidFill>
                <a:srgbClr val="000000"/>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[0]!addlanduserefchng</c:f>
              <c:numCache>
                <c:formatCode>0.000</c:formatCode>
                <c:ptCount val="10"/>
                <c:pt idx="1">
                  <c:v>4.8827882624429046E-2</c:v>
                </c:pt>
                <c:pt idx="2">
                  <c:v>3.0507009699736829E-2</c:v>
                </c:pt>
                <c:pt idx="3">
                  <c:v>-2.9293512398311005E-3</c:v>
                </c:pt>
                <c:pt idx="4">
                  <c:v>-3.2307587492004484E-2</c:v>
                </c:pt>
                <c:pt idx="5">
                  <c:v>-0.10311637020834696</c:v>
                </c:pt>
                <c:pt idx="6">
                  <c:v>-2.0245029349420476E-2</c:v>
                </c:pt>
                <c:pt idx="7">
                  <c:v>5.3663954600479593E-3</c:v>
                </c:pt>
                <c:pt idx="8">
                  <c:v>-2.939937309939835E-2</c:v>
                </c:pt>
                <c:pt idx="9">
                  <c:v>-1.1741087828431153E-2</c:v>
                </c:pt>
              </c:numCache>
            </c:numRef>
          </c:val>
          <c:smooth val="0"/>
          <c:extLst>
            <c:ext xmlns:c16="http://schemas.microsoft.com/office/drawing/2014/chart" uri="{C3380CC4-5D6E-409C-BE32-E72D297353CC}">
              <c16:uniqueId val="{00000001-732B-AF4E-9DD6-31AF7981AD6D}"/>
            </c:ext>
          </c:extLst>
        </c:ser>
        <c:ser>
          <c:idx val="2"/>
          <c:order val="2"/>
          <c:marker>
            <c:symbol val="none"/>
          </c:marker>
          <c:val>
            <c:numRef>
              <c:f>[0]!attdummy</c:f>
              <c:numCache>
                <c:formatCode>0.00</c:formatCode>
                <c:ptCount val="10"/>
              </c:numCache>
            </c:numRef>
          </c:val>
          <c:smooth val="0"/>
          <c:extLst>
            <c:ext xmlns:c16="http://schemas.microsoft.com/office/drawing/2014/chart" uri="{C3380CC4-5D6E-409C-BE32-E72D297353CC}">
              <c16:uniqueId val="{00000000-0BD6-6848-BE5E-3B6264EE4E04}"/>
            </c:ext>
          </c:extLst>
        </c:ser>
        <c:dLbls>
          <c:showLegendKey val="0"/>
          <c:showVal val="0"/>
          <c:showCatName val="0"/>
          <c:showSerName val="0"/>
          <c:showPercent val="0"/>
          <c:showBubbleSize val="0"/>
        </c:dLbls>
        <c:smooth val="0"/>
        <c:axId val="-1641734896"/>
        <c:axId val="-1641732144"/>
      </c:lineChart>
      <c:catAx>
        <c:axId val="-1641734896"/>
        <c:scaling>
          <c:orientation val="minMax"/>
        </c:scaling>
        <c:delete val="0"/>
        <c:axPos val="b"/>
        <c:numFmt formatCode="General" sourceLinked="1"/>
        <c:majorTickMark val="none"/>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1732144"/>
        <c:crosses val="autoZero"/>
        <c:auto val="1"/>
        <c:lblAlgn val="ctr"/>
        <c:lblOffset val="100"/>
        <c:tickLblSkip val="9"/>
        <c:tickMarkSkip val="1"/>
        <c:noMultiLvlLbl val="0"/>
      </c:catAx>
      <c:valAx>
        <c:axId val="-1641732144"/>
        <c:scaling>
          <c:orientation val="minMax"/>
          <c:max val="0"/>
          <c:min val="-0.45"/>
        </c:scaling>
        <c:delete val="0"/>
        <c:axPos val="l"/>
        <c:majorGridlines>
          <c:spPr>
            <a:ln w="3175">
              <a:solidFill>
                <a:schemeClr val="bg1">
                  <a:lumMod val="50000"/>
                </a:schemeClr>
              </a:solidFill>
              <a:prstDash val="sysDash"/>
            </a:ln>
          </c:spPr>
        </c:majorGridlines>
        <c:title>
          <c:tx>
            <c:rich>
              <a:bodyPr/>
              <a:lstStyle/>
              <a:p>
                <a:pPr>
                  <a:defRPr sz="800" b="0" i="0" u="none" strike="noStrike" baseline="0">
                    <a:solidFill>
                      <a:srgbClr val="000000"/>
                    </a:solidFill>
                    <a:latin typeface="Arial"/>
                    <a:ea typeface="Arial"/>
                    <a:cs typeface="Arial"/>
                  </a:defRPr>
                </a:pPr>
                <a:r>
                  <a:rPr lang="en-US"/>
                  <a:t>Annual Rate of Change</a:t>
                </a:r>
              </a:p>
            </c:rich>
          </c:tx>
          <c:layout>
            <c:manualLayout>
              <c:xMode val="edge"/>
              <c:yMode val="edge"/>
              <c:x val="3.3112529244280903E-2"/>
              <c:y val="0.2571430365116050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1734896"/>
        <c:crossesAt val="-1"/>
        <c:crossBetween val="midCat"/>
        <c:majorUnit val="0.15000000000000002"/>
        <c:minorUnit val="0.01"/>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 verticalDpi="1200"/>
  </c:printSettings>
  <c:userShapes r:id="rId1"/>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5030929229059301"/>
          <c:y val="0.167922572178478"/>
          <c:w val="0.50742198434348196"/>
          <c:h val="0.64859755030621202"/>
        </c:manualLayout>
      </c:layout>
      <c:areaChart>
        <c:grouping val="stacked"/>
        <c:varyColors val="0"/>
        <c:ser>
          <c:idx val="1"/>
          <c:order val="0"/>
          <c:tx>
            <c:v>reference scenario area</c:v>
          </c:tx>
          <c:spPr>
            <a:noFill/>
            <a:ln w="12700">
              <a:noFill/>
              <a:prstDash val="solid"/>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[0]!addtotalGHGref</c:f>
              <c:numCache>
                <c:formatCode>0.00</c:formatCode>
                <c:ptCount val="10"/>
                <c:pt idx="0">
                  <c:v>48.947477967900774</c:v>
                </c:pt>
                <c:pt idx="1">
                  <c:v>59.417758403488818</c:v>
                </c:pt>
                <c:pt idx="2">
                  <c:v>67.23862214259195</c:v>
                </c:pt>
                <c:pt idx="3">
                  <c:v>71.948499230726156</c:v>
                </c:pt>
                <c:pt idx="4">
                  <c:v>75.999152605698796</c:v>
                </c:pt>
                <c:pt idx="5">
                  <c:v>77.881378225338594</c:v>
                </c:pt>
                <c:pt idx="6">
                  <c:v>81.691428510870239</c:v>
                </c:pt>
                <c:pt idx="7">
                  <c:v>86.039783157024075</c:v>
                </c:pt>
                <c:pt idx="8">
                  <c:v>90.072684504132255</c:v>
                </c:pt>
                <c:pt idx="9">
                  <c:v>95.672456960119973</c:v>
                </c:pt>
              </c:numCache>
            </c:numRef>
          </c:val>
          <c:extLst>
            <c:ext xmlns:c16="http://schemas.microsoft.com/office/drawing/2014/chart" uri="{C3380CC4-5D6E-409C-BE32-E72D297353CC}">
              <c16:uniqueId val="{00000000-05CC-F541-916D-2CA8AA5C2982}"/>
            </c:ext>
          </c:extLst>
        </c:ser>
        <c:ser>
          <c:idx val="0"/>
          <c:order val="1"/>
          <c:tx>
            <c:v>Intervention scenario</c:v>
          </c:tx>
          <c:spPr>
            <a:solidFill>
              <a:srgbClr val="A1F4FF"/>
            </a:solidFill>
            <a:ln w="12700">
              <a:solidFill>
                <a:schemeClr val="tx1"/>
              </a:solidFill>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[0]!addtotalGHGarea</c:f>
              <c:numCache>
                <c:formatCode>0.00</c:formatCode>
                <c:ptCount val="10"/>
                <c:pt idx="0">
                  <c:v>0.25647596975998255</c:v>
                </c:pt>
                <c:pt idx="1">
                  <c:v>-13.072160312027037</c:v>
                </c:pt>
                <c:pt idx="2">
                  <c:v>-40.335942678593383</c:v>
                </c:pt>
                <c:pt idx="3">
                  <c:v>-59.933274573112321</c:v>
                </c:pt>
                <c:pt idx="4">
                  <c:v>-72.423150205089726</c:v>
                </c:pt>
                <c:pt idx="5">
                  <c:v>-76.171502860334243</c:v>
                </c:pt>
                <c:pt idx="6">
                  <c:v>-80.710006345530559</c:v>
                </c:pt>
                <c:pt idx="7">
                  <c:v>-83.725777484253953</c:v>
                </c:pt>
                <c:pt idx="8">
                  <c:v>-86.379215100530132</c:v>
                </c:pt>
                <c:pt idx="9">
                  <c:v>-91.077459277499003</c:v>
                </c:pt>
              </c:numCache>
            </c:numRef>
          </c:val>
          <c:extLst>
            <c:ext xmlns:c16="http://schemas.microsoft.com/office/drawing/2014/chart" uri="{C3380CC4-5D6E-409C-BE32-E72D297353CC}">
              <c16:uniqueId val="{00000001-05CC-F541-916D-2CA8AA5C2982}"/>
            </c:ext>
          </c:extLst>
        </c:ser>
        <c:dLbls>
          <c:showLegendKey val="0"/>
          <c:showVal val="0"/>
          <c:showCatName val="0"/>
          <c:showSerName val="0"/>
          <c:showPercent val="0"/>
          <c:showBubbleSize val="0"/>
        </c:dLbls>
        <c:axId val="-1641695920"/>
        <c:axId val="-1641693168"/>
      </c:areaChart>
      <c:lineChart>
        <c:grouping val="standard"/>
        <c:varyColors val="0"/>
        <c:ser>
          <c:idx val="2"/>
          <c:order val="2"/>
          <c:tx>
            <c:v>Intervention scenario Line</c:v>
          </c:tx>
          <c:spPr>
            <a:ln w="28575">
              <a:solidFill>
                <a:srgbClr val="C00000"/>
              </a:solidFill>
            </a:ln>
          </c:spPr>
          <c:marker>
            <c:symbol val="none"/>
          </c:marker>
          <c:val>
            <c:numRef>
              <c:f>[0]!addtotalGHGint</c:f>
              <c:numCache>
                <c:formatCode>0.00</c:formatCode>
                <c:ptCount val="10"/>
                <c:pt idx="0">
                  <c:v>49.203953937660756</c:v>
                </c:pt>
                <c:pt idx="1">
                  <c:v>46.345598091461781</c:v>
                </c:pt>
                <c:pt idx="2">
                  <c:v>26.902679463998567</c:v>
                </c:pt>
                <c:pt idx="3">
                  <c:v>12.015224657613837</c:v>
                </c:pt>
                <c:pt idx="4">
                  <c:v>3.5760024006090751</c:v>
                </c:pt>
                <c:pt idx="5">
                  <c:v>1.7098753650043528</c:v>
                </c:pt>
                <c:pt idx="6">
                  <c:v>0.98142216533967896</c:v>
                </c:pt>
                <c:pt idx="7">
                  <c:v>2.3140056727701244</c:v>
                </c:pt>
                <c:pt idx="8">
                  <c:v>3.6934694036021174</c:v>
                </c:pt>
                <c:pt idx="9">
                  <c:v>4.5949976826209697</c:v>
                </c:pt>
              </c:numCache>
            </c:numRef>
          </c:val>
          <c:smooth val="0"/>
          <c:extLst>
            <c:ext xmlns:c16="http://schemas.microsoft.com/office/drawing/2014/chart" uri="{C3380CC4-5D6E-409C-BE32-E72D297353CC}">
              <c16:uniqueId val="{00000002-05CC-F541-916D-2CA8AA5C2982}"/>
            </c:ext>
          </c:extLst>
        </c:ser>
        <c:ser>
          <c:idx val="3"/>
          <c:order val="3"/>
          <c:marker>
            <c:symbol val="none"/>
          </c:marker>
          <c:val>
            <c:numRef>
              <c:f>[0]!attdummy</c:f>
              <c:numCache>
                <c:formatCode>0.00</c:formatCode>
                <c:ptCount val="10"/>
              </c:numCache>
            </c:numRef>
          </c:val>
          <c:smooth val="0"/>
          <c:extLst>
            <c:ext xmlns:c16="http://schemas.microsoft.com/office/drawing/2014/chart" uri="{C3380CC4-5D6E-409C-BE32-E72D297353CC}">
              <c16:uniqueId val="{00000000-B48D-184D-A3FD-3AF1B47BB595}"/>
            </c:ext>
          </c:extLst>
        </c:ser>
        <c:dLbls>
          <c:showLegendKey val="0"/>
          <c:showVal val="0"/>
          <c:showCatName val="0"/>
          <c:showSerName val="0"/>
          <c:showPercent val="0"/>
          <c:showBubbleSize val="0"/>
        </c:dLbls>
        <c:marker val="1"/>
        <c:smooth val="0"/>
        <c:axId val="-1641695920"/>
        <c:axId val="-1641693168"/>
      </c:lineChart>
      <c:catAx>
        <c:axId val="-1641695920"/>
        <c:scaling>
          <c:orientation val="minMax"/>
        </c:scaling>
        <c:delete val="0"/>
        <c:axPos val="b"/>
        <c:numFmt formatCode="General" sourceLinked="1"/>
        <c:majorTickMark val="none"/>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1693168"/>
        <c:crosses val="autoZero"/>
        <c:auto val="1"/>
        <c:lblAlgn val="ctr"/>
        <c:lblOffset val="100"/>
        <c:tickLblSkip val="9"/>
        <c:tickMarkSkip val="1"/>
        <c:noMultiLvlLbl val="0"/>
      </c:catAx>
      <c:valAx>
        <c:axId val="-1641693168"/>
        <c:scaling>
          <c:orientation val="minMax"/>
          <c:max val="120"/>
          <c:min val="-20"/>
        </c:scaling>
        <c:delete val="0"/>
        <c:axPos val="l"/>
        <c:title>
          <c:tx>
            <c:rich>
              <a:bodyPr/>
              <a:lstStyle/>
              <a:p>
                <a:pPr>
                  <a:defRPr sz="800" b="0" i="0" u="none" strike="noStrike" baseline="0">
                    <a:solidFill>
                      <a:srgbClr val="000000"/>
                    </a:solidFill>
                    <a:latin typeface="Arial"/>
                    <a:ea typeface="Arial"/>
                    <a:cs typeface="Arial"/>
                  </a:defRPr>
                </a:pPr>
                <a:r>
                  <a:rPr lang="en-US" sz="800" b="0" i="0" u="none" strike="noStrike" baseline="0">
                    <a:solidFill>
                      <a:srgbClr val="000000"/>
                    </a:solidFill>
                    <a:latin typeface="Arial"/>
                    <a:ea typeface="Arial"/>
                    <a:cs typeface="Arial"/>
                  </a:rPr>
                  <a:t>Gt CO2 equivalent/year</a:t>
                </a:r>
                <a:endParaRPr lang="en-US" sz="800" b="0" i="0" u="none" strike="noStrike" baseline="0">
                  <a:solidFill>
                    <a:srgbClr val="FFFFFF"/>
                  </a:solidFill>
                  <a:latin typeface="Arial"/>
                  <a:ea typeface="Arial"/>
                  <a:cs typeface="Arial"/>
                </a:endParaRPr>
              </a:p>
            </c:rich>
          </c:tx>
          <c:layout>
            <c:manualLayout>
              <c:xMode val="edge"/>
              <c:yMode val="edge"/>
              <c:x val="6.0660865177418997E-2"/>
              <c:y val="0.226693350831146"/>
            </c:manualLayout>
          </c:layout>
          <c:overlay val="0"/>
          <c:spPr>
            <a:noFill/>
            <a:ln w="25400">
              <a:noFill/>
            </a:ln>
          </c:spPr>
        </c:title>
        <c:numFmt formatCode="0" sourceLinked="0"/>
        <c:majorTickMark val="out"/>
        <c:minorTickMark val="cross"/>
        <c:tickLblPos val="nextTo"/>
        <c:spPr>
          <a:ln w="3175">
            <a:noFill/>
            <a:prstDash val="solid"/>
          </a:ln>
        </c:spPr>
        <c:txPr>
          <a:bodyPr rot="0" vert="horz" lIns="0">
            <a:noAutofit/>
          </a:bodyPr>
          <a:lstStyle/>
          <a:p>
            <a:pPr>
              <a:defRPr sz="800" b="0" i="0" u="none" strike="noStrike" baseline="0">
                <a:solidFill>
                  <a:srgbClr val="000000"/>
                </a:solidFill>
                <a:latin typeface="Arial"/>
                <a:ea typeface="Arial"/>
                <a:cs typeface="Arial"/>
              </a:defRPr>
            </a:pPr>
            <a:endParaRPr lang="en-US"/>
          </a:p>
        </c:txPr>
        <c:crossAx val="-1641695920"/>
        <c:crosses val="autoZero"/>
        <c:crossBetween val="midCat"/>
        <c:majorUnit val="20"/>
        <c:minorUnit val="0.25"/>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 verticalDpi="1200"/>
  </c:printSettings>
  <c:userShapes r:id="rId1"/>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5867952225976859"/>
          <c:y val="0.11195669291338581"/>
          <c:w val="0.553914783315134"/>
          <c:h val="0.64275415573053396"/>
        </c:manualLayout>
      </c:layout>
      <c:areaChart>
        <c:grouping val="stacked"/>
        <c:varyColors val="0"/>
        <c:ser>
          <c:idx val="2"/>
          <c:order val="0"/>
          <c:tx>
            <c:v>Reference case</c:v>
          </c:tx>
          <c:spPr>
            <a:noFill/>
            <a:ln w="12700">
              <a:noFill/>
              <a:prstDash val="solid"/>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[0]!addotherref</c:f>
              <c:numCache>
                <c:formatCode>0.00</c:formatCode>
                <c:ptCount val="10"/>
                <c:pt idx="0">
                  <c:v>13.334865283349865</c:v>
                </c:pt>
                <c:pt idx="1">
                  <c:v>15.939739666737964</c:v>
                </c:pt>
                <c:pt idx="2">
                  <c:v>17.764204882630548</c:v>
                </c:pt>
                <c:pt idx="3">
                  <c:v>19.034724456361367</c:v>
                </c:pt>
                <c:pt idx="4">
                  <c:v>20.008051564016991</c:v>
                </c:pt>
                <c:pt idx="5">
                  <c:v>20.259763970473617</c:v>
                </c:pt>
                <c:pt idx="6">
                  <c:v>20.824770498691962</c:v>
                </c:pt>
                <c:pt idx="7">
                  <c:v>21.596722674423901</c:v>
                </c:pt>
                <c:pt idx="8">
                  <c:v>22.235638491831704</c:v>
                </c:pt>
                <c:pt idx="9">
                  <c:v>23.179844151206744</c:v>
                </c:pt>
              </c:numCache>
            </c:numRef>
          </c:val>
          <c:extLst>
            <c:ext xmlns:c16="http://schemas.microsoft.com/office/drawing/2014/chart" uri="{C3380CC4-5D6E-409C-BE32-E72D297353CC}">
              <c16:uniqueId val="{00000000-58AB-D441-A8E0-83EDA42212C2}"/>
            </c:ext>
          </c:extLst>
        </c:ser>
        <c:ser>
          <c:idx val="1"/>
          <c:order val="2"/>
          <c:tx>
            <c:v>Area for Intervention case</c:v>
          </c:tx>
          <c:spPr>
            <a:solidFill>
              <a:srgbClr val="A1F4FF"/>
            </a:solidFill>
            <a:ln>
              <a:solidFill>
                <a:schemeClr val="tx1"/>
              </a:solidFill>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[0]!addotherarea</c:f>
              <c:numCache>
                <c:formatCode>0.00</c:formatCode>
                <c:ptCount val="10"/>
                <c:pt idx="0">
                  <c:v>4.0720318020291302E-2</c:v>
                </c:pt>
                <c:pt idx="1">
                  <c:v>-3.8002231618406217</c:v>
                </c:pt>
                <c:pt idx="2">
                  <c:v>-9.8873466311676346</c:v>
                </c:pt>
                <c:pt idx="3">
                  <c:v>-13.347179299554213</c:v>
                </c:pt>
                <c:pt idx="4">
                  <c:v>-15.543253797084741</c:v>
                </c:pt>
                <c:pt idx="5">
                  <c:v>-16.48737940269227</c:v>
                </c:pt>
                <c:pt idx="6">
                  <c:v>-17.645720030540616</c:v>
                </c:pt>
                <c:pt idx="7">
                  <c:v>-18.887696088942835</c:v>
                </c:pt>
                <c:pt idx="8">
                  <c:v>-19.928045550938933</c:v>
                </c:pt>
                <c:pt idx="9">
                  <c:v>-21.22606558856636</c:v>
                </c:pt>
              </c:numCache>
            </c:numRef>
          </c:val>
          <c:extLst>
            <c:ext xmlns:c16="http://schemas.microsoft.com/office/drawing/2014/chart" uri="{C3380CC4-5D6E-409C-BE32-E72D297353CC}">
              <c16:uniqueId val="{00000001-58AB-D441-A8E0-83EDA42212C2}"/>
            </c:ext>
          </c:extLst>
        </c:ser>
        <c:dLbls>
          <c:showLegendKey val="0"/>
          <c:showVal val="0"/>
          <c:showCatName val="0"/>
          <c:showSerName val="0"/>
          <c:showPercent val="0"/>
          <c:showBubbleSize val="0"/>
        </c:dLbls>
        <c:axId val="-1641665440"/>
        <c:axId val="-1641662688"/>
      </c:areaChart>
      <c:lineChart>
        <c:grouping val="standard"/>
        <c:varyColors val="0"/>
        <c:ser>
          <c:idx val="0"/>
          <c:order val="1"/>
          <c:tx>
            <c:v>Line for Intervention Case</c:v>
          </c:tx>
          <c:spPr>
            <a:ln w="28575">
              <a:solidFill>
                <a:srgbClr val="C00000"/>
              </a:solidFill>
              <a:prstDash val="solid"/>
            </a:ln>
          </c:spPr>
          <c:marker>
            <c:symbol val="none"/>
          </c:marker>
          <c:val>
            <c:numRef>
              <c:f>[0]!addotherint</c:f>
              <c:numCache>
                <c:formatCode>0.00</c:formatCode>
                <c:ptCount val="10"/>
                <c:pt idx="0">
                  <c:v>13.375585601370156</c:v>
                </c:pt>
                <c:pt idx="1">
                  <c:v>12.139516504897342</c:v>
                </c:pt>
                <c:pt idx="2">
                  <c:v>7.876858251462914</c:v>
                </c:pt>
                <c:pt idx="3">
                  <c:v>5.6875451568071531</c:v>
                </c:pt>
                <c:pt idx="4">
                  <c:v>4.4647977669322501</c:v>
                </c:pt>
                <c:pt idx="5">
                  <c:v>3.7723845677813461</c:v>
                </c:pt>
                <c:pt idx="6">
                  <c:v>3.179050468151345</c:v>
                </c:pt>
                <c:pt idx="7">
                  <c:v>2.7090265854810647</c:v>
                </c:pt>
                <c:pt idx="8">
                  <c:v>2.3075929408927731</c:v>
                </c:pt>
                <c:pt idx="9">
                  <c:v>1.9537785626403839</c:v>
                </c:pt>
              </c:numCache>
            </c:numRef>
          </c:val>
          <c:smooth val="0"/>
          <c:extLst>
            <c:ext xmlns:c16="http://schemas.microsoft.com/office/drawing/2014/chart" uri="{C3380CC4-5D6E-409C-BE32-E72D297353CC}">
              <c16:uniqueId val="{00000002-58AB-D441-A8E0-83EDA42212C2}"/>
            </c:ext>
          </c:extLst>
        </c:ser>
        <c:ser>
          <c:idx val="3"/>
          <c:order val="3"/>
          <c:marker>
            <c:symbol val="none"/>
          </c:marker>
          <c:val>
            <c:numRef>
              <c:f>[0]!attdummy</c:f>
              <c:numCache>
                <c:formatCode>0.00</c:formatCode>
                <c:ptCount val="10"/>
              </c:numCache>
            </c:numRef>
          </c:val>
          <c:smooth val="0"/>
          <c:extLst>
            <c:ext xmlns:c16="http://schemas.microsoft.com/office/drawing/2014/chart" uri="{C3380CC4-5D6E-409C-BE32-E72D297353CC}">
              <c16:uniqueId val="{00000000-8113-8D43-B5AE-125E6A2A5368}"/>
            </c:ext>
          </c:extLst>
        </c:ser>
        <c:dLbls>
          <c:showLegendKey val="0"/>
          <c:showVal val="0"/>
          <c:showCatName val="0"/>
          <c:showSerName val="0"/>
          <c:showPercent val="0"/>
          <c:showBubbleSize val="0"/>
        </c:dLbls>
        <c:marker val="1"/>
        <c:smooth val="0"/>
        <c:axId val="-1641665440"/>
        <c:axId val="-1641662688"/>
      </c:lineChart>
      <c:catAx>
        <c:axId val="-1641665440"/>
        <c:scaling>
          <c:orientation val="minMax"/>
        </c:scaling>
        <c:delete val="0"/>
        <c:axPos val="b"/>
        <c:numFmt formatCode="General" sourceLinked="1"/>
        <c:majorTickMark val="none"/>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1662688"/>
        <c:crosses val="autoZero"/>
        <c:auto val="1"/>
        <c:lblAlgn val="ctr"/>
        <c:lblOffset val="100"/>
        <c:tickLblSkip val="9"/>
        <c:tickMarkSkip val="1"/>
        <c:noMultiLvlLbl val="0"/>
      </c:catAx>
      <c:valAx>
        <c:axId val="-1641662688"/>
        <c:scaling>
          <c:orientation val="minMax"/>
          <c:max val="120"/>
          <c:min val="-20"/>
        </c:scaling>
        <c:delete val="0"/>
        <c:axPos val="l"/>
        <c:title>
          <c:tx>
            <c:rich>
              <a:bodyPr/>
              <a:lstStyle/>
              <a:p>
                <a:pPr>
                  <a:defRPr sz="800" b="0" i="0" u="none" strike="noStrike" baseline="0">
                    <a:solidFill>
                      <a:srgbClr val="000000"/>
                    </a:solidFill>
                    <a:latin typeface="Arial"/>
                    <a:ea typeface="Arial"/>
                    <a:cs typeface="Arial"/>
                  </a:defRPr>
                </a:pPr>
                <a:r>
                  <a:rPr lang="en-US" sz="800" b="0" i="0" baseline="0">
                    <a:effectLst/>
                  </a:rPr>
                  <a:t>Gt CO2 equivalent/year</a:t>
                </a:r>
                <a:endParaRPr lang="en-US" sz="800">
                  <a:effectLst/>
                </a:endParaRPr>
              </a:p>
            </c:rich>
          </c:tx>
          <c:layout>
            <c:manualLayout>
              <c:xMode val="edge"/>
              <c:yMode val="edge"/>
              <c:x val="4.52871321656408E-2"/>
              <c:y val="0.2362318460192479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1665440"/>
        <c:crosses val="autoZero"/>
        <c:crossBetween val="midCat"/>
        <c:majorUnit val="20"/>
        <c:minorUnit val="9.73512470242269E-2"/>
      </c:valAx>
      <c:spPr>
        <a:noFill/>
        <a:ln w="12700">
          <a:solidFill>
            <a:schemeClr val="tx1"/>
          </a:solidFill>
          <a:prstDash val="solid"/>
        </a:ln>
      </c:spPr>
    </c:plotArea>
    <c:plotVisOnly val="1"/>
    <c:dispBlanksAs val="span"/>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userShapes r:id="rId1"/>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121005842011684"/>
          <c:y val="0.1595813648293963"/>
          <c:w val="0.60144780289560595"/>
          <c:h val="0.64714041994750604"/>
        </c:manualLayout>
      </c:layout>
      <c:areaChart>
        <c:grouping val="stacked"/>
        <c:varyColors val="0"/>
        <c:ser>
          <c:idx val="0"/>
          <c:order val="0"/>
          <c:tx>
            <c:v>Reference case</c:v>
          </c:tx>
          <c:spPr>
            <a:noFill/>
            <a:ln w="12700">
              <a:noFill/>
              <a:prstDash val="solid"/>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[0]!addIndref</c:f>
              <c:numCache>
                <c:formatCode>0.00</c:formatCode>
                <c:ptCount val="10"/>
                <c:pt idx="0">
                  <c:v>1.6196451683839161</c:v>
                </c:pt>
                <c:pt idx="1">
                  <c:v>1.8463895320892334</c:v>
                </c:pt>
                <c:pt idx="2">
                  <c:v>2.014854927857717</c:v>
                </c:pt>
                <c:pt idx="3">
                  <c:v>2.0971979300181069</c:v>
                </c:pt>
                <c:pt idx="4">
                  <c:v>2.2927681605021157</c:v>
                </c:pt>
                <c:pt idx="5">
                  <c:v>2.5351934035619097</c:v>
                </c:pt>
                <c:pt idx="6">
                  <c:v>2.6353624661763506</c:v>
                </c:pt>
                <c:pt idx="7">
                  <c:v>2.8851141730944314</c:v>
                </c:pt>
                <c:pt idx="8">
                  <c:v>3.3242319027582803</c:v>
                </c:pt>
                <c:pt idx="9">
                  <c:v>3.7146559556325274</c:v>
                </c:pt>
              </c:numCache>
            </c:numRef>
          </c:val>
          <c:extLst>
            <c:ext xmlns:c16="http://schemas.microsoft.com/office/drawing/2014/chart" uri="{C3380CC4-5D6E-409C-BE32-E72D297353CC}">
              <c16:uniqueId val="{00000000-3B41-D444-A8D5-D3570D198BCC}"/>
            </c:ext>
          </c:extLst>
        </c:ser>
        <c:ser>
          <c:idx val="1"/>
          <c:order val="1"/>
          <c:tx>
            <c:v>Area for Intervention Case</c:v>
          </c:tx>
          <c:spPr>
            <a:solidFill>
              <a:srgbClr val="A1F4FF"/>
            </a:solidFill>
            <a:ln>
              <a:solidFill>
                <a:schemeClr val="tx1"/>
              </a:solidFill>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[0]!addIndarea</c:f>
              <c:numCache>
                <c:formatCode>General</c:formatCode>
                <c:ptCount val="10"/>
                <c:pt idx="0">
                  <c:v>-5.2692492802930424E-4</c:v>
                </c:pt>
                <c:pt idx="1">
                  <c:v>-0.23207018060687301</c:v>
                </c:pt>
                <c:pt idx="2">
                  <c:v>-0.25820298120379492</c:v>
                </c:pt>
                <c:pt idx="3">
                  <c:v>-0.29971102252602577</c:v>
                </c:pt>
                <c:pt idx="4">
                  <c:v>-0.61998470096538449</c:v>
                </c:pt>
                <c:pt idx="5">
                  <c:v>-1.0507345391767253</c:v>
                </c:pt>
                <c:pt idx="6">
                  <c:v>-0.93359315171862045</c:v>
                </c:pt>
                <c:pt idx="7">
                  <c:v>-0.89919762946859305</c:v>
                </c:pt>
                <c:pt idx="8">
                  <c:v>-1.4962827998873158</c:v>
                </c:pt>
                <c:pt idx="9">
                  <c:v>-2.3015856336375387</c:v>
                </c:pt>
              </c:numCache>
            </c:numRef>
          </c:val>
          <c:extLst>
            <c:ext xmlns:c16="http://schemas.microsoft.com/office/drawing/2014/chart" uri="{C3380CC4-5D6E-409C-BE32-E72D297353CC}">
              <c16:uniqueId val="{00000001-3B41-D444-A8D5-D3570D198BCC}"/>
            </c:ext>
          </c:extLst>
        </c:ser>
        <c:dLbls>
          <c:showLegendKey val="0"/>
          <c:showVal val="0"/>
          <c:showCatName val="0"/>
          <c:showSerName val="0"/>
          <c:showPercent val="0"/>
          <c:showBubbleSize val="0"/>
        </c:dLbls>
        <c:axId val="-1641634080"/>
        <c:axId val="-1641631328"/>
      </c:areaChart>
      <c:lineChart>
        <c:grouping val="standard"/>
        <c:varyColors val="0"/>
        <c:ser>
          <c:idx val="2"/>
          <c:order val="2"/>
          <c:tx>
            <c:v>Line for Intervention Case</c:v>
          </c:tx>
          <c:spPr>
            <a:ln w="25400">
              <a:solidFill>
                <a:srgbClr val="DD0806"/>
              </a:solidFill>
              <a:prstDash val="solid"/>
            </a:ln>
          </c:spPr>
          <c:marker>
            <c:symbol val="none"/>
          </c:marker>
          <c:val>
            <c:numRef>
              <c:f>[0]!addIndint</c:f>
              <c:numCache>
                <c:formatCode>0.00</c:formatCode>
                <c:ptCount val="10"/>
                <c:pt idx="0">
                  <c:v>1.6191182434558868</c:v>
                </c:pt>
                <c:pt idx="1">
                  <c:v>1.6143193514823604</c:v>
                </c:pt>
                <c:pt idx="2">
                  <c:v>1.7566519466539221</c:v>
                </c:pt>
                <c:pt idx="3">
                  <c:v>1.7974869074920812</c:v>
                </c:pt>
                <c:pt idx="4">
                  <c:v>1.6727834595367312</c:v>
                </c:pt>
                <c:pt idx="5">
                  <c:v>1.4844588643851844</c:v>
                </c:pt>
                <c:pt idx="6">
                  <c:v>1.7017693144577302</c:v>
                </c:pt>
                <c:pt idx="7">
                  <c:v>1.9859165436258384</c:v>
                </c:pt>
                <c:pt idx="8">
                  <c:v>1.8279491028709645</c:v>
                </c:pt>
                <c:pt idx="9">
                  <c:v>1.4130703219949887</c:v>
                </c:pt>
              </c:numCache>
            </c:numRef>
          </c:val>
          <c:smooth val="0"/>
          <c:extLst>
            <c:ext xmlns:c16="http://schemas.microsoft.com/office/drawing/2014/chart" uri="{C3380CC4-5D6E-409C-BE32-E72D297353CC}">
              <c16:uniqueId val="{00000002-3B41-D444-A8D5-D3570D198BCC}"/>
            </c:ext>
          </c:extLst>
        </c:ser>
        <c:ser>
          <c:idx val="3"/>
          <c:order val="3"/>
          <c:marker>
            <c:symbol val="none"/>
          </c:marker>
          <c:val>
            <c:numRef>
              <c:f>[0]!attdummy</c:f>
              <c:numCache>
                <c:formatCode>0.00</c:formatCode>
                <c:ptCount val="10"/>
              </c:numCache>
            </c:numRef>
          </c:val>
          <c:smooth val="0"/>
          <c:extLst>
            <c:ext xmlns:c16="http://schemas.microsoft.com/office/drawing/2014/chart" uri="{C3380CC4-5D6E-409C-BE32-E72D297353CC}">
              <c16:uniqueId val="{00000000-5FB1-D342-B9F1-06D0BE538427}"/>
            </c:ext>
          </c:extLst>
        </c:ser>
        <c:dLbls>
          <c:showLegendKey val="0"/>
          <c:showVal val="0"/>
          <c:showCatName val="0"/>
          <c:showSerName val="0"/>
          <c:showPercent val="0"/>
          <c:showBubbleSize val="0"/>
        </c:dLbls>
        <c:marker val="1"/>
        <c:smooth val="0"/>
        <c:axId val="-1641634080"/>
        <c:axId val="-1641631328"/>
      </c:lineChart>
      <c:catAx>
        <c:axId val="-1641634080"/>
        <c:scaling>
          <c:orientation val="minMax"/>
        </c:scaling>
        <c:delete val="0"/>
        <c:axPos val="b"/>
        <c:numFmt formatCode="General" sourceLinked="1"/>
        <c:majorTickMark val="none"/>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1631328"/>
        <c:crosses val="autoZero"/>
        <c:auto val="1"/>
        <c:lblAlgn val="ctr"/>
        <c:lblOffset val="100"/>
        <c:tickLblSkip val="9"/>
        <c:tickMarkSkip val="1"/>
        <c:noMultiLvlLbl val="0"/>
      </c:catAx>
      <c:valAx>
        <c:axId val="-1641631328"/>
        <c:scaling>
          <c:orientation val="minMax"/>
          <c:max val="120"/>
          <c:min val="-20"/>
        </c:scaling>
        <c:delete val="0"/>
        <c:axPos val="l"/>
        <c:title>
          <c:tx>
            <c:rich>
              <a:bodyPr rot="-5400000" vert="horz"/>
              <a:lstStyle/>
              <a:p>
                <a:pPr>
                  <a:defRPr sz="800" b="0" i="0" u="none" strike="noStrike" baseline="0">
                    <a:solidFill>
                      <a:srgbClr val="000000"/>
                    </a:solidFill>
                    <a:latin typeface="Arial"/>
                    <a:ea typeface="Arial"/>
                    <a:cs typeface="Arial"/>
                  </a:defRPr>
                </a:pPr>
                <a:r>
                  <a:rPr lang="en-US" sz="800" b="0" i="0" baseline="0">
                    <a:effectLst/>
                  </a:rPr>
                  <a:t>Gt CO2/year</a:t>
                </a:r>
                <a:endParaRPr lang="en-US" sz="800">
                  <a:effectLst/>
                </a:endParaRPr>
              </a:p>
            </c:rich>
          </c:tx>
          <c:layout>
            <c:manualLayout>
              <c:xMode val="edge"/>
              <c:yMode val="edge"/>
              <c:x val="2.1066802133604301E-3"/>
              <c:y val="0.3330039370078740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1634080"/>
        <c:crosses val="autoZero"/>
        <c:crossBetween val="midCat"/>
        <c:majorUnit val="20"/>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 verticalDpi="1200"/>
  </c:printSettings>
  <c:userShapes r:id="rId1"/>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680733438278398"/>
          <c:y val="0.16857305336832901"/>
          <c:w val="0.56610599952662"/>
          <c:h val="0.65088670166229201"/>
        </c:manualLayout>
      </c:layout>
      <c:areaChart>
        <c:grouping val="stacked"/>
        <c:varyColors val="0"/>
        <c:ser>
          <c:idx val="0"/>
          <c:order val="0"/>
          <c:tx>
            <c:v>Reference case</c:v>
          </c:tx>
          <c:spPr>
            <a:noFill/>
            <a:ln w="12700">
              <a:noFill/>
              <a:prstDash val="solid"/>
            </a:ln>
          </c:spPr>
          <c:val>
            <c:numRef>
              <c:f>[0]!addlanduseref</c:f>
              <c:numCache>
                <c:formatCode>0.00</c:formatCode>
                <c:ptCount val="10"/>
                <c:pt idx="0">
                  <c:v>3.5023383199999998</c:v>
                </c:pt>
                <c:pt idx="1">
                  <c:v>5.2124559640000001</c:v>
                </c:pt>
                <c:pt idx="2">
                  <c:v>6.2809146550000001</c:v>
                </c:pt>
                <c:pt idx="3">
                  <c:v>6.1783188640000004</c:v>
                </c:pt>
                <c:pt idx="4">
                  <c:v>5.0467978469999997</c:v>
                </c:pt>
                <c:pt idx="5">
                  <c:v>1.4353136990000002</c:v>
                </c:pt>
                <c:pt idx="6">
                  <c:v>0.72626427820000006</c:v>
                </c:pt>
                <c:pt idx="7">
                  <c:v>0.91421360279999997</c:v>
                </c:pt>
                <c:pt idx="8">
                  <c:v>-0.1154519071</c:v>
                </c:pt>
                <c:pt idx="9">
                  <c:v>-0.52666452530000007</c:v>
                </c:pt>
              </c:numCache>
            </c:numRef>
          </c:val>
          <c:extLst>
            <c:ext xmlns:c16="http://schemas.microsoft.com/office/drawing/2014/chart" uri="{C3380CC4-5D6E-409C-BE32-E72D297353CC}">
              <c16:uniqueId val="{00000004-AC57-9141-9ABA-B9913C50BF24}"/>
            </c:ext>
          </c:extLst>
        </c:ser>
        <c:ser>
          <c:idx val="2"/>
          <c:order val="1"/>
          <c:tx>
            <c:v>intervention area</c:v>
          </c:tx>
          <c:spPr>
            <a:solidFill>
              <a:srgbClr val="A1F4FF"/>
            </a:solidFill>
            <a:ln w="12700">
              <a:solidFill>
                <a:schemeClr val="tx1"/>
              </a:solidFill>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[0]!addlandusearea</c:f>
              <c:numCache>
                <c:formatCode>0.00</c:formatCode>
                <c:ptCount val="10"/>
                <c:pt idx="0">
                  <c:v>0.1090670132115088</c:v>
                </c:pt>
                <c:pt idx="1">
                  <c:v>-1.7496614909113308</c:v>
                </c:pt>
                <c:pt idx="2">
                  <c:v>-7.8593399681791407</c:v>
                </c:pt>
                <c:pt idx="3">
                  <c:v>-10.785819278472463</c:v>
                </c:pt>
                <c:pt idx="4">
                  <c:v>-13.228038242455245</c:v>
                </c:pt>
                <c:pt idx="5">
                  <c:v>-9.3352603930491806</c:v>
                </c:pt>
                <c:pt idx="6">
                  <c:v>-8.2535747744595707</c:v>
                </c:pt>
                <c:pt idx="7">
                  <c:v>-6.3469625555535067</c:v>
                </c:pt>
                <c:pt idx="8">
                  <c:v>-3.1727031224163249</c:v>
                </c:pt>
                <c:pt idx="9">
                  <c:v>-1.2579886815285519</c:v>
                </c:pt>
              </c:numCache>
            </c:numRef>
          </c:val>
          <c:extLst>
            <c:ext xmlns:c16="http://schemas.microsoft.com/office/drawing/2014/chart" uri="{C3380CC4-5D6E-409C-BE32-E72D297353CC}">
              <c16:uniqueId val="{00000002-AC57-9141-9ABA-B9913C50BF24}"/>
            </c:ext>
          </c:extLst>
        </c:ser>
        <c:dLbls>
          <c:showLegendKey val="0"/>
          <c:showVal val="0"/>
          <c:showCatName val="0"/>
          <c:showSerName val="0"/>
          <c:showPercent val="0"/>
          <c:showBubbleSize val="0"/>
        </c:dLbls>
        <c:axId val="-1641589040"/>
        <c:axId val="-1641586288"/>
      </c:areaChart>
      <c:lineChart>
        <c:grouping val="standard"/>
        <c:varyColors val="0"/>
        <c:ser>
          <c:idx val="1"/>
          <c:order val="2"/>
          <c:tx>
            <c:v>Intervention Case</c:v>
          </c:tx>
          <c:spPr>
            <a:ln w="28575">
              <a:solidFill>
                <a:srgbClr val="C00000"/>
              </a:solidFill>
              <a:prstDash val="solid"/>
            </a:ln>
          </c:spPr>
          <c:marker>
            <c:symbol val="none"/>
          </c:marker>
          <c:val>
            <c:numRef>
              <c:f>[0]!addlanduseint</c:f>
              <c:numCache>
                <c:formatCode>0.00</c:formatCode>
                <c:ptCount val="10"/>
                <c:pt idx="0">
                  <c:v>3.6114053332115086</c:v>
                </c:pt>
                <c:pt idx="1">
                  <c:v>3.4627944730886693</c:v>
                </c:pt>
                <c:pt idx="2">
                  <c:v>-1.5784253131791401</c:v>
                </c:pt>
                <c:pt idx="3">
                  <c:v>-4.6075004144724625</c:v>
                </c:pt>
                <c:pt idx="4">
                  <c:v>-8.1812403954552444</c:v>
                </c:pt>
                <c:pt idx="5">
                  <c:v>-7.8999466940491807</c:v>
                </c:pt>
                <c:pt idx="6">
                  <c:v>-7.5273104962595703</c:v>
                </c:pt>
                <c:pt idx="7">
                  <c:v>-5.4327489527535064</c:v>
                </c:pt>
                <c:pt idx="8">
                  <c:v>-3.2881550295163251</c:v>
                </c:pt>
                <c:pt idx="9">
                  <c:v>-1.7846532068285519</c:v>
                </c:pt>
              </c:numCache>
            </c:numRef>
          </c:val>
          <c:smooth val="0"/>
          <c:extLst>
            <c:ext xmlns:c16="http://schemas.microsoft.com/office/drawing/2014/chart" uri="{C3380CC4-5D6E-409C-BE32-E72D297353CC}">
              <c16:uniqueId val="{00000005-AC57-9141-9ABA-B9913C50BF24}"/>
            </c:ext>
          </c:extLst>
        </c:ser>
        <c:ser>
          <c:idx val="3"/>
          <c:order val="3"/>
          <c:marker>
            <c:symbol val="none"/>
          </c:marker>
          <c:val>
            <c:numRef>
              <c:f>[0]!attdummy</c:f>
              <c:numCache>
                <c:formatCode>0.00</c:formatCode>
                <c:ptCount val="10"/>
              </c:numCache>
            </c:numRef>
          </c:val>
          <c:smooth val="0"/>
          <c:extLst>
            <c:ext xmlns:c16="http://schemas.microsoft.com/office/drawing/2014/chart" uri="{C3380CC4-5D6E-409C-BE32-E72D297353CC}">
              <c16:uniqueId val="{00000000-8715-6C44-B64E-7D1388417153}"/>
            </c:ext>
          </c:extLst>
        </c:ser>
        <c:dLbls>
          <c:showLegendKey val="0"/>
          <c:showVal val="0"/>
          <c:showCatName val="0"/>
          <c:showSerName val="0"/>
          <c:showPercent val="0"/>
          <c:showBubbleSize val="0"/>
        </c:dLbls>
        <c:marker val="1"/>
        <c:smooth val="0"/>
        <c:axId val="-1641589040"/>
        <c:axId val="-1641586288"/>
      </c:lineChart>
      <c:catAx>
        <c:axId val="-1641589040"/>
        <c:scaling>
          <c:orientation val="minMax"/>
        </c:scaling>
        <c:delete val="0"/>
        <c:axPos val="b"/>
        <c:numFmt formatCode="General" sourceLinked="1"/>
        <c:majorTickMark val="none"/>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1586288"/>
        <c:crosses val="autoZero"/>
        <c:auto val="1"/>
        <c:lblAlgn val="ctr"/>
        <c:lblOffset val="100"/>
        <c:tickLblSkip val="9"/>
        <c:tickMarkSkip val="1"/>
        <c:noMultiLvlLbl val="0"/>
      </c:catAx>
      <c:valAx>
        <c:axId val="-1641586288"/>
        <c:scaling>
          <c:orientation val="minMax"/>
          <c:max val="120"/>
          <c:min val="-20"/>
        </c:scaling>
        <c:delete val="0"/>
        <c:axPos val="l"/>
        <c:title>
          <c:tx>
            <c:rich>
              <a:bodyPr/>
              <a:lstStyle/>
              <a:p>
                <a:pPr>
                  <a:defRPr sz="800" b="0" i="0" u="none" strike="noStrike" baseline="0">
                    <a:solidFill>
                      <a:srgbClr val="000000"/>
                    </a:solidFill>
                    <a:latin typeface="Arial"/>
                    <a:ea typeface="Arial"/>
                    <a:cs typeface="Arial"/>
                  </a:defRPr>
                </a:pPr>
                <a:r>
                  <a:rPr lang="en-US" sz="800" b="0" i="0" baseline="0">
                    <a:effectLst/>
                  </a:rPr>
                  <a:t>Gt CO2/year</a:t>
                </a:r>
                <a:endParaRPr lang="en-US" sz="800">
                  <a:effectLst/>
                </a:endParaRPr>
              </a:p>
            </c:rich>
          </c:tx>
          <c:layout>
            <c:manualLayout>
              <c:xMode val="edge"/>
              <c:yMode val="edge"/>
              <c:x val="2.46431292862586E-3"/>
              <c:y val="0.32232064741907301"/>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1589040"/>
        <c:crosses val="autoZero"/>
        <c:crossBetween val="midCat"/>
        <c:majorUnit val="20"/>
        <c:minorUnit val="0.05"/>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 verticalDpi="1200"/>
  </c:printSettings>
  <c:userShapes r:id="rId1"/>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822190408017199"/>
          <c:y val="0.16265573053368301"/>
          <c:w val="0.56431400620377004"/>
          <c:h val="0.65680358705161801"/>
        </c:manualLayout>
      </c:layout>
      <c:areaChart>
        <c:grouping val="stacked"/>
        <c:varyColors val="0"/>
        <c:ser>
          <c:idx val="0"/>
          <c:order val="0"/>
          <c:tx>
            <c:v>Reference case</c:v>
          </c:tx>
          <c:spPr>
            <a:noFill/>
            <a:ln>
              <a:noFill/>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[0]!addBioCCSENEref</c:f>
              <c:numCache>
                <c:formatCode>0.00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1-37B5-7544-95B1-EF76A3BC197D}"/>
            </c:ext>
          </c:extLst>
        </c:ser>
        <c:ser>
          <c:idx val="1"/>
          <c:order val="1"/>
          <c:tx>
            <c:v>intervention area</c:v>
          </c:tx>
          <c:spPr>
            <a:solidFill>
              <a:srgbClr val="A1F4FF"/>
            </a:solidFill>
            <a:ln w="12700">
              <a:solidFill>
                <a:schemeClr val="tx1"/>
              </a:solidFill>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[0]!addBioCCSENEarea</c:f>
              <c:numCache>
                <c:formatCode>General</c:formatCode>
                <c:ptCount val="10"/>
                <c:pt idx="0">
                  <c:v>0</c:v>
                </c:pt>
                <c:pt idx="1">
                  <c:v>-4.8386068484041956E-18</c:v>
                </c:pt>
                <c:pt idx="2">
                  <c:v>-2.004778366333915E-9</c:v>
                </c:pt>
                <c:pt idx="3">
                  <c:v>-4.5750844565087794E-8</c:v>
                </c:pt>
                <c:pt idx="4">
                  <c:v>-9.4639817689382689E-5</c:v>
                </c:pt>
                <c:pt idx="5">
                  <c:v>-8.8683626624213473E-5</c:v>
                </c:pt>
                <c:pt idx="6">
                  <c:v>-7.1516428154912618E-5</c:v>
                </c:pt>
                <c:pt idx="7">
                  <c:v>-5.4543651837472375E-5</c:v>
                </c:pt>
                <c:pt idx="8">
                  <c:v>-5.1858247085571442E-5</c:v>
                </c:pt>
                <c:pt idx="9">
                  <c:v>-3.3366896726268652E-4</c:v>
                </c:pt>
              </c:numCache>
            </c:numRef>
          </c:val>
          <c:extLst>
            <c:ext xmlns:c16="http://schemas.microsoft.com/office/drawing/2014/chart" uri="{C3380CC4-5D6E-409C-BE32-E72D297353CC}">
              <c16:uniqueId val="{00000000-37B5-7544-95B1-EF76A3BC197D}"/>
            </c:ext>
          </c:extLst>
        </c:ser>
        <c:dLbls>
          <c:showLegendKey val="0"/>
          <c:showVal val="0"/>
          <c:showCatName val="0"/>
          <c:showSerName val="0"/>
          <c:showPercent val="0"/>
          <c:showBubbleSize val="0"/>
        </c:dLbls>
        <c:axId val="-1641556592"/>
        <c:axId val="-1641553840"/>
      </c:areaChart>
      <c:lineChart>
        <c:grouping val="standard"/>
        <c:varyColors val="0"/>
        <c:ser>
          <c:idx val="2"/>
          <c:order val="2"/>
          <c:tx>
            <c:v>Intervention case</c:v>
          </c:tx>
          <c:spPr>
            <a:ln w="28575">
              <a:solidFill>
                <a:srgbClr val="C00000"/>
              </a:solidFill>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[0]!addBioCCSENEint</c:f>
              <c:numCache>
                <c:formatCode>0.00</c:formatCode>
                <c:ptCount val="10"/>
                <c:pt idx="0">
                  <c:v>0</c:v>
                </c:pt>
                <c:pt idx="1">
                  <c:v>-4.8386068484041956E-18</c:v>
                </c:pt>
                <c:pt idx="2">
                  <c:v>-2.004778366333915E-9</c:v>
                </c:pt>
                <c:pt idx="3">
                  <c:v>-4.5750844565087794E-8</c:v>
                </c:pt>
                <c:pt idx="4">
                  <c:v>-9.4639817689382689E-5</c:v>
                </c:pt>
                <c:pt idx="5">
                  <c:v>-8.8683626624213473E-5</c:v>
                </c:pt>
                <c:pt idx="6">
                  <c:v>-7.1516428154912618E-5</c:v>
                </c:pt>
                <c:pt idx="7">
                  <c:v>-5.4543651837472375E-5</c:v>
                </c:pt>
                <c:pt idx="8">
                  <c:v>-5.1858247085571442E-5</c:v>
                </c:pt>
                <c:pt idx="9">
                  <c:v>-3.3366896726268652E-4</c:v>
                </c:pt>
              </c:numCache>
            </c:numRef>
          </c:val>
          <c:smooth val="0"/>
          <c:extLst>
            <c:ext xmlns:c16="http://schemas.microsoft.com/office/drawing/2014/chart" uri="{C3380CC4-5D6E-409C-BE32-E72D297353CC}">
              <c16:uniqueId val="{00000002-37B5-7544-95B1-EF76A3BC197D}"/>
            </c:ext>
          </c:extLst>
        </c:ser>
        <c:ser>
          <c:idx val="3"/>
          <c:order val="3"/>
          <c:marker>
            <c:symbol val="none"/>
          </c:marker>
          <c:val>
            <c:numRef>
              <c:f>[0]!attdummy</c:f>
              <c:numCache>
                <c:formatCode>0.00</c:formatCode>
                <c:ptCount val="10"/>
              </c:numCache>
            </c:numRef>
          </c:val>
          <c:smooth val="0"/>
          <c:extLst>
            <c:ext xmlns:c16="http://schemas.microsoft.com/office/drawing/2014/chart" uri="{C3380CC4-5D6E-409C-BE32-E72D297353CC}">
              <c16:uniqueId val="{00000000-3D56-694C-980F-33F58BC69E72}"/>
            </c:ext>
          </c:extLst>
        </c:ser>
        <c:dLbls>
          <c:showLegendKey val="0"/>
          <c:showVal val="0"/>
          <c:showCatName val="0"/>
          <c:showSerName val="0"/>
          <c:showPercent val="0"/>
          <c:showBubbleSize val="0"/>
        </c:dLbls>
        <c:marker val="1"/>
        <c:smooth val="0"/>
        <c:axId val="-1641556592"/>
        <c:axId val="-1641553840"/>
      </c:lineChart>
      <c:catAx>
        <c:axId val="-1641556592"/>
        <c:scaling>
          <c:orientation val="minMax"/>
        </c:scaling>
        <c:delete val="0"/>
        <c:axPos val="b"/>
        <c:numFmt formatCode="General" sourceLinked="1"/>
        <c:majorTickMark val="none"/>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1553840"/>
        <c:crosses val="autoZero"/>
        <c:auto val="1"/>
        <c:lblAlgn val="ctr"/>
        <c:lblOffset val="1"/>
        <c:tickLblSkip val="9"/>
        <c:tickMarkSkip val="1"/>
        <c:noMultiLvlLbl val="0"/>
      </c:catAx>
      <c:valAx>
        <c:axId val="-1641553840"/>
        <c:scaling>
          <c:orientation val="minMax"/>
          <c:max val="120"/>
          <c:min val="-20"/>
        </c:scaling>
        <c:delete val="0"/>
        <c:axPos val="l"/>
        <c:title>
          <c:tx>
            <c:rich>
              <a:bodyPr anchor="b" anchorCtr="1"/>
              <a:lstStyle/>
              <a:p>
                <a:pPr>
                  <a:defRPr sz="800" b="0" i="0" u="none" strike="noStrike" baseline="0">
                    <a:solidFill>
                      <a:srgbClr val="000000"/>
                    </a:solidFill>
                    <a:latin typeface="Arial"/>
                    <a:ea typeface="Arial"/>
                    <a:cs typeface="Arial"/>
                  </a:defRPr>
                </a:pPr>
                <a:r>
                  <a:rPr lang="en-US" sz="800" b="0" i="0" baseline="0">
                    <a:effectLst/>
                  </a:rPr>
                  <a:t>Gt CO2/year</a:t>
                </a:r>
                <a:endParaRPr lang="en-US" sz="800">
                  <a:effectLst/>
                </a:endParaRPr>
              </a:p>
            </c:rich>
          </c:tx>
          <c:layout>
            <c:manualLayout>
              <c:xMode val="edge"/>
              <c:yMode val="edge"/>
              <c:x val="3.3738964447625899E-4"/>
              <c:y val="0.3334317585301839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1556592"/>
        <c:crosses val="autoZero"/>
        <c:crossBetween val="midCat"/>
        <c:majorUnit val="20"/>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 verticalDpi="1200"/>
  </c:printSettings>
  <c:userShapes r:id="rId1"/>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9936305732484098"/>
          <c:y val="0.20809203040371399"/>
          <c:w val="0.59235718942775495"/>
          <c:h val="0.66473851895680702"/>
        </c:manualLayout>
      </c:layout>
      <c:lineChart>
        <c:grouping val="standard"/>
        <c:varyColors val="0"/>
        <c:ser>
          <c:idx val="2"/>
          <c:order val="0"/>
          <c:tx>
            <c:v>Reference case</c:v>
          </c:tx>
          <c:spPr>
            <a:ln w="12700">
              <a:solidFill>
                <a:srgbClr val="000000"/>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[0]!addotherrefchng</c:f>
              <c:numCache>
                <c:formatCode>0.000</c:formatCode>
                <c:ptCount val="10"/>
                <c:pt idx="1">
                  <c:v>1.9534313456024091E-2</c:v>
                </c:pt>
                <c:pt idx="2">
                  <c:v>1.368191711820772E-2</c:v>
                </c:pt>
                <c:pt idx="3">
                  <c:v>9.52780209423797E-3</c:v>
                </c:pt>
                <c:pt idx="4">
                  <c:v>7.2991146665046204E-3</c:v>
                </c:pt>
                <c:pt idx="5">
                  <c:v>1.887626167254342E-3</c:v>
                </c:pt>
                <c:pt idx="6">
                  <c:v>4.237062139081516E-3</c:v>
                </c:pt>
                <c:pt idx="7">
                  <c:v>5.788976186327237E-3</c:v>
                </c:pt>
                <c:pt idx="8">
                  <c:v>4.7913181260673459E-3</c:v>
                </c:pt>
                <c:pt idx="9">
                  <c:v>7.0807288961065801E-3</c:v>
                </c:pt>
              </c:numCache>
            </c:numRef>
          </c:val>
          <c:smooth val="0"/>
          <c:extLst>
            <c:ext xmlns:c16="http://schemas.microsoft.com/office/drawing/2014/chart" uri="{C3380CC4-5D6E-409C-BE32-E72D297353CC}">
              <c16:uniqueId val="{00000000-51B8-2241-A3C8-87FD2AFE317D}"/>
            </c:ext>
          </c:extLst>
        </c:ser>
        <c:ser>
          <c:idx val="0"/>
          <c:order val="1"/>
          <c:tx>
            <c:v>Line for Intervention Case</c:v>
          </c:tx>
          <c:spPr>
            <a:ln w="28575" cmpd="sng">
              <a:solidFill>
                <a:srgbClr val="DD0806"/>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[0]!addotherintchng</c:f>
              <c:numCache>
                <c:formatCode>0.00</c:formatCode>
                <c:ptCount val="10"/>
                <c:pt idx="1">
                  <c:v>-9.2412334929559675E-3</c:v>
                </c:pt>
                <c:pt idx="2">
                  <c:v>-3.1868946754733292E-2</c:v>
                </c:pt>
                <c:pt idx="3">
                  <c:v>-1.636797939098452E-2</c:v>
                </c:pt>
                <c:pt idx="4">
                  <c:v>-9.1416363089900782E-3</c:v>
                </c:pt>
                <c:pt idx="5">
                  <c:v>-5.1766944624837587E-3</c:v>
                </c:pt>
                <c:pt idx="6">
                  <c:v>-4.4359485805931503E-3</c:v>
                </c:pt>
                <c:pt idx="7">
                  <c:v>-3.5140433972635364E-3</c:v>
                </c:pt>
                <c:pt idx="8">
                  <c:v>-3.0012416394476944E-3</c:v>
                </c:pt>
                <c:pt idx="9">
                  <c:v>-2.6452253291709758E-3</c:v>
                </c:pt>
              </c:numCache>
            </c:numRef>
          </c:val>
          <c:smooth val="0"/>
          <c:extLst>
            <c:ext xmlns:c16="http://schemas.microsoft.com/office/drawing/2014/chart" uri="{C3380CC4-5D6E-409C-BE32-E72D297353CC}">
              <c16:uniqueId val="{00000001-51B8-2241-A3C8-87FD2AFE317D}"/>
            </c:ext>
          </c:extLst>
        </c:ser>
        <c:ser>
          <c:idx val="1"/>
          <c:order val="2"/>
          <c:marker>
            <c:symbol val="none"/>
          </c:marker>
          <c:val>
            <c:numRef>
              <c:f>[0]!attdummy</c:f>
              <c:numCache>
                <c:formatCode>0.00</c:formatCode>
                <c:ptCount val="10"/>
              </c:numCache>
            </c:numRef>
          </c:val>
          <c:smooth val="0"/>
          <c:extLst>
            <c:ext xmlns:c16="http://schemas.microsoft.com/office/drawing/2014/chart" uri="{C3380CC4-5D6E-409C-BE32-E72D297353CC}">
              <c16:uniqueId val="{00000000-07E1-DA4B-BD09-E7D3AF3F3058}"/>
            </c:ext>
          </c:extLst>
        </c:ser>
        <c:dLbls>
          <c:showLegendKey val="0"/>
          <c:showVal val="0"/>
          <c:showCatName val="0"/>
          <c:showSerName val="0"/>
          <c:showPercent val="0"/>
          <c:showBubbleSize val="0"/>
        </c:dLbls>
        <c:smooth val="0"/>
        <c:axId val="-1641527712"/>
        <c:axId val="-1641524960"/>
      </c:lineChart>
      <c:catAx>
        <c:axId val="-1641527712"/>
        <c:scaling>
          <c:orientation val="minMax"/>
        </c:scaling>
        <c:delete val="0"/>
        <c:axPos val="b"/>
        <c:numFmt formatCode="General" sourceLinked="1"/>
        <c:majorTickMark val="none"/>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1524960"/>
        <c:crosses val="autoZero"/>
        <c:auto val="1"/>
        <c:lblAlgn val="ctr"/>
        <c:lblOffset val="100"/>
        <c:tickLblSkip val="9"/>
        <c:tickMarkSkip val="1"/>
        <c:noMultiLvlLbl val="0"/>
      </c:catAx>
      <c:valAx>
        <c:axId val="-1641524960"/>
        <c:scaling>
          <c:orientation val="minMax"/>
          <c:max val="2.0000000000000004E-2"/>
          <c:min val="-5.000000000000001E-2"/>
        </c:scaling>
        <c:delete val="0"/>
        <c:axPos val="l"/>
        <c:majorGridlines>
          <c:spPr>
            <a:ln w="3175">
              <a:solidFill>
                <a:schemeClr val="bg1">
                  <a:lumMod val="50000"/>
                </a:schemeClr>
              </a:solidFill>
              <a:prstDash val="sysDash"/>
            </a:ln>
          </c:spPr>
        </c:majorGridlines>
        <c:title>
          <c:tx>
            <c:rich>
              <a:bodyPr/>
              <a:lstStyle/>
              <a:p>
                <a:pPr>
                  <a:defRPr sz="800" b="0" i="0" u="none" strike="noStrike" baseline="0">
                    <a:solidFill>
                      <a:srgbClr val="000000"/>
                    </a:solidFill>
                    <a:latin typeface="Arial"/>
                    <a:ea typeface="Arial"/>
                    <a:cs typeface="Arial"/>
                  </a:defRPr>
                </a:pPr>
                <a:r>
                  <a:rPr lang="en-US"/>
                  <a:t>Annual Rate of Change</a:t>
                </a:r>
              </a:p>
            </c:rich>
          </c:tx>
          <c:layout>
            <c:manualLayout>
              <c:xMode val="edge"/>
              <c:yMode val="edge"/>
              <c:x val="3.1847158519698E-2"/>
              <c:y val="0.2832363946574240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1527712"/>
        <c:crosses val="autoZero"/>
        <c:crossBetween val="midCat"/>
        <c:majorUnit val="1.0000000000000002E-2"/>
        <c:minorUnit val="0.01"/>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userShapes r:id="rId1"/>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9936305732484098"/>
          <c:y val="0.21301728556119801"/>
          <c:w val="0.59235718942775495"/>
          <c:h val="0.67455528118156804"/>
        </c:manualLayout>
      </c:layout>
      <c:lineChart>
        <c:grouping val="standard"/>
        <c:varyColors val="0"/>
        <c:ser>
          <c:idx val="1"/>
          <c:order val="0"/>
          <c:tx>
            <c:v>reference scenario</c:v>
          </c:tx>
          <c:spPr>
            <a:ln w="12700" cmpd="sng">
              <a:solidFill>
                <a:srgbClr val="000000"/>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[0]!addtotalGHGrefchng</c:f>
              <c:numCache>
                <c:formatCode>0.000</c:formatCode>
                <c:ptCount val="10"/>
                <c:pt idx="1">
                  <c:v>2.1390847639697289E-2</c:v>
                </c:pt>
                <c:pt idx="2">
                  <c:v>1.597807295450844E-2</c:v>
                </c:pt>
                <c:pt idx="3">
                  <c:v>9.6223079996540228E-3</c:v>
                </c:pt>
                <c:pt idx="4">
                  <c:v>8.2755098794446806E-3</c:v>
                </c:pt>
                <c:pt idx="5">
                  <c:v>3.8453985737000327E-3</c:v>
                </c:pt>
                <c:pt idx="6">
                  <c:v>7.7839562807101815E-3</c:v>
                </c:pt>
                <c:pt idx="7">
                  <c:v>8.8837154163600423E-3</c:v>
                </c:pt>
                <c:pt idx="8">
                  <c:v>8.2392423768042119E-3</c:v>
                </c:pt>
                <c:pt idx="9">
                  <c:v>1.1440369736026022E-2</c:v>
                </c:pt>
              </c:numCache>
            </c:numRef>
          </c:val>
          <c:smooth val="0"/>
          <c:extLst>
            <c:ext xmlns:c16="http://schemas.microsoft.com/office/drawing/2014/chart" uri="{C3380CC4-5D6E-409C-BE32-E72D297353CC}">
              <c16:uniqueId val="{00000000-F704-E540-9F9B-5D100C025E87}"/>
            </c:ext>
          </c:extLst>
        </c:ser>
        <c:ser>
          <c:idx val="2"/>
          <c:order val="1"/>
          <c:tx>
            <c:v>Intervention scenario Line</c:v>
          </c:tx>
          <c:spPr>
            <a:ln w="28575">
              <a:solidFill>
                <a:srgbClr val="DD0806"/>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[0]!addtotalGHGintchng</c:f>
              <c:numCache>
                <c:formatCode>0.00</c:formatCode>
                <c:ptCount val="10"/>
                <c:pt idx="1">
                  <c:v>-5.8091995001466447E-3</c:v>
                </c:pt>
                <c:pt idx="2">
                  <c:v>-3.9514951688834878E-2</c:v>
                </c:pt>
                <c:pt idx="3">
                  <c:v>-3.0256622923528625E-2</c:v>
                </c:pt>
                <c:pt idx="4">
                  <c:v>-1.7151512392066873E-2</c:v>
                </c:pt>
                <c:pt idx="5">
                  <c:v>-3.7926363356266517E-3</c:v>
                </c:pt>
                <c:pt idx="6">
                  <c:v>-1.4804769563592224E-3</c:v>
                </c:pt>
                <c:pt idx="7">
                  <c:v>2.7082854136453549E-3</c:v>
                </c:pt>
                <c:pt idx="8">
                  <c:v>2.8035627636342248E-3</c:v>
                </c:pt>
                <c:pt idx="9">
                  <c:v>1.8322273046614279E-3</c:v>
                </c:pt>
              </c:numCache>
            </c:numRef>
          </c:val>
          <c:smooth val="0"/>
          <c:extLst>
            <c:ext xmlns:c16="http://schemas.microsoft.com/office/drawing/2014/chart" uri="{C3380CC4-5D6E-409C-BE32-E72D297353CC}">
              <c16:uniqueId val="{00000001-F704-E540-9F9B-5D100C025E87}"/>
            </c:ext>
          </c:extLst>
        </c:ser>
        <c:ser>
          <c:idx val="0"/>
          <c:order val="2"/>
          <c:marker>
            <c:symbol val="none"/>
          </c:marker>
          <c:val>
            <c:numRef>
              <c:f>[0]!attdummy</c:f>
              <c:numCache>
                <c:formatCode>0.00</c:formatCode>
                <c:ptCount val="10"/>
              </c:numCache>
            </c:numRef>
          </c:val>
          <c:smooth val="0"/>
          <c:extLst>
            <c:ext xmlns:c16="http://schemas.microsoft.com/office/drawing/2014/chart" uri="{C3380CC4-5D6E-409C-BE32-E72D297353CC}">
              <c16:uniqueId val="{00000000-7709-504F-906F-A85885DFBC65}"/>
            </c:ext>
          </c:extLst>
        </c:ser>
        <c:dLbls>
          <c:showLegendKey val="0"/>
          <c:showVal val="0"/>
          <c:showCatName val="0"/>
          <c:showSerName val="0"/>
          <c:showPercent val="0"/>
          <c:showBubbleSize val="0"/>
        </c:dLbls>
        <c:smooth val="0"/>
        <c:axId val="-1641501632"/>
        <c:axId val="-1641498880"/>
      </c:lineChart>
      <c:catAx>
        <c:axId val="-1641501632"/>
        <c:scaling>
          <c:orientation val="minMax"/>
        </c:scaling>
        <c:delete val="0"/>
        <c:axPos val="b"/>
        <c:numFmt formatCode="General" sourceLinked="1"/>
        <c:majorTickMark val="none"/>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1498880"/>
        <c:crosses val="autoZero"/>
        <c:auto val="1"/>
        <c:lblAlgn val="ctr"/>
        <c:lblOffset val="100"/>
        <c:tickLblSkip val="9"/>
        <c:tickMarkSkip val="1"/>
        <c:noMultiLvlLbl val="0"/>
      </c:catAx>
      <c:valAx>
        <c:axId val="-1641498880"/>
        <c:scaling>
          <c:orientation val="minMax"/>
          <c:max val="2.0000000000000004E-2"/>
          <c:min val="-8.0000000000000016E-2"/>
        </c:scaling>
        <c:delete val="0"/>
        <c:axPos val="l"/>
        <c:majorGridlines>
          <c:spPr>
            <a:ln w="3175">
              <a:solidFill>
                <a:schemeClr val="bg1">
                  <a:lumMod val="50000"/>
                </a:schemeClr>
              </a:solidFill>
              <a:prstDash val="sysDash"/>
            </a:ln>
          </c:spPr>
        </c:majorGridlines>
        <c:title>
          <c:tx>
            <c:rich>
              <a:bodyPr/>
              <a:lstStyle/>
              <a:p>
                <a:pPr>
                  <a:defRPr sz="800" b="0" i="0" u="none" strike="noStrike" baseline="0">
                    <a:solidFill>
                      <a:srgbClr val="000000"/>
                    </a:solidFill>
                    <a:latin typeface="Arial"/>
                    <a:ea typeface="Arial"/>
                    <a:cs typeface="Arial"/>
                  </a:defRPr>
                </a:pPr>
                <a:r>
                  <a:rPr lang="en-US"/>
                  <a:t>Annual Rate of Change</a:t>
                </a:r>
              </a:p>
            </c:rich>
          </c:tx>
          <c:layout>
            <c:manualLayout>
              <c:xMode val="edge"/>
              <c:yMode val="edge"/>
              <c:x val="3.1847158519698E-2"/>
              <c:y val="0.28994040954891798"/>
            </c:manualLayout>
          </c:layout>
          <c:overlay val="0"/>
          <c:spPr>
            <a:noFill/>
            <a:ln w="25400">
              <a:noFill/>
            </a:ln>
          </c:spPr>
        </c:title>
        <c:numFmt formatCode="0%" sourceLinked="0"/>
        <c:majorTickMark val="out"/>
        <c:minorTickMark val="cross"/>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1501632"/>
        <c:crosses val="autoZero"/>
        <c:crossBetween val="midCat"/>
        <c:majorUnit val="2.0000000000000004E-2"/>
        <c:minorUnit val="2.0000000000000004E-2"/>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 verticalDpi="1200"/>
  </c:printSettings>
  <c:userShapes r:id="rId1"/>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5265091863517097"/>
          <c:y val="0.20930324116462201"/>
          <c:w val="0.63239380791686695"/>
          <c:h val="0.66860648232924402"/>
        </c:manualLayout>
      </c:layout>
      <c:lineChart>
        <c:grouping val="standard"/>
        <c:varyColors val="0"/>
        <c:ser>
          <c:idx val="0"/>
          <c:order val="0"/>
          <c:tx>
            <c:v>Reference case</c:v>
          </c:tx>
          <c:spPr>
            <a:ln w="12700">
              <a:solidFill>
                <a:srgbClr val="000000"/>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[0]!addIndrefchng</c:f>
              <c:numCache>
                <c:formatCode>0.000</c:formatCode>
                <c:ptCount val="10"/>
                <c:pt idx="1">
                  <c:v>1.3999632026289009E-2</c:v>
                </c:pt>
                <c:pt idx="2">
                  <c:v>1.0401376737139183E-2</c:v>
                </c:pt>
                <c:pt idx="3">
                  <c:v>5.0840149291805732E-3</c:v>
                </c:pt>
                <c:pt idx="4">
                  <c:v>1.2074881233347486E-2</c:v>
                </c:pt>
                <c:pt idx="5">
                  <c:v>1.496779960154397E-2</c:v>
                </c:pt>
                <c:pt idx="6">
                  <c:v>6.1846301010726771E-3</c:v>
                </c:pt>
                <c:pt idx="7">
                  <c:v>1.5420149536042104E-2</c:v>
                </c:pt>
                <c:pt idx="8">
                  <c:v>2.711197108080167E-2</c:v>
                </c:pt>
                <c:pt idx="9">
                  <c:v>2.4105530056550143E-2</c:v>
                </c:pt>
              </c:numCache>
            </c:numRef>
          </c:val>
          <c:smooth val="0"/>
          <c:extLst>
            <c:ext xmlns:c16="http://schemas.microsoft.com/office/drawing/2014/chart" uri="{C3380CC4-5D6E-409C-BE32-E72D297353CC}">
              <c16:uniqueId val="{00000000-8F0F-7447-9464-8AC36C7F89EA}"/>
            </c:ext>
          </c:extLst>
        </c:ser>
        <c:ser>
          <c:idx val="2"/>
          <c:order val="1"/>
          <c:tx>
            <c:v>Line for Stabilization Case</c:v>
          </c:tx>
          <c:spPr>
            <a:ln w="25400">
              <a:solidFill>
                <a:srgbClr val="DD0806"/>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[0]!addIndintchng</c:f>
              <c:numCache>
                <c:formatCode>0.00</c:formatCode>
                <c:ptCount val="10"/>
                <c:pt idx="1">
                  <c:v>-2.9638922252420402E-4</c:v>
                </c:pt>
                <c:pt idx="2">
                  <c:v>8.7907474174192136E-3</c:v>
                </c:pt>
                <c:pt idx="3">
                  <c:v>2.5220493316782042E-3</c:v>
                </c:pt>
                <c:pt idx="4">
                  <c:v>-7.7019358196582198E-3</c:v>
                </c:pt>
                <c:pt idx="5">
                  <c:v>-1.163130586124347E-2</c:v>
                </c:pt>
                <c:pt idx="6">
                  <c:v>1.3421530573870435E-2</c:v>
                </c:pt>
                <c:pt idx="7">
                  <c:v>1.7549504510653725E-2</c:v>
                </c:pt>
                <c:pt idx="8">
                  <c:v>-9.756386934267643E-3</c:v>
                </c:pt>
                <c:pt idx="9">
                  <c:v>-2.5623748145190927E-2</c:v>
                </c:pt>
              </c:numCache>
            </c:numRef>
          </c:val>
          <c:smooth val="0"/>
          <c:extLst>
            <c:ext xmlns:c16="http://schemas.microsoft.com/office/drawing/2014/chart" uri="{C3380CC4-5D6E-409C-BE32-E72D297353CC}">
              <c16:uniqueId val="{00000001-8F0F-7447-9464-8AC36C7F89EA}"/>
            </c:ext>
          </c:extLst>
        </c:ser>
        <c:ser>
          <c:idx val="1"/>
          <c:order val="2"/>
          <c:marker>
            <c:symbol val="none"/>
          </c:marker>
          <c:val>
            <c:numRef>
              <c:f>[0]!attdummy</c:f>
              <c:numCache>
                <c:formatCode>0.00</c:formatCode>
                <c:ptCount val="10"/>
              </c:numCache>
            </c:numRef>
          </c:val>
          <c:smooth val="0"/>
          <c:extLst>
            <c:ext xmlns:c16="http://schemas.microsoft.com/office/drawing/2014/chart" uri="{C3380CC4-5D6E-409C-BE32-E72D297353CC}">
              <c16:uniqueId val="{00000000-9507-E142-87D6-FA8B2EFC9B5A}"/>
            </c:ext>
          </c:extLst>
        </c:ser>
        <c:dLbls>
          <c:showLegendKey val="0"/>
          <c:showVal val="0"/>
          <c:showCatName val="0"/>
          <c:showSerName val="0"/>
          <c:showPercent val="0"/>
          <c:showBubbleSize val="0"/>
        </c:dLbls>
        <c:smooth val="0"/>
        <c:axId val="-1641471984"/>
        <c:axId val="-1641469232"/>
      </c:lineChart>
      <c:catAx>
        <c:axId val="-1641471984"/>
        <c:scaling>
          <c:orientation val="minMax"/>
        </c:scaling>
        <c:delete val="0"/>
        <c:axPos val="b"/>
        <c:numFmt formatCode="General" sourceLinked="1"/>
        <c:majorTickMark val="none"/>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1469232"/>
        <c:crosses val="autoZero"/>
        <c:auto val="1"/>
        <c:lblAlgn val="ctr"/>
        <c:lblOffset val="100"/>
        <c:tickLblSkip val="9"/>
        <c:tickMarkSkip val="1"/>
        <c:noMultiLvlLbl val="0"/>
      </c:catAx>
      <c:valAx>
        <c:axId val="-1641469232"/>
        <c:scaling>
          <c:orientation val="minMax"/>
          <c:max val="4.0000000000000008E-2"/>
          <c:min val="-0.08"/>
        </c:scaling>
        <c:delete val="0"/>
        <c:axPos val="l"/>
        <c:majorGridlines>
          <c:spPr>
            <a:ln w="3175">
              <a:solidFill>
                <a:schemeClr val="bg1">
                  <a:lumMod val="50000"/>
                </a:schemeClr>
              </a:solidFill>
              <a:prstDash val="sysDash"/>
            </a:ln>
          </c:spPr>
        </c:majorGridlines>
        <c:title>
          <c:tx>
            <c:rich>
              <a:bodyPr/>
              <a:lstStyle/>
              <a:p>
                <a:pPr>
                  <a:defRPr sz="800" b="0" i="0" u="none" strike="noStrike" baseline="0">
                    <a:solidFill>
                      <a:srgbClr val="000000"/>
                    </a:solidFill>
                    <a:latin typeface="Arial"/>
                    <a:ea typeface="Arial"/>
                    <a:cs typeface="Arial"/>
                  </a:defRPr>
                </a:pPr>
                <a:r>
                  <a:rPr lang="en-US"/>
                  <a:t>Annual Rate of Change</a:t>
                </a:r>
              </a:p>
            </c:rich>
          </c:tx>
          <c:layout>
            <c:manualLayout>
              <c:xMode val="edge"/>
              <c:yMode val="edge"/>
              <c:x val="2.7210861757561901E-2"/>
              <c:y val="0.308140409646420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1471984"/>
        <c:crosses val="autoZero"/>
        <c:crossBetween val="midCat"/>
        <c:majorUnit val="0.02"/>
        <c:minorUnit val="0.01"/>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 verticalDpi="1200"/>
  </c:printSettings>
  <c:userShapes r:id="rId1"/>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5148749263484899"/>
          <c:y val="0.21176470588235299"/>
          <c:w val="0.63355723391718899"/>
          <c:h val="0.67647058823529405"/>
        </c:manualLayout>
      </c:layout>
      <c:lineChart>
        <c:grouping val="standard"/>
        <c:varyColors val="0"/>
        <c:ser>
          <c:idx val="0"/>
          <c:order val="0"/>
          <c:tx>
            <c:v>Reference case</c:v>
          </c:tx>
          <c:spPr>
            <a:ln w="12700">
              <a:solidFill>
                <a:schemeClr val="tx1"/>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[0]!addBioCCSENErefchng</c:f>
              <c:numCache>
                <c:formatCode>0.000</c:formatCode>
                <c:ptCount val="10"/>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0-E53C-CF41-8CDE-495690AD4785}"/>
            </c:ext>
          </c:extLst>
        </c:ser>
        <c:ser>
          <c:idx val="2"/>
          <c:order val="1"/>
          <c:tx>
            <c:v>Line for Stabilization Case</c:v>
          </c:tx>
          <c:spPr>
            <a:ln>
              <a:solidFill>
                <a:srgbClr val="EE4637"/>
              </a:solidFill>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[0]!addBioCCSENEintchng</c:f>
              <c:numCache>
                <c:formatCode>0.00</c:formatCode>
                <c:ptCount val="10"/>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1-E53C-CF41-8CDE-495690AD4785}"/>
            </c:ext>
          </c:extLst>
        </c:ser>
        <c:ser>
          <c:idx val="1"/>
          <c:order val="2"/>
          <c:marker>
            <c:symbol val="none"/>
          </c:marker>
          <c:val>
            <c:numRef>
              <c:f>[0]!attdummy</c:f>
              <c:numCache>
                <c:formatCode>0.00</c:formatCode>
                <c:ptCount val="10"/>
              </c:numCache>
            </c:numRef>
          </c:val>
          <c:smooth val="0"/>
          <c:extLst>
            <c:ext xmlns:c16="http://schemas.microsoft.com/office/drawing/2014/chart" uri="{C3380CC4-5D6E-409C-BE32-E72D297353CC}">
              <c16:uniqueId val="{00000000-CBF8-5A46-94FB-686A8D0F0008}"/>
            </c:ext>
          </c:extLst>
        </c:ser>
        <c:dLbls>
          <c:showLegendKey val="0"/>
          <c:showVal val="0"/>
          <c:showCatName val="0"/>
          <c:showSerName val="0"/>
          <c:showPercent val="0"/>
          <c:showBubbleSize val="0"/>
        </c:dLbls>
        <c:smooth val="0"/>
        <c:axId val="-1641439504"/>
        <c:axId val="-1641436752"/>
      </c:lineChart>
      <c:catAx>
        <c:axId val="-1641439504"/>
        <c:scaling>
          <c:orientation val="minMax"/>
        </c:scaling>
        <c:delete val="0"/>
        <c:axPos val="b"/>
        <c:numFmt formatCode="General" sourceLinked="1"/>
        <c:majorTickMark val="none"/>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1436752"/>
        <c:crosses val="autoZero"/>
        <c:auto val="1"/>
        <c:lblAlgn val="ctr"/>
        <c:lblOffset val="100"/>
        <c:tickLblSkip val="9"/>
        <c:tickMarkSkip val="1"/>
        <c:noMultiLvlLbl val="0"/>
      </c:catAx>
      <c:valAx>
        <c:axId val="-1641436752"/>
        <c:scaling>
          <c:orientation val="minMax"/>
          <c:max val="0"/>
          <c:min val="-0.2"/>
        </c:scaling>
        <c:delete val="0"/>
        <c:axPos val="l"/>
        <c:majorGridlines>
          <c:spPr>
            <a:ln w="3175">
              <a:solidFill>
                <a:schemeClr val="bg1">
                  <a:lumMod val="50000"/>
                </a:schemeClr>
              </a:solidFill>
              <a:prstDash val="sysDash"/>
            </a:ln>
          </c:spPr>
        </c:majorGridlines>
        <c:title>
          <c:tx>
            <c:rich>
              <a:bodyPr/>
              <a:lstStyle/>
              <a:p>
                <a:pPr>
                  <a:defRPr sz="800" b="0" i="0" u="none" strike="noStrike" baseline="0">
                    <a:solidFill>
                      <a:srgbClr val="000000"/>
                    </a:solidFill>
                    <a:latin typeface="Arial"/>
                    <a:ea typeface="Arial"/>
                    <a:cs typeface="Arial"/>
                  </a:defRPr>
                </a:pPr>
                <a:r>
                  <a:rPr lang="en-US"/>
                  <a:t>Annual Rate of Change</a:t>
                </a:r>
              </a:p>
            </c:rich>
          </c:tx>
          <c:layout>
            <c:manualLayout>
              <c:xMode val="edge"/>
              <c:yMode val="edge"/>
              <c:x val="2.7210861757561901E-2"/>
              <c:y val="0.288235294117646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1439504"/>
        <c:crosses val="autoZero"/>
        <c:crossBetween val="midCat"/>
        <c:majorUnit val="5.000000000000001E-2"/>
        <c:minorUnit val="0.01"/>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 verticalDpi="1200"/>
  </c:printSettings>
  <c:userShapes r:id="rId1"/>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3077266954533901"/>
          <c:y val="0.18333333333333299"/>
          <c:w val="0.60551790703581398"/>
          <c:h val="0.67968285214348201"/>
        </c:manualLayout>
      </c:layout>
      <c:areaChart>
        <c:grouping val="stacked"/>
        <c:varyColors val="0"/>
        <c:ser>
          <c:idx val="2"/>
          <c:order val="0"/>
          <c:tx>
            <c:v>Reference case area</c:v>
          </c:tx>
          <c:spPr>
            <a:solidFill>
              <a:schemeClr val="bg1"/>
            </a:solidFill>
            <a:ln w="12700" cmpd="sng">
              <a:solidFill>
                <a:schemeClr val="tx1"/>
              </a:solidFill>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[0]!addotherrefindex</c:f>
              <c:numCache>
                <c:formatCode>0.00</c:formatCode>
                <c:ptCount val="10"/>
                <c:pt idx="0">
                  <c:v>1</c:v>
                </c:pt>
                <c:pt idx="1">
                  <c:v>1.195343134560241</c:v>
                </c:pt>
                <c:pt idx="2">
                  <c:v>1.3321623057423182</c:v>
                </c:pt>
                <c:pt idx="3">
                  <c:v>1.4274403266846978</c:v>
                </c:pt>
                <c:pt idx="4">
                  <c:v>1.5004314733497441</c:v>
                </c:pt>
                <c:pt idx="5">
                  <c:v>1.5193077350222874</c:v>
                </c:pt>
                <c:pt idx="6">
                  <c:v>1.5616783564131027</c:v>
                </c:pt>
                <c:pt idx="7">
                  <c:v>1.619568118276375</c:v>
                </c:pt>
                <c:pt idx="8">
                  <c:v>1.6674812995370485</c:v>
                </c:pt>
                <c:pt idx="9">
                  <c:v>1.7382885884981143</c:v>
                </c:pt>
              </c:numCache>
            </c:numRef>
          </c:val>
          <c:extLst>
            <c:ext xmlns:c16="http://schemas.microsoft.com/office/drawing/2014/chart" uri="{C3380CC4-5D6E-409C-BE32-E72D297353CC}">
              <c16:uniqueId val="{00000000-B0E1-9443-BDB8-A7541A468681}"/>
            </c:ext>
          </c:extLst>
        </c:ser>
        <c:ser>
          <c:idx val="1"/>
          <c:order val="2"/>
          <c:tx>
            <c:v>Area for Intervention case</c:v>
          </c:tx>
          <c:spPr>
            <a:solidFill>
              <a:srgbClr val="A1F4FF"/>
            </a:solidFill>
            <a:ln w="12700">
              <a:solidFill>
                <a:schemeClr val="tx1"/>
              </a:solidFill>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[0]!addotherindexarea</c:f>
              <c:numCache>
                <c:formatCode>0.00</c:formatCode>
                <c:ptCount val="10"/>
                <c:pt idx="0">
                  <c:v>0</c:v>
                </c:pt>
                <c:pt idx="1">
                  <c:v>-0.28775546948980069</c:v>
                </c:pt>
                <c:pt idx="2">
                  <c:v>-0.74326410821921085</c:v>
                </c:pt>
                <c:pt idx="3">
                  <c:v>-1.0022219230714355</c:v>
                </c:pt>
                <c:pt idx="4">
                  <c:v>-1.1666294328263827</c:v>
                </c:pt>
                <c:pt idx="5">
                  <c:v>-1.2372726391237636</c:v>
                </c:pt>
                <c:pt idx="6">
                  <c:v>-1.3240027463205104</c:v>
                </c:pt>
                <c:pt idx="7">
                  <c:v>-1.4170329421564181</c:v>
                </c:pt>
                <c:pt idx="8">
                  <c:v>-1.4949585398115686</c:v>
                </c:pt>
                <c:pt idx="9">
                  <c:v>-1.5922180820643441</c:v>
                </c:pt>
              </c:numCache>
            </c:numRef>
          </c:val>
          <c:extLst>
            <c:ext xmlns:c16="http://schemas.microsoft.com/office/drawing/2014/chart" uri="{C3380CC4-5D6E-409C-BE32-E72D297353CC}">
              <c16:uniqueId val="{00000001-B0E1-9443-BDB8-A7541A468681}"/>
            </c:ext>
          </c:extLst>
        </c:ser>
        <c:dLbls>
          <c:showLegendKey val="0"/>
          <c:showVal val="0"/>
          <c:showCatName val="0"/>
          <c:showSerName val="0"/>
          <c:showPercent val="0"/>
          <c:showBubbleSize val="0"/>
        </c:dLbls>
        <c:axId val="-1641397824"/>
        <c:axId val="-1641395072"/>
      </c:areaChart>
      <c:lineChart>
        <c:grouping val="standard"/>
        <c:varyColors val="0"/>
        <c:ser>
          <c:idx val="0"/>
          <c:order val="1"/>
          <c:tx>
            <c:v>Line for Intervention Case</c:v>
          </c:tx>
          <c:spPr>
            <a:ln w="28575">
              <a:solidFill>
                <a:srgbClr val="C00000"/>
              </a:solidFill>
              <a:prstDash val="solid"/>
            </a:ln>
          </c:spPr>
          <c:marker>
            <c:symbol val="none"/>
          </c:marker>
          <c:val>
            <c:numRef>
              <c:f>[0]!addotherintindex</c:f>
              <c:numCache>
                <c:formatCode>0.00</c:formatCode>
                <c:ptCount val="10"/>
                <c:pt idx="0">
                  <c:v>1</c:v>
                </c:pt>
                <c:pt idx="1">
                  <c:v>0.90758766507044031</c:v>
                </c:pt>
                <c:pt idx="2">
                  <c:v>0.58889819752310735</c:v>
                </c:pt>
                <c:pt idx="3">
                  <c:v>0.42521840361326219</c:v>
                </c:pt>
                <c:pt idx="4">
                  <c:v>0.33380204052336138</c:v>
                </c:pt>
                <c:pt idx="5">
                  <c:v>0.28203509589852382</c:v>
                </c:pt>
                <c:pt idx="6">
                  <c:v>0.2376756100925923</c:v>
                </c:pt>
                <c:pt idx="7">
                  <c:v>0.20253517611995692</c:v>
                </c:pt>
                <c:pt idx="8">
                  <c:v>0.17252275972547998</c:v>
                </c:pt>
                <c:pt idx="9">
                  <c:v>0.14607050643377023</c:v>
                </c:pt>
              </c:numCache>
            </c:numRef>
          </c:val>
          <c:smooth val="0"/>
          <c:extLst>
            <c:ext xmlns:c16="http://schemas.microsoft.com/office/drawing/2014/chart" uri="{C3380CC4-5D6E-409C-BE32-E72D297353CC}">
              <c16:uniqueId val="{00000002-B0E1-9443-BDB8-A7541A468681}"/>
            </c:ext>
          </c:extLst>
        </c:ser>
        <c:ser>
          <c:idx val="4"/>
          <c:order val="3"/>
          <c:marker>
            <c:symbol val="none"/>
          </c:marker>
          <c:val>
            <c:numRef>
              <c:f>[0]!attdummy</c:f>
              <c:numCache>
                <c:formatCode>0.00</c:formatCode>
                <c:ptCount val="10"/>
              </c:numCache>
            </c:numRef>
          </c:val>
          <c:smooth val="0"/>
          <c:extLst>
            <c:ext xmlns:c16="http://schemas.microsoft.com/office/drawing/2014/chart" uri="{C3380CC4-5D6E-409C-BE32-E72D297353CC}">
              <c16:uniqueId val="{00000000-DD0C-5F4D-B4D5-E566295C3205}"/>
            </c:ext>
          </c:extLst>
        </c:ser>
        <c:dLbls>
          <c:showLegendKey val="0"/>
          <c:showVal val="0"/>
          <c:showCatName val="0"/>
          <c:showSerName val="0"/>
          <c:showPercent val="0"/>
          <c:showBubbleSize val="0"/>
        </c:dLbls>
        <c:marker val="1"/>
        <c:smooth val="0"/>
        <c:axId val="-1641397824"/>
        <c:axId val="-1641395072"/>
      </c:lineChart>
      <c:catAx>
        <c:axId val="-1641397824"/>
        <c:scaling>
          <c:orientation val="minMax"/>
        </c:scaling>
        <c:delete val="0"/>
        <c:axPos val="b"/>
        <c:numFmt formatCode="General" sourceLinked="1"/>
        <c:majorTickMark val="none"/>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1395072"/>
        <c:crosses val="autoZero"/>
        <c:auto val="1"/>
        <c:lblAlgn val="ctr"/>
        <c:lblOffset val="100"/>
        <c:tickLblSkip val="9"/>
        <c:tickMarkSkip val="1"/>
        <c:noMultiLvlLbl val="0"/>
      </c:catAx>
      <c:valAx>
        <c:axId val="-1641395072"/>
        <c:scaling>
          <c:orientation val="minMax"/>
          <c:max val="4"/>
          <c:min val="-4"/>
        </c:scaling>
        <c:delete val="0"/>
        <c:axPos val="l"/>
        <c:title>
          <c:tx>
            <c:rich>
              <a:bodyPr/>
              <a:lstStyle/>
              <a:p>
                <a:pPr>
                  <a:defRPr sz="800" b="0" i="0" u="none" strike="noStrike" baseline="0">
                    <a:solidFill>
                      <a:srgbClr val="000000"/>
                    </a:solidFill>
                    <a:latin typeface="Arial"/>
                    <a:ea typeface="Arial"/>
                    <a:cs typeface="Arial"/>
                  </a:defRPr>
                </a:pPr>
                <a:r>
                  <a:rPr lang="en-US" sz="800" b="0" i="0" u="none" strike="noStrike" baseline="0">
                    <a:solidFill>
                      <a:srgbClr val="000000"/>
                    </a:solidFill>
                    <a:latin typeface="Arial"/>
                    <a:ea typeface="Arial"/>
                    <a:cs typeface="Arial"/>
                  </a:rPr>
                  <a:t>2010=1</a:t>
                </a:r>
                <a:endParaRPr lang="en-US" sz="800" b="0" i="0" u="none" strike="noStrike" baseline="0">
                  <a:solidFill>
                    <a:srgbClr val="FFFFFF"/>
                  </a:solidFill>
                  <a:latin typeface="Arial"/>
                  <a:ea typeface="Arial"/>
                  <a:cs typeface="Arial"/>
                </a:endParaRPr>
              </a:p>
            </c:rich>
          </c:tx>
          <c:layout>
            <c:manualLayout>
              <c:xMode val="edge"/>
              <c:yMode val="edge"/>
              <c:x val="1.9991363982728001E-2"/>
              <c:y val="0.40492082239720001"/>
            </c:manualLayout>
          </c:layout>
          <c:overlay val="0"/>
          <c:spPr>
            <a:noFill/>
            <a:ln w="25400">
              <a:noFill/>
            </a:ln>
          </c:spPr>
        </c:title>
        <c:numFmt formatCode="General" sourceLinked="0"/>
        <c:majorTickMark val="out"/>
        <c:minorTickMark val="out"/>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1397824"/>
        <c:crosses val="autoZero"/>
        <c:crossBetween val="midCat"/>
        <c:majorUnit val="2"/>
        <c:minorUnit val="1"/>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 verticalDpi="1200"/>
  </c:printSettings>
  <c:userShapes r:id="rId1"/>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2936703073406101"/>
          <c:y val="0.179501749781277"/>
          <c:w val="0.60689859542899904"/>
          <c:h val="0.67720253718285195"/>
        </c:manualLayout>
      </c:layout>
      <c:areaChart>
        <c:grouping val="stacked"/>
        <c:varyColors val="0"/>
        <c:ser>
          <c:idx val="1"/>
          <c:order val="0"/>
          <c:tx>
            <c:v>reference scenario area</c:v>
          </c:tx>
          <c:spPr>
            <a:noFill/>
            <a:ln w="12700">
              <a:noFill/>
              <a:prstDash val="solid"/>
            </a:ln>
          </c:spPr>
          <c:val>
            <c:numRef>
              <c:f>[0]!addtotalGHGrefindex</c:f>
              <c:numCache>
                <c:formatCode>0.00</c:formatCode>
                <c:ptCount val="10"/>
                <c:pt idx="0">
                  <c:v>1</c:v>
                </c:pt>
                <c:pt idx="1">
                  <c:v>1.2139084763969727</c:v>
                </c:pt>
                <c:pt idx="2">
                  <c:v>1.3736892059420573</c:v>
                </c:pt>
                <c:pt idx="3">
                  <c:v>1.4699122859385976</c:v>
                </c:pt>
                <c:pt idx="4">
                  <c:v>1.5526673847330443</c:v>
                </c:pt>
                <c:pt idx="5">
                  <c:v>1.5911213704700446</c:v>
                </c:pt>
                <c:pt idx="6">
                  <c:v>1.6689609332771465</c:v>
                </c:pt>
                <c:pt idx="7">
                  <c:v>1.7577980874407468</c:v>
                </c:pt>
                <c:pt idx="8">
                  <c:v>1.8401905112087891</c:v>
                </c:pt>
                <c:pt idx="9">
                  <c:v>1.9545942085690491</c:v>
                </c:pt>
              </c:numCache>
            </c:numRef>
          </c:val>
          <c:extLst>
            <c:ext xmlns:c16="http://schemas.microsoft.com/office/drawing/2014/chart" uri="{C3380CC4-5D6E-409C-BE32-E72D297353CC}">
              <c16:uniqueId val="{00000000-3A5E-F14F-A8B4-8E92026D9118}"/>
            </c:ext>
          </c:extLst>
        </c:ser>
        <c:ser>
          <c:idx val="0"/>
          <c:order val="1"/>
          <c:tx>
            <c:v>Intervention scenario</c:v>
          </c:tx>
          <c:spPr>
            <a:solidFill>
              <a:srgbClr val="A1F4FF"/>
            </a:solidFill>
            <a:ln w="12700">
              <a:solidFill>
                <a:schemeClr val="tx1"/>
              </a:solidFill>
            </a:ln>
          </c:spPr>
          <c:val>
            <c:numRef>
              <c:f>[0]!addtotalGHGindexarea</c:f>
              <c:numCache>
                <c:formatCode>0.00</c:formatCode>
                <c:ptCount val="10"/>
                <c:pt idx="0">
                  <c:v>0</c:v>
                </c:pt>
                <c:pt idx="1">
                  <c:v>-0.27200047139843919</c:v>
                </c:pt>
                <c:pt idx="2">
                  <c:v>-0.82693071783187255</c:v>
                </c:pt>
                <c:pt idx="3">
                  <c:v>-1.2257200270636992</c:v>
                </c:pt>
                <c:pt idx="4">
                  <c:v>-1.4799902497788147</c:v>
                </c:pt>
                <c:pt idx="5">
                  <c:v>-1.5563705988720815</c:v>
                </c:pt>
                <c:pt idx="6">
                  <c:v>-1.6490149312427755</c:v>
                </c:pt>
                <c:pt idx="7">
                  <c:v>-1.7107692312699223</c:v>
                </c:pt>
                <c:pt idx="8">
                  <c:v>-1.7651260274016223</c:v>
                </c:pt>
                <c:pt idx="9">
                  <c:v>-1.8612074517152679</c:v>
                </c:pt>
              </c:numCache>
            </c:numRef>
          </c:val>
          <c:extLst>
            <c:ext xmlns:c16="http://schemas.microsoft.com/office/drawing/2014/chart" uri="{C3380CC4-5D6E-409C-BE32-E72D297353CC}">
              <c16:uniqueId val="{00000001-3A5E-F14F-A8B4-8E92026D9118}"/>
            </c:ext>
          </c:extLst>
        </c:ser>
        <c:dLbls>
          <c:showLegendKey val="0"/>
          <c:showVal val="0"/>
          <c:showCatName val="0"/>
          <c:showSerName val="0"/>
          <c:showPercent val="0"/>
          <c:showBubbleSize val="0"/>
        </c:dLbls>
        <c:axId val="-1641362672"/>
        <c:axId val="-1641359920"/>
      </c:areaChart>
      <c:lineChart>
        <c:grouping val="standard"/>
        <c:varyColors val="0"/>
        <c:ser>
          <c:idx val="2"/>
          <c:order val="2"/>
          <c:tx>
            <c:v>Intervention scenario Line</c:v>
          </c:tx>
          <c:spPr>
            <a:ln w="28575">
              <a:solidFill>
                <a:srgbClr val="C00000"/>
              </a:solidFill>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[0]!addtotalGHGintindex</c:f>
              <c:numCache>
                <c:formatCode>0.00</c:formatCode>
                <c:ptCount val="10"/>
                <c:pt idx="0">
                  <c:v>1</c:v>
                </c:pt>
                <c:pt idx="1">
                  <c:v>0.94190800499853355</c:v>
                </c:pt>
                <c:pt idx="2">
                  <c:v>0.54675848811018479</c:v>
                </c:pt>
                <c:pt idx="3">
                  <c:v>0.24419225887489848</c:v>
                </c:pt>
                <c:pt idx="4">
                  <c:v>7.2677134954229755E-2</c:v>
                </c:pt>
                <c:pt idx="5">
                  <c:v>3.4750771597963234E-2</c:v>
                </c:pt>
                <c:pt idx="6">
                  <c:v>1.994600203437101E-2</c:v>
                </c:pt>
                <c:pt idx="7">
                  <c:v>4.7028856170824557E-2</c:v>
                </c:pt>
                <c:pt idx="8">
                  <c:v>7.5064483807166807E-2</c:v>
                </c:pt>
                <c:pt idx="9">
                  <c:v>9.3386756853781089E-2</c:v>
                </c:pt>
              </c:numCache>
            </c:numRef>
          </c:val>
          <c:smooth val="0"/>
          <c:extLst>
            <c:ext xmlns:c16="http://schemas.microsoft.com/office/drawing/2014/chart" uri="{C3380CC4-5D6E-409C-BE32-E72D297353CC}">
              <c16:uniqueId val="{00000002-3A5E-F14F-A8B4-8E92026D9118}"/>
            </c:ext>
          </c:extLst>
        </c:ser>
        <c:ser>
          <c:idx val="3"/>
          <c:order val="3"/>
          <c:marker>
            <c:symbol val="none"/>
          </c:marker>
          <c:val>
            <c:numRef>
              <c:f>[0]!attdummy</c:f>
              <c:numCache>
                <c:formatCode>0.00</c:formatCode>
                <c:ptCount val="10"/>
              </c:numCache>
            </c:numRef>
          </c:val>
          <c:smooth val="0"/>
          <c:extLst>
            <c:ext xmlns:c16="http://schemas.microsoft.com/office/drawing/2014/chart" uri="{C3380CC4-5D6E-409C-BE32-E72D297353CC}">
              <c16:uniqueId val="{00000000-A481-914D-89AD-5C0F0AEA8BAF}"/>
            </c:ext>
          </c:extLst>
        </c:ser>
        <c:dLbls>
          <c:showLegendKey val="0"/>
          <c:showVal val="0"/>
          <c:showCatName val="0"/>
          <c:showSerName val="0"/>
          <c:showPercent val="0"/>
          <c:showBubbleSize val="0"/>
        </c:dLbls>
        <c:marker val="1"/>
        <c:smooth val="0"/>
        <c:axId val="-1641362672"/>
        <c:axId val="-1641359920"/>
      </c:lineChart>
      <c:catAx>
        <c:axId val="-1641362672"/>
        <c:scaling>
          <c:orientation val="minMax"/>
        </c:scaling>
        <c:delete val="0"/>
        <c:axPos val="b"/>
        <c:numFmt formatCode="General" sourceLinked="1"/>
        <c:majorTickMark val="none"/>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1359920"/>
        <c:crosses val="autoZero"/>
        <c:auto val="1"/>
        <c:lblAlgn val="ctr"/>
        <c:lblOffset val="100"/>
        <c:tickLblSkip val="9"/>
        <c:tickMarkSkip val="1"/>
        <c:noMultiLvlLbl val="0"/>
      </c:catAx>
      <c:valAx>
        <c:axId val="-1641359920"/>
        <c:scaling>
          <c:orientation val="minMax"/>
          <c:max val="4"/>
          <c:min val="-4"/>
        </c:scaling>
        <c:delete val="0"/>
        <c:axPos val="l"/>
        <c:title>
          <c:tx>
            <c:rich>
              <a:bodyPr/>
              <a:lstStyle/>
              <a:p>
                <a:pPr>
                  <a:defRPr sz="800" b="0" i="0" u="none" strike="noStrike" baseline="0">
                    <a:solidFill>
                      <a:srgbClr val="000000"/>
                    </a:solidFill>
                    <a:latin typeface="Arial"/>
                    <a:ea typeface="Arial"/>
                    <a:cs typeface="Arial"/>
                  </a:defRPr>
                </a:pPr>
                <a:r>
                  <a:rPr lang="en-US" sz="800" b="0" i="0" u="none" strike="noStrike" baseline="0">
                    <a:solidFill>
                      <a:srgbClr val="000000"/>
                    </a:solidFill>
                    <a:latin typeface="Arial"/>
                    <a:ea typeface="Arial"/>
                    <a:cs typeface="Arial"/>
                  </a:rPr>
                  <a:t>2010=1</a:t>
                </a:r>
                <a:endParaRPr lang="en-US" sz="800" b="0" i="0" u="none" strike="noStrike" baseline="0">
                  <a:solidFill>
                    <a:srgbClr val="FFFFFF"/>
                  </a:solidFill>
                  <a:latin typeface="Arial"/>
                  <a:ea typeface="Arial"/>
                  <a:cs typeface="Arial"/>
                </a:endParaRPr>
              </a:p>
            </c:rich>
          </c:tx>
          <c:layout>
            <c:manualLayout>
              <c:xMode val="edge"/>
              <c:yMode val="edge"/>
              <c:x val="3.4483108966217903E-2"/>
              <c:y val="0.394252843394576"/>
            </c:manualLayout>
          </c:layout>
          <c:overlay val="0"/>
          <c:spPr>
            <a:noFill/>
            <a:ln w="25400">
              <a:noFill/>
            </a:ln>
          </c:spPr>
        </c:title>
        <c:numFmt formatCode="0" sourceLinked="0"/>
        <c:majorTickMark val="none"/>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1362672"/>
        <c:crosses val="autoZero"/>
        <c:crossBetween val="midCat"/>
        <c:majorUnit val="2"/>
        <c:minorUnit val="1"/>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 verticalDpi="1200"/>
  </c:printSettings>
  <c:userShapes r:id="rId1"/>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3079197358394701"/>
          <c:y val="0.18389020122484701"/>
          <c:w val="0.60464719329438599"/>
          <c:h val="0.67512817147856496"/>
        </c:manualLayout>
      </c:layout>
      <c:areaChart>
        <c:grouping val="stacked"/>
        <c:varyColors val="0"/>
        <c:ser>
          <c:idx val="0"/>
          <c:order val="0"/>
          <c:tx>
            <c:v>Reference case</c:v>
          </c:tx>
          <c:spPr>
            <a:noFill/>
            <a:ln w="12700">
              <a:noFill/>
              <a:prstDash val="solid"/>
            </a:ln>
          </c:spPr>
          <c:val>
            <c:numRef>
              <c:f>[0]!addIndrefindex</c:f>
              <c:numCache>
                <c:formatCode>0.00</c:formatCode>
                <c:ptCount val="10"/>
                <c:pt idx="0">
                  <c:v>1</c:v>
                </c:pt>
                <c:pt idx="1">
                  <c:v>1.13999632026289</c:v>
                </c:pt>
                <c:pt idx="2">
                  <c:v>1.2440100876342819</c:v>
                </c:pt>
                <c:pt idx="3">
                  <c:v>1.2948502369260877</c:v>
                </c:pt>
                <c:pt idx="4">
                  <c:v>1.4155990492595625</c:v>
                </c:pt>
                <c:pt idx="5">
                  <c:v>1.5652770452750022</c:v>
                </c:pt>
                <c:pt idx="6">
                  <c:v>1.6271233462857291</c:v>
                </c:pt>
                <c:pt idx="7">
                  <c:v>1.78132484164615</c:v>
                </c:pt>
                <c:pt idx="8">
                  <c:v>2.0524445524541668</c:v>
                </c:pt>
                <c:pt idx="9">
                  <c:v>2.293499853019668</c:v>
                </c:pt>
              </c:numCache>
            </c:numRef>
          </c:val>
          <c:extLst>
            <c:ext xmlns:c16="http://schemas.microsoft.com/office/drawing/2014/chart" uri="{C3380CC4-5D6E-409C-BE32-E72D297353CC}">
              <c16:uniqueId val="{00000000-0386-0B4C-8268-E831460E62F7}"/>
            </c:ext>
          </c:extLst>
        </c:ser>
        <c:ser>
          <c:idx val="1"/>
          <c:order val="1"/>
          <c:tx>
            <c:v>Area for Intervention Case</c:v>
          </c:tx>
          <c:spPr>
            <a:solidFill>
              <a:srgbClr val="A1F4FF"/>
            </a:solidFill>
            <a:ln w="12700">
              <a:solidFill>
                <a:schemeClr val="tx1"/>
              </a:solidFill>
            </a:ln>
          </c:spPr>
          <c:val>
            <c:numRef>
              <c:f>[0]!addIndindexarea</c:f>
              <c:numCache>
                <c:formatCode>General</c:formatCode>
                <c:ptCount val="10"/>
                <c:pt idx="0">
                  <c:v>0</c:v>
                </c:pt>
                <c:pt idx="1">
                  <c:v>-0.14296021248813207</c:v>
                </c:pt>
                <c:pt idx="2">
                  <c:v>-0.15906650568533176</c:v>
                </c:pt>
                <c:pt idx="3">
                  <c:v>-0.18468616166035545</c:v>
                </c:pt>
                <c:pt idx="4">
                  <c:v>-0.38245433219041258</c:v>
                </c:pt>
                <c:pt idx="5">
                  <c:v>-0.64844538681828701</c:v>
                </c:pt>
                <c:pt idx="6">
                  <c:v>-0.57607638209030942</c:v>
                </c:pt>
                <c:pt idx="7">
                  <c:v>-0.55478283234419323</c:v>
                </c:pt>
                <c:pt idx="8">
                  <c:v>-0.92346641249488637</c:v>
                </c:pt>
                <c:pt idx="9">
                  <c:v>-1.4207591945122968</c:v>
                </c:pt>
              </c:numCache>
            </c:numRef>
          </c:val>
          <c:extLst>
            <c:ext xmlns:c16="http://schemas.microsoft.com/office/drawing/2014/chart" uri="{C3380CC4-5D6E-409C-BE32-E72D297353CC}">
              <c16:uniqueId val="{00000001-0386-0B4C-8268-E831460E62F7}"/>
            </c:ext>
          </c:extLst>
        </c:ser>
        <c:dLbls>
          <c:showLegendKey val="0"/>
          <c:showVal val="0"/>
          <c:showCatName val="0"/>
          <c:showSerName val="0"/>
          <c:showPercent val="0"/>
          <c:showBubbleSize val="0"/>
        </c:dLbls>
        <c:axId val="-1641332144"/>
        <c:axId val="-1641329392"/>
      </c:areaChart>
      <c:lineChart>
        <c:grouping val="standard"/>
        <c:varyColors val="0"/>
        <c:ser>
          <c:idx val="2"/>
          <c:order val="2"/>
          <c:tx>
            <c:v>Line for Intervention Case</c:v>
          </c:tx>
          <c:spPr>
            <a:ln w="25400">
              <a:solidFill>
                <a:srgbClr val="DD0806"/>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[0]!addIndintindex</c:f>
              <c:numCache>
                <c:formatCode>0.00</c:formatCode>
                <c:ptCount val="10"/>
                <c:pt idx="0">
                  <c:v>1</c:v>
                </c:pt>
                <c:pt idx="1">
                  <c:v>0.99703610777475793</c:v>
                </c:pt>
                <c:pt idx="2">
                  <c:v>1.0849435819489501</c:v>
                </c:pt>
                <c:pt idx="3">
                  <c:v>1.1101640752657322</c:v>
                </c:pt>
                <c:pt idx="4">
                  <c:v>1.0331447170691499</c:v>
                </c:pt>
                <c:pt idx="5">
                  <c:v>0.91683165845671521</c:v>
                </c:pt>
                <c:pt idx="6">
                  <c:v>1.0510469641954197</c:v>
                </c:pt>
                <c:pt idx="7">
                  <c:v>1.2265420093019568</c:v>
                </c:pt>
                <c:pt idx="8">
                  <c:v>1.1289781399592804</c:v>
                </c:pt>
                <c:pt idx="9">
                  <c:v>0.87274065850737115</c:v>
                </c:pt>
              </c:numCache>
            </c:numRef>
          </c:val>
          <c:smooth val="0"/>
          <c:extLst>
            <c:ext xmlns:c16="http://schemas.microsoft.com/office/drawing/2014/chart" uri="{C3380CC4-5D6E-409C-BE32-E72D297353CC}">
              <c16:uniqueId val="{00000002-0386-0B4C-8268-E831460E62F7}"/>
            </c:ext>
          </c:extLst>
        </c:ser>
        <c:ser>
          <c:idx val="3"/>
          <c:order val="3"/>
          <c:marker>
            <c:symbol val="none"/>
          </c:marker>
          <c:val>
            <c:numRef>
              <c:f>[0]!attdummy</c:f>
              <c:numCache>
                <c:formatCode>0.00</c:formatCode>
                <c:ptCount val="10"/>
              </c:numCache>
            </c:numRef>
          </c:val>
          <c:smooth val="0"/>
          <c:extLst>
            <c:ext xmlns:c16="http://schemas.microsoft.com/office/drawing/2014/chart" uri="{C3380CC4-5D6E-409C-BE32-E72D297353CC}">
              <c16:uniqueId val="{00000000-DF3B-A54C-962B-8F4784A8EBA0}"/>
            </c:ext>
          </c:extLst>
        </c:ser>
        <c:dLbls>
          <c:showLegendKey val="0"/>
          <c:showVal val="0"/>
          <c:showCatName val="0"/>
          <c:showSerName val="0"/>
          <c:showPercent val="0"/>
          <c:showBubbleSize val="0"/>
        </c:dLbls>
        <c:marker val="1"/>
        <c:smooth val="0"/>
        <c:axId val="-1641332144"/>
        <c:axId val="-1641329392"/>
      </c:lineChart>
      <c:catAx>
        <c:axId val="-1641332144"/>
        <c:scaling>
          <c:orientation val="minMax"/>
        </c:scaling>
        <c:delete val="0"/>
        <c:axPos val="b"/>
        <c:numFmt formatCode="General" sourceLinked="1"/>
        <c:majorTickMark val="none"/>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1329392"/>
        <c:crosses val="autoZero"/>
        <c:auto val="1"/>
        <c:lblAlgn val="ctr"/>
        <c:lblOffset val="100"/>
        <c:tickLblSkip val="9"/>
        <c:tickMarkSkip val="1"/>
        <c:noMultiLvlLbl val="0"/>
      </c:catAx>
      <c:valAx>
        <c:axId val="-1641329392"/>
        <c:scaling>
          <c:orientation val="minMax"/>
          <c:max val="4"/>
          <c:min val="-4"/>
        </c:scaling>
        <c:delete val="0"/>
        <c:axPos val="l"/>
        <c:title>
          <c:tx>
            <c:rich>
              <a:bodyPr/>
              <a:lstStyle/>
              <a:p>
                <a:pPr>
                  <a:defRPr sz="800" b="0" i="0" u="none" strike="noStrike" baseline="0">
                    <a:solidFill>
                      <a:srgbClr val="000000"/>
                    </a:solidFill>
                    <a:latin typeface="Arial"/>
                    <a:ea typeface="Arial"/>
                    <a:cs typeface="Arial"/>
                  </a:defRPr>
                </a:pPr>
                <a:r>
                  <a:rPr lang="en-US"/>
                  <a:t>2010=1</a:t>
                </a:r>
              </a:p>
            </c:rich>
          </c:tx>
          <c:layout>
            <c:manualLayout>
              <c:xMode val="edge"/>
              <c:yMode val="edge"/>
              <c:x val="2.7972059944119901E-2"/>
              <c:y val="0.41187707786526701"/>
            </c:manualLayout>
          </c:layout>
          <c:overlay val="0"/>
          <c:spPr>
            <a:noFill/>
            <a:ln w="25400">
              <a:noFill/>
            </a:ln>
          </c:spPr>
        </c:title>
        <c:numFmt formatCode="General" sourceLinked="0"/>
        <c:majorTickMark val="out"/>
        <c:minorTickMark val="out"/>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1332144"/>
        <c:crosses val="autoZero"/>
        <c:crossBetween val="midCat"/>
        <c:majorUnit val="2"/>
        <c:minorUnit val="1"/>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 verticalDpi="1200"/>
  </c:printSettings>
  <c:userShapes r:id="rId1"/>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3043738887477799"/>
          <c:y val="0.17886395450568701"/>
          <c:w val="0.607899415798831"/>
          <c:h val="0.68137795275590496"/>
        </c:manualLayout>
      </c:layout>
      <c:areaChart>
        <c:grouping val="stacked"/>
        <c:varyColors val="0"/>
        <c:ser>
          <c:idx val="3"/>
          <c:order val="0"/>
          <c:tx>
            <c:v>Reference case area</c:v>
          </c:tx>
          <c:spPr>
            <a:noFill/>
            <a:ln w="12700">
              <a:noFill/>
              <a:prstDash val="solid"/>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[0]!addlanduserefindex</c:f>
              <c:numCache>
                <c:formatCode>0.00</c:formatCode>
                <c:ptCount val="10"/>
                <c:pt idx="0">
                  <c:v>1</c:v>
                </c:pt>
                <c:pt idx="1">
                  <c:v>1.4882788262442903</c:v>
                </c:pt>
                <c:pt idx="2">
                  <c:v>1.7933489232416586</c:v>
                </c:pt>
                <c:pt idx="3">
                  <c:v>1.7640554108433477</c:v>
                </c:pt>
                <c:pt idx="4">
                  <c:v>1.4409795359233029</c:v>
                </c:pt>
                <c:pt idx="5">
                  <c:v>0.40981583383983305</c:v>
                </c:pt>
                <c:pt idx="6">
                  <c:v>0.20736554034562832</c:v>
                </c:pt>
                <c:pt idx="7">
                  <c:v>0.26102949494610789</c:v>
                </c:pt>
                <c:pt idx="8">
                  <c:v>-3.2964236047875579E-2</c:v>
                </c:pt>
                <c:pt idx="9">
                  <c:v>-0.15037511433218709</c:v>
                </c:pt>
              </c:numCache>
            </c:numRef>
          </c:val>
          <c:extLst>
            <c:ext xmlns:c16="http://schemas.microsoft.com/office/drawing/2014/chart" uri="{C3380CC4-5D6E-409C-BE32-E72D297353CC}">
              <c16:uniqueId val="{00000000-3AD3-3147-91D5-CC29173430C7}"/>
            </c:ext>
          </c:extLst>
        </c:ser>
        <c:ser>
          <c:idx val="2"/>
          <c:order val="1"/>
          <c:tx>
            <c:v>Area for Intervention Case</c:v>
          </c:tx>
          <c:spPr>
            <a:solidFill>
              <a:srgbClr val="A1F4FF"/>
            </a:solidFill>
            <a:ln w="12700">
              <a:solidFill>
                <a:schemeClr val="tx1"/>
              </a:solidFill>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[0]!addlanduseindexarea</c:f>
              <c:numCache>
                <c:formatCode>0.00</c:formatCode>
                <c:ptCount val="10"/>
                <c:pt idx="0">
                  <c:v>0</c:v>
                </c:pt>
                <c:pt idx="1">
                  <c:v>-0.5294292500851624</c:v>
                </c:pt>
                <c:pt idx="2">
                  <c:v>-2.2304157068185373</c:v>
                </c:pt>
                <c:pt idx="3">
                  <c:v>-3.0398746527602216</c:v>
                </c:pt>
                <c:pt idx="4">
                  <c:v>-3.7063692223753426</c:v>
                </c:pt>
                <c:pt idx="5">
                  <c:v>-2.597315149244567</c:v>
                </c:pt>
                <c:pt idx="6">
                  <c:v>-2.2916817003280836</c:v>
                </c:pt>
                <c:pt idx="7">
                  <c:v>-1.7653604828837965</c:v>
                </c:pt>
                <c:pt idx="8">
                  <c:v>-0.87752758808427545</c:v>
                </c:pt>
                <c:pt idx="9">
                  <c:v>-0.34379627939544977</c:v>
                </c:pt>
              </c:numCache>
            </c:numRef>
          </c:val>
          <c:extLst>
            <c:ext xmlns:c16="http://schemas.microsoft.com/office/drawing/2014/chart" uri="{C3380CC4-5D6E-409C-BE32-E72D297353CC}">
              <c16:uniqueId val="{00000001-3AD3-3147-91D5-CC29173430C7}"/>
            </c:ext>
          </c:extLst>
        </c:ser>
        <c:dLbls>
          <c:showLegendKey val="0"/>
          <c:showVal val="0"/>
          <c:showCatName val="0"/>
          <c:showSerName val="0"/>
          <c:showPercent val="0"/>
          <c:showBubbleSize val="0"/>
        </c:dLbls>
        <c:axId val="-1641282096"/>
        <c:axId val="-1641279344"/>
      </c:areaChart>
      <c:lineChart>
        <c:grouping val="standard"/>
        <c:varyColors val="0"/>
        <c:ser>
          <c:idx val="1"/>
          <c:order val="2"/>
          <c:tx>
            <c:v>Line for Intervention Case</c:v>
          </c:tx>
          <c:spPr>
            <a:ln w="28575">
              <a:solidFill>
                <a:srgbClr val="C00000"/>
              </a:solidFill>
              <a:prstDash val="solid"/>
            </a:ln>
          </c:spPr>
          <c:marker>
            <c:symbol val="none"/>
          </c:marker>
          <c:val>
            <c:numRef>
              <c:f>[0]!addlanduseintindex</c:f>
              <c:numCache>
                <c:formatCode>0.00</c:formatCode>
                <c:ptCount val="10"/>
                <c:pt idx="0">
                  <c:v>1</c:v>
                </c:pt>
                <c:pt idx="1">
                  <c:v>0.95884957615912791</c:v>
                </c:pt>
                <c:pt idx="2">
                  <c:v>-0.43706678357687878</c:v>
                </c:pt>
                <c:pt idx="3">
                  <c:v>-1.2758192419168739</c:v>
                </c:pt>
                <c:pt idx="4">
                  <c:v>-2.26538968645204</c:v>
                </c:pt>
                <c:pt idx="5">
                  <c:v>-2.1874993154047337</c:v>
                </c:pt>
                <c:pt idx="6">
                  <c:v>-2.0843161599824551</c:v>
                </c:pt>
                <c:pt idx="7">
                  <c:v>-1.5043309879376887</c:v>
                </c:pt>
                <c:pt idx="8">
                  <c:v>-0.91049182413215102</c:v>
                </c:pt>
                <c:pt idx="9">
                  <c:v>-0.49417139372763685</c:v>
                </c:pt>
              </c:numCache>
            </c:numRef>
          </c:val>
          <c:smooth val="0"/>
          <c:extLst>
            <c:ext xmlns:c16="http://schemas.microsoft.com/office/drawing/2014/chart" uri="{C3380CC4-5D6E-409C-BE32-E72D297353CC}">
              <c16:uniqueId val="{00000004-3AD3-3147-91D5-CC29173430C7}"/>
            </c:ext>
          </c:extLst>
        </c:ser>
        <c:ser>
          <c:idx val="0"/>
          <c:order val="3"/>
          <c:marker>
            <c:symbol val="none"/>
          </c:marker>
          <c:val>
            <c:numRef>
              <c:f>[0]!attdummy</c:f>
              <c:numCache>
                <c:formatCode>0.00</c:formatCode>
                <c:ptCount val="10"/>
              </c:numCache>
            </c:numRef>
          </c:val>
          <c:smooth val="0"/>
          <c:extLst>
            <c:ext xmlns:c16="http://schemas.microsoft.com/office/drawing/2014/chart" uri="{C3380CC4-5D6E-409C-BE32-E72D297353CC}">
              <c16:uniqueId val="{00000000-9F56-5B41-84CD-A67AF4AF2562}"/>
            </c:ext>
          </c:extLst>
        </c:ser>
        <c:dLbls>
          <c:showLegendKey val="0"/>
          <c:showVal val="0"/>
          <c:showCatName val="0"/>
          <c:showSerName val="0"/>
          <c:showPercent val="0"/>
          <c:showBubbleSize val="0"/>
        </c:dLbls>
        <c:marker val="1"/>
        <c:smooth val="0"/>
        <c:axId val="-1641282096"/>
        <c:axId val="-1641279344"/>
      </c:lineChart>
      <c:catAx>
        <c:axId val="-1641282096"/>
        <c:scaling>
          <c:orientation val="minMax"/>
        </c:scaling>
        <c:delete val="0"/>
        <c:axPos val="b"/>
        <c:numFmt formatCode="General" sourceLinked="1"/>
        <c:majorTickMark val="none"/>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1279344"/>
        <c:crosses val="autoZero"/>
        <c:auto val="1"/>
        <c:lblAlgn val="ctr"/>
        <c:lblOffset val="100"/>
        <c:tickLblSkip val="9"/>
        <c:tickMarkSkip val="1"/>
        <c:noMultiLvlLbl val="0"/>
      </c:catAx>
      <c:valAx>
        <c:axId val="-1641279344"/>
        <c:scaling>
          <c:orientation val="minMax"/>
          <c:max val="4"/>
          <c:min val="-4"/>
        </c:scaling>
        <c:delete val="0"/>
        <c:axPos val="l"/>
        <c:title>
          <c:tx>
            <c:rich>
              <a:bodyPr/>
              <a:lstStyle/>
              <a:p>
                <a:pPr>
                  <a:defRPr sz="800" b="0" i="0" u="none" strike="noStrike" baseline="0">
                    <a:solidFill>
                      <a:srgbClr val="000000"/>
                    </a:solidFill>
                    <a:latin typeface="Arial"/>
                    <a:ea typeface="Arial"/>
                    <a:cs typeface="Arial"/>
                  </a:defRPr>
                </a:pPr>
                <a:r>
                  <a:rPr lang="en-US" sz="800" b="0" i="0" u="none" strike="noStrike" baseline="0">
                    <a:solidFill>
                      <a:srgbClr val="000000"/>
                    </a:solidFill>
                    <a:latin typeface="Arial"/>
                    <a:ea typeface="Arial"/>
                    <a:cs typeface="Arial"/>
                  </a:rPr>
                  <a:t>2010=1</a:t>
                </a:r>
                <a:endParaRPr lang="en-US" sz="800" b="0" i="0" u="none" strike="noStrike" baseline="0">
                  <a:solidFill>
                    <a:srgbClr val="FFFFFF"/>
                  </a:solidFill>
                  <a:latin typeface="Arial"/>
                  <a:ea typeface="Arial"/>
                  <a:cs typeface="Arial"/>
                </a:endParaRPr>
              </a:p>
            </c:rich>
          </c:tx>
          <c:layout>
            <c:manualLayout>
              <c:xMode val="edge"/>
              <c:yMode val="edge"/>
              <c:x val="2.11104902209804E-2"/>
              <c:y val="0.41300437445319299"/>
            </c:manualLayout>
          </c:layout>
          <c:overlay val="0"/>
          <c:spPr>
            <a:noFill/>
            <a:ln w="25400">
              <a:noFill/>
            </a:ln>
          </c:spPr>
        </c:title>
        <c:numFmt formatCode="General" sourceLinked="0"/>
        <c:majorTickMark val="out"/>
        <c:minorTickMark val="out"/>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1282096"/>
        <c:crossesAt val="0"/>
        <c:crossBetween val="midCat"/>
        <c:majorUnit val="2"/>
        <c:minorUnit val="1"/>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 verticalDpi="1200"/>
  </c:printSettings>
  <c:userShapes r:id="rId1"/>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8211951086796699"/>
          <c:y val="0.176248031496063"/>
          <c:w val="0.55211458425247795"/>
          <c:h val="0.66853630796150498"/>
        </c:manualLayout>
      </c:layout>
      <c:areaChart>
        <c:grouping val="stacked"/>
        <c:varyColors val="0"/>
        <c:ser>
          <c:idx val="3"/>
          <c:order val="0"/>
          <c:tx>
            <c:v>reference case</c:v>
          </c:tx>
          <c:spPr>
            <a:noFill/>
            <a:ln w="12700">
              <a:noFill/>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[0]!addNFCref</c:f>
              <c:numCache>
                <c:formatCode>0.00</c:formatCode>
                <c:ptCount val="10"/>
                <c:pt idx="0">
                  <c:v>30.490629196166992</c:v>
                </c:pt>
                <c:pt idx="1">
                  <c:v>36.419173240661621</c:v>
                </c:pt>
                <c:pt idx="2">
                  <c:v>41.178647677103676</c:v>
                </c:pt>
                <c:pt idx="3">
                  <c:v>44.63825798034668</c:v>
                </c:pt>
                <c:pt idx="4">
                  <c:v>48.651535034179688</c:v>
                </c:pt>
                <c:pt idx="5">
                  <c:v>53.651107152303055</c:v>
                </c:pt>
                <c:pt idx="6">
                  <c:v>57.505031267801918</c:v>
                </c:pt>
                <c:pt idx="7">
                  <c:v>60.643732706705727</c:v>
                </c:pt>
                <c:pt idx="8">
                  <c:v>64.628266016642257</c:v>
                </c:pt>
                <c:pt idx="9">
                  <c:v>69.30462137858072</c:v>
                </c:pt>
              </c:numCache>
            </c:numRef>
          </c:val>
          <c:extLst>
            <c:ext xmlns:c16="http://schemas.microsoft.com/office/drawing/2014/chart" uri="{C3380CC4-5D6E-409C-BE32-E72D297353CC}">
              <c16:uniqueId val="{00000000-1B95-C747-8288-A5C5530A1753}"/>
            </c:ext>
          </c:extLst>
        </c:ser>
        <c:ser>
          <c:idx val="2"/>
          <c:order val="1"/>
          <c:tx>
            <c:v>Intervention area</c:v>
          </c:tx>
          <c:spPr>
            <a:solidFill>
              <a:srgbClr val="A1F4FF"/>
            </a:solidFill>
            <a:ln w="12700">
              <a:solidFill>
                <a:schemeClr val="tx1"/>
              </a:solidFill>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[0]!addNFCarea</c:f>
              <c:numCache>
                <c:formatCode>General</c:formatCode>
                <c:ptCount val="10"/>
                <c:pt idx="0">
                  <c:v>0.10721556345621508</c:v>
                </c:pt>
                <c:pt idx="1">
                  <c:v>-7.2902054786682129</c:v>
                </c:pt>
                <c:pt idx="2">
                  <c:v>-22.331053096038023</c:v>
                </c:pt>
                <c:pt idx="3">
                  <c:v>-35.500564926808771</c:v>
                </c:pt>
                <c:pt idx="4">
                  <c:v>-43.031778824766661</c:v>
                </c:pt>
                <c:pt idx="5">
                  <c:v>-49.298039841789432</c:v>
                </c:pt>
                <c:pt idx="6">
                  <c:v>-53.877046872383588</c:v>
                </c:pt>
                <c:pt idx="7">
                  <c:v>-57.591866666637159</c:v>
                </c:pt>
                <c:pt idx="8">
                  <c:v>-61.782131769040468</c:v>
                </c:pt>
                <c:pt idx="9">
                  <c:v>-66.291485704799314</c:v>
                </c:pt>
              </c:numCache>
            </c:numRef>
          </c:val>
          <c:extLst>
            <c:ext xmlns:c16="http://schemas.microsoft.com/office/drawing/2014/chart" uri="{C3380CC4-5D6E-409C-BE32-E72D297353CC}">
              <c16:uniqueId val="{00000001-1B95-C747-8288-A5C5530A1753}"/>
            </c:ext>
          </c:extLst>
        </c:ser>
        <c:dLbls>
          <c:showLegendKey val="0"/>
          <c:showVal val="0"/>
          <c:showCatName val="0"/>
          <c:showSerName val="0"/>
          <c:showPercent val="0"/>
          <c:showBubbleSize val="0"/>
        </c:dLbls>
        <c:axId val="-1641240416"/>
        <c:axId val="-1641237664"/>
      </c:areaChart>
      <c:lineChart>
        <c:grouping val="standard"/>
        <c:varyColors val="0"/>
        <c:ser>
          <c:idx val="1"/>
          <c:order val="2"/>
          <c:tx>
            <c:v>Intervention Case</c:v>
          </c:tx>
          <c:spPr>
            <a:ln w="28575">
              <a:solidFill>
                <a:srgbClr val="FF0000"/>
              </a:solidFill>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[0]!addNFCint</c:f>
              <c:numCache>
                <c:formatCode>0.00</c:formatCode>
                <c:ptCount val="10"/>
                <c:pt idx="0">
                  <c:v>30.597844759623207</c:v>
                </c:pt>
                <c:pt idx="1">
                  <c:v>29.128967761993408</c:v>
                </c:pt>
                <c:pt idx="2">
                  <c:v>18.847594581065653</c:v>
                </c:pt>
                <c:pt idx="3">
                  <c:v>9.1376930535379106</c:v>
                </c:pt>
                <c:pt idx="4">
                  <c:v>5.6197562094130271</c:v>
                </c:pt>
                <c:pt idx="5">
                  <c:v>4.3530673105136266</c:v>
                </c:pt>
                <c:pt idx="6">
                  <c:v>3.6279843954183288</c:v>
                </c:pt>
                <c:pt idx="7">
                  <c:v>3.0518660400685649</c:v>
                </c:pt>
                <c:pt idx="8">
                  <c:v>2.8461342476017908</c:v>
                </c:pt>
                <c:pt idx="9">
                  <c:v>3.0131356737814112</c:v>
                </c:pt>
              </c:numCache>
            </c:numRef>
          </c:val>
          <c:smooth val="0"/>
          <c:extLst>
            <c:ext xmlns:c16="http://schemas.microsoft.com/office/drawing/2014/chart" uri="{C3380CC4-5D6E-409C-BE32-E72D297353CC}">
              <c16:uniqueId val="{00000002-1B95-C747-8288-A5C5530A1753}"/>
            </c:ext>
          </c:extLst>
        </c:ser>
        <c:ser>
          <c:idx val="0"/>
          <c:order val="3"/>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[0]!attdummy</c:f>
              <c:numCache>
                <c:formatCode>0.00</c:formatCode>
                <c:ptCount val="10"/>
              </c:numCache>
            </c:numRef>
          </c:val>
          <c:smooth val="0"/>
          <c:extLst>
            <c:ext xmlns:c16="http://schemas.microsoft.com/office/drawing/2014/chart" uri="{C3380CC4-5D6E-409C-BE32-E72D297353CC}">
              <c16:uniqueId val="{00000000-E169-8843-96EB-9C57513BD99D}"/>
            </c:ext>
          </c:extLst>
        </c:ser>
        <c:dLbls>
          <c:showLegendKey val="0"/>
          <c:showVal val="0"/>
          <c:showCatName val="0"/>
          <c:showSerName val="0"/>
          <c:showPercent val="0"/>
          <c:showBubbleSize val="0"/>
        </c:dLbls>
        <c:marker val="1"/>
        <c:smooth val="0"/>
        <c:axId val="-1641240416"/>
        <c:axId val="-1641237664"/>
      </c:lineChart>
      <c:catAx>
        <c:axId val="-1641240416"/>
        <c:scaling>
          <c:orientation val="minMax"/>
        </c:scaling>
        <c:delete val="0"/>
        <c:axPos val="b"/>
        <c:numFmt formatCode="General" sourceLinked="1"/>
        <c:majorTickMark val="none"/>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1237664"/>
        <c:crosses val="autoZero"/>
        <c:auto val="1"/>
        <c:lblAlgn val="ctr"/>
        <c:lblOffset val="10"/>
        <c:tickLblSkip val="9"/>
        <c:tickMarkSkip val="1"/>
        <c:noMultiLvlLbl val="0"/>
      </c:catAx>
      <c:valAx>
        <c:axId val="-1641237664"/>
        <c:scaling>
          <c:orientation val="minMax"/>
          <c:max val="120"/>
          <c:min val="-20"/>
        </c:scaling>
        <c:delete val="0"/>
        <c:axPos val="l"/>
        <c:title>
          <c:tx>
            <c:rich>
              <a:bodyPr rot="-5400000" vert="horz" anchor="b" anchorCtr="1"/>
              <a:lstStyle/>
              <a:p>
                <a:pPr>
                  <a:defRPr/>
                </a:pPr>
                <a:r>
                  <a:rPr lang="en-US"/>
                  <a:t>Gt CO2/year</a:t>
                </a:r>
              </a:p>
            </c:rich>
          </c:tx>
          <c:layout>
            <c:manualLayout>
              <c:xMode val="edge"/>
              <c:yMode val="edge"/>
              <c:x val="2.1117349039677601E-3"/>
              <c:y val="0.35680664916885402"/>
            </c:manualLayout>
          </c:layout>
          <c:overlay val="0"/>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1240416"/>
        <c:crosses val="autoZero"/>
        <c:crossBetween val="midCat"/>
        <c:majorUnit val="20"/>
        <c:minorUnit val="0.5"/>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1200" verticalDpi="1200"/>
  </c:printSettings>
  <c:userShapes r:id="rId1"/>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1154686309373"/>
          <c:y val="0.18121872265966699"/>
          <c:w val="0.60308001016002"/>
          <c:h val="0.67993967859280702"/>
        </c:manualLayout>
      </c:layout>
      <c:areaChart>
        <c:grouping val="stacked"/>
        <c:varyColors val="0"/>
        <c:ser>
          <c:idx val="2"/>
          <c:order val="1"/>
          <c:tx>
            <c:v>ref area</c:v>
          </c:tx>
          <c:spPr>
            <a:noFill/>
            <a:ln>
              <a:noFill/>
            </a:ln>
          </c:spPr>
          <c:val>
            <c:numRef>
              <c:f>[0]!addNFCrefindex</c:f>
              <c:numCache>
                <c:formatCode>0.00</c:formatCode>
                <c:ptCount val="10"/>
                <c:pt idx="0">
                  <c:v>1</c:v>
                </c:pt>
                <c:pt idx="1">
                  <c:v>1.1944382323615648</c:v>
                </c:pt>
                <c:pt idx="2">
                  <c:v>1.3505345334848087</c:v>
                </c:pt>
                <c:pt idx="3">
                  <c:v>1.4639992403291631</c:v>
                </c:pt>
                <c:pt idx="4">
                  <c:v>1.5956225344243051</c:v>
                </c:pt>
                <c:pt idx="5">
                  <c:v>1.7595933100340084</c:v>
                </c:pt>
                <c:pt idx="6">
                  <c:v>1.8859903119031383</c:v>
                </c:pt>
                <c:pt idx="7">
                  <c:v>1.9889301829930526</c:v>
                </c:pt>
                <c:pt idx="8">
                  <c:v>2.1196107696185797</c:v>
                </c:pt>
                <c:pt idx="9">
                  <c:v>2.2729810176332168</c:v>
                </c:pt>
              </c:numCache>
            </c:numRef>
          </c:val>
          <c:extLst>
            <c:ext xmlns:c16="http://schemas.microsoft.com/office/drawing/2014/chart" uri="{C3380CC4-5D6E-409C-BE32-E72D297353CC}">
              <c16:uniqueId val="{00000000-F599-3C40-A67C-A3AD90BB9CAE}"/>
            </c:ext>
          </c:extLst>
        </c:ser>
        <c:ser>
          <c:idx val="3"/>
          <c:order val="2"/>
          <c:tx>
            <c:v>int area</c:v>
          </c:tx>
          <c:spPr>
            <a:solidFill>
              <a:srgbClr val="A1F4FF"/>
            </a:solidFill>
            <a:ln w="12700">
              <a:solidFill>
                <a:schemeClr val="tx1"/>
              </a:solidFill>
            </a:ln>
          </c:spPr>
          <c:val>
            <c:numRef>
              <c:f>[0]!addNFCindexarea</c:f>
              <c:numCache>
                <c:formatCode>General</c:formatCode>
                <c:ptCount val="10"/>
                <c:pt idx="0">
                  <c:v>0</c:v>
                </c:pt>
                <c:pt idx="1">
                  <c:v>-0.24244412980856811</c:v>
                </c:pt>
                <c:pt idx="2">
                  <c:v>-0.73455668507318261</c:v>
                </c:pt>
                <c:pt idx="3">
                  <c:v>-1.1653607863686419</c:v>
                </c:pt>
                <c:pt idx="4">
                  <c:v>-1.4119574346905868</c:v>
                </c:pt>
                <c:pt idx="5">
                  <c:v>-1.6173261881268499</c:v>
                </c:pt>
                <c:pt idx="6">
                  <c:v>-1.7674203791539598</c:v>
                </c:pt>
                <c:pt idx="7">
                  <c:v>-1.8891889736352028</c:v>
                </c:pt>
                <c:pt idx="8">
                  <c:v>-2.0265932950231944</c:v>
                </c:pt>
                <c:pt idx="9">
                  <c:v>-2.1745055956728594</c:v>
                </c:pt>
              </c:numCache>
            </c:numRef>
          </c:val>
          <c:extLst>
            <c:ext xmlns:c16="http://schemas.microsoft.com/office/drawing/2014/chart" uri="{C3380CC4-5D6E-409C-BE32-E72D297353CC}">
              <c16:uniqueId val="{00000001-F599-3C40-A67C-A3AD90BB9CAE}"/>
            </c:ext>
          </c:extLst>
        </c:ser>
        <c:dLbls>
          <c:showLegendKey val="0"/>
          <c:showVal val="0"/>
          <c:showCatName val="0"/>
          <c:showSerName val="0"/>
          <c:showPercent val="0"/>
          <c:showBubbleSize val="0"/>
        </c:dLbls>
        <c:axId val="-1641207088"/>
        <c:axId val="-1641204336"/>
      </c:areaChart>
      <c:lineChart>
        <c:grouping val="standard"/>
        <c:varyColors val="0"/>
        <c:ser>
          <c:idx val="1"/>
          <c:order val="0"/>
          <c:tx>
            <c:v>Intervention Case</c:v>
          </c:tx>
          <c:spPr>
            <a:ln w="28575">
              <a:solidFill>
                <a:srgbClr val="C00000"/>
              </a:solidFill>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AdditiveDashboardData!$E$80:$N$80</c:f>
              <c:numCache>
                <c:formatCode>0.00</c:formatCode>
                <c:ptCount val="10"/>
                <c:pt idx="0">
                  <c:v>1</c:v>
                </c:pt>
                <c:pt idx="1">
                  <c:v>0.95199410255299666</c:v>
                </c:pt>
                <c:pt idx="2">
                  <c:v>0.61597784841162606</c:v>
                </c:pt>
                <c:pt idx="3">
                  <c:v>0.29863845396052124</c:v>
                </c:pt>
                <c:pt idx="4">
                  <c:v>0.18366509973371833</c:v>
                </c:pt>
                <c:pt idx="5">
                  <c:v>0.14226712190715854</c:v>
                </c:pt>
                <c:pt idx="6">
                  <c:v>0.11856993274917854</c:v>
                </c:pt>
                <c:pt idx="7">
                  <c:v>9.9741209357849775E-2</c:v>
                </c:pt>
                <c:pt idx="8">
                  <c:v>9.3017474595385161E-2</c:v>
                </c:pt>
                <c:pt idx="9">
                  <c:v>9.8475421960357579E-2</c:v>
                </c:pt>
              </c:numCache>
            </c:numRef>
          </c:val>
          <c:smooth val="0"/>
          <c:extLst>
            <c:ext xmlns:c16="http://schemas.microsoft.com/office/drawing/2014/chart" uri="{C3380CC4-5D6E-409C-BE32-E72D297353CC}">
              <c16:uniqueId val="{00000002-F599-3C40-A67C-A3AD90BB9CAE}"/>
            </c:ext>
          </c:extLst>
        </c:ser>
        <c:ser>
          <c:idx val="0"/>
          <c:order val="3"/>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[0]!attdummy</c:f>
              <c:numCache>
                <c:formatCode>0.00</c:formatCode>
                <c:ptCount val="10"/>
              </c:numCache>
            </c:numRef>
          </c:val>
          <c:smooth val="0"/>
          <c:extLst>
            <c:ext xmlns:c16="http://schemas.microsoft.com/office/drawing/2014/chart" uri="{C3380CC4-5D6E-409C-BE32-E72D297353CC}">
              <c16:uniqueId val="{00000000-3910-184A-B1D7-7131347FF4D7}"/>
            </c:ext>
          </c:extLst>
        </c:ser>
        <c:dLbls>
          <c:showLegendKey val="0"/>
          <c:showVal val="0"/>
          <c:showCatName val="0"/>
          <c:showSerName val="0"/>
          <c:showPercent val="0"/>
          <c:showBubbleSize val="0"/>
        </c:dLbls>
        <c:marker val="1"/>
        <c:smooth val="0"/>
        <c:axId val="-1641207088"/>
        <c:axId val="-1641204336"/>
      </c:lineChart>
      <c:catAx>
        <c:axId val="-1641207088"/>
        <c:scaling>
          <c:orientation val="minMax"/>
        </c:scaling>
        <c:delete val="0"/>
        <c:axPos val="b"/>
        <c:numFmt formatCode="General" sourceLinked="1"/>
        <c:majorTickMark val="none"/>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1204336"/>
        <c:crosses val="autoZero"/>
        <c:auto val="1"/>
        <c:lblAlgn val="ctr"/>
        <c:lblOffset val="100"/>
        <c:tickLblSkip val="9"/>
        <c:tickMarkSkip val="1"/>
        <c:noMultiLvlLbl val="0"/>
      </c:catAx>
      <c:valAx>
        <c:axId val="-1641204336"/>
        <c:scaling>
          <c:orientation val="minMax"/>
          <c:max val="4"/>
          <c:min val="-4"/>
        </c:scaling>
        <c:delete val="0"/>
        <c:axPos val="l"/>
        <c:title>
          <c:tx>
            <c:rich>
              <a:bodyPr rot="-5400000" vert="horz"/>
              <a:lstStyle/>
              <a:p>
                <a:pPr>
                  <a:defRPr/>
                </a:pPr>
                <a:r>
                  <a:rPr lang="en-US" baseline="0"/>
                  <a:t> 2010=1</a:t>
                </a:r>
              </a:p>
            </c:rich>
          </c:tx>
          <c:overlay val="0"/>
        </c:title>
        <c:numFmt formatCode="General" sourceLinked="0"/>
        <c:majorTickMark val="out"/>
        <c:minorTickMark val="out"/>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1207088"/>
        <c:crosses val="autoZero"/>
        <c:crossBetween val="midCat"/>
        <c:majorUnit val="2"/>
        <c:minorUnit val="1"/>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1200" verticalDpi="1200"/>
  </c:printSettings>
  <c:userShapes r:id="rId1"/>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759119395789799"/>
          <c:y val="0.21176470588235299"/>
          <c:w val="0.63384809041726897"/>
          <c:h val="0.67647058823529405"/>
        </c:manualLayout>
      </c:layout>
      <c:lineChart>
        <c:grouping val="standard"/>
        <c:varyColors val="0"/>
        <c:ser>
          <c:idx val="0"/>
          <c:order val="0"/>
          <c:tx>
            <c:v>Reference case</c:v>
          </c:tx>
          <c:spPr>
            <a:ln w="12700">
              <a:solidFill>
                <a:srgbClr val="000000"/>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[0]!addNFCrefchng</c:f>
              <c:numCache>
                <c:formatCode>0.000</c:formatCode>
                <c:ptCount val="10"/>
                <c:pt idx="1">
                  <c:v>1.9443823236156479E-2</c:v>
                </c:pt>
                <c:pt idx="2">
                  <c:v>1.5609630112324389E-2</c:v>
                </c:pt>
                <c:pt idx="3">
                  <c:v>1.134647068443545E-2</c:v>
                </c:pt>
                <c:pt idx="4">
                  <c:v>1.3162329409514189E-2</c:v>
                </c:pt>
                <c:pt idx="5">
                  <c:v>1.6397077560970336E-2</c:v>
                </c:pt>
                <c:pt idx="6">
                  <c:v>1.2639700186912982E-2</c:v>
                </c:pt>
                <c:pt idx="7">
                  <c:v>1.0293987108991433E-2</c:v>
                </c:pt>
                <c:pt idx="8">
                  <c:v>1.3068058662552725E-2</c:v>
                </c:pt>
                <c:pt idx="9">
                  <c:v>1.5337024801463693E-2</c:v>
                </c:pt>
              </c:numCache>
            </c:numRef>
          </c:val>
          <c:smooth val="0"/>
          <c:extLst>
            <c:ext xmlns:c16="http://schemas.microsoft.com/office/drawing/2014/chart" uri="{C3380CC4-5D6E-409C-BE32-E72D297353CC}">
              <c16:uniqueId val="{00000000-7B53-ED4A-89EE-C7B275F5A831}"/>
            </c:ext>
          </c:extLst>
        </c:ser>
        <c:ser>
          <c:idx val="1"/>
          <c:order val="1"/>
          <c:tx>
            <c:v>Mitigation Case</c:v>
          </c:tx>
          <c:spPr>
            <a:ln w="25400">
              <a:solidFill>
                <a:srgbClr val="FF173B"/>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[0]!addNFCintchng</c:f>
              <c:numCache>
                <c:formatCode>0.00</c:formatCode>
                <c:ptCount val="10"/>
                <c:pt idx="1">
                  <c:v>-4.8005897447003301E-3</c:v>
                </c:pt>
                <c:pt idx="2">
                  <c:v>-3.3601625414137054E-2</c:v>
                </c:pt>
                <c:pt idx="3">
                  <c:v>-3.1733939445110493E-2</c:v>
                </c:pt>
                <c:pt idx="4">
                  <c:v>-1.1497335422680289E-2</c:v>
                </c:pt>
                <c:pt idx="5">
                  <c:v>-4.1397977826559797E-3</c:v>
                </c:pt>
                <c:pt idx="6">
                  <c:v>-2.3697189157979985E-3</c:v>
                </c:pt>
                <c:pt idx="7">
                  <c:v>-1.8828723391328772E-3</c:v>
                </c:pt>
                <c:pt idx="8">
                  <c:v>-6.7237347624646076E-4</c:v>
                </c:pt>
                <c:pt idx="9">
                  <c:v>5.4579473649724129E-4</c:v>
                </c:pt>
              </c:numCache>
            </c:numRef>
          </c:val>
          <c:smooth val="0"/>
          <c:extLst>
            <c:ext xmlns:c16="http://schemas.microsoft.com/office/drawing/2014/chart" uri="{C3380CC4-5D6E-409C-BE32-E72D297353CC}">
              <c16:uniqueId val="{00000001-7B53-ED4A-89EE-C7B275F5A831}"/>
            </c:ext>
          </c:extLst>
        </c:ser>
        <c:ser>
          <c:idx val="2"/>
          <c:order val="2"/>
          <c:marker>
            <c:symbol val="none"/>
          </c:marker>
          <c:val>
            <c:numRef>
              <c:f>[0]!attdummy</c:f>
              <c:numCache>
                <c:formatCode>0.00</c:formatCode>
                <c:ptCount val="10"/>
              </c:numCache>
            </c:numRef>
          </c:val>
          <c:smooth val="0"/>
          <c:extLst>
            <c:ext xmlns:c16="http://schemas.microsoft.com/office/drawing/2014/chart" uri="{C3380CC4-5D6E-409C-BE32-E72D297353CC}">
              <c16:uniqueId val="{00000000-2223-E345-80AA-7C54E2617D89}"/>
            </c:ext>
          </c:extLst>
        </c:ser>
        <c:dLbls>
          <c:showLegendKey val="0"/>
          <c:showVal val="0"/>
          <c:showCatName val="0"/>
          <c:showSerName val="0"/>
          <c:showPercent val="0"/>
          <c:showBubbleSize val="0"/>
        </c:dLbls>
        <c:smooth val="0"/>
        <c:axId val="-1641178400"/>
        <c:axId val="-1641175648"/>
      </c:lineChart>
      <c:catAx>
        <c:axId val="-1641178400"/>
        <c:scaling>
          <c:orientation val="minMax"/>
        </c:scaling>
        <c:delete val="0"/>
        <c:axPos val="b"/>
        <c:numFmt formatCode="General" sourceLinked="1"/>
        <c:majorTickMark val="none"/>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1175648"/>
        <c:crosses val="autoZero"/>
        <c:auto val="1"/>
        <c:lblAlgn val="ctr"/>
        <c:lblOffset val="100"/>
        <c:tickLblSkip val="9"/>
        <c:tickMarkSkip val="1"/>
        <c:noMultiLvlLbl val="0"/>
      </c:catAx>
      <c:valAx>
        <c:axId val="-1641175648"/>
        <c:scaling>
          <c:orientation val="minMax"/>
          <c:max val="3.0000000000000006E-2"/>
          <c:min val="-6.0000000000000012E-2"/>
        </c:scaling>
        <c:delete val="0"/>
        <c:axPos val="l"/>
        <c:majorGridlines>
          <c:spPr>
            <a:ln w="3175">
              <a:solidFill>
                <a:schemeClr val="bg1">
                  <a:lumMod val="65000"/>
                </a:schemeClr>
              </a:solidFill>
              <a:prstDash val="sysDash"/>
            </a:ln>
          </c:spPr>
        </c:majorGridlines>
        <c:title>
          <c:tx>
            <c:rich>
              <a:bodyPr/>
              <a:lstStyle/>
              <a:p>
                <a:pPr>
                  <a:defRPr sz="800" b="0" i="0" u="none" strike="noStrike" baseline="0">
                    <a:solidFill>
                      <a:srgbClr val="000000"/>
                    </a:solidFill>
                    <a:latin typeface="Arial"/>
                    <a:ea typeface="Arial"/>
                    <a:cs typeface="Arial"/>
                  </a:defRPr>
                </a:pPr>
                <a:r>
                  <a:rPr lang="en-US"/>
                  <a:t>Annual Rate of Change</a:t>
                </a:r>
              </a:p>
            </c:rich>
          </c:tx>
          <c:layout>
            <c:manualLayout>
              <c:xMode val="edge"/>
              <c:yMode val="edge"/>
              <c:x val="2.7210861757561901E-2"/>
              <c:y val="0.288235294117646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1178400"/>
        <c:crosses val="autoZero"/>
        <c:crossBetween val="midCat"/>
        <c:majorUnit val="1.0000000000000002E-2"/>
        <c:minorUnit val="0.01"/>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 verticalDpi="1200"/>
  </c:printSettings>
  <c:userShapes r:id="rId1"/>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3077266954533901"/>
          <c:y val="0.18333333333333299"/>
          <c:w val="0.60551790703581398"/>
          <c:h val="0.67968285214348201"/>
        </c:manualLayout>
      </c:layout>
      <c:areaChart>
        <c:grouping val="stacked"/>
        <c:varyColors val="0"/>
        <c:ser>
          <c:idx val="2"/>
          <c:order val="0"/>
          <c:tx>
            <c:v>Reference case area</c:v>
          </c:tx>
          <c:spPr>
            <a:solidFill>
              <a:schemeClr val="bg1"/>
            </a:solidFill>
            <a:ln w="12700">
              <a:solidFill>
                <a:schemeClr val="tx1"/>
              </a:solidFill>
              <a:prstDash val="solid"/>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[0]!addotherrefindexNFC</c:f>
              <c:numCache>
                <c:formatCode>0.00</c:formatCode>
                <c:ptCount val="10"/>
                <c:pt idx="0">
                  <c:v>0.43734306686679342</c:v>
                </c:pt>
                <c:pt idx="1">
                  <c:v>0.52277503242674195</c:v>
                </c:pt>
                <c:pt idx="2">
                  <c:v>0.58261194835768437</c:v>
                </c:pt>
                <c:pt idx="3">
                  <c:v>0.62428113024162324</c:v>
                </c:pt>
                <c:pt idx="4">
                  <c:v>0.65620330217823852</c:v>
                </c:pt>
                <c:pt idx="5">
                  <c:v>0.66445870434908871</c:v>
                </c:pt>
                <c:pt idx="6">
                  <c:v>0.68298920185319967</c:v>
                </c:pt>
                <c:pt idx="7">
                  <c:v>0.70830688784667151</c:v>
                </c:pt>
                <c:pt idx="8">
                  <c:v>0.72926138548255892</c:v>
                </c:pt>
                <c:pt idx="9">
                  <c:v>0.76022846239331476</c:v>
                </c:pt>
              </c:numCache>
            </c:numRef>
          </c:val>
          <c:extLst>
            <c:ext xmlns:c16="http://schemas.microsoft.com/office/drawing/2014/chart" uri="{C3380CC4-5D6E-409C-BE32-E72D297353CC}">
              <c16:uniqueId val="{00000000-1637-BB4D-B9B8-3C329CD23E22}"/>
            </c:ext>
          </c:extLst>
        </c:ser>
        <c:ser>
          <c:idx val="1"/>
          <c:order val="2"/>
          <c:tx>
            <c:v>Area for Intervention case</c:v>
          </c:tx>
          <c:spPr>
            <a:solidFill>
              <a:srgbClr val="A1F4FF"/>
            </a:solidFill>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[0]!addotherindexNFCarea</c:f>
              <c:numCache>
                <c:formatCode>0.00</c:formatCode>
                <c:ptCount val="10"/>
                <c:pt idx="0">
                  <c:v>1.3355027132536668E-3</c:v>
                </c:pt>
                <c:pt idx="1">
                  <c:v>-0.12463577374514634</c:v>
                </c:pt>
                <c:pt idx="2">
                  <c:v>-0.3242749294399796</c:v>
                </c:pt>
                <c:pt idx="3">
                  <c:v>-0.43774692918544628</c:v>
                </c:pt>
                <c:pt idx="4">
                  <c:v>-0.50977150051854947</c:v>
                </c:pt>
                <c:pt idx="5">
                  <c:v>-0.54073595190895285</c:v>
                </c:pt>
                <c:pt idx="6">
                  <c:v>-0.57872600519371631</c:v>
                </c:pt>
                <c:pt idx="7">
                  <c:v>-0.6194590464967259</c:v>
                </c:pt>
                <c:pt idx="8">
                  <c:v>-0.65357934802618323</c:v>
                </c:pt>
                <c:pt idx="9">
                  <c:v>-0.69615046157311533</c:v>
                </c:pt>
              </c:numCache>
            </c:numRef>
          </c:val>
          <c:extLst>
            <c:ext xmlns:c16="http://schemas.microsoft.com/office/drawing/2014/chart" uri="{C3380CC4-5D6E-409C-BE32-E72D297353CC}">
              <c16:uniqueId val="{00000001-1637-BB4D-B9B8-3C329CD23E22}"/>
            </c:ext>
          </c:extLst>
        </c:ser>
        <c:dLbls>
          <c:showLegendKey val="0"/>
          <c:showVal val="0"/>
          <c:showCatName val="0"/>
          <c:showSerName val="0"/>
          <c:showPercent val="0"/>
          <c:showBubbleSize val="0"/>
        </c:dLbls>
        <c:axId val="-1641134112"/>
        <c:axId val="-1641131360"/>
      </c:areaChart>
      <c:lineChart>
        <c:grouping val="standard"/>
        <c:varyColors val="0"/>
        <c:ser>
          <c:idx val="0"/>
          <c:order val="1"/>
          <c:tx>
            <c:v>Line for Intervention Case</c:v>
          </c:tx>
          <c:spPr>
            <a:ln w="28575" cmpd="sng">
              <a:solidFill>
                <a:srgbClr val="DD0806"/>
              </a:solidFill>
              <a:prstDash val="solid"/>
            </a:ln>
          </c:spPr>
          <c:marker>
            <c:symbol val="none"/>
          </c:marker>
          <c:val>
            <c:numRef>
              <c:f>[0]!addotherintindexNFC</c:f>
              <c:numCache>
                <c:formatCode>0.00</c:formatCode>
                <c:ptCount val="10"/>
                <c:pt idx="0">
                  <c:v>0.43867856958004708</c:v>
                </c:pt>
                <c:pt idx="1">
                  <c:v>0.39813925868159561</c:v>
                </c:pt>
                <c:pt idx="2">
                  <c:v>0.25833701891770477</c:v>
                </c:pt>
                <c:pt idx="3">
                  <c:v>0.18653420105617696</c:v>
                </c:pt>
                <c:pt idx="4">
                  <c:v>0.14643180165968908</c:v>
                </c:pt>
                <c:pt idx="5">
                  <c:v>0.12372275244013582</c:v>
                </c:pt>
                <c:pt idx="6">
                  <c:v>0.10426319665948339</c:v>
                </c:pt>
                <c:pt idx="7">
                  <c:v>8.8847841349945611E-2</c:v>
                </c:pt>
                <c:pt idx="8">
                  <c:v>7.5682037456375709E-2</c:v>
                </c:pt>
                <c:pt idx="9">
                  <c:v>6.4078000820199391E-2</c:v>
                </c:pt>
              </c:numCache>
            </c:numRef>
          </c:val>
          <c:smooth val="0"/>
          <c:extLst>
            <c:ext xmlns:c16="http://schemas.microsoft.com/office/drawing/2014/chart" uri="{C3380CC4-5D6E-409C-BE32-E72D297353CC}">
              <c16:uniqueId val="{00000002-1637-BB4D-B9B8-3C329CD23E22}"/>
            </c:ext>
          </c:extLst>
        </c:ser>
        <c:ser>
          <c:idx val="3"/>
          <c:order val="3"/>
          <c:marker>
            <c:symbol val="none"/>
          </c:marker>
          <c:val>
            <c:numRef>
              <c:f>[0]!attdummy</c:f>
              <c:numCache>
                <c:formatCode>0.00</c:formatCode>
                <c:ptCount val="10"/>
              </c:numCache>
            </c:numRef>
          </c:val>
          <c:smooth val="0"/>
          <c:extLst>
            <c:ext xmlns:c16="http://schemas.microsoft.com/office/drawing/2014/chart" uri="{C3380CC4-5D6E-409C-BE32-E72D297353CC}">
              <c16:uniqueId val="{00000001-F07A-E242-9D1A-52B046521891}"/>
            </c:ext>
          </c:extLst>
        </c:ser>
        <c:dLbls>
          <c:showLegendKey val="0"/>
          <c:showVal val="0"/>
          <c:showCatName val="0"/>
          <c:showSerName val="0"/>
          <c:showPercent val="0"/>
          <c:showBubbleSize val="0"/>
        </c:dLbls>
        <c:marker val="1"/>
        <c:smooth val="0"/>
        <c:axId val="-1641134112"/>
        <c:axId val="-1641131360"/>
      </c:lineChart>
      <c:catAx>
        <c:axId val="-1641134112"/>
        <c:scaling>
          <c:orientation val="minMax"/>
        </c:scaling>
        <c:delete val="0"/>
        <c:axPos val="b"/>
        <c:numFmt formatCode="General" sourceLinked="1"/>
        <c:majorTickMark val="none"/>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1131360"/>
        <c:crosses val="autoZero"/>
        <c:auto val="1"/>
        <c:lblAlgn val="ctr"/>
        <c:lblOffset val="100"/>
        <c:tickLblSkip val="9"/>
        <c:tickMarkSkip val="1"/>
        <c:noMultiLvlLbl val="0"/>
      </c:catAx>
      <c:valAx>
        <c:axId val="-1641131360"/>
        <c:scaling>
          <c:orientation val="minMax"/>
          <c:max val="5"/>
          <c:min val="-1"/>
        </c:scaling>
        <c:delete val="0"/>
        <c:axPos val="l"/>
        <c:title>
          <c:tx>
            <c:rich>
              <a:bodyPr/>
              <a:lstStyle/>
              <a:p>
                <a:pPr>
                  <a:defRPr sz="800" b="0" i="0" u="none" strike="noStrike" baseline="0">
                    <a:solidFill>
                      <a:srgbClr val="000000"/>
                    </a:solidFill>
                    <a:latin typeface="Arial"/>
                    <a:ea typeface="Arial"/>
                    <a:cs typeface="Arial"/>
                  </a:defRPr>
                </a:pPr>
                <a:r>
                  <a:rPr lang="en-US" sz="800" b="0" i="0" baseline="0">
                    <a:effectLst/>
                  </a:rPr>
                  <a:t>Net Fossil Carbon 2010=1</a:t>
                </a:r>
                <a:endParaRPr lang="en-US" sz="800">
                  <a:effectLst/>
                </a:endParaRPr>
              </a:p>
            </c:rich>
          </c:tx>
          <c:layout>
            <c:manualLayout>
              <c:xMode val="edge"/>
              <c:yMode val="edge"/>
              <c:x val="1.9991363982728001E-2"/>
              <c:y val="0.23825415573053399"/>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1134112"/>
        <c:crosses val="autoZero"/>
        <c:crossBetween val="midCat"/>
        <c:majorUnit val="1"/>
        <c:minorUnit val="0.5"/>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 verticalDpi="1200"/>
  </c:printSettings>
  <c:userShapes r:id="rId1"/>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2936703073406101"/>
          <c:y val="0.179501749781277"/>
          <c:w val="0.60689859542899904"/>
          <c:h val="0.67720253718285195"/>
        </c:manualLayout>
      </c:layout>
      <c:areaChart>
        <c:grouping val="stacked"/>
        <c:varyColors val="0"/>
        <c:ser>
          <c:idx val="1"/>
          <c:order val="0"/>
          <c:tx>
            <c:v>reference scenario area</c:v>
          </c:tx>
          <c:spPr>
            <a:noFill/>
            <a:ln w="12700">
              <a:noFill/>
              <a:prstDash val="solid"/>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[0]!addtotalGHGrefindexNFC</c:f>
              <c:numCache>
                <c:formatCode>0.00</c:formatCode>
                <c:ptCount val="10"/>
                <c:pt idx="0">
                  <c:v>1.6053285635067842</c:v>
                </c:pt>
                <c:pt idx="1">
                  <c:v>1.9487219506430613</c:v>
                </c:pt>
                <c:pt idx="2">
                  <c:v>2.2052225196797379</c:v>
                </c:pt>
                <c:pt idx="3">
                  <c:v>2.3596921784667821</c:v>
                </c:pt>
                <c:pt idx="4">
                  <c:v>2.4925413023373335</c:v>
                </c:pt>
                <c:pt idx="5">
                  <c:v>2.5542725840216227</c:v>
                </c:pt>
                <c:pt idx="6">
                  <c:v>2.6792306575667437</c:v>
                </c:pt>
                <c:pt idx="7">
                  <c:v>2.821843478646227</c:v>
                </c:pt>
                <c:pt idx="8">
                  <c:v>2.95411038993762</c:v>
                </c:pt>
                <c:pt idx="9">
                  <c:v>3.1377659130808313</c:v>
                </c:pt>
              </c:numCache>
            </c:numRef>
          </c:val>
          <c:extLst>
            <c:ext xmlns:c16="http://schemas.microsoft.com/office/drawing/2014/chart" uri="{C3380CC4-5D6E-409C-BE32-E72D297353CC}">
              <c16:uniqueId val="{00000000-5947-304B-8748-4CD0F3BC530F}"/>
            </c:ext>
          </c:extLst>
        </c:ser>
        <c:ser>
          <c:idx val="0"/>
          <c:order val="1"/>
          <c:tx>
            <c:v>Intervention scenario</c:v>
          </c:tx>
          <c:spPr>
            <a:solidFill>
              <a:srgbClr val="A1F4FF"/>
            </a:solidFill>
            <a:ln w="12700">
              <a:solidFill>
                <a:schemeClr val="tx1"/>
              </a:solidFill>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[0]!addtotalGHGindexNFCarea</c:f>
              <c:numCache>
                <c:formatCode>0.00</c:formatCode>
                <c:ptCount val="10"/>
                <c:pt idx="0">
                  <c:v>8.4116325743854858E-3</c:v>
                </c:pt>
                <c:pt idx="1">
                  <c:v>-0.42872714196630457</c:v>
                </c:pt>
                <c:pt idx="2">
                  <c:v>-1.3228963698677645</c:v>
                </c:pt>
                <c:pt idx="3">
                  <c:v>-1.9656293147484998</c:v>
                </c:pt>
                <c:pt idx="4">
                  <c:v>-2.3752592883256773</c:v>
                </c:pt>
                <c:pt idx="5">
                  <c:v>-2.4981938670491535</c:v>
                </c:pt>
                <c:pt idx="6">
                  <c:v>-2.6470429923327625</c:v>
                </c:pt>
                <c:pt idx="7">
                  <c:v>-2.7459511230676474</c:v>
                </c:pt>
                <c:pt idx="8">
                  <c:v>-2.8329758151199109</c:v>
                </c:pt>
                <c:pt idx="9">
                  <c:v>-2.987063949764226</c:v>
                </c:pt>
              </c:numCache>
            </c:numRef>
          </c:val>
          <c:extLst>
            <c:ext xmlns:c16="http://schemas.microsoft.com/office/drawing/2014/chart" uri="{C3380CC4-5D6E-409C-BE32-E72D297353CC}">
              <c16:uniqueId val="{00000001-5947-304B-8748-4CD0F3BC530F}"/>
            </c:ext>
          </c:extLst>
        </c:ser>
        <c:dLbls>
          <c:showLegendKey val="0"/>
          <c:showVal val="0"/>
          <c:showCatName val="0"/>
          <c:showSerName val="0"/>
          <c:showPercent val="0"/>
          <c:showBubbleSize val="0"/>
        </c:dLbls>
        <c:axId val="-1641097568"/>
        <c:axId val="-1641094816"/>
      </c:areaChart>
      <c:lineChart>
        <c:grouping val="standard"/>
        <c:varyColors val="0"/>
        <c:ser>
          <c:idx val="2"/>
          <c:order val="2"/>
          <c:tx>
            <c:v>Intervention scenario Line</c:v>
          </c:tx>
          <c:spPr>
            <a:ln w="28575">
              <a:solidFill>
                <a:srgbClr val="C00000"/>
              </a:solidFill>
            </a:ln>
          </c:spPr>
          <c:marker>
            <c:symbol val="none"/>
          </c:marker>
          <c:cat>
            <c:numRef>
              <c:f>AdditiveDashboardData!$E$2:$N$2</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[0]!addtotalGHGintindexNFC</c:f>
              <c:numCache>
                <c:formatCode>0.00</c:formatCode>
                <c:ptCount val="10"/>
                <c:pt idx="0">
                  <c:v>1.6137401960811697</c:v>
                </c:pt>
                <c:pt idx="1">
                  <c:v>1.5199948086767567</c:v>
                </c:pt>
                <c:pt idx="2">
                  <c:v>0.88232614981197333</c:v>
                </c:pt>
                <c:pt idx="3">
                  <c:v>0.39406286371828242</c:v>
                </c:pt>
                <c:pt idx="4">
                  <c:v>0.11728201401165635</c:v>
                </c:pt>
                <c:pt idx="5">
                  <c:v>5.6078716972469134E-2</c:v>
                </c:pt>
                <c:pt idx="6">
                  <c:v>3.2187665233981283E-2</c:v>
                </c:pt>
                <c:pt idx="7">
                  <c:v>7.589235557857954E-2</c:v>
                </c:pt>
                <c:pt idx="8">
                  <c:v>0.12113457481770915</c:v>
                </c:pt>
                <c:pt idx="9">
                  <c:v>0.15070196331660521</c:v>
                </c:pt>
              </c:numCache>
            </c:numRef>
          </c:val>
          <c:smooth val="0"/>
          <c:extLst>
            <c:ext xmlns:c16="http://schemas.microsoft.com/office/drawing/2014/chart" uri="{C3380CC4-5D6E-409C-BE32-E72D297353CC}">
              <c16:uniqueId val="{00000002-5947-304B-8748-4CD0F3BC530F}"/>
            </c:ext>
          </c:extLst>
        </c:ser>
        <c:ser>
          <c:idx val="3"/>
          <c:order val="3"/>
          <c:marker>
            <c:symbol val="none"/>
          </c:marker>
          <c:val>
            <c:numRef>
              <c:f>[0]!attdummy</c:f>
              <c:numCache>
                <c:formatCode>0.00</c:formatCode>
                <c:ptCount val="10"/>
              </c:numCache>
            </c:numRef>
          </c:val>
          <c:smooth val="0"/>
          <c:extLst>
            <c:ext xmlns:c16="http://schemas.microsoft.com/office/drawing/2014/chart" uri="{C3380CC4-5D6E-409C-BE32-E72D297353CC}">
              <c16:uniqueId val="{00000000-9381-B24A-B101-4A43E8194A5B}"/>
            </c:ext>
          </c:extLst>
        </c:ser>
        <c:dLbls>
          <c:showLegendKey val="0"/>
          <c:showVal val="0"/>
          <c:showCatName val="0"/>
          <c:showSerName val="0"/>
          <c:showPercent val="0"/>
          <c:showBubbleSize val="0"/>
        </c:dLbls>
        <c:marker val="1"/>
        <c:smooth val="0"/>
        <c:axId val="-1641097568"/>
        <c:axId val="-1641094816"/>
      </c:lineChart>
      <c:catAx>
        <c:axId val="-1641097568"/>
        <c:scaling>
          <c:orientation val="minMax"/>
        </c:scaling>
        <c:delete val="0"/>
        <c:axPos val="b"/>
        <c:numFmt formatCode="General" sourceLinked="1"/>
        <c:majorTickMark val="none"/>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1094816"/>
        <c:crosses val="autoZero"/>
        <c:auto val="1"/>
        <c:lblAlgn val="ctr"/>
        <c:lblOffset val="100"/>
        <c:tickLblSkip val="9"/>
        <c:tickMarkSkip val="1"/>
        <c:noMultiLvlLbl val="0"/>
      </c:catAx>
      <c:valAx>
        <c:axId val="-1641094816"/>
        <c:scaling>
          <c:orientation val="minMax"/>
          <c:max val="5"/>
          <c:min val="-1"/>
        </c:scaling>
        <c:delete val="0"/>
        <c:axPos val="l"/>
        <c:title>
          <c:tx>
            <c:rich>
              <a:bodyPr/>
              <a:lstStyle/>
              <a:p>
                <a:pPr>
                  <a:defRPr sz="800" b="0" i="0" u="none" strike="noStrike" baseline="0">
                    <a:solidFill>
                      <a:srgbClr val="000000"/>
                    </a:solidFill>
                    <a:latin typeface="Arial"/>
                    <a:ea typeface="Arial"/>
                    <a:cs typeface="Arial"/>
                  </a:defRPr>
                </a:pPr>
                <a:r>
                  <a:rPr lang="en-US" sz="800" b="0" i="0" baseline="0">
                    <a:effectLst/>
                  </a:rPr>
                  <a:t>Net Fossil Carbon 2010=1</a:t>
                </a:r>
                <a:endParaRPr lang="en-US" sz="800">
                  <a:effectLst/>
                </a:endParaRPr>
              </a:p>
            </c:rich>
          </c:tx>
          <c:layout>
            <c:manualLayout>
              <c:xMode val="edge"/>
              <c:yMode val="edge"/>
              <c:x val="3.4483108966217903E-2"/>
              <c:y val="0.2442528433945760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1097568"/>
        <c:crosses val="autoZero"/>
        <c:crossBetween val="midCat"/>
        <c:majorUnit val="1"/>
        <c:minorUnit val="1"/>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 verticalDpi="1200"/>
  </c:printSettings>
  <c:userShapes r:id="rId1"/>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3079197358394701"/>
          <c:y val="0.18389020122484701"/>
          <c:w val="0.60464719329438599"/>
          <c:h val="0.67512817147856496"/>
        </c:manualLayout>
      </c:layout>
      <c:areaChart>
        <c:grouping val="stacked"/>
        <c:varyColors val="0"/>
        <c:ser>
          <c:idx val="0"/>
          <c:order val="0"/>
          <c:tx>
            <c:v>Reference case</c:v>
          </c:tx>
          <c:spPr>
            <a:noFill/>
            <a:ln w="12700">
              <a:noFill/>
              <a:prstDash val="solid"/>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[0]!addIndrefindexNFC</c:f>
              <c:numCache>
                <c:formatCode>0.00</c:formatCode>
                <c:ptCount val="10"/>
                <c:pt idx="0">
                  <c:v>5.311944066367523E-2</c:v>
                </c:pt>
                <c:pt idx="1">
                  <c:v>6.0555966891012697E-2</c:v>
                </c:pt>
                <c:pt idx="2">
                  <c:v>6.6081120035102664E-2</c:v>
                </c:pt>
                <c:pt idx="3">
                  <c:v>6.8781720328741122E-2</c:v>
                </c:pt>
                <c:pt idx="4">
                  <c:v>7.5195829700698408E-2</c:v>
                </c:pt>
                <c:pt idx="5">
                  <c:v>8.3146641128698365E-2</c:v>
                </c:pt>
                <c:pt idx="6">
                  <c:v>8.6431882045505462E-2</c:v>
                </c:pt>
                <c:pt idx="7">
                  <c:v>9.4622979228553339E-2</c:v>
                </c:pt>
                <c:pt idx="8">
                  <c:v>0.10902470661957257</c:v>
                </c:pt>
                <c:pt idx="9">
                  <c:v>0.12182942935462612</c:v>
                </c:pt>
              </c:numCache>
            </c:numRef>
          </c:val>
          <c:extLst>
            <c:ext xmlns:c16="http://schemas.microsoft.com/office/drawing/2014/chart" uri="{C3380CC4-5D6E-409C-BE32-E72D297353CC}">
              <c16:uniqueId val="{00000000-9A8E-C44C-AE31-0090052B08F3}"/>
            </c:ext>
          </c:extLst>
        </c:ser>
        <c:ser>
          <c:idx val="1"/>
          <c:order val="1"/>
          <c:tx>
            <c:v>Area for Intervention Case</c:v>
          </c:tx>
          <c:spPr>
            <a:solidFill>
              <a:srgbClr val="A1F4FF"/>
            </a:solidFill>
            <a:ln w="12700">
              <a:solidFill>
                <a:schemeClr val="tx1"/>
              </a:solidFill>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[0]!addIndindexNFCarea</c:f>
              <c:numCache>
                <c:formatCode>0.00</c:formatCode>
                <c:ptCount val="10"/>
                <c:pt idx="0">
                  <c:v>-1.7281536718684321E-5</c:v>
                </c:pt>
                <c:pt idx="1">
                  <c:v>-7.611196840636103E-3</c:v>
                </c:pt>
                <c:pt idx="2">
                  <c:v>-8.4682733026792967E-3</c:v>
                </c:pt>
                <c:pt idx="3">
                  <c:v>-9.8296109469496462E-3</c:v>
                </c:pt>
                <c:pt idx="4">
                  <c:v>-2.033361453371791E-2</c:v>
                </c:pt>
                <c:pt idx="5">
                  <c:v>-3.4460900508698392E-2</c:v>
                </c:pt>
                <c:pt idx="6">
                  <c:v>-3.0619018902895687E-2</c:v>
                </c:pt>
                <c:pt idx="7">
                  <c:v>-2.9490950274703803E-2</c:v>
                </c:pt>
                <c:pt idx="8">
                  <c:v>-4.9073529780599444E-2</c:v>
                </c:pt>
                <c:pt idx="9">
                  <c:v>-7.5485016030002849E-2</c:v>
                </c:pt>
              </c:numCache>
            </c:numRef>
          </c:val>
          <c:extLst>
            <c:ext xmlns:c16="http://schemas.microsoft.com/office/drawing/2014/chart" uri="{C3380CC4-5D6E-409C-BE32-E72D297353CC}">
              <c16:uniqueId val="{00000001-9A8E-C44C-AE31-0090052B08F3}"/>
            </c:ext>
          </c:extLst>
        </c:ser>
        <c:dLbls>
          <c:showLegendKey val="0"/>
          <c:showVal val="0"/>
          <c:showCatName val="0"/>
          <c:showSerName val="0"/>
          <c:showPercent val="0"/>
          <c:showBubbleSize val="0"/>
        </c:dLbls>
        <c:axId val="-1641066464"/>
        <c:axId val="-1641063712"/>
      </c:areaChart>
      <c:lineChart>
        <c:grouping val="standard"/>
        <c:varyColors val="0"/>
        <c:ser>
          <c:idx val="2"/>
          <c:order val="2"/>
          <c:tx>
            <c:v>Line for Intervention Case</c:v>
          </c:tx>
          <c:spPr>
            <a:ln w="28575">
              <a:solidFill>
                <a:srgbClr val="C00000"/>
              </a:solidFill>
            </a:ln>
          </c:spPr>
          <c:marker>
            <c:symbol val="none"/>
          </c:marker>
          <c:cat>
            <c:numRef>
              <c:f>AdditiveDashboardData!$E$75:$N$75</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[0]!addIndintindexNFC</c:f>
              <c:numCache>
                <c:formatCode>0.00</c:formatCode>
                <c:ptCount val="10"/>
                <c:pt idx="0">
                  <c:v>5.3102159126956545E-2</c:v>
                </c:pt>
                <c:pt idx="1">
                  <c:v>5.2944770050376594E-2</c:v>
                </c:pt>
                <c:pt idx="2">
                  <c:v>5.7612846732423367E-2</c:v>
                </c:pt>
                <c:pt idx="3">
                  <c:v>5.8952109381791476E-2</c:v>
                </c:pt>
                <c:pt idx="4">
                  <c:v>5.4862215166980498E-2</c:v>
                </c:pt>
                <c:pt idx="5">
                  <c:v>4.8685740619999973E-2</c:v>
                </c:pt>
                <c:pt idx="6">
                  <c:v>5.5812863142609775E-2</c:v>
                </c:pt>
                <c:pt idx="7">
                  <c:v>6.5132028953849536E-2</c:v>
                </c:pt>
                <c:pt idx="8">
                  <c:v>5.9951176838973129E-2</c:v>
                </c:pt>
                <c:pt idx="9">
                  <c:v>4.6344413324623267E-2</c:v>
                </c:pt>
              </c:numCache>
            </c:numRef>
          </c:val>
          <c:smooth val="0"/>
          <c:extLst>
            <c:ext xmlns:c16="http://schemas.microsoft.com/office/drawing/2014/chart" uri="{C3380CC4-5D6E-409C-BE32-E72D297353CC}">
              <c16:uniqueId val="{00000002-9A8E-C44C-AE31-0090052B08F3}"/>
            </c:ext>
          </c:extLst>
        </c:ser>
        <c:ser>
          <c:idx val="3"/>
          <c:order val="3"/>
          <c:marker>
            <c:symbol val="none"/>
          </c:marker>
          <c:val>
            <c:numRef>
              <c:f>[0]!attdummy</c:f>
              <c:numCache>
                <c:formatCode>0.00</c:formatCode>
                <c:ptCount val="10"/>
              </c:numCache>
            </c:numRef>
          </c:val>
          <c:smooth val="0"/>
          <c:extLst>
            <c:ext xmlns:c16="http://schemas.microsoft.com/office/drawing/2014/chart" uri="{C3380CC4-5D6E-409C-BE32-E72D297353CC}">
              <c16:uniqueId val="{00000000-1656-BA44-B938-4CC2E6F109EC}"/>
            </c:ext>
          </c:extLst>
        </c:ser>
        <c:dLbls>
          <c:showLegendKey val="0"/>
          <c:showVal val="0"/>
          <c:showCatName val="0"/>
          <c:showSerName val="0"/>
          <c:showPercent val="0"/>
          <c:showBubbleSize val="0"/>
        </c:dLbls>
        <c:marker val="1"/>
        <c:smooth val="0"/>
        <c:axId val="-1641066464"/>
        <c:axId val="-1641063712"/>
      </c:lineChart>
      <c:catAx>
        <c:axId val="-1641066464"/>
        <c:scaling>
          <c:orientation val="minMax"/>
        </c:scaling>
        <c:delete val="0"/>
        <c:axPos val="b"/>
        <c:numFmt formatCode="General" sourceLinked="1"/>
        <c:majorTickMark val="none"/>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1063712"/>
        <c:crosses val="autoZero"/>
        <c:auto val="1"/>
        <c:lblAlgn val="ctr"/>
        <c:lblOffset val="100"/>
        <c:tickLblSkip val="9"/>
        <c:tickMarkSkip val="1"/>
        <c:noMultiLvlLbl val="0"/>
      </c:catAx>
      <c:valAx>
        <c:axId val="-1641063712"/>
        <c:scaling>
          <c:orientation val="minMax"/>
          <c:max val="5"/>
          <c:min val="-1"/>
        </c:scaling>
        <c:delete val="0"/>
        <c:axPos val="l"/>
        <c:title>
          <c:tx>
            <c:rich>
              <a:bodyPr/>
              <a:lstStyle/>
              <a:p>
                <a:pPr>
                  <a:defRPr sz="800" b="0" i="0" u="none" strike="noStrike" baseline="0">
                    <a:solidFill>
                      <a:srgbClr val="000000"/>
                    </a:solidFill>
                    <a:latin typeface="Arial"/>
                    <a:ea typeface="Arial"/>
                    <a:cs typeface="Arial"/>
                  </a:defRPr>
                </a:pPr>
                <a:r>
                  <a:rPr lang="en-US" sz="800" b="0" i="0" baseline="0">
                    <a:effectLst/>
                  </a:rPr>
                  <a:t>Net Fossil Carbon 2010=1</a:t>
                </a:r>
                <a:endParaRPr lang="en-US" sz="800">
                  <a:effectLst/>
                </a:endParaRPr>
              </a:p>
            </c:rich>
          </c:tx>
          <c:layout>
            <c:manualLayout>
              <c:xMode val="edge"/>
              <c:yMode val="edge"/>
              <c:x val="2.7972059944119901E-2"/>
              <c:y val="0.24521041119859999"/>
            </c:manualLayout>
          </c:layout>
          <c:overlay val="0"/>
          <c:spPr>
            <a:noFill/>
            <a:ln w="25400">
              <a:noFill/>
            </a:ln>
          </c:spPr>
        </c:title>
        <c:numFmt formatCode="General" sourceLinked="0"/>
        <c:majorTickMark val="out"/>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1066464"/>
        <c:crosses val="autoZero"/>
        <c:crossBetween val="midCat"/>
        <c:majorUnit val="1"/>
        <c:minorUnit val="0.5"/>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1200" verticalDpi="1200"/>
  </c:printSettings>
  <c:userShapes r:id="rId1"/>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3043738887477799"/>
          <c:y val="0.17886395450568701"/>
          <c:w val="0.607899415798831"/>
          <c:h val="0.68137795275590496"/>
        </c:manualLayout>
      </c:layout>
      <c:areaChart>
        <c:grouping val="stacked"/>
        <c:varyColors val="0"/>
        <c:ser>
          <c:idx val="3"/>
          <c:order val="0"/>
          <c:tx>
            <c:v>Reference case area</c:v>
          </c:tx>
          <c:spPr>
            <a:noFill/>
            <a:ln w="12700">
              <a:noFill/>
              <a:prstDash val="solid"/>
            </a:ln>
          </c:spPr>
          <c:val>
            <c:numRef>
              <c:f>[0]!addlanduserefindexNFC</c:f>
              <c:numCache>
                <c:formatCode>0.00</c:formatCode>
                <c:ptCount val="10"/>
                <c:pt idx="0">
                  <c:v>0.11486605597631558</c:v>
                </c:pt>
                <c:pt idx="1">
                  <c:v>0.17095271896374192</c:v>
                </c:pt>
                <c:pt idx="2">
                  <c:v>0.20599491780214166</c:v>
                </c:pt>
                <c:pt idx="3">
                  <c:v>0.20263008756725437</c:v>
                </c:pt>
                <c:pt idx="4">
                  <c:v>0.16551963603409134</c:v>
                </c:pt>
                <c:pt idx="5">
                  <c:v>4.7073928509826717E-2</c:v>
                </c:pt>
                <c:pt idx="6">
                  <c:v>2.381926176489987E-2</c:v>
                </c:pt>
                <c:pt idx="7">
                  <c:v>2.9983428577949015E-2</c:v>
                </c:pt>
                <c:pt idx="8">
                  <c:v>-3.7864717830917564E-3</c:v>
                </c:pt>
                <c:pt idx="9">
                  <c:v>-1.727299630032586E-2</c:v>
                </c:pt>
              </c:numCache>
            </c:numRef>
          </c:val>
          <c:extLst>
            <c:ext xmlns:c16="http://schemas.microsoft.com/office/drawing/2014/chart" uri="{C3380CC4-5D6E-409C-BE32-E72D297353CC}">
              <c16:uniqueId val="{00000000-AA31-7044-8C5F-28E01D8DD509}"/>
            </c:ext>
          </c:extLst>
        </c:ser>
        <c:ser>
          <c:idx val="2"/>
          <c:order val="1"/>
          <c:tx>
            <c:v>Area for Intervention Case</c:v>
          </c:tx>
          <c:spPr>
            <a:solidFill>
              <a:srgbClr val="A1F4FF"/>
            </a:solidFill>
            <a:ln>
              <a:solidFill>
                <a:schemeClr val="tx1"/>
              </a:solidFill>
            </a:ln>
          </c:spPr>
          <c:val>
            <c:numRef>
              <c:f>[0]!addlanduseindexNFCarea</c:f>
              <c:numCache>
                <c:formatCode>0.00</c:formatCode>
                <c:ptCount val="10"/>
                <c:pt idx="0">
                  <c:v>3.5770666623442388E-3</c:v>
                </c:pt>
                <c:pt idx="1">
                  <c:v>-5.7383581022699345E-2</c:v>
                </c:pt>
                <c:pt idx="2">
                  <c:v>-0.2577624724506225</c:v>
                </c:pt>
                <c:pt idx="3">
                  <c:v>-0.3537421025023767</c:v>
                </c:pt>
                <c:pt idx="4">
                  <c:v>-0.4338394644908854</c:v>
                </c:pt>
                <c:pt idx="5">
                  <c:v>-0.30616817819629405</c:v>
                </c:pt>
                <c:pt idx="6">
                  <c:v>-0.27069217631944226</c:v>
                </c:pt>
                <c:pt idx="7">
                  <c:v>-0.20816108827138896</c:v>
                </c:pt>
                <c:pt idx="8">
                  <c:v>-0.10405502300408968</c:v>
                </c:pt>
                <c:pt idx="9">
                  <c:v>-4.1258206691474071E-2</c:v>
                </c:pt>
              </c:numCache>
            </c:numRef>
          </c:val>
          <c:extLst>
            <c:ext xmlns:c16="http://schemas.microsoft.com/office/drawing/2014/chart" uri="{C3380CC4-5D6E-409C-BE32-E72D297353CC}">
              <c16:uniqueId val="{00000001-AA31-7044-8C5F-28E01D8DD509}"/>
            </c:ext>
          </c:extLst>
        </c:ser>
        <c:dLbls>
          <c:showLegendKey val="0"/>
          <c:showVal val="0"/>
          <c:showCatName val="0"/>
          <c:showSerName val="0"/>
          <c:showPercent val="0"/>
          <c:showBubbleSize val="0"/>
        </c:dLbls>
        <c:axId val="-1639955632"/>
        <c:axId val="-1639952880"/>
      </c:areaChart>
      <c:lineChart>
        <c:grouping val="standard"/>
        <c:varyColors val="0"/>
        <c:ser>
          <c:idx val="1"/>
          <c:order val="2"/>
          <c:tx>
            <c:v>Line for Intervention Case</c:v>
          </c:tx>
          <c:spPr>
            <a:ln w="28575">
              <a:solidFill>
                <a:srgbClr val="C00000"/>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[0]!addlanduseintindexNFC</c:f>
              <c:numCache>
                <c:formatCode>0.00</c:formatCode>
                <c:ptCount val="10"/>
                <c:pt idx="0">
                  <c:v>0.11844312263865982</c:v>
                </c:pt>
                <c:pt idx="1">
                  <c:v>0.11356913794104258</c:v>
                </c:pt>
                <c:pt idx="2">
                  <c:v>-5.1767554648480839E-2</c:v>
                </c:pt>
                <c:pt idx="3">
                  <c:v>-0.1511120149351223</c:v>
                </c:pt>
                <c:pt idx="4">
                  <c:v>-0.26831982845679409</c:v>
                </c:pt>
                <c:pt idx="5">
                  <c:v>-0.25909424968646733</c:v>
                </c:pt>
                <c:pt idx="6">
                  <c:v>-0.24687291455454241</c:v>
                </c:pt>
                <c:pt idx="7">
                  <c:v>-0.17817765969343993</c:v>
                </c:pt>
                <c:pt idx="8">
                  <c:v>-0.10784149478718144</c:v>
                </c:pt>
                <c:pt idx="9">
                  <c:v>-5.8531202991799931E-2</c:v>
                </c:pt>
              </c:numCache>
            </c:numRef>
          </c:val>
          <c:smooth val="0"/>
          <c:extLst>
            <c:ext xmlns:c16="http://schemas.microsoft.com/office/drawing/2014/chart" uri="{C3380CC4-5D6E-409C-BE32-E72D297353CC}">
              <c16:uniqueId val="{00000004-AA31-7044-8C5F-28E01D8DD509}"/>
            </c:ext>
          </c:extLst>
        </c:ser>
        <c:ser>
          <c:idx val="0"/>
          <c:order val="3"/>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[0]!attdummy</c:f>
              <c:numCache>
                <c:formatCode>0.00</c:formatCode>
                <c:ptCount val="10"/>
              </c:numCache>
            </c:numRef>
          </c:val>
          <c:smooth val="0"/>
          <c:extLst>
            <c:ext xmlns:c16="http://schemas.microsoft.com/office/drawing/2014/chart" uri="{C3380CC4-5D6E-409C-BE32-E72D297353CC}">
              <c16:uniqueId val="{00000000-430B-6E44-A68F-FA20F09F7660}"/>
            </c:ext>
          </c:extLst>
        </c:ser>
        <c:dLbls>
          <c:showLegendKey val="0"/>
          <c:showVal val="0"/>
          <c:showCatName val="0"/>
          <c:showSerName val="0"/>
          <c:showPercent val="0"/>
          <c:showBubbleSize val="0"/>
        </c:dLbls>
        <c:marker val="1"/>
        <c:smooth val="0"/>
        <c:axId val="-1639955632"/>
        <c:axId val="-1639952880"/>
      </c:lineChart>
      <c:catAx>
        <c:axId val="-1639955632"/>
        <c:scaling>
          <c:orientation val="minMax"/>
        </c:scaling>
        <c:delete val="0"/>
        <c:axPos val="b"/>
        <c:numFmt formatCode="General" sourceLinked="1"/>
        <c:majorTickMark val="none"/>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39952880"/>
        <c:crosses val="autoZero"/>
        <c:auto val="1"/>
        <c:lblAlgn val="ctr"/>
        <c:lblOffset val="100"/>
        <c:tickLblSkip val="9"/>
        <c:tickMarkSkip val="1"/>
        <c:noMultiLvlLbl val="0"/>
      </c:catAx>
      <c:valAx>
        <c:axId val="-1639952880"/>
        <c:scaling>
          <c:orientation val="minMax"/>
          <c:max val="5"/>
          <c:min val="-1"/>
        </c:scaling>
        <c:delete val="0"/>
        <c:axPos val="l"/>
        <c:title>
          <c:tx>
            <c:rich>
              <a:bodyPr/>
              <a:lstStyle/>
              <a:p>
                <a:pPr>
                  <a:defRPr sz="800" b="0" i="0" u="none" strike="noStrike" baseline="0">
                    <a:solidFill>
                      <a:srgbClr val="000000"/>
                    </a:solidFill>
                    <a:latin typeface="Arial"/>
                    <a:ea typeface="Arial"/>
                    <a:cs typeface="Arial"/>
                  </a:defRPr>
                </a:pPr>
                <a:r>
                  <a:rPr lang="en-US" sz="800" b="0" i="0" baseline="0">
                    <a:effectLst/>
                  </a:rPr>
                  <a:t>Net Fossil Carbon 2010=1</a:t>
                </a:r>
                <a:endParaRPr lang="en-US" sz="800">
                  <a:effectLst/>
                </a:endParaRPr>
              </a:p>
            </c:rich>
          </c:tx>
          <c:layout>
            <c:manualLayout>
              <c:xMode val="edge"/>
              <c:yMode val="edge"/>
              <c:x val="4.6916941833883702E-2"/>
              <c:y val="0.23522659667541501"/>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39955632"/>
        <c:crossesAt val="0"/>
        <c:crossBetween val="midCat"/>
        <c:majorUnit val="1"/>
        <c:minorUnit val="0.05"/>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1200" verticalDpi="1200"/>
  </c:printSettings>
  <c:userShapes r:id="rId1"/>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29870967741935"/>
          <c:y val="0.18423359580052501"/>
          <c:w val="0.60712471424942904"/>
          <c:h val="0.67588451443569497"/>
        </c:manualLayout>
      </c:layout>
      <c:areaChart>
        <c:grouping val="stacked"/>
        <c:varyColors val="0"/>
        <c:ser>
          <c:idx val="0"/>
          <c:order val="0"/>
          <c:tx>
            <c:v>Reference case</c:v>
          </c:tx>
          <c:spPr>
            <a:ln w="12700">
              <a:noFill/>
              <a:prstDash val="solid"/>
            </a:ln>
          </c:spPr>
          <c:val>
            <c:numRef>
              <c:f>[0]!addBioCCSENErefindexNFC</c:f>
              <c:numCache>
                <c:formatCode>0.00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1-CDCC-CA48-85C2-6143E30369D8}"/>
            </c:ext>
          </c:extLst>
        </c:ser>
        <c:ser>
          <c:idx val="1"/>
          <c:order val="1"/>
          <c:tx>
            <c:v>intervention case area</c:v>
          </c:tx>
          <c:spPr>
            <a:solidFill>
              <a:srgbClr val="A1F4FF"/>
            </a:solidFill>
            <a:ln w="12700">
              <a:solidFill>
                <a:schemeClr val="tx1"/>
              </a:solidFill>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[0]!addBioCCSENEindexNFCarea</c:f>
              <c:numCache>
                <c:formatCode>General</c:formatCode>
                <c:ptCount val="10"/>
                <c:pt idx="0">
                  <c:v>0</c:v>
                </c:pt>
                <c:pt idx="1">
                  <c:v>-1.5869160381290072E-19</c:v>
                </c:pt>
                <c:pt idx="2">
                  <c:v>-6.5750639432063207E-11</c:v>
                </c:pt>
                <c:pt idx="3">
                  <c:v>-1.5004887000114507E-9</c:v>
                </c:pt>
                <c:pt idx="4">
                  <c:v>-3.1038984823993056E-6</c:v>
                </c:pt>
                <c:pt idx="5">
                  <c:v>-2.9085535117577036E-6</c:v>
                </c:pt>
                <c:pt idx="6">
                  <c:v>-2.3455215599126769E-6</c:v>
                </c:pt>
                <c:pt idx="7">
                  <c:v>-1.7888660639488907E-6</c:v>
                </c:pt>
                <c:pt idx="8">
                  <c:v>-1.7007929469717402E-6</c:v>
                </c:pt>
                <c:pt idx="9">
                  <c:v>-1.0943328362165527E-5</c:v>
                </c:pt>
              </c:numCache>
            </c:numRef>
          </c:val>
          <c:extLst>
            <c:ext xmlns:c16="http://schemas.microsoft.com/office/drawing/2014/chart" uri="{C3380CC4-5D6E-409C-BE32-E72D297353CC}">
              <c16:uniqueId val="{00000000-CDCC-CA48-85C2-6143E30369D8}"/>
            </c:ext>
          </c:extLst>
        </c:ser>
        <c:dLbls>
          <c:showLegendKey val="0"/>
          <c:showVal val="0"/>
          <c:showCatName val="0"/>
          <c:showSerName val="0"/>
          <c:showPercent val="0"/>
          <c:showBubbleSize val="0"/>
        </c:dLbls>
        <c:axId val="-1639919120"/>
        <c:axId val="-1639916368"/>
      </c:areaChart>
      <c:lineChart>
        <c:grouping val="standard"/>
        <c:varyColors val="0"/>
        <c:ser>
          <c:idx val="2"/>
          <c:order val="2"/>
          <c:tx>
            <c:v>Line for Intervention Case</c:v>
          </c:tx>
          <c:spPr>
            <a:ln w="28575">
              <a:solidFill>
                <a:srgbClr val="C00000"/>
              </a:solidFill>
              <a:prstDash val="solid"/>
            </a:ln>
          </c:spPr>
          <c:marker>
            <c:symbol val="none"/>
          </c:marker>
          <c:val>
            <c:numRef>
              <c:f>[0]!addBioCCSENEintindexNFC</c:f>
              <c:numCache>
                <c:formatCode>0.00</c:formatCode>
                <c:ptCount val="10"/>
                <c:pt idx="0">
                  <c:v>0</c:v>
                </c:pt>
                <c:pt idx="1">
                  <c:v>-1.5869160381290072E-19</c:v>
                </c:pt>
                <c:pt idx="2">
                  <c:v>-6.5750639432063207E-11</c:v>
                </c:pt>
                <c:pt idx="3">
                  <c:v>-1.5004887000114507E-9</c:v>
                </c:pt>
                <c:pt idx="4">
                  <c:v>-3.1038984823993056E-6</c:v>
                </c:pt>
                <c:pt idx="5">
                  <c:v>-2.9085535117577036E-6</c:v>
                </c:pt>
                <c:pt idx="6">
                  <c:v>-2.3455215599126769E-6</c:v>
                </c:pt>
                <c:pt idx="7">
                  <c:v>-1.7888660639488907E-6</c:v>
                </c:pt>
                <c:pt idx="8">
                  <c:v>-1.7007929469717402E-6</c:v>
                </c:pt>
                <c:pt idx="9">
                  <c:v>-1.0943328362165527E-5</c:v>
                </c:pt>
              </c:numCache>
            </c:numRef>
          </c:val>
          <c:smooth val="0"/>
          <c:extLst>
            <c:ext xmlns:c16="http://schemas.microsoft.com/office/drawing/2014/chart" uri="{C3380CC4-5D6E-409C-BE32-E72D297353CC}">
              <c16:uniqueId val="{00000002-CDCC-CA48-85C2-6143E30369D8}"/>
            </c:ext>
          </c:extLst>
        </c:ser>
        <c:ser>
          <c:idx val="3"/>
          <c:order val="3"/>
          <c:marker>
            <c:symbol val="none"/>
          </c:marker>
          <c:val>
            <c:numRef>
              <c:f>[0]!attdummy</c:f>
              <c:numCache>
                <c:formatCode>0.00</c:formatCode>
                <c:ptCount val="10"/>
              </c:numCache>
            </c:numRef>
          </c:val>
          <c:smooth val="0"/>
          <c:extLst>
            <c:ext xmlns:c16="http://schemas.microsoft.com/office/drawing/2014/chart" uri="{C3380CC4-5D6E-409C-BE32-E72D297353CC}">
              <c16:uniqueId val="{00000000-6078-6B46-848E-DF2486470D1B}"/>
            </c:ext>
          </c:extLst>
        </c:ser>
        <c:dLbls>
          <c:showLegendKey val="0"/>
          <c:showVal val="0"/>
          <c:showCatName val="0"/>
          <c:showSerName val="0"/>
          <c:showPercent val="0"/>
          <c:showBubbleSize val="0"/>
        </c:dLbls>
        <c:marker val="1"/>
        <c:smooth val="0"/>
        <c:axId val="-1639919120"/>
        <c:axId val="-1639916368"/>
      </c:lineChart>
      <c:catAx>
        <c:axId val="-1639919120"/>
        <c:scaling>
          <c:orientation val="minMax"/>
        </c:scaling>
        <c:delete val="0"/>
        <c:axPos val="b"/>
        <c:numFmt formatCode="General" sourceLinked="1"/>
        <c:majorTickMark val="none"/>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39916368"/>
        <c:crosses val="autoZero"/>
        <c:auto val="1"/>
        <c:lblAlgn val="ctr"/>
        <c:lblOffset val="100"/>
        <c:tickLblSkip val="9"/>
        <c:tickMarkSkip val="1"/>
        <c:noMultiLvlLbl val="0"/>
      </c:catAx>
      <c:valAx>
        <c:axId val="-1639916368"/>
        <c:scaling>
          <c:orientation val="minMax"/>
          <c:max val="5"/>
          <c:min val="-1"/>
        </c:scaling>
        <c:delete val="0"/>
        <c:axPos val="l"/>
        <c:title>
          <c:tx>
            <c:rich>
              <a:bodyPr/>
              <a:lstStyle/>
              <a:p>
                <a:pPr>
                  <a:defRPr sz="800" b="0" i="0" u="none" strike="noStrike" baseline="0">
                    <a:solidFill>
                      <a:srgbClr val="000000"/>
                    </a:solidFill>
                    <a:latin typeface="Arial"/>
                    <a:ea typeface="Arial"/>
                    <a:cs typeface="Arial"/>
                  </a:defRPr>
                </a:pPr>
                <a:r>
                  <a:rPr lang="en-US"/>
                  <a:t>Net Fossil Carbon 2010=1</a:t>
                </a:r>
                <a:endParaRPr lang="en-US" baseline="0"/>
              </a:p>
            </c:rich>
          </c:tx>
          <c:layout>
            <c:manualLayout>
              <c:xMode val="edge"/>
              <c:yMode val="edge"/>
              <c:x val="4.0681229362458701E-2"/>
              <c:y val="0.25167585301837297"/>
            </c:manualLayout>
          </c:layout>
          <c:overlay val="0"/>
          <c:spPr>
            <a:noFill/>
            <a:ln w="25400">
              <a:noFill/>
            </a:ln>
          </c:spPr>
        </c:title>
        <c:numFmt formatCode="General" sourceLinked="0"/>
        <c:majorTickMark val="out"/>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39919120"/>
        <c:crosses val="autoZero"/>
        <c:crossBetween val="midCat"/>
        <c:majorUnit val="1"/>
        <c:minorUnit val="0.5"/>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 verticalDpi="1200"/>
  </c:printSettings>
  <c:userShapes r:id="rId1"/>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1154686309373"/>
          <c:y val="0.18121872265966699"/>
          <c:w val="0.60308001016002"/>
          <c:h val="0.67993967859280702"/>
        </c:manualLayout>
      </c:layout>
      <c:areaChart>
        <c:grouping val="stacked"/>
        <c:varyColors val="0"/>
        <c:ser>
          <c:idx val="2"/>
          <c:order val="1"/>
          <c:tx>
            <c:v>ref area</c:v>
          </c:tx>
          <c:spPr>
            <a:solidFill>
              <a:sysClr val="window" lastClr="FFFFFF"/>
            </a:solidFill>
            <a:ln>
              <a:noFill/>
            </a:ln>
          </c:spPr>
          <c:val>
            <c:numRef>
              <c:f>[0]!addNFCrefindex</c:f>
              <c:numCache>
                <c:formatCode>0.00</c:formatCode>
                <c:ptCount val="10"/>
                <c:pt idx="0">
                  <c:v>1</c:v>
                </c:pt>
                <c:pt idx="1">
                  <c:v>1.1944382323615648</c:v>
                </c:pt>
                <c:pt idx="2">
                  <c:v>1.3505345334848087</c:v>
                </c:pt>
                <c:pt idx="3">
                  <c:v>1.4639992403291631</c:v>
                </c:pt>
                <c:pt idx="4">
                  <c:v>1.5956225344243051</c:v>
                </c:pt>
                <c:pt idx="5">
                  <c:v>1.7595933100340084</c:v>
                </c:pt>
                <c:pt idx="6">
                  <c:v>1.8859903119031383</c:v>
                </c:pt>
                <c:pt idx="7">
                  <c:v>1.9889301829930526</c:v>
                </c:pt>
                <c:pt idx="8">
                  <c:v>2.1196107696185797</c:v>
                </c:pt>
                <c:pt idx="9">
                  <c:v>2.2729810176332168</c:v>
                </c:pt>
              </c:numCache>
            </c:numRef>
          </c:val>
          <c:extLst>
            <c:ext xmlns:c16="http://schemas.microsoft.com/office/drawing/2014/chart" uri="{C3380CC4-5D6E-409C-BE32-E72D297353CC}">
              <c16:uniqueId val="{00000000-16D8-4247-ACB7-D67B087591AA}"/>
            </c:ext>
          </c:extLst>
        </c:ser>
        <c:ser>
          <c:idx val="3"/>
          <c:order val="2"/>
          <c:tx>
            <c:v>int area</c:v>
          </c:tx>
          <c:spPr>
            <a:solidFill>
              <a:srgbClr val="A1F4FF"/>
            </a:solidFill>
            <a:ln>
              <a:solidFill>
                <a:schemeClr val="tx1"/>
              </a:solidFill>
            </a:ln>
          </c:spPr>
          <c:val>
            <c:numRef>
              <c:f>[0]!addNFCindexarea</c:f>
              <c:numCache>
                <c:formatCode>General</c:formatCode>
                <c:ptCount val="10"/>
                <c:pt idx="0">
                  <c:v>0</c:v>
                </c:pt>
                <c:pt idx="1">
                  <c:v>-0.24244412980856811</c:v>
                </c:pt>
                <c:pt idx="2">
                  <c:v>-0.73455668507318261</c:v>
                </c:pt>
                <c:pt idx="3">
                  <c:v>-1.1653607863686419</c:v>
                </c:pt>
                <c:pt idx="4">
                  <c:v>-1.4119574346905868</c:v>
                </c:pt>
                <c:pt idx="5">
                  <c:v>-1.6173261881268499</c:v>
                </c:pt>
                <c:pt idx="6">
                  <c:v>-1.7674203791539598</c:v>
                </c:pt>
                <c:pt idx="7">
                  <c:v>-1.8891889736352028</c:v>
                </c:pt>
                <c:pt idx="8">
                  <c:v>-2.0265932950231944</c:v>
                </c:pt>
                <c:pt idx="9">
                  <c:v>-2.1745055956728594</c:v>
                </c:pt>
              </c:numCache>
            </c:numRef>
          </c:val>
          <c:extLst>
            <c:ext xmlns:c16="http://schemas.microsoft.com/office/drawing/2014/chart" uri="{C3380CC4-5D6E-409C-BE32-E72D297353CC}">
              <c16:uniqueId val="{00000001-16D8-4247-ACB7-D67B087591AA}"/>
            </c:ext>
          </c:extLst>
        </c:ser>
        <c:dLbls>
          <c:showLegendKey val="0"/>
          <c:showVal val="0"/>
          <c:showCatName val="0"/>
          <c:showSerName val="0"/>
          <c:showPercent val="0"/>
          <c:showBubbleSize val="0"/>
        </c:dLbls>
        <c:axId val="-1639881760"/>
        <c:axId val="-1639879008"/>
      </c:areaChart>
      <c:lineChart>
        <c:grouping val="standard"/>
        <c:varyColors val="0"/>
        <c:ser>
          <c:idx val="1"/>
          <c:order val="0"/>
          <c:tx>
            <c:v>Intervention Case</c:v>
          </c:tx>
          <c:spPr>
            <a:ln w="25400">
              <a:solidFill>
                <a:srgbClr val="C00000"/>
              </a:solidFill>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[0]!addNFCintindex</c:f>
              <c:numCache>
                <c:formatCode>0.00</c:formatCode>
                <c:ptCount val="10"/>
                <c:pt idx="0">
                  <c:v>1</c:v>
                </c:pt>
                <c:pt idx="1">
                  <c:v>0.95199410255299666</c:v>
                </c:pt>
                <c:pt idx="2">
                  <c:v>0.61597784841162606</c:v>
                </c:pt>
                <c:pt idx="3">
                  <c:v>0.29863845396052124</c:v>
                </c:pt>
                <c:pt idx="4">
                  <c:v>0.18366509973371833</c:v>
                </c:pt>
                <c:pt idx="5">
                  <c:v>0.14226712190715854</c:v>
                </c:pt>
                <c:pt idx="6">
                  <c:v>0.11856993274917854</c:v>
                </c:pt>
                <c:pt idx="7">
                  <c:v>9.9741209357849775E-2</c:v>
                </c:pt>
                <c:pt idx="8">
                  <c:v>9.3017474595385161E-2</c:v>
                </c:pt>
                <c:pt idx="9">
                  <c:v>9.8475421960357579E-2</c:v>
                </c:pt>
              </c:numCache>
            </c:numRef>
          </c:val>
          <c:smooth val="0"/>
          <c:extLst>
            <c:ext xmlns:c16="http://schemas.microsoft.com/office/drawing/2014/chart" uri="{C3380CC4-5D6E-409C-BE32-E72D297353CC}">
              <c16:uniqueId val="{00000002-16D8-4247-ACB7-D67B087591AA}"/>
            </c:ext>
          </c:extLst>
        </c:ser>
        <c:ser>
          <c:idx val="0"/>
          <c:order val="3"/>
          <c:marker>
            <c:symbol val="none"/>
          </c:marker>
          <c:val>
            <c:numRef>
              <c:f>[0]!attdummy</c:f>
              <c:numCache>
                <c:formatCode>0.00</c:formatCode>
                <c:ptCount val="10"/>
              </c:numCache>
            </c:numRef>
          </c:val>
          <c:smooth val="0"/>
          <c:extLst>
            <c:ext xmlns:c16="http://schemas.microsoft.com/office/drawing/2014/chart" uri="{C3380CC4-5D6E-409C-BE32-E72D297353CC}">
              <c16:uniqueId val="{00000000-F073-0448-9C9A-27D8BF200E30}"/>
            </c:ext>
          </c:extLst>
        </c:ser>
        <c:dLbls>
          <c:showLegendKey val="0"/>
          <c:showVal val="0"/>
          <c:showCatName val="0"/>
          <c:showSerName val="0"/>
          <c:showPercent val="0"/>
          <c:showBubbleSize val="0"/>
        </c:dLbls>
        <c:marker val="1"/>
        <c:smooth val="0"/>
        <c:axId val="-1639881760"/>
        <c:axId val="-1639879008"/>
      </c:lineChart>
      <c:catAx>
        <c:axId val="-1639881760"/>
        <c:scaling>
          <c:orientation val="minMax"/>
        </c:scaling>
        <c:delete val="0"/>
        <c:axPos val="b"/>
        <c:numFmt formatCode="General" sourceLinked="1"/>
        <c:majorTickMark val="none"/>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39879008"/>
        <c:crosses val="autoZero"/>
        <c:auto val="1"/>
        <c:lblAlgn val="ctr"/>
        <c:lblOffset val="100"/>
        <c:tickLblSkip val="9"/>
        <c:tickMarkSkip val="1"/>
        <c:noMultiLvlLbl val="0"/>
      </c:catAx>
      <c:valAx>
        <c:axId val="-1639879008"/>
        <c:scaling>
          <c:orientation val="minMax"/>
          <c:max val="5"/>
          <c:min val="-1"/>
        </c:scaling>
        <c:delete val="0"/>
        <c:axPos val="l"/>
        <c:title>
          <c:tx>
            <c:rich>
              <a:bodyPr rot="-5400000" vert="horz"/>
              <a:lstStyle/>
              <a:p>
                <a:pPr>
                  <a:defRPr/>
                </a:pPr>
                <a:r>
                  <a:rPr lang="en-US" sz="800" b="0" i="0" baseline="0">
                    <a:effectLst/>
                  </a:rPr>
                  <a:t>Net Fossil Carbon 2010=1</a:t>
                </a:r>
                <a:endParaRPr lang="en-US" sz="800">
                  <a:effectLst/>
                </a:endParaRPr>
              </a:p>
            </c:rich>
          </c:tx>
          <c:overlay val="0"/>
        </c:title>
        <c:numFmt formatCode="General"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39881760"/>
        <c:crosses val="autoZero"/>
        <c:crossBetween val="midCat"/>
        <c:majorUnit val="1"/>
        <c:minorUnit val="0.5"/>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1200" verticalDpi="1200"/>
  </c:printSettings>
  <c:userShapes r:id="rId1"/>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5030929229059301"/>
          <c:y val="0.167922572178478"/>
          <c:w val="0.50742198434348196"/>
          <c:h val="0.64859755030621202"/>
        </c:manualLayout>
      </c:layout>
      <c:areaChart>
        <c:grouping val="stacked"/>
        <c:varyColors val="0"/>
        <c:ser>
          <c:idx val="1"/>
          <c:order val="0"/>
          <c:tx>
            <c:v>reference scenario area</c:v>
          </c:tx>
          <c:spPr>
            <a:noFill/>
            <a:ln w="12700">
              <a:noFill/>
              <a:prstDash val="solid"/>
            </a:ln>
          </c:spPr>
          <c:cat>
            <c:numRef>
              <c:f>'Ref Data'!$I$13:$Q$13</c:f>
              <c:numCache>
                <c:formatCode>General</c:formatCode>
                <c:ptCount val="9"/>
                <c:pt idx="0">
                  <c:v>2020</c:v>
                </c:pt>
                <c:pt idx="1">
                  <c:v>2030</c:v>
                </c:pt>
                <c:pt idx="2">
                  <c:v>2040</c:v>
                </c:pt>
                <c:pt idx="3">
                  <c:v>2050</c:v>
                </c:pt>
                <c:pt idx="4">
                  <c:v>2060</c:v>
                </c:pt>
                <c:pt idx="5">
                  <c:v>2070</c:v>
                </c:pt>
                <c:pt idx="6">
                  <c:v>2080</c:v>
                </c:pt>
                <c:pt idx="7">
                  <c:v>2090</c:v>
                </c:pt>
                <c:pt idx="8">
                  <c:v>2100</c:v>
                </c:pt>
              </c:numCache>
            </c:numRef>
          </c:cat>
          <c:val>
            <c:numRef>
              <c:f>AdditiveDashboardData!$F$64:$N$64</c:f>
              <c:numCache>
                <c:formatCode>0.00</c:formatCode>
                <c:ptCount val="9"/>
                <c:pt idx="0">
                  <c:v>59.417758403488818</c:v>
                </c:pt>
                <c:pt idx="1">
                  <c:v>67.23862214259195</c:v>
                </c:pt>
                <c:pt idx="2">
                  <c:v>71.948499230726156</c:v>
                </c:pt>
                <c:pt idx="3">
                  <c:v>75.999152605698796</c:v>
                </c:pt>
                <c:pt idx="4">
                  <c:v>77.881378225338594</c:v>
                </c:pt>
                <c:pt idx="5">
                  <c:v>81.691428510870239</c:v>
                </c:pt>
                <c:pt idx="6">
                  <c:v>86.039783157024075</c:v>
                </c:pt>
                <c:pt idx="7">
                  <c:v>90.072684504132255</c:v>
                </c:pt>
                <c:pt idx="8">
                  <c:v>95.672456960119973</c:v>
                </c:pt>
              </c:numCache>
            </c:numRef>
          </c:val>
          <c:extLst>
            <c:ext xmlns:c16="http://schemas.microsoft.com/office/drawing/2014/chart" uri="{C3380CC4-5D6E-409C-BE32-E72D297353CC}">
              <c16:uniqueId val="{00000000-A6E7-1F44-8A93-403BC901128B}"/>
            </c:ext>
          </c:extLst>
        </c:ser>
        <c:ser>
          <c:idx val="0"/>
          <c:order val="1"/>
          <c:tx>
            <c:v>Intervention scenario</c:v>
          </c:tx>
          <c:spPr>
            <a:solidFill>
              <a:srgbClr val="A1F4FF"/>
            </a:solidFill>
            <a:ln w="12700">
              <a:solidFill>
                <a:schemeClr val="tx1"/>
              </a:solidFill>
            </a:ln>
          </c:spPr>
          <c:cat>
            <c:numRef>
              <c:f>'Ref Data'!$I$13:$Q$13</c:f>
              <c:numCache>
                <c:formatCode>General</c:formatCode>
                <c:ptCount val="9"/>
                <c:pt idx="0">
                  <c:v>2020</c:v>
                </c:pt>
                <c:pt idx="1">
                  <c:v>2030</c:v>
                </c:pt>
                <c:pt idx="2">
                  <c:v>2040</c:v>
                </c:pt>
                <c:pt idx="3">
                  <c:v>2050</c:v>
                </c:pt>
                <c:pt idx="4">
                  <c:v>2060</c:v>
                </c:pt>
                <c:pt idx="5">
                  <c:v>2070</c:v>
                </c:pt>
                <c:pt idx="6">
                  <c:v>2080</c:v>
                </c:pt>
                <c:pt idx="7">
                  <c:v>2090</c:v>
                </c:pt>
                <c:pt idx="8">
                  <c:v>2100</c:v>
                </c:pt>
              </c:numCache>
            </c:numRef>
          </c:cat>
          <c:val>
            <c:numRef>
              <c:f>AdditiveDashboardData!$F$196:$N$196</c:f>
              <c:numCache>
                <c:formatCode>0.00</c:formatCode>
                <c:ptCount val="9"/>
                <c:pt idx="0">
                  <c:v>-13.072160312027037</c:v>
                </c:pt>
                <c:pt idx="1">
                  <c:v>-40.335942678593383</c:v>
                </c:pt>
                <c:pt idx="2">
                  <c:v>-59.933274573112321</c:v>
                </c:pt>
                <c:pt idx="3">
                  <c:v>-72.423150205089726</c:v>
                </c:pt>
                <c:pt idx="4">
                  <c:v>-76.171502860334243</c:v>
                </c:pt>
                <c:pt idx="5">
                  <c:v>-80.710006345530559</c:v>
                </c:pt>
                <c:pt idx="6">
                  <c:v>-83.725777484253953</c:v>
                </c:pt>
                <c:pt idx="7">
                  <c:v>-86.379215100530132</c:v>
                </c:pt>
                <c:pt idx="8">
                  <c:v>-91.077459277499003</c:v>
                </c:pt>
              </c:numCache>
            </c:numRef>
          </c:val>
          <c:extLst>
            <c:ext xmlns:c16="http://schemas.microsoft.com/office/drawing/2014/chart" uri="{C3380CC4-5D6E-409C-BE32-E72D297353CC}">
              <c16:uniqueId val="{00000001-A6E7-1F44-8A93-403BC901128B}"/>
            </c:ext>
          </c:extLst>
        </c:ser>
        <c:dLbls>
          <c:showLegendKey val="0"/>
          <c:showVal val="0"/>
          <c:showCatName val="0"/>
          <c:showSerName val="0"/>
          <c:showPercent val="0"/>
          <c:showBubbleSize val="0"/>
        </c:dLbls>
        <c:axId val="-1641695920"/>
        <c:axId val="-1641693168"/>
      </c:areaChart>
      <c:lineChart>
        <c:grouping val="standard"/>
        <c:varyColors val="0"/>
        <c:ser>
          <c:idx val="3"/>
          <c:order val="2"/>
          <c:marker>
            <c:symbol val="none"/>
          </c:marker>
          <c:val>
            <c:numRef>
              <c:f>TotalEmissions!$C$90:$K$90</c:f>
              <c:numCache>
                <c:formatCode>0.00</c:formatCode>
                <c:ptCount val="9"/>
              </c:numCache>
            </c:numRef>
          </c:val>
          <c:smooth val="0"/>
          <c:extLst>
            <c:ext xmlns:c16="http://schemas.microsoft.com/office/drawing/2014/chart" uri="{C3380CC4-5D6E-409C-BE32-E72D297353CC}">
              <c16:uniqueId val="{00000003-A6E7-1F44-8A93-403BC901128B}"/>
            </c:ext>
          </c:extLst>
        </c:ser>
        <c:dLbls>
          <c:showLegendKey val="0"/>
          <c:showVal val="0"/>
          <c:showCatName val="0"/>
          <c:showSerName val="0"/>
          <c:showPercent val="0"/>
          <c:showBubbleSize val="0"/>
        </c:dLbls>
        <c:marker val="1"/>
        <c:smooth val="0"/>
        <c:axId val="-1641695920"/>
        <c:axId val="-1641693168"/>
      </c:lineChart>
      <c:catAx>
        <c:axId val="-1641695920"/>
        <c:scaling>
          <c:orientation val="minMax"/>
        </c:scaling>
        <c:delete val="0"/>
        <c:axPos val="b"/>
        <c:numFmt formatCode="General" sourceLinked="1"/>
        <c:majorTickMark val="none"/>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1693168"/>
        <c:crosses val="autoZero"/>
        <c:auto val="1"/>
        <c:lblAlgn val="ctr"/>
        <c:lblOffset val="100"/>
        <c:tickLblSkip val="8"/>
        <c:tickMarkSkip val="1"/>
        <c:noMultiLvlLbl val="0"/>
      </c:catAx>
      <c:valAx>
        <c:axId val="-1641693168"/>
        <c:scaling>
          <c:orientation val="minMax"/>
          <c:max val="120"/>
          <c:min val="-20"/>
        </c:scaling>
        <c:delete val="0"/>
        <c:axPos val="l"/>
        <c:title>
          <c:tx>
            <c:rich>
              <a:bodyPr/>
              <a:lstStyle/>
              <a:p>
                <a:pPr>
                  <a:defRPr sz="800" b="0" i="0" u="none" strike="noStrike" baseline="0">
                    <a:solidFill>
                      <a:srgbClr val="000000"/>
                    </a:solidFill>
                    <a:latin typeface="Arial"/>
                    <a:ea typeface="Arial"/>
                    <a:cs typeface="Arial"/>
                  </a:defRPr>
                </a:pPr>
                <a:r>
                  <a:rPr lang="en-US" sz="1000" b="0" i="0" u="none" strike="noStrike" baseline="0">
                    <a:solidFill>
                      <a:srgbClr val="000000"/>
                    </a:solidFill>
                    <a:latin typeface="Arial"/>
                    <a:ea typeface="Arial"/>
                    <a:cs typeface="Arial"/>
                  </a:rPr>
                  <a:t>Gt CO2 equivalent/year</a:t>
                </a:r>
                <a:endParaRPr lang="en-US" sz="1000" b="0" i="0" u="none" strike="noStrike" baseline="0">
                  <a:solidFill>
                    <a:srgbClr val="FFFFFF"/>
                  </a:solidFill>
                  <a:latin typeface="Arial"/>
                  <a:ea typeface="Arial"/>
                  <a:cs typeface="Arial"/>
                </a:endParaRPr>
              </a:p>
            </c:rich>
          </c:tx>
          <c:layout>
            <c:manualLayout>
              <c:xMode val="edge"/>
              <c:yMode val="edge"/>
              <c:x val="0.10484556690475612"/>
              <c:y val="0.2429471696105554"/>
            </c:manualLayout>
          </c:layout>
          <c:overlay val="0"/>
          <c:spPr>
            <a:noFill/>
            <a:ln w="25400">
              <a:noFill/>
            </a:ln>
          </c:spPr>
        </c:title>
        <c:numFmt formatCode="0" sourceLinked="0"/>
        <c:majorTickMark val="out"/>
        <c:minorTickMark val="cross"/>
        <c:tickLblPos val="nextTo"/>
        <c:spPr>
          <a:ln w="3175">
            <a:noFill/>
            <a:prstDash val="solid"/>
          </a:ln>
        </c:spPr>
        <c:txPr>
          <a:bodyPr rot="0" vert="horz" lIns="0">
            <a:noAutofit/>
          </a:bodyPr>
          <a:lstStyle/>
          <a:p>
            <a:pPr>
              <a:defRPr sz="800" b="0" i="0" u="none" strike="noStrike" baseline="0">
                <a:solidFill>
                  <a:srgbClr val="000000"/>
                </a:solidFill>
                <a:latin typeface="Arial"/>
                <a:ea typeface="Arial"/>
                <a:cs typeface="Arial"/>
              </a:defRPr>
            </a:pPr>
            <a:endParaRPr lang="en-US"/>
          </a:p>
        </c:txPr>
        <c:crossAx val="-1641695920"/>
        <c:crosses val="autoZero"/>
        <c:crossBetween val="midCat"/>
        <c:majorUnit val="20"/>
        <c:minorUnit val="0.25"/>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 verticalDpi="1200"/>
  </c:printSettings>
  <c:userShapes r:id="rId1"/>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5030929229059301"/>
          <c:y val="0.167922572178478"/>
          <c:w val="0.50742198434348196"/>
          <c:h val="0.64859755030621202"/>
        </c:manualLayout>
      </c:layout>
      <c:areaChart>
        <c:grouping val="stacked"/>
        <c:varyColors val="0"/>
        <c:ser>
          <c:idx val="1"/>
          <c:order val="0"/>
          <c:tx>
            <c:v>reference scenario area</c:v>
          </c:tx>
          <c:spPr>
            <a:noFill/>
            <a:ln w="12700">
              <a:noFill/>
              <a:prstDash val="solid"/>
            </a:ln>
          </c:spPr>
          <c:cat>
            <c:numRef>
              <c:f>'Ref Data'!$I$13:$Q$13</c:f>
              <c:numCache>
                <c:formatCode>General</c:formatCode>
                <c:ptCount val="9"/>
                <c:pt idx="0">
                  <c:v>2020</c:v>
                </c:pt>
                <c:pt idx="1">
                  <c:v>2030</c:v>
                </c:pt>
                <c:pt idx="2">
                  <c:v>2040</c:v>
                </c:pt>
                <c:pt idx="3">
                  <c:v>2050</c:v>
                </c:pt>
                <c:pt idx="4">
                  <c:v>2060</c:v>
                </c:pt>
                <c:pt idx="5">
                  <c:v>2070</c:v>
                </c:pt>
                <c:pt idx="6">
                  <c:v>2080</c:v>
                </c:pt>
                <c:pt idx="7">
                  <c:v>2090</c:v>
                </c:pt>
                <c:pt idx="8">
                  <c:v>2100</c:v>
                </c:pt>
              </c:numCache>
            </c:numRef>
          </c:cat>
          <c:val>
            <c:numRef>
              <c:f>AdditiveDashboardData!$F$64:$N$64</c:f>
              <c:numCache>
                <c:formatCode>0.00</c:formatCode>
                <c:ptCount val="9"/>
                <c:pt idx="0">
                  <c:v>59.417758403488818</c:v>
                </c:pt>
                <c:pt idx="1">
                  <c:v>67.23862214259195</c:v>
                </c:pt>
                <c:pt idx="2">
                  <c:v>71.948499230726156</c:v>
                </c:pt>
                <c:pt idx="3">
                  <c:v>75.999152605698796</c:v>
                </c:pt>
                <c:pt idx="4">
                  <c:v>77.881378225338594</c:v>
                </c:pt>
                <c:pt idx="5">
                  <c:v>81.691428510870239</c:v>
                </c:pt>
                <c:pt idx="6">
                  <c:v>86.039783157024075</c:v>
                </c:pt>
                <c:pt idx="7">
                  <c:v>90.072684504132255</c:v>
                </c:pt>
                <c:pt idx="8">
                  <c:v>95.672456960119973</c:v>
                </c:pt>
              </c:numCache>
            </c:numRef>
          </c:val>
          <c:extLst>
            <c:ext xmlns:c16="http://schemas.microsoft.com/office/drawing/2014/chart" uri="{C3380CC4-5D6E-409C-BE32-E72D297353CC}">
              <c16:uniqueId val="{00000000-7CD5-A945-828C-21192947AC7E}"/>
            </c:ext>
          </c:extLst>
        </c:ser>
        <c:ser>
          <c:idx val="0"/>
          <c:order val="1"/>
          <c:tx>
            <c:v>Intervention scenario</c:v>
          </c:tx>
          <c:spPr>
            <a:solidFill>
              <a:srgbClr val="A1F4FF"/>
            </a:solidFill>
            <a:ln w="12700">
              <a:solidFill>
                <a:schemeClr val="tx1"/>
              </a:solidFill>
            </a:ln>
          </c:spPr>
          <c:cat>
            <c:numRef>
              <c:f>'Ref Data'!$I$13:$Q$13</c:f>
              <c:numCache>
                <c:formatCode>General</c:formatCode>
                <c:ptCount val="9"/>
                <c:pt idx="0">
                  <c:v>2020</c:v>
                </c:pt>
                <c:pt idx="1">
                  <c:v>2030</c:v>
                </c:pt>
                <c:pt idx="2">
                  <c:v>2040</c:v>
                </c:pt>
                <c:pt idx="3">
                  <c:v>2050</c:v>
                </c:pt>
                <c:pt idx="4">
                  <c:v>2060</c:v>
                </c:pt>
                <c:pt idx="5">
                  <c:v>2070</c:v>
                </c:pt>
                <c:pt idx="6">
                  <c:v>2080</c:v>
                </c:pt>
                <c:pt idx="7">
                  <c:v>2090</c:v>
                </c:pt>
                <c:pt idx="8">
                  <c:v>2100</c:v>
                </c:pt>
              </c:numCache>
            </c:numRef>
          </c:cat>
          <c:val>
            <c:numRef>
              <c:f>AdditiveDashboardData!$F$196:$N$196</c:f>
              <c:numCache>
                <c:formatCode>0.00</c:formatCode>
                <c:ptCount val="9"/>
                <c:pt idx="0">
                  <c:v>-13.072160312027037</c:v>
                </c:pt>
                <c:pt idx="1">
                  <c:v>-40.335942678593383</c:v>
                </c:pt>
                <c:pt idx="2">
                  <c:v>-59.933274573112321</c:v>
                </c:pt>
                <c:pt idx="3">
                  <c:v>-72.423150205089726</c:v>
                </c:pt>
                <c:pt idx="4">
                  <c:v>-76.171502860334243</c:v>
                </c:pt>
                <c:pt idx="5">
                  <c:v>-80.710006345530559</c:v>
                </c:pt>
                <c:pt idx="6">
                  <c:v>-83.725777484253953</c:v>
                </c:pt>
                <c:pt idx="7">
                  <c:v>-86.379215100530132</c:v>
                </c:pt>
                <c:pt idx="8">
                  <c:v>-91.077459277499003</c:v>
                </c:pt>
              </c:numCache>
            </c:numRef>
          </c:val>
          <c:extLst>
            <c:ext xmlns:c16="http://schemas.microsoft.com/office/drawing/2014/chart" uri="{C3380CC4-5D6E-409C-BE32-E72D297353CC}">
              <c16:uniqueId val="{00000001-7CD5-A945-828C-21192947AC7E}"/>
            </c:ext>
          </c:extLst>
        </c:ser>
        <c:dLbls>
          <c:showLegendKey val="0"/>
          <c:showVal val="0"/>
          <c:showCatName val="0"/>
          <c:showSerName val="0"/>
          <c:showPercent val="0"/>
          <c:showBubbleSize val="0"/>
        </c:dLbls>
        <c:axId val="-1641695920"/>
        <c:axId val="-1641693168"/>
      </c:areaChart>
      <c:lineChart>
        <c:grouping val="standard"/>
        <c:varyColors val="0"/>
        <c:ser>
          <c:idx val="2"/>
          <c:order val="2"/>
          <c:tx>
            <c:v>Intervention scenario Line</c:v>
          </c:tx>
          <c:spPr>
            <a:ln w="28575">
              <a:solidFill>
                <a:srgbClr val="C00000"/>
              </a:solidFill>
            </a:ln>
          </c:spPr>
          <c:marker>
            <c:symbol val="none"/>
          </c:marker>
          <c:val>
            <c:numRef>
              <c:f>AdditiveDashboardData!$F$141:$N$141</c:f>
              <c:numCache>
                <c:formatCode>0.00</c:formatCode>
                <c:ptCount val="9"/>
                <c:pt idx="0">
                  <c:v>46.345598091461781</c:v>
                </c:pt>
                <c:pt idx="1">
                  <c:v>26.902679463998567</c:v>
                </c:pt>
                <c:pt idx="2">
                  <c:v>12.015224657613837</c:v>
                </c:pt>
                <c:pt idx="3">
                  <c:v>3.5760024006090751</c:v>
                </c:pt>
                <c:pt idx="4">
                  <c:v>1.7098753650043528</c:v>
                </c:pt>
                <c:pt idx="5">
                  <c:v>0.98142216533967896</c:v>
                </c:pt>
                <c:pt idx="6">
                  <c:v>2.3140056727701244</c:v>
                </c:pt>
                <c:pt idx="7">
                  <c:v>3.6934694036021174</c:v>
                </c:pt>
                <c:pt idx="8">
                  <c:v>4.5949976826209697</c:v>
                </c:pt>
              </c:numCache>
            </c:numRef>
          </c:val>
          <c:smooth val="0"/>
          <c:extLst>
            <c:ext xmlns:c16="http://schemas.microsoft.com/office/drawing/2014/chart" uri="{C3380CC4-5D6E-409C-BE32-E72D297353CC}">
              <c16:uniqueId val="{00000002-7CD5-A945-828C-21192947AC7E}"/>
            </c:ext>
          </c:extLst>
        </c:ser>
        <c:ser>
          <c:idx val="3"/>
          <c:order val="3"/>
          <c:marker>
            <c:symbol val="none"/>
          </c:marker>
          <c:val>
            <c:numRef>
              <c:f>TotalEmissions!$C$90:$K$90</c:f>
              <c:numCache>
                <c:formatCode>0.00</c:formatCode>
                <c:ptCount val="9"/>
              </c:numCache>
            </c:numRef>
          </c:val>
          <c:smooth val="0"/>
          <c:extLst>
            <c:ext xmlns:c16="http://schemas.microsoft.com/office/drawing/2014/chart" uri="{C3380CC4-5D6E-409C-BE32-E72D297353CC}">
              <c16:uniqueId val="{00000003-7CD5-A945-828C-21192947AC7E}"/>
            </c:ext>
          </c:extLst>
        </c:ser>
        <c:dLbls>
          <c:showLegendKey val="0"/>
          <c:showVal val="0"/>
          <c:showCatName val="0"/>
          <c:showSerName val="0"/>
          <c:showPercent val="0"/>
          <c:showBubbleSize val="0"/>
        </c:dLbls>
        <c:marker val="1"/>
        <c:smooth val="0"/>
        <c:axId val="-1641695920"/>
        <c:axId val="-1641693168"/>
      </c:lineChart>
      <c:catAx>
        <c:axId val="-1641695920"/>
        <c:scaling>
          <c:orientation val="minMax"/>
        </c:scaling>
        <c:delete val="0"/>
        <c:axPos val="b"/>
        <c:numFmt formatCode="General" sourceLinked="1"/>
        <c:majorTickMark val="none"/>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1693168"/>
        <c:crosses val="autoZero"/>
        <c:auto val="1"/>
        <c:lblAlgn val="ctr"/>
        <c:lblOffset val="100"/>
        <c:tickLblSkip val="8"/>
        <c:tickMarkSkip val="1"/>
        <c:noMultiLvlLbl val="0"/>
      </c:catAx>
      <c:valAx>
        <c:axId val="-1641693168"/>
        <c:scaling>
          <c:orientation val="minMax"/>
          <c:max val="120"/>
          <c:min val="-20"/>
        </c:scaling>
        <c:delete val="0"/>
        <c:axPos val="l"/>
        <c:title>
          <c:tx>
            <c:rich>
              <a:bodyPr/>
              <a:lstStyle/>
              <a:p>
                <a:pPr>
                  <a:defRPr sz="1000" b="0" i="0" u="none" strike="noStrike" baseline="0">
                    <a:solidFill>
                      <a:srgbClr val="000000"/>
                    </a:solidFill>
                    <a:latin typeface="Arial"/>
                    <a:ea typeface="Arial"/>
                    <a:cs typeface="Arial"/>
                  </a:defRPr>
                </a:pPr>
                <a:r>
                  <a:rPr lang="en-US" sz="1000" b="0" i="0" u="none" strike="noStrike" baseline="0">
                    <a:solidFill>
                      <a:srgbClr val="000000"/>
                    </a:solidFill>
                    <a:latin typeface="Arial"/>
                    <a:ea typeface="Arial"/>
                    <a:cs typeface="Arial"/>
                  </a:rPr>
                  <a:t>Gt CO2 equivalent/year</a:t>
                </a:r>
                <a:endParaRPr lang="en-US" sz="1000" b="0" i="0" u="none" strike="noStrike" baseline="0">
                  <a:solidFill>
                    <a:srgbClr val="FFFFFF"/>
                  </a:solidFill>
                  <a:latin typeface="Arial"/>
                  <a:ea typeface="Arial"/>
                  <a:cs typeface="Arial"/>
                </a:endParaRPr>
              </a:p>
            </c:rich>
          </c:tx>
          <c:layout>
            <c:manualLayout>
              <c:xMode val="edge"/>
              <c:yMode val="edge"/>
              <c:x val="0.10454792288894924"/>
              <c:y val="0.23004914654124611"/>
            </c:manualLayout>
          </c:layout>
          <c:overlay val="0"/>
          <c:spPr>
            <a:noFill/>
            <a:ln w="25400">
              <a:noFill/>
            </a:ln>
          </c:spPr>
        </c:title>
        <c:numFmt formatCode="0" sourceLinked="0"/>
        <c:majorTickMark val="out"/>
        <c:minorTickMark val="cross"/>
        <c:tickLblPos val="nextTo"/>
        <c:spPr>
          <a:ln w="3175">
            <a:noFill/>
            <a:prstDash val="solid"/>
          </a:ln>
        </c:spPr>
        <c:txPr>
          <a:bodyPr rot="0" vert="horz" lIns="0">
            <a:noAutofit/>
          </a:bodyPr>
          <a:lstStyle/>
          <a:p>
            <a:pPr>
              <a:defRPr sz="800" b="0" i="0" u="none" strike="noStrike" baseline="0">
                <a:solidFill>
                  <a:srgbClr val="000000"/>
                </a:solidFill>
                <a:latin typeface="Arial"/>
                <a:ea typeface="Arial"/>
                <a:cs typeface="Arial"/>
              </a:defRPr>
            </a:pPr>
            <a:endParaRPr lang="en-US"/>
          </a:p>
        </c:txPr>
        <c:crossAx val="-1641695920"/>
        <c:crosses val="autoZero"/>
        <c:crossBetween val="midCat"/>
        <c:majorUnit val="20"/>
        <c:minorUnit val="0.25"/>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 verticalDpi="1200"/>
  </c:printSettings>
  <c:userShapes r:id="rId1"/>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680733438278398"/>
          <c:y val="0.16857305336832901"/>
          <c:w val="0.56610599952662"/>
          <c:h val="0.65088670166229201"/>
        </c:manualLayout>
      </c:layout>
      <c:areaChart>
        <c:grouping val="stacked"/>
        <c:varyColors val="0"/>
        <c:ser>
          <c:idx val="0"/>
          <c:order val="0"/>
          <c:tx>
            <c:v>Reference case</c:v>
          </c:tx>
          <c:spPr>
            <a:noFill/>
            <a:ln w="12700">
              <a:noFill/>
              <a:prstDash val="solid"/>
            </a:ln>
          </c:spPr>
          <c:val>
            <c:numRef>
              <c:f>[0]!addlanduseref</c:f>
              <c:numCache>
                <c:formatCode>0.00</c:formatCode>
                <c:ptCount val="10"/>
                <c:pt idx="0">
                  <c:v>3.5023383199999998</c:v>
                </c:pt>
                <c:pt idx="1">
                  <c:v>5.2124559640000001</c:v>
                </c:pt>
                <c:pt idx="2">
                  <c:v>6.2809146550000001</c:v>
                </c:pt>
                <c:pt idx="3">
                  <c:v>6.1783188640000004</c:v>
                </c:pt>
                <c:pt idx="4">
                  <c:v>5.0467978469999997</c:v>
                </c:pt>
                <c:pt idx="5">
                  <c:v>1.4353136990000002</c:v>
                </c:pt>
                <c:pt idx="6">
                  <c:v>0.72626427820000006</c:v>
                </c:pt>
                <c:pt idx="7">
                  <c:v>0.91421360279999997</c:v>
                </c:pt>
                <c:pt idx="8">
                  <c:v>-0.1154519071</c:v>
                </c:pt>
                <c:pt idx="9">
                  <c:v>-0.52666452530000007</c:v>
                </c:pt>
              </c:numCache>
            </c:numRef>
          </c:val>
          <c:extLst>
            <c:ext xmlns:c16="http://schemas.microsoft.com/office/drawing/2014/chart" uri="{C3380CC4-5D6E-409C-BE32-E72D297353CC}">
              <c16:uniqueId val="{00000000-F894-6F41-B589-D8DB40323AC8}"/>
            </c:ext>
          </c:extLst>
        </c:ser>
        <c:ser>
          <c:idx val="2"/>
          <c:order val="1"/>
          <c:tx>
            <c:v>intervention area</c:v>
          </c:tx>
          <c:spPr>
            <a:solidFill>
              <a:srgbClr val="A1F4FF"/>
            </a:solidFill>
            <a:ln w="12700">
              <a:solidFill>
                <a:schemeClr val="tx1"/>
              </a:solidFill>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[0]!addlandusearea</c:f>
              <c:numCache>
                <c:formatCode>0.00</c:formatCode>
                <c:ptCount val="10"/>
                <c:pt idx="0">
                  <c:v>0.1090670132115088</c:v>
                </c:pt>
                <c:pt idx="1">
                  <c:v>-1.7496614909113308</c:v>
                </c:pt>
                <c:pt idx="2">
                  <c:v>-7.8593399681791407</c:v>
                </c:pt>
                <c:pt idx="3">
                  <c:v>-10.785819278472463</c:v>
                </c:pt>
                <c:pt idx="4">
                  <c:v>-13.228038242455245</c:v>
                </c:pt>
                <c:pt idx="5">
                  <c:v>-9.3352603930491806</c:v>
                </c:pt>
                <c:pt idx="6">
                  <c:v>-8.2535747744595707</c:v>
                </c:pt>
                <c:pt idx="7">
                  <c:v>-6.3469625555535067</c:v>
                </c:pt>
                <c:pt idx="8">
                  <c:v>-3.1727031224163249</c:v>
                </c:pt>
                <c:pt idx="9">
                  <c:v>-1.2579886815285519</c:v>
                </c:pt>
              </c:numCache>
            </c:numRef>
          </c:val>
          <c:extLst>
            <c:ext xmlns:c16="http://schemas.microsoft.com/office/drawing/2014/chart" uri="{C3380CC4-5D6E-409C-BE32-E72D297353CC}">
              <c16:uniqueId val="{00000001-F894-6F41-B589-D8DB40323AC8}"/>
            </c:ext>
          </c:extLst>
        </c:ser>
        <c:dLbls>
          <c:showLegendKey val="0"/>
          <c:showVal val="0"/>
          <c:showCatName val="0"/>
          <c:showSerName val="0"/>
          <c:showPercent val="0"/>
          <c:showBubbleSize val="0"/>
        </c:dLbls>
        <c:axId val="-1641589040"/>
        <c:axId val="-1641586288"/>
      </c:areaChart>
      <c:lineChart>
        <c:grouping val="standard"/>
        <c:varyColors val="0"/>
        <c:ser>
          <c:idx val="1"/>
          <c:order val="2"/>
          <c:tx>
            <c:v>Intervention Case</c:v>
          </c:tx>
          <c:spPr>
            <a:ln w="28575">
              <a:solidFill>
                <a:srgbClr val="C00000"/>
              </a:solidFill>
              <a:prstDash val="solid"/>
            </a:ln>
          </c:spPr>
          <c:marker>
            <c:symbol val="none"/>
          </c:marker>
          <c:val>
            <c:numRef>
              <c:f>[0]!addlanduseint</c:f>
              <c:numCache>
                <c:formatCode>0.00</c:formatCode>
                <c:ptCount val="10"/>
                <c:pt idx="0">
                  <c:v>3.6114053332115086</c:v>
                </c:pt>
                <c:pt idx="1">
                  <c:v>3.4627944730886693</c:v>
                </c:pt>
                <c:pt idx="2">
                  <c:v>-1.5784253131791401</c:v>
                </c:pt>
                <c:pt idx="3">
                  <c:v>-4.6075004144724625</c:v>
                </c:pt>
                <c:pt idx="4">
                  <c:v>-8.1812403954552444</c:v>
                </c:pt>
                <c:pt idx="5">
                  <c:v>-7.8999466940491807</c:v>
                </c:pt>
                <c:pt idx="6">
                  <c:v>-7.5273104962595703</c:v>
                </c:pt>
                <c:pt idx="7">
                  <c:v>-5.4327489527535064</c:v>
                </c:pt>
                <c:pt idx="8">
                  <c:v>-3.2881550295163251</c:v>
                </c:pt>
                <c:pt idx="9">
                  <c:v>-1.7846532068285519</c:v>
                </c:pt>
              </c:numCache>
            </c:numRef>
          </c:val>
          <c:smooth val="0"/>
          <c:extLst>
            <c:ext xmlns:c16="http://schemas.microsoft.com/office/drawing/2014/chart" uri="{C3380CC4-5D6E-409C-BE32-E72D297353CC}">
              <c16:uniqueId val="{00000002-F894-6F41-B589-D8DB40323AC8}"/>
            </c:ext>
          </c:extLst>
        </c:ser>
        <c:ser>
          <c:idx val="3"/>
          <c:order val="3"/>
          <c:marker>
            <c:symbol val="none"/>
          </c:marker>
          <c:val>
            <c:numRef>
              <c:f>[0]!attdummy</c:f>
              <c:numCache>
                <c:formatCode>0.00</c:formatCode>
                <c:ptCount val="10"/>
              </c:numCache>
            </c:numRef>
          </c:val>
          <c:smooth val="0"/>
          <c:extLst>
            <c:ext xmlns:c16="http://schemas.microsoft.com/office/drawing/2014/chart" uri="{C3380CC4-5D6E-409C-BE32-E72D297353CC}">
              <c16:uniqueId val="{00000003-F894-6F41-B589-D8DB40323AC8}"/>
            </c:ext>
          </c:extLst>
        </c:ser>
        <c:dLbls>
          <c:showLegendKey val="0"/>
          <c:showVal val="0"/>
          <c:showCatName val="0"/>
          <c:showSerName val="0"/>
          <c:showPercent val="0"/>
          <c:showBubbleSize val="0"/>
        </c:dLbls>
        <c:marker val="1"/>
        <c:smooth val="0"/>
        <c:axId val="-1641589040"/>
        <c:axId val="-1641586288"/>
      </c:lineChart>
      <c:catAx>
        <c:axId val="-1641589040"/>
        <c:scaling>
          <c:orientation val="minMax"/>
        </c:scaling>
        <c:delete val="0"/>
        <c:axPos val="b"/>
        <c:numFmt formatCode="General" sourceLinked="1"/>
        <c:majorTickMark val="none"/>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1586288"/>
        <c:crosses val="autoZero"/>
        <c:auto val="1"/>
        <c:lblAlgn val="ctr"/>
        <c:lblOffset val="100"/>
        <c:tickLblSkip val="9"/>
        <c:tickMarkSkip val="1"/>
        <c:noMultiLvlLbl val="0"/>
      </c:catAx>
      <c:valAx>
        <c:axId val="-1641586288"/>
        <c:scaling>
          <c:orientation val="minMax"/>
          <c:max val="10"/>
          <c:min val="-10"/>
        </c:scaling>
        <c:delete val="0"/>
        <c:axPos val="l"/>
        <c:title>
          <c:tx>
            <c:rich>
              <a:bodyPr/>
              <a:lstStyle/>
              <a:p>
                <a:pPr>
                  <a:defRPr sz="800" b="0" i="0" u="none" strike="noStrike" baseline="0">
                    <a:solidFill>
                      <a:srgbClr val="000000"/>
                    </a:solidFill>
                    <a:latin typeface="Arial"/>
                    <a:ea typeface="Arial"/>
                    <a:cs typeface="Arial"/>
                  </a:defRPr>
                </a:pPr>
                <a:r>
                  <a:rPr lang="en-US" sz="800" b="0" i="0" baseline="0">
                    <a:effectLst/>
                  </a:rPr>
                  <a:t>Gt CO2/year</a:t>
                </a:r>
                <a:endParaRPr lang="en-US" sz="800">
                  <a:effectLst/>
                </a:endParaRPr>
              </a:p>
            </c:rich>
          </c:tx>
          <c:layout>
            <c:manualLayout>
              <c:xMode val="edge"/>
              <c:yMode val="edge"/>
              <c:x val="2.46431292862586E-3"/>
              <c:y val="0.32232064741907301"/>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1589040"/>
        <c:crosses val="autoZero"/>
        <c:crossBetween val="midCat"/>
        <c:majorUnit val="5"/>
        <c:minorUnit val="0.05"/>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 verticalDpi="1200"/>
  </c:printSettings>
  <c:userShapes r:id="rId1"/>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121005842011684"/>
          <c:y val="0.1595813648293963"/>
          <c:w val="0.60144780289560595"/>
          <c:h val="0.64714041994750604"/>
        </c:manualLayout>
      </c:layout>
      <c:areaChart>
        <c:grouping val="stacked"/>
        <c:varyColors val="0"/>
        <c:ser>
          <c:idx val="0"/>
          <c:order val="0"/>
          <c:tx>
            <c:v>Reference case</c:v>
          </c:tx>
          <c:spPr>
            <a:noFill/>
            <a:ln w="12700">
              <a:noFill/>
              <a:prstDash val="solid"/>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[0]!addIndref</c:f>
              <c:numCache>
                <c:formatCode>0.00</c:formatCode>
                <c:ptCount val="10"/>
                <c:pt idx="0">
                  <c:v>1.6196451683839161</c:v>
                </c:pt>
                <c:pt idx="1">
                  <c:v>1.8463895320892334</c:v>
                </c:pt>
                <c:pt idx="2">
                  <c:v>2.014854927857717</c:v>
                </c:pt>
                <c:pt idx="3">
                  <c:v>2.0971979300181069</c:v>
                </c:pt>
                <c:pt idx="4">
                  <c:v>2.2927681605021157</c:v>
                </c:pt>
                <c:pt idx="5">
                  <c:v>2.5351934035619097</c:v>
                </c:pt>
                <c:pt idx="6">
                  <c:v>2.6353624661763506</c:v>
                </c:pt>
                <c:pt idx="7">
                  <c:v>2.8851141730944314</c:v>
                </c:pt>
                <c:pt idx="8">
                  <c:v>3.3242319027582803</c:v>
                </c:pt>
                <c:pt idx="9">
                  <c:v>3.7146559556325274</c:v>
                </c:pt>
              </c:numCache>
            </c:numRef>
          </c:val>
          <c:extLst>
            <c:ext xmlns:c16="http://schemas.microsoft.com/office/drawing/2014/chart" uri="{C3380CC4-5D6E-409C-BE32-E72D297353CC}">
              <c16:uniqueId val="{00000000-265F-C241-940C-7A6D6ECBDE6A}"/>
            </c:ext>
          </c:extLst>
        </c:ser>
        <c:ser>
          <c:idx val="1"/>
          <c:order val="1"/>
          <c:tx>
            <c:v>Area for Intervention Case</c:v>
          </c:tx>
          <c:spPr>
            <a:solidFill>
              <a:srgbClr val="A1F4FF"/>
            </a:solidFill>
            <a:ln>
              <a:solidFill>
                <a:schemeClr val="tx1"/>
              </a:solidFill>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[0]!addIndarea</c:f>
              <c:numCache>
                <c:formatCode>General</c:formatCode>
                <c:ptCount val="10"/>
                <c:pt idx="0">
                  <c:v>-5.2692492802930424E-4</c:v>
                </c:pt>
                <c:pt idx="1">
                  <c:v>-0.23207018060687301</c:v>
                </c:pt>
                <c:pt idx="2">
                  <c:v>-0.25820298120379492</c:v>
                </c:pt>
                <c:pt idx="3">
                  <c:v>-0.29971102252602577</c:v>
                </c:pt>
                <c:pt idx="4">
                  <c:v>-0.61998470096538449</c:v>
                </c:pt>
                <c:pt idx="5">
                  <c:v>-1.0507345391767253</c:v>
                </c:pt>
                <c:pt idx="6">
                  <c:v>-0.93359315171862045</c:v>
                </c:pt>
                <c:pt idx="7">
                  <c:v>-0.89919762946859305</c:v>
                </c:pt>
                <c:pt idx="8">
                  <c:v>-1.4962827998873158</c:v>
                </c:pt>
                <c:pt idx="9">
                  <c:v>-2.3015856336375387</c:v>
                </c:pt>
              </c:numCache>
            </c:numRef>
          </c:val>
          <c:extLst>
            <c:ext xmlns:c16="http://schemas.microsoft.com/office/drawing/2014/chart" uri="{C3380CC4-5D6E-409C-BE32-E72D297353CC}">
              <c16:uniqueId val="{00000001-265F-C241-940C-7A6D6ECBDE6A}"/>
            </c:ext>
          </c:extLst>
        </c:ser>
        <c:dLbls>
          <c:showLegendKey val="0"/>
          <c:showVal val="0"/>
          <c:showCatName val="0"/>
          <c:showSerName val="0"/>
          <c:showPercent val="0"/>
          <c:showBubbleSize val="0"/>
        </c:dLbls>
        <c:axId val="-1641634080"/>
        <c:axId val="-1641631328"/>
      </c:areaChart>
      <c:lineChart>
        <c:grouping val="standard"/>
        <c:varyColors val="0"/>
        <c:ser>
          <c:idx val="2"/>
          <c:order val="2"/>
          <c:tx>
            <c:v>Line for Intervention Case</c:v>
          </c:tx>
          <c:spPr>
            <a:ln w="25400">
              <a:solidFill>
                <a:srgbClr val="DD0806"/>
              </a:solidFill>
              <a:prstDash val="solid"/>
            </a:ln>
          </c:spPr>
          <c:marker>
            <c:symbol val="none"/>
          </c:marker>
          <c:val>
            <c:numRef>
              <c:f>[0]!addIndint</c:f>
              <c:numCache>
                <c:formatCode>0.00</c:formatCode>
                <c:ptCount val="10"/>
                <c:pt idx="0">
                  <c:v>1.6191182434558868</c:v>
                </c:pt>
                <c:pt idx="1">
                  <c:v>1.6143193514823604</c:v>
                </c:pt>
                <c:pt idx="2">
                  <c:v>1.7566519466539221</c:v>
                </c:pt>
                <c:pt idx="3">
                  <c:v>1.7974869074920812</c:v>
                </c:pt>
                <c:pt idx="4">
                  <c:v>1.6727834595367312</c:v>
                </c:pt>
                <c:pt idx="5">
                  <c:v>1.4844588643851844</c:v>
                </c:pt>
                <c:pt idx="6">
                  <c:v>1.7017693144577302</c:v>
                </c:pt>
                <c:pt idx="7">
                  <c:v>1.9859165436258384</c:v>
                </c:pt>
                <c:pt idx="8">
                  <c:v>1.8279491028709645</c:v>
                </c:pt>
                <c:pt idx="9">
                  <c:v>1.4130703219949887</c:v>
                </c:pt>
              </c:numCache>
            </c:numRef>
          </c:val>
          <c:smooth val="0"/>
          <c:extLst>
            <c:ext xmlns:c16="http://schemas.microsoft.com/office/drawing/2014/chart" uri="{C3380CC4-5D6E-409C-BE32-E72D297353CC}">
              <c16:uniqueId val="{00000002-265F-C241-940C-7A6D6ECBDE6A}"/>
            </c:ext>
          </c:extLst>
        </c:ser>
        <c:ser>
          <c:idx val="3"/>
          <c:order val="3"/>
          <c:marker>
            <c:symbol val="none"/>
          </c:marker>
          <c:val>
            <c:numRef>
              <c:f>[0]!attdummy</c:f>
              <c:numCache>
                <c:formatCode>0.00</c:formatCode>
                <c:ptCount val="10"/>
              </c:numCache>
            </c:numRef>
          </c:val>
          <c:smooth val="0"/>
          <c:extLst>
            <c:ext xmlns:c16="http://schemas.microsoft.com/office/drawing/2014/chart" uri="{C3380CC4-5D6E-409C-BE32-E72D297353CC}">
              <c16:uniqueId val="{00000003-265F-C241-940C-7A6D6ECBDE6A}"/>
            </c:ext>
          </c:extLst>
        </c:ser>
        <c:dLbls>
          <c:showLegendKey val="0"/>
          <c:showVal val="0"/>
          <c:showCatName val="0"/>
          <c:showSerName val="0"/>
          <c:showPercent val="0"/>
          <c:showBubbleSize val="0"/>
        </c:dLbls>
        <c:marker val="1"/>
        <c:smooth val="0"/>
        <c:axId val="-1641634080"/>
        <c:axId val="-1641631328"/>
      </c:lineChart>
      <c:catAx>
        <c:axId val="-1641634080"/>
        <c:scaling>
          <c:orientation val="minMax"/>
        </c:scaling>
        <c:delete val="0"/>
        <c:axPos val="b"/>
        <c:numFmt formatCode="General" sourceLinked="1"/>
        <c:majorTickMark val="none"/>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1631328"/>
        <c:crosses val="autoZero"/>
        <c:auto val="1"/>
        <c:lblAlgn val="ctr"/>
        <c:lblOffset val="100"/>
        <c:tickLblSkip val="9"/>
        <c:tickMarkSkip val="1"/>
        <c:noMultiLvlLbl val="0"/>
      </c:catAx>
      <c:valAx>
        <c:axId val="-1641631328"/>
        <c:scaling>
          <c:orientation val="minMax"/>
          <c:max val="5"/>
          <c:min val="0"/>
        </c:scaling>
        <c:delete val="0"/>
        <c:axPos val="l"/>
        <c:title>
          <c:tx>
            <c:rich>
              <a:bodyPr rot="-5400000" vert="horz"/>
              <a:lstStyle/>
              <a:p>
                <a:pPr>
                  <a:defRPr sz="800" b="0" i="0" u="none" strike="noStrike" baseline="0">
                    <a:solidFill>
                      <a:srgbClr val="000000"/>
                    </a:solidFill>
                    <a:latin typeface="Arial"/>
                    <a:ea typeface="Arial"/>
                    <a:cs typeface="Arial"/>
                  </a:defRPr>
                </a:pPr>
                <a:r>
                  <a:rPr lang="en-US" sz="800" b="0" i="0" baseline="0">
                    <a:effectLst/>
                  </a:rPr>
                  <a:t>Gt CO2/year</a:t>
                </a:r>
                <a:endParaRPr lang="en-US" sz="800">
                  <a:effectLst/>
                </a:endParaRPr>
              </a:p>
            </c:rich>
          </c:tx>
          <c:layout>
            <c:manualLayout>
              <c:xMode val="edge"/>
              <c:yMode val="edge"/>
              <c:x val="2.1066802133604301E-3"/>
              <c:y val="0.3330039370078740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1634080"/>
        <c:crosses val="autoZero"/>
        <c:crossBetween val="midCat"/>
        <c:majorUnit val="1"/>
      </c:valAx>
      <c:spPr>
        <a:noFill/>
        <a:ln w="12700">
          <a:solidFill>
            <a:schemeClr val="tx1"/>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 verticalDpi="1200"/>
  </c:printSettings>
  <c:userShapes r:id="rId1"/>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5867952225976859"/>
          <c:y val="0.11195669291338581"/>
          <c:w val="0.553914783315134"/>
          <c:h val="0.64275415573053396"/>
        </c:manualLayout>
      </c:layout>
      <c:areaChart>
        <c:grouping val="stacked"/>
        <c:varyColors val="0"/>
        <c:ser>
          <c:idx val="2"/>
          <c:order val="0"/>
          <c:tx>
            <c:v>Reference case</c:v>
          </c:tx>
          <c:spPr>
            <a:noFill/>
            <a:ln w="12700">
              <a:noFill/>
              <a:prstDash val="solid"/>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[0]!addotherref</c:f>
              <c:numCache>
                <c:formatCode>0.00</c:formatCode>
                <c:ptCount val="10"/>
                <c:pt idx="0">
                  <c:v>13.334865283349865</c:v>
                </c:pt>
                <c:pt idx="1">
                  <c:v>15.939739666737964</c:v>
                </c:pt>
                <c:pt idx="2">
                  <c:v>17.764204882630548</c:v>
                </c:pt>
                <c:pt idx="3">
                  <c:v>19.034724456361367</c:v>
                </c:pt>
                <c:pt idx="4">
                  <c:v>20.008051564016991</c:v>
                </c:pt>
                <c:pt idx="5">
                  <c:v>20.259763970473617</c:v>
                </c:pt>
                <c:pt idx="6">
                  <c:v>20.824770498691962</c:v>
                </c:pt>
                <c:pt idx="7">
                  <c:v>21.596722674423901</c:v>
                </c:pt>
                <c:pt idx="8">
                  <c:v>22.235638491831704</c:v>
                </c:pt>
                <c:pt idx="9">
                  <c:v>23.179844151206744</c:v>
                </c:pt>
              </c:numCache>
            </c:numRef>
          </c:val>
          <c:extLst>
            <c:ext xmlns:c16="http://schemas.microsoft.com/office/drawing/2014/chart" uri="{C3380CC4-5D6E-409C-BE32-E72D297353CC}">
              <c16:uniqueId val="{00000000-28E4-274A-B91B-C6D5D94D75D9}"/>
            </c:ext>
          </c:extLst>
        </c:ser>
        <c:ser>
          <c:idx val="1"/>
          <c:order val="2"/>
          <c:tx>
            <c:v>Area for Intervention case</c:v>
          </c:tx>
          <c:spPr>
            <a:solidFill>
              <a:srgbClr val="A1F4FF"/>
            </a:solidFill>
            <a:ln>
              <a:solidFill>
                <a:schemeClr val="tx1"/>
              </a:solidFill>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[0]!addotherarea</c:f>
              <c:numCache>
                <c:formatCode>0.00</c:formatCode>
                <c:ptCount val="10"/>
                <c:pt idx="0">
                  <c:v>4.0720318020291302E-2</c:v>
                </c:pt>
                <c:pt idx="1">
                  <c:v>-3.8002231618406217</c:v>
                </c:pt>
                <c:pt idx="2">
                  <c:v>-9.8873466311676346</c:v>
                </c:pt>
                <c:pt idx="3">
                  <c:v>-13.347179299554213</c:v>
                </c:pt>
                <c:pt idx="4">
                  <c:v>-15.543253797084741</c:v>
                </c:pt>
                <c:pt idx="5">
                  <c:v>-16.48737940269227</c:v>
                </c:pt>
                <c:pt idx="6">
                  <c:v>-17.645720030540616</c:v>
                </c:pt>
                <c:pt idx="7">
                  <c:v>-18.887696088942835</c:v>
                </c:pt>
                <c:pt idx="8">
                  <c:v>-19.928045550938933</c:v>
                </c:pt>
                <c:pt idx="9">
                  <c:v>-21.22606558856636</c:v>
                </c:pt>
              </c:numCache>
            </c:numRef>
          </c:val>
          <c:extLst>
            <c:ext xmlns:c16="http://schemas.microsoft.com/office/drawing/2014/chart" uri="{C3380CC4-5D6E-409C-BE32-E72D297353CC}">
              <c16:uniqueId val="{00000001-28E4-274A-B91B-C6D5D94D75D9}"/>
            </c:ext>
          </c:extLst>
        </c:ser>
        <c:dLbls>
          <c:showLegendKey val="0"/>
          <c:showVal val="0"/>
          <c:showCatName val="0"/>
          <c:showSerName val="0"/>
          <c:showPercent val="0"/>
          <c:showBubbleSize val="0"/>
        </c:dLbls>
        <c:axId val="-1641665440"/>
        <c:axId val="-1641662688"/>
      </c:areaChart>
      <c:lineChart>
        <c:grouping val="standard"/>
        <c:varyColors val="0"/>
        <c:ser>
          <c:idx val="0"/>
          <c:order val="1"/>
          <c:tx>
            <c:v>Line for Intervention Case</c:v>
          </c:tx>
          <c:spPr>
            <a:ln w="28575">
              <a:solidFill>
                <a:srgbClr val="C00000"/>
              </a:solidFill>
              <a:prstDash val="solid"/>
            </a:ln>
          </c:spPr>
          <c:marker>
            <c:symbol val="none"/>
          </c:marker>
          <c:val>
            <c:numRef>
              <c:f>[0]!addotherint</c:f>
              <c:numCache>
                <c:formatCode>0.00</c:formatCode>
                <c:ptCount val="10"/>
                <c:pt idx="0">
                  <c:v>13.375585601370156</c:v>
                </c:pt>
                <c:pt idx="1">
                  <c:v>12.139516504897342</c:v>
                </c:pt>
                <c:pt idx="2">
                  <c:v>7.876858251462914</c:v>
                </c:pt>
                <c:pt idx="3">
                  <c:v>5.6875451568071531</c:v>
                </c:pt>
                <c:pt idx="4">
                  <c:v>4.4647977669322501</c:v>
                </c:pt>
                <c:pt idx="5">
                  <c:v>3.7723845677813461</c:v>
                </c:pt>
                <c:pt idx="6">
                  <c:v>3.179050468151345</c:v>
                </c:pt>
                <c:pt idx="7">
                  <c:v>2.7090265854810647</c:v>
                </c:pt>
                <c:pt idx="8">
                  <c:v>2.3075929408927731</c:v>
                </c:pt>
                <c:pt idx="9">
                  <c:v>1.9537785626403839</c:v>
                </c:pt>
              </c:numCache>
            </c:numRef>
          </c:val>
          <c:smooth val="0"/>
          <c:extLst>
            <c:ext xmlns:c16="http://schemas.microsoft.com/office/drawing/2014/chart" uri="{C3380CC4-5D6E-409C-BE32-E72D297353CC}">
              <c16:uniqueId val="{00000002-28E4-274A-B91B-C6D5D94D75D9}"/>
            </c:ext>
          </c:extLst>
        </c:ser>
        <c:ser>
          <c:idx val="3"/>
          <c:order val="3"/>
          <c:marker>
            <c:symbol val="none"/>
          </c:marker>
          <c:val>
            <c:numRef>
              <c:f>[0]!attdummy</c:f>
              <c:numCache>
                <c:formatCode>0.00</c:formatCode>
                <c:ptCount val="10"/>
              </c:numCache>
            </c:numRef>
          </c:val>
          <c:smooth val="0"/>
          <c:extLst>
            <c:ext xmlns:c16="http://schemas.microsoft.com/office/drawing/2014/chart" uri="{C3380CC4-5D6E-409C-BE32-E72D297353CC}">
              <c16:uniqueId val="{00000003-28E4-274A-B91B-C6D5D94D75D9}"/>
            </c:ext>
          </c:extLst>
        </c:ser>
        <c:dLbls>
          <c:showLegendKey val="0"/>
          <c:showVal val="0"/>
          <c:showCatName val="0"/>
          <c:showSerName val="0"/>
          <c:showPercent val="0"/>
          <c:showBubbleSize val="0"/>
        </c:dLbls>
        <c:marker val="1"/>
        <c:smooth val="0"/>
        <c:axId val="-1641665440"/>
        <c:axId val="-1641662688"/>
      </c:lineChart>
      <c:catAx>
        <c:axId val="-1641665440"/>
        <c:scaling>
          <c:orientation val="minMax"/>
        </c:scaling>
        <c:delete val="0"/>
        <c:axPos val="b"/>
        <c:numFmt formatCode="General" sourceLinked="1"/>
        <c:majorTickMark val="none"/>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1662688"/>
        <c:crosses val="autoZero"/>
        <c:auto val="1"/>
        <c:lblAlgn val="ctr"/>
        <c:lblOffset val="100"/>
        <c:tickLblSkip val="9"/>
        <c:tickMarkSkip val="1"/>
        <c:noMultiLvlLbl val="0"/>
      </c:catAx>
      <c:valAx>
        <c:axId val="-1641662688"/>
        <c:scaling>
          <c:orientation val="minMax"/>
          <c:max val="30"/>
          <c:min val="0"/>
        </c:scaling>
        <c:delete val="0"/>
        <c:axPos val="l"/>
        <c:title>
          <c:tx>
            <c:rich>
              <a:bodyPr/>
              <a:lstStyle/>
              <a:p>
                <a:pPr>
                  <a:defRPr sz="800" b="0" i="0" u="none" strike="noStrike" baseline="0">
                    <a:solidFill>
                      <a:srgbClr val="000000"/>
                    </a:solidFill>
                    <a:latin typeface="Arial"/>
                    <a:ea typeface="Arial"/>
                    <a:cs typeface="Arial"/>
                  </a:defRPr>
                </a:pPr>
                <a:r>
                  <a:rPr lang="en-US" sz="800" b="0" i="0" baseline="0">
                    <a:effectLst/>
                  </a:rPr>
                  <a:t>Gt CO2 equivalent/year</a:t>
                </a:r>
                <a:endParaRPr lang="en-US" sz="800">
                  <a:effectLst/>
                </a:endParaRPr>
              </a:p>
            </c:rich>
          </c:tx>
          <c:layout>
            <c:manualLayout>
              <c:xMode val="edge"/>
              <c:yMode val="edge"/>
              <c:x val="4.52871321656408E-2"/>
              <c:y val="0.2362318460192479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1665440"/>
        <c:crosses val="autoZero"/>
        <c:crossBetween val="midCat"/>
        <c:majorUnit val="10"/>
        <c:minorUnit val="9.73512470242269E-2"/>
      </c:valAx>
      <c:spPr>
        <a:noFill/>
        <a:ln w="12700">
          <a:solidFill>
            <a:schemeClr val="tx1"/>
          </a:solidFill>
          <a:prstDash val="solid"/>
        </a:ln>
      </c:spPr>
    </c:plotArea>
    <c:plotVisOnly val="1"/>
    <c:dispBlanksAs val="span"/>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userShapes r:id="rId1"/>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3957468726078665"/>
          <c:y val="7.6686922015478623E-2"/>
          <c:w val="0.76243862789495509"/>
          <c:h val="0.81701912116355413"/>
        </c:manualLayout>
      </c:layout>
      <c:lineChart>
        <c:grouping val="standard"/>
        <c:varyColors val="0"/>
        <c:ser>
          <c:idx val="3"/>
          <c:order val="0"/>
          <c:tx>
            <c:v>NFC - biomass CCS</c:v>
          </c:tx>
          <c:spPr>
            <a:ln>
              <a:solidFill>
                <a:srgbClr val="008000"/>
              </a:solidFill>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[0]!NFClessbiomass</c:f>
              <c:numCache>
                <c:formatCode>0.00</c:formatCode>
                <c:ptCount val="10"/>
                <c:pt idx="0">
                  <c:v>30.597844759623207</c:v>
                </c:pt>
                <c:pt idx="1">
                  <c:v>29.128967761993408</c:v>
                </c:pt>
                <c:pt idx="2">
                  <c:v>18.847594579060875</c:v>
                </c:pt>
                <c:pt idx="3">
                  <c:v>9.1376930077870657</c:v>
                </c:pt>
                <c:pt idx="4">
                  <c:v>5.6196615695953378</c:v>
                </c:pt>
                <c:pt idx="5">
                  <c:v>4.3529786268870021</c:v>
                </c:pt>
                <c:pt idx="6">
                  <c:v>3.6279128789901738</c:v>
                </c:pt>
                <c:pt idx="7">
                  <c:v>3.0518114964167276</c:v>
                </c:pt>
                <c:pt idx="8">
                  <c:v>2.8460823893547054</c:v>
                </c:pt>
                <c:pt idx="9">
                  <c:v>3.0128020048141484</c:v>
                </c:pt>
              </c:numCache>
            </c:numRef>
          </c:val>
          <c:smooth val="0"/>
          <c:extLst>
            <c:ext xmlns:c16="http://schemas.microsoft.com/office/drawing/2014/chart" uri="{C3380CC4-5D6E-409C-BE32-E72D297353CC}">
              <c16:uniqueId val="{00000000-6727-F140-9F59-BD7EC4F47160}"/>
            </c:ext>
          </c:extLst>
        </c:ser>
        <c:ser>
          <c:idx val="0"/>
          <c:order val="1"/>
          <c:tx>
            <c:v>TFC mitigation</c:v>
          </c:tx>
          <c:spPr>
            <a:ln w="28575" cmpd="sng">
              <a:solidFill>
                <a:srgbClr val="FF173B"/>
              </a:solidFill>
              <a:prstDash val="solid"/>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[0]!TFCInt</c:f>
              <c:numCache>
                <c:formatCode>0.00</c:formatCode>
                <c:ptCount val="10"/>
                <c:pt idx="0">
                  <c:v>30.597844759623207</c:v>
                </c:pt>
                <c:pt idx="1">
                  <c:v>29.161800941032769</c:v>
                </c:pt>
                <c:pt idx="2">
                  <c:v>20.091002070361231</c:v>
                </c:pt>
                <c:pt idx="3">
                  <c:v>11.593017093757814</c:v>
                </c:pt>
                <c:pt idx="4">
                  <c:v>8.6600643836103455</c:v>
                </c:pt>
                <c:pt idx="5">
                  <c:v>8.6805488826504753</c:v>
                </c:pt>
                <c:pt idx="6">
                  <c:v>9.8485060316993565</c:v>
                </c:pt>
                <c:pt idx="7">
                  <c:v>9.2906069114295438</c:v>
                </c:pt>
                <c:pt idx="8">
                  <c:v>8.467504496662249</c:v>
                </c:pt>
                <c:pt idx="9">
                  <c:v>8.7336414129762421</c:v>
                </c:pt>
              </c:numCache>
            </c:numRef>
          </c:val>
          <c:smooth val="0"/>
          <c:extLst>
            <c:ext xmlns:c16="http://schemas.microsoft.com/office/drawing/2014/chart" uri="{C3380CC4-5D6E-409C-BE32-E72D297353CC}">
              <c16:uniqueId val="{00000001-6727-F140-9F59-BD7EC4F47160}"/>
            </c:ext>
          </c:extLst>
        </c:ser>
        <c:ser>
          <c:idx val="2"/>
          <c:order val="2"/>
          <c:tx>
            <c:v>Fossil CCS</c:v>
          </c:tx>
          <c:spPr>
            <a:ln w="28575" cmpd="sng">
              <a:solidFill>
                <a:srgbClr val="3366FF"/>
              </a:solidFill>
              <a:prstDash val="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[0]!fossilCCSInt</c:f>
              <c:numCache>
                <c:formatCode>0.00</c:formatCode>
                <c:ptCount val="10"/>
                <c:pt idx="0">
                  <c:v>0</c:v>
                </c:pt>
                <c:pt idx="1">
                  <c:v>-3.2833179039359776E-2</c:v>
                </c:pt>
                <c:pt idx="2">
                  <c:v>-1.24340748929558</c:v>
                </c:pt>
                <c:pt idx="3">
                  <c:v>-2.4553240402199017</c:v>
                </c:pt>
                <c:pt idx="4">
                  <c:v>-3.0403081741973175</c:v>
                </c:pt>
                <c:pt idx="5">
                  <c:v>-4.3274815721368487</c:v>
                </c:pt>
                <c:pt idx="6">
                  <c:v>-6.2205216362810276</c:v>
                </c:pt>
                <c:pt idx="7">
                  <c:v>-6.2387408713609798</c:v>
                </c:pt>
                <c:pt idx="8">
                  <c:v>-5.6213702490604573</c:v>
                </c:pt>
                <c:pt idx="9">
                  <c:v>-5.7205057391948309</c:v>
                </c:pt>
              </c:numCache>
            </c:numRef>
          </c:val>
          <c:smooth val="0"/>
          <c:extLst>
            <c:ext xmlns:c16="http://schemas.microsoft.com/office/drawing/2014/chart" uri="{C3380CC4-5D6E-409C-BE32-E72D297353CC}">
              <c16:uniqueId val="{00000002-6727-F140-9F59-BD7EC4F47160}"/>
            </c:ext>
          </c:extLst>
        </c:ser>
        <c:ser>
          <c:idx val="1"/>
          <c:order val="3"/>
          <c:tx>
            <c:v>Biomass CCS</c:v>
          </c:tx>
          <c:spPr>
            <a:ln>
              <a:solidFill>
                <a:srgbClr val="70AD47"/>
              </a:solidFill>
              <a:prstDash val="dash"/>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[0]!biomassCCSint</c:f>
              <c:numCache>
                <c:formatCode>0.00</c:formatCode>
                <c:ptCount val="10"/>
                <c:pt idx="0">
                  <c:v>0</c:v>
                </c:pt>
                <c:pt idx="1">
                  <c:v>-4.8386068484041956E-18</c:v>
                </c:pt>
                <c:pt idx="2">
                  <c:v>-2.004778366333915E-9</c:v>
                </c:pt>
                <c:pt idx="3">
                  <c:v>-4.5750844565087794E-8</c:v>
                </c:pt>
                <c:pt idx="4">
                  <c:v>-9.4639817689382689E-5</c:v>
                </c:pt>
                <c:pt idx="5">
                  <c:v>-8.8683626624213473E-5</c:v>
                </c:pt>
                <c:pt idx="6">
                  <c:v>-7.1516428154912618E-5</c:v>
                </c:pt>
                <c:pt idx="7">
                  <c:v>-5.4543651837472375E-5</c:v>
                </c:pt>
                <c:pt idx="8">
                  <c:v>-5.1858247085571442E-5</c:v>
                </c:pt>
                <c:pt idx="9">
                  <c:v>-3.3366896726268652E-4</c:v>
                </c:pt>
              </c:numCache>
            </c:numRef>
          </c:val>
          <c:smooth val="0"/>
          <c:extLst>
            <c:ext xmlns:c16="http://schemas.microsoft.com/office/drawing/2014/chart" uri="{C3380CC4-5D6E-409C-BE32-E72D297353CC}">
              <c16:uniqueId val="{00000003-6727-F140-9F59-BD7EC4F47160}"/>
            </c:ext>
          </c:extLst>
        </c:ser>
        <c:ser>
          <c:idx val="4"/>
          <c:order val="4"/>
          <c:tx>
            <c:v>TFC reference</c:v>
          </c:tx>
          <c:spPr>
            <a:ln>
              <a:solidFill>
                <a:srgbClr val="000000"/>
              </a:solidFill>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[0]!TFCRef</c:f>
              <c:numCache>
                <c:formatCode>0.00</c:formatCode>
                <c:ptCount val="10"/>
                <c:pt idx="0">
                  <c:v>30.490629196166992</c:v>
                </c:pt>
                <c:pt idx="1">
                  <c:v>36.419173240661621</c:v>
                </c:pt>
                <c:pt idx="2">
                  <c:v>41.178647677103676</c:v>
                </c:pt>
                <c:pt idx="3">
                  <c:v>44.63825798034668</c:v>
                </c:pt>
                <c:pt idx="4">
                  <c:v>48.651535034179688</c:v>
                </c:pt>
                <c:pt idx="5">
                  <c:v>53.651107152303055</c:v>
                </c:pt>
                <c:pt idx="6">
                  <c:v>57.505031267801918</c:v>
                </c:pt>
                <c:pt idx="7">
                  <c:v>60.643732706705727</c:v>
                </c:pt>
                <c:pt idx="8">
                  <c:v>64.628266016642257</c:v>
                </c:pt>
                <c:pt idx="9">
                  <c:v>69.30462137858072</c:v>
                </c:pt>
              </c:numCache>
            </c:numRef>
          </c:val>
          <c:smooth val="0"/>
          <c:extLst>
            <c:ext xmlns:c16="http://schemas.microsoft.com/office/drawing/2014/chart" uri="{C3380CC4-5D6E-409C-BE32-E72D297353CC}">
              <c16:uniqueId val="{00000004-6727-F140-9F59-BD7EC4F47160}"/>
            </c:ext>
          </c:extLst>
        </c:ser>
        <c:ser>
          <c:idx val="5"/>
          <c:order val="5"/>
          <c:tx>
            <c:v>NFC TFC - fossil CCS</c:v>
          </c:tx>
          <c:spPr>
            <a:ln w="28575" cmpd="sng">
              <a:solidFill>
                <a:srgbClr val="3366FF"/>
              </a:solidFill>
            </a:ln>
          </c:spPr>
          <c:marker>
            <c:symbol val="none"/>
          </c:marke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[0]!NFCInt</c:f>
              <c:numCache>
                <c:formatCode>0.00</c:formatCode>
                <c:ptCount val="10"/>
                <c:pt idx="0">
                  <c:v>30.597844759623207</c:v>
                </c:pt>
                <c:pt idx="1">
                  <c:v>29.128967761993408</c:v>
                </c:pt>
                <c:pt idx="2">
                  <c:v>18.847594581065653</c:v>
                </c:pt>
                <c:pt idx="3">
                  <c:v>9.1376930535379106</c:v>
                </c:pt>
                <c:pt idx="4">
                  <c:v>5.6197562094130271</c:v>
                </c:pt>
                <c:pt idx="5">
                  <c:v>4.3530673105136266</c:v>
                </c:pt>
                <c:pt idx="6">
                  <c:v>3.6279843954183288</c:v>
                </c:pt>
                <c:pt idx="7">
                  <c:v>3.0518660400685649</c:v>
                </c:pt>
                <c:pt idx="8">
                  <c:v>2.8461342476017908</c:v>
                </c:pt>
                <c:pt idx="9">
                  <c:v>3.0131356737814112</c:v>
                </c:pt>
              </c:numCache>
            </c:numRef>
          </c:val>
          <c:smooth val="0"/>
          <c:extLst>
            <c:ext xmlns:c16="http://schemas.microsoft.com/office/drawing/2014/chart" uri="{C3380CC4-5D6E-409C-BE32-E72D297353CC}">
              <c16:uniqueId val="{00000005-6727-F140-9F59-BD7EC4F47160}"/>
            </c:ext>
          </c:extLst>
        </c:ser>
        <c:dLbls>
          <c:showLegendKey val="0"/>
          <c:showVal val="0"/>
          <c:showCatName val="0"/>
          <c:showSerName val="0"/>
          <c:showPercent val="0"/>
          <c:showBubbleSize val="0"/>
        </c:dLbls>
        <c:smooth val="0"/>
        <c:axId val="-1641769088"/>
        <c:axId val="-1641766336"/>
      </c:lineChart>
      <c:catAx>
        <c:axId val="-1641769088"/>
        <c:scaling>
          <c:orientation val="minMax"/>
        </c:scaling>
        <c:delete val="0"/>
        <c:axPos val="b"/>
        <c:numFmt formatCode="General" sourceLinked="0"/>
        <c:majorTickMark val="cross"/>
        <c:minorTickMark val="none"/>
        <c:tickLblPos val="low"/>
        <c:spPr>
          <a:ln w="3175">
            <a:solidFill>
              <a:srgbClr val="000000"/>
            </a:solidFill>
            <a:prstDash val="solid"/>
          </a:ln>
        </c:spPr>
        <c:txPr>
          <a:bodyPr rot="0" vert="horz"/>
          <a:lstStyle/>
          <a:p>
            <a:pPr>
              <a:defRPr/>
            </a:pPr>
            <a:endParaRPr lang="en-US"/>
          </a:p>
        </c:txPr>
        <c:crossAx val="-1641766336"/>
        <c:crossesAt val="0"/>
        <c:auto val="1"/>
        <c:lblAlgn val="ctr"/>
        <c:lblOffset val="100"/>
        <c:tickLblSkip val="1"/>
        <c:tickMarkSkip val="1"/>
        <c:noMultiLvlLbl val="0"/>
      </c:catAx>
      <c:valAx>
        <c:axId val="-1641766336"/>
        <c:scaling>
          <c:orientation val="minMax"/>
          <c:max val="90"/>
          <c:min val="-20"/>
        </c:scaling>
        <c:delete val="0"/>
        <c:axPos val="l"/>
        <c:title>
          <c:tx>
            <c:rich>
              <a:bodyPr rot="-5400000" vert="horz"/>
              <a:lstStyle/>
              <a:p>
                <a:pPr marL="0" marR="0" lvl="0" indent="0" algn="ctr" defTabSz="914400" rtl="0" eaLnBrk="1" fontAlgn="auto" latinLnBrk="0" hangingPunct="1">
                  <a:lnSpc>
                    <a:spcPct val="100000"/>
                  </a:lnSpc>
                  <a:spcBef>
                    <a:spcPts val="0"/>
                  </a:spcBef>
                  <a:spcAft>
                    <a:spcPts val="0"/>
                  </a:spcAft>
                  <a:buClrTx/>
                  <a:buSzTx/>
                  <a:buFontTx/>
                  <a:buNone/>
                  <a:tabLst/>
                  <a:defRPr sz="1600" b="0" i="0" u="none" strike="noStrike" kern="1200" baseline="0">
                    <a:solidFill>
                      <a:srgbClr val="000000"/>
                    </a:solidFill>
                    <a:latin typeface="Arial"/>
                    <a:ea typeface="Arial"/>
                    <a:cs typeface="Arial"/>
                  </a:defRPr>
                </a:pPr>
                <a:r>
                  <a:rPr lang="en-US" sz="1800" b="0" i="0" baseline="0">
                    <a:effectLst/>
                  </a:rPr>
                  <a:t>Carbon dioxide emissions (Gt CO2/year)</a:t>
                </a:r>
                <a:endParaRPr lang="en-US">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600" b="0" i="0" u="none" strike="noStrike" kern="1200" baseline="0">
                    <a:solidFill>
                      <a:srgbClr val="000000"/>
                    </a:solidFill>
                    <a:latin typeface="Arial"/>
                    <a:ea typeface="Arial"/>
                    <a:cs typeface="Arial"/>
                  </a:defRPr>
                </a:pPr>
                <a:endParaRPr lang="en-US"/>
              </a:p>
            </c:rich>
          </c:tx>
          <c:overlay val="0"/>
        </c:title>
        <c:numFmt formatCode="0" sourceLinked="0"/>
        <c:majorTickMark val="out"/>
        <c:minorTickMark val="cross"/>
        <c:tickLblPos val="low"/>
        <c:spPr>
          <a:ln w="3175">
            <a:solidFill>
              <a:srgbClr val="000000"/>
            </a:solidFill>
            <a:prstDash val="solid"/>
          </a:ln>
        </c:spPr>
        <c:txPr>
          <a:bodyPr rot="0" vert="horz"/>
          <a:lstStyle/>
          <a:p>
            <a:pPr>
              <a:defRPr/>
            </a:pPr>
            <a:endParaRPr lang="en-US"/>
          </a:p>
        </c:txPr>
        <c:crossAx val="-1641769088"/>
        <c:crosses val="autoZero"/>
        <c:crossBetween val="midCat"/>
        <c:minorUnit val="10"/>
      </c:valAx>
      <c:spPr>
        <a:noFill/>
        <a:ln w="12700">
          <a:solidFill>
            <a:schemeClr val="tx1"/>
          </a:solidFill>
          <a:prstDash val="solid"/>
        </a:ln>
      </c:spPr>
    </c:plotArea>
    <c:plotVisOnly val="1"/>
    <c:dispBlanksAs val="gap"/>
    <c:showDLblsOverMax val="0"/>
  </c:chart>
  <c:spPr>
    <a:noFill/>
    <a:ln w="9525">
      <a:noFill/>
    </a:ln>
  </c:spPr>
  <c:txPr>
    <a:bodyPr/>
    <a:lstStyle/>
    <a:p>
      <a:pPr>
        <a:defRPr sz="1600" b="0" i="0" u="none" strike="noStrike" baseline="0">
          <a:solidFill>
            <a:srgbClr val="000000"/>
          </a:solidFill>
          <a:latin typeface="Arial"/>
          <a:ea typeface="Arial"/>
          <a:cs typeface="Arial"/>
        </a:defRPr>
      </a:pPr>
      <a:endParaRPr lang="en-US"/>
    </a:p>
  </c:txPr>
  <c:userShapes r:id="rId2"/>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7.82472613458529E-2"/>
          <c:y val="0.10024449877750601"/>
          <c:w val="0.57261645426726882"/>
          <c:h val="0.82422820241981942"/>
        </c:manualLayout>
      </c:layout>
      <c:areaChart>
        <c:grouping val="stacked"/>
        <c:varyColors val="0"/>
        <c:ser>
          <c:idx val="7"/>
          <c:order val="0"/>
          <c:tx>
            <c:v>Emissions remaining in intervention case</c:v>
          </c:tx>
          <c:spPr>
            <a:solidFill>
              <a:sysClr val="window" lastClr="FFFFFF">
                <a:lumMod val="85000"/>
              </a:sysClr>
            </a:solidFill>
            <a:ln w="57150" cmpd="sng">
              <a:noFill/>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[0]!attEmissionsRemaining</c:f>
              <c:numCache>
                <c:formatCode>0.00</c:formatCode>
                <c:ptCount val="10"/>
                <c:pt idx="0">
                  <c:v>49.203953937660756</c:v>
                </c:pt>
                <c:pt idx="1">
                  <c:v>46.328628711512245</c:v>
                </c:pt>
                <c:pt idx="2">
                  <c:v>26.180653027719355</c:v>
                </c:pt>
                <c:pt idx="3">
                  <c:v>10.597655759164496</c:v>
                </c:pt>
                <c:pt idx="4">
                  <c:v>2.1948543227510839</c:v>
                </c:pt>
                <c:pt idx="5">
                  <c:v>0.47814937109859246</c:v>
                </c:pt>
                <c:pt idx="6">
                  <c:v>-0.45507481490002633</c:v>
                </c:pt>
                <c:pt idx="7">
                  <c:v>0.61498510958188257</c:v>
                </c:pt>
                <c:pt idx="8">
                  <c:v>2.1497375639926304</c:v>
                </c:pt>
                <c:pt idx="9">
                  <c:v>3.4707526490409357</c:v>
                </c:pt>
              </c:numCache>
            </c:numRef>
          </c:val>
          <c:extLst>
            <c:ext xmlns:c16="http://schemas.microsoft.com/office/drawing/2014/chart" uri="{C3380CC4-5D6E-409C-BE32-E72D297353CC}">
              <c16:uniqueId val="{00000000-1222-DE49-AA58-BF615D525CD6}"/>
            </c:ext>
          </c:extLst>
        </c:ser>
        <c:ser>
          <c:idx val="6"/>
          <c:order val="1"/>
          <c:tx>
            <c:strRef>
              <c:f>TotalEmissions!$A$74</c:f>
              <c:strCache>
                <c:ptCount val="1"/>
                <c:pt idx="0">
                  <c:v>Land Use </c:v>
                </c:pt>
              </c:strCache>
            </c:strRef>
          </c:tx>
          <c:spPr>
            <a:solidFill>
              <a:srgbClr val="0000FF"/>
            </a:solidFill>
            <a:ln w="25400">
              <a:noFill/>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[0]!attLandUse</c:f>
              <c:numCache>
                <c:formatCode>0.00</c:formatCode>
                <c:ptCount val="10"/>
                <c:pt idx="0">
                  <c:v>-0.1090670132115088</c:v>
                </c:pt>
                <c:pt idx="1">
                  <c:v>1.7496614909113308</c:v>
                </c:pt>
                <c:pt idx="2">
                  <c:v>7.8593399681791407</c:v>
                </c:pt>
                <c:pt idx="3">
                  <c:v>10.785819278472463</c:v>
                </c:pt>
                <c:pt idx="4">
                  <c:v>13.228038242455245</c:v>
                </c:pt>
                <c:pt idx="5">
                  <c:v>9.3352603930491806</c:v>
                </c:pt>
                <c:pt idx="6">
                  <c:v>8.2535747744595707</c:v>
                </c:pt>
                <c:pt idx="7">
                  <c:v>6.3469625555535067</c:v>
                </c:pt>
                <c:pt idx="8">
                  <c:v>3.1727031224163249</c:v>
                </c:pt>
                <c:pt idx="9">
                  <c:v>1.2579886815285519</c:v>
                </c:pt>
              </c:numCache>
            </c:numRef>
          </c:val>
          <c:extLst>
            <c:ext xmlns:c16="http://schemas.microsoft.com/office/drawing/2014/chart" uri="{C3380CC4-5D6E-409C-BE32-E72D297353CC}">
              <c16:uniqueId val="{00000001-1222-DE49-AA58-BF615D525CD6}"/>
            </c:ext>
          </c:extLst>
        </c:ser>
        <c:ser>
          <c:idx val="0"/>
          <c:order val="2"/>
          <c:tx>
            <c:strRef>
              <c:f>TotalEmissions!$A$80</c:f>
              <c:strCache>
                <c:ptCount val="1"/>
                <c:pt idx="0">
                  <c:v>Biomass Energy CCS</c:v>
                </c:pt>
              </c:strCache>
            </c:strRef>
          </c:tx>
          <c:spPr>
            <a:solidFill>
              <a:srgbClr val="00B050"/>
            </a:solidFill>
            <a:ln w="25400">
              <a:noFill/>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[0]!attBioCCS</c:f>
              <c:numCache>
                <c:formatCode>0.00</c:formatCode>
                <c:ptCount val="10"/>
                <c:pt idx="0">
                  <c:v>0</c:v>
                </c:pt>
                <c:pt idx="1">
                  <c:v>4.8386068484041956E-18</c:v>
                </c:pt>
                <c:pt idx="2">
                  <c:v>2.004778366333915E-9</c:v>
                </c:pt>
                <c:pt idx="3">
                  <c:v>4.5750844565087794E-8</c:v>
                </c:pt>
                <c:pt idx="4">
                  <c:v>9.4639817689382689E-5</c:v>
                </c:pt>
                <c:pt idx="5">
                  <c:v>8.8683626624213473E-5</c:v>
                </c:pt>
                <c:pt idx="6">
                  <c:v>7.1516428154912618E-5</c:v>
                </c:pt>
                <c:pt idx="7">
                  <c:v>5.4543651837472375E-5</c:v>
                </c:pt>
                <c:pt idx="8">
                  <c:v>5.1858247085571442E-5</c:v>
                </c:pt>
                <c:pt idx="9">
                  <c:v>3.3366896726268652E-4</c:v>
                </c:pt>
              </c:numCache>
            </c:numRef>
          </c:val>
          <c:extLst>
            <c:ext xmlns:c16="http://schemas.microsoft.com/office/drawing/2014/chart" uri="{C3380CC4-5D6E-409C-BE32-E72D297353CC}">
              <c16:uniqueId val="{00000002-1222-DE49-AA58-BF615D525CD6}"/>
            </c:ext>
          </c:extLst>
        </c:ser>
        <c:ser>
          <c:idx val="9"/>
          <c:order val="3"/>
          <c:tx>
            <c:strRef>
              <c:f>TotalEmissions!$A$71</c:f>
              <c:strCache>
                <c:ptCount val="1"/>
                <c:pt idx="0">
                  <c:v>Other Gases </c:v>
                </c:pt>
              </c:strCache>
            </c:strRef>
          </c:tx>
          <c:spPr>
            <a:solidFill>
              <a:srgbClr val="942092"/>
            </a:solidFill>
            <a:ln w="25400">
              <a:noFill/>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[0]!attOtherGasses</c:f>
              <c:numCache>
                <c:formatCode>0.00</c:formatCode>
                <c:ptCount val="10"/>
                <c:pt idx="0">
                  <c:v>-4.0720318020291302E-2</c:v>
                </c:pt>
                <c:pt idx="1">
                  <c:v>3.8002231618406217</c:v>
                </c:pt>
                <c:pt idx="2">
                  <c:v>9.8873466311676346</c:v>
                </c:pt>
                <c:pt idx="3">
                  <c:v>13.347179299554213</c:v>
                </c:pt>
                <c:pt idx="4">
                  <c:v>15.543253797084741</c:v>
                </c:pt>
                <c:pt idx="5">
                  <c:v>16.48737940269227</c:v>
                </c:pt>
                <c:pt idx="6">
                  <c:v>17.645720030540616</c:v>
                </c:pt>
                <c:pt idx="7">
                  <c:v>18.887696088942835</c:v>
                </c:pt>
                <c:pt idx="8">
                  <c:v>19.928045550938933</c:v>
                </c:pt>
                <c:pt idx="9">
                  <c:v>21.22606558856636</c:v>
                </c:pt>
              </c:numCache>
            </c:numRef>
          </c:val>
          <c:extLst>
            <c:ext xmlns:c16="http://schemas.microsoft.com/office/drawing/2014/chart" uri="{C3380CC4-5D6E-409C-BE32-E72D297353CC}">
              <c16:uniqueId val="{00000003-1222-DE49-AA58-BF615D525CD6}"/>
            </c:ext>
          </c:extLst>
        </c:ser>
        <c:ser>
          <c:idx val="1"/>
          <c:order val="4"/>
          <c:tx>
            <c:strRef>
              <c:f>TotalEmissions!$A$77</c:f>
              <c:strCache>
                <c:ptCount val="1"/>
                <c:pt idx="0">
                  <c:v>Fossil Energy CCS</c:v>
                </c:pt>
              </c:strCache>
            </c:strRef>
          </c:tx>
          <c:spPr>
            <a:solidFill>
              <a:schemeClr val="accent2">
                <a:lumMod val="75000"/>
              </a:schemeClr>
            </a:solidFill>
            <a:ln w="25400">
              <a:noFill/>
            </a:ln>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[0]!attFosCCS</c:f>
              <c:numCache>
                <c:formatCode>0.00</c:formatCode>
                <c:ptCount val="10"/>
                <c:pt idx="0">
                  <c:v>0</c:v>
                </c:pt>
                <c:pt idx="1">
                  <c:v>3.2833179039359776E-2</c:v>
                </c:pt>
                <c:pt idx="2">
                  <c:v>1.24340748929558</c:v>
                </c:pt>
                <c:pt idx="3">
                  <c:v>2.4553240402199017</c:v>
                </c:pt>
                <c:pt idx="4">
                  <c:v>3.0403081741973175</c:v>
                </c:pt>
                <c:pt idx="5">
                  <c:v>4.3274815721368487</c:v>
                </c:pt>
                <c:pt idx="6">
                  <c:v>6.2205216362810276</c:v>
                </c:pt>
                <c:pt idx="7">
                  <c:v>6.2387408713609798</c:v>
                </c:pt>
                <c:pt idx="8">
                  <c:v>5.6213702490604573</c:v>
                </c:pt>
                <c:pt idx="9">
                  <c:v>5.7205057391948309</c:v>
                </c:pt>
              </c:numCache>
            </c:numRef>
          </c:val>
          <c:extLst>
            <c:ext xmlns:c16="http://schemas.microsoft.com/office/drawing/2014/chart" uri="{C3380CC4-5D6E-409C-BE32-E72D297353CC}">
              <c16:uniqueId val="{00000004-1222-DE49-AA58-BF615D525CD6}"/>
            </c:ext>
          </c:extLst>
        </c:ser>
        <c:ser>
          <c:idx val="12"/>
          <c:order val="5"/>
          <c:tx>
            <c:strRef>
              <c:f>TotalEmissions!$A$68</c:f>
              <c:strCache>
                <c:ptCount val="1"/>
                <c:pt idx="0">
                  <c:v>NIC (Net Industry Carbon)</c:v>
                </c:pt>
              </c:strCache>
            </c:strRef>
          </c:tx>
          <c:spPr>
            <a:solidFill>
              <a:sysClr val="windowText" lastClr="000000"/>
            </a:solidFill>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[0]!attIndustry</c:f>
              <c:numCache>
                <c:formatCode>0.00</c:formatCode>
                <c:ptCount val="10"/>
                <c:pt idx="0">
                  <c:v>5.2692492802930424E-4</c:v>
                </c:pt>
                <c:pt idx="1">
                  <c:v>0.24903956055641174</c:v>
                </c:pt>
                <c:pt idx="2">
                  <c:v>0.98022941748301218</c:v>
                </c:pt>
                <c:pt idx="3">
                  <c:v>1.7172799209753671</c:v>
                </c:pt>
                <c:pt idx="4">
                  <c:v>2.0011327788233757</c:v>
                </c:pt>
                <c:pt idx="5">
                  <c:v>2.2824605330824848</c:v>
                </c:pt>
                <c:pt idx="6">
                  <c:v>2.3700901319583254</c:v>
                </c:pt>
                <c:pt idx="7">
                  <c:v>2.5982181926568346</c:v>
                </c:pt>
                <c:pt idx="8">
                  <c:v>3.0400146394968033</c:v>
                </c:pt>
                <c:pt idx="9">
                  <c:v>3.4258306672175722</c:v>
                </c:pt>
              </c:numCache>
            </c:numRef>
          </c:val>
          <c:extLst>
            <c:ext xmlns:c16="http://schemas.microsoft.com/office/drawing/2014/chart" uri="{C3380CC4-5D6E-409C-BE32-E72D297353CC}">
              <c16:uniqueId val="{00000005-1222-DE49-AA58-BF615D525CD6}"/>
            </c:ext>
          </c:extLst>
        </c:ser>
        <c:ser>
          <c:idx val="2"/>
          <c:order val="8"/>
          <c:tx>
            <c:v>Economic Activity per Person</c:v>
          </c:tx>
          <c:spPr>
            <a:solidFill>
              <a:srgbClr val="AB7942"/>
            </a:solidFill>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[0]!attGWPperP</c:f>
              <c:numCache>
                <c:formatCode>0.00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6-1222-DE49-AA58-BF615D525CD6}"/>
            </c:ext>
          </c:extLst>
        </c:ser>
        <c:ser>
          <c:idx val="5"/>
          <c:order val="9"/>
          <c:tx>
            <c:v>Energy Intensity of Economy</c:v>
          </c:tx>
          <c:spPr>
            <a:solidFill>
              <a:srgbClr val="00B050"/>
            </a:solidFill>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[0]!attFEperGWP</c:f>
              <c:numCache>
                <c:formatCode>0.00</c:formatCode>
                <c:ptCount val="10"/>
                <c:pt idx="0">
                  <c:v>-9.310865233296578E-2</c:v>
                </c:pt>
                <c:pt idx="1">
                  <c:v>4.5403723692352083</c:v>
                </c:pt>
                <c:pt idx="2">
                  <c:v>13.081962501847768</c:v>
                </c:pt>
                <c:pt idx="3">
                  <c:v>16.048649894423733</c:v>
                </c:pt>
                <c:pt idx="4">
                  <c:v>16.429869229893718</c:v>
                </c:pt>
                <c:pt idx="5">
                  <c:v>17.678214872737097</c:v>
                </c:pt>
                <c:pt idx="6">
                  <c:v>18.963194897160825</c:v>
                </c:pt>
                <c:pt idx="7">
                  <c:v>18.43813412448706</c:v>
                </c:pt>
                <c:pt idx="8">
                  <c:v>18.176272245440039</c:v>
                </c:pt>
                <c:pt idx="9">
                  <c:v>18.400018879719287</c:v>
                </c:pt>
              </c:numCache>
            </c:numRef>
          </c:val>
          <c:extLst>
            <c:ext xmlns:c16="http://schemas.microsoft.com/office/drawing/2014/chart" uri="{C3380CC4-5D6E-409C-BE32-E72D297353CC}">
              <c16:uniqueId val="{00000007-1222-DE49-AA58-BF615D525CD6}"/>
            </c:ext>
          </c:extLst>
        </c:ser>
        <c:ser>
          <c:idx val="8"/>
          <c:order val="10"/>
          <c:tx>
            <c:v>Energy Supply Loss Factor</c:v>
          </c:tx>
          <c:spPr>
            <a:solidFill>
              <a:srgbClr val="1DFF00"/>
            </a:solidFill>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[0]!attPEdeqperFE</c:f>
              <c:numCache>
                <c:formatCode>0.00</c:formatCode>
                <c:ptCount val="10"/>
                <c:pt idx="0">
                  <c:v>0</c:v>
                </c:pt>
                <c:pt idx="1">
                  <c:v>4.2317203348924894E-2</c:v>
                </c:pt>
                <c:pt idx="2">
                  <c:v>1.409499171571285</c:v>
                </c:pt>
                <c:pt idx="3">
                  <c:v>3.2346343437312384</c:v>
                </c:pt>
                <c:pt idx="4">
                  <c:v>2.2359649545756621</c:v>
                </c:pt>
                <c:pt idx="5">
                  <c:v>1.6686545467611862</c:v>
                </c:pt>
                <c:pt idx="6">
                  <c:v>0</c:v>
                </c:pt>
                <c:pt idx="7">
                  <c:v>0</c:v>
                </c:pt>
                <c:pt idx="8">
                  <c:v>0</c:v>
                </c:pt>
                <c:pt idx="9">
                  <c:v>0</c:v>
                </c:pt>
              </c:numCache>
            </c:numRef>
          </c:val>
          <c:extLst>
            <c:ext xmlns:c16="http://schemas.microsoft.com/office/drawing/2014/chart" uri="{C3380CC4-5D6E-409C-BE32-E72D297353CC}">
              <c16:uniqueId val="{00000008-1222-DE49-AA58-BF615D525CD6}"/>
            </c:ext>
          </c:extLst>
        </c:ser>
        <c:ser>
          <c:idx val="13"/>
          <c:order val="11"/>
          <c:tx>
            <c:v>Fossil Fuel Fraction</c:v>
          </c:tx>
          <c:spPr>
            <a:solidFill>
              <a:srgbClr val="FF9300"/>
            </a:solidFill>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[0]!attPEffperPEdeq</c:f>
              <c:numCache>
                <c:formatCode>0.00</c:formatCode>
                <c:ptCount val="10"/>
                <c:pt idx="0">
                  <c:v>0</c:v>
                </c:pt>
                <c:pt idx="1">
                  <c:v>1.6291339528404327</c:v>
                </c:pt>
                <c:pt idx="2">
                  <c:v>3.6038631571392128</c:v>
                </c:pt>
                <c:pt idx="3">
                  <c:v>8.2800359897431282</c:v>
                </c:pt>
                <c:pt idx="4">
                  <c:v>13.553297472576673</c:v>
                </c:pt>
                <c:pt idx="5">
                  <c:v>16.488160975463057</c:v>
                </c:pt>
                <c:pt idx="6">
                  <c:v>17.817866652567126</c:v>
                </c:pt>
                <c:pt idx="7">
                  <c:v>20.354048412626597</c:v>
                </c:pt>
                <c:pt idx="8">
                  <c:v>23.723812618371156</c:v>
                </c:pt>
                <c:pt idx="9">
                  <c:v>25.980960241290337</c:v>
                </c:pt>
              </c:numCache>
            </c:numRef>
          </c:val>
          <c:extLst>
            <c:ext xmlns:c16="http://schemas.microsoft.com/office/drawing/2014/chart" uri="{C3380CC4-5D6E-409C-BE32-E72D297353CC}">
              <c16:uniqueId val="{00000009-1222-DE49-AA58-BF615D525CD6}"/>
            </c:ext>
          </c:extLst>
        </c:ser>
        <c:ser>
          <c:idx val="10"/>
          <c:order val="12"/>
          <c:tx>
            <c:v>Carbon Intensity of Fossil Energy</c:v>
          </c:tx>
          <c:spPr>
            <a:solidFill>
              <a:srgbClr val="A1F5FF"/>
            </a:solidFill>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[0]!attTFCperPEff</c:f>
              <c:numCache>
                <c:formatCode>0.00</c:formatCode>
                <c:ptCount val="10"/>
                <c:pt idx="0">
                  <c:v>-1.4106910332351751E-2</c:v>
                </c:pt>
                <c:pt idx="1">
                  <c:v>0.66169453594269523</c:v>
                </c:pt>
                <c:pt idx="2">
                  <c:v>2.0699421886774201</c:v>
                </c:pt>
                <c:pt idx="3">
                  <c:v>4.1823595401654243</c:v>
                </c:pt>
                <c:pt idx="4">
                  <c:v>5.9696693077962859</c:v>
                </c:pt>
                <c:pt idx="5">
                  <c:v>6.5401016110303125</c:v>
                </c:pt>
                <c:pt idx="6">
                  <c:v>7.2633108988716204</c:v>
                </c:pt>
                <c:pt idx="7">
                  <c:v>8.011818165276436</c:v>
                </c:pt>
                <c:pt idx="8">
                  <c:v>8.4780180204796327</c:v>
                </c:pt>
                <c:pt idx="9">
                  <c:v>8.5918386808780784</c:v>
                </c:pt>
              </c:numCache>
            </c:numRef>
          </c:val>
          <c:extLst>
            <c:ext xmlns:c16="http://schemas.microsoft.com/office/drawing/2014/chart" uri="{C3380CC4-5D6E-409C-BE32-E72D297353CC}">
              <c16:uniqueId val="{0000000A-1222-DE49-AA58-BF615D525CD6}"/>
            </c:ext>
          </c:extLst>
        </c:ser>
        <c:ser>
          <c:idx val="11"/>
          <c:order val="13"/>
          <c:tx>
            <c:v>Population</c:v>
          </c:tx>
          <c:spPr>
            <a:solidFill>
              <a:srgbClr val="FFFF00"/>
            </a:solidFill>
          </c:spPr>
          <c:cat>
            <c:numRef>
              <c:f>[0]!ratioYearsRef</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[0]!attP</c:f>
              <c:numCache>
                <c:formatCode>0.00</c:formatCode>
                <c:ptCount val="10"/>
                <c:pt idx="0">
                  <c:v>-7.9089063475779943E-10</c:v>
                </c:pt>
                <c:pt idx="1">
                  <c:v>0.38385423826160608</c:v>
                </c:pt>
                <c:pt idx="2">
                  <c:v>0.92237858750676704</c:v>
                </c:pt>
                <c:pt idx="3">
                  <c:v>1.2995611185253519</c:v>
                </c:pt>
                <c:pt idx="4">
                  <c:v>1.8128532964068313</c:v>
                </c:pt>
                <c:pt idx="5">
                  <c:v>2.5954262636609142</c:v>
                </c:pt>
                <c:pt idx="6">
                  <c:v>3.6121527875029997</c:v>
                </c:pt>
                <c:pt idx="7">
                  <c:v>4.5491250928860758</c:v>
                </c:pt>
                <c:pt idx="8">
                  <c:v>5.7826586356892022</c:v>
                </c:pt>
                <c:pt idx="9">
                  <c:v>7.5981621637167853</c:v>
                </c:pt>
              </c:numCache>
            </c:numRef>
          </c:val>
          <c:extLst>
            <c:ext xmlns:c16="http://schemas.microsoft.com/office/drawing/2014/chart" uri="{C3380CC4-5D6E-409C-BE32-E72D297353CC}">
              <c16:uniqueId val="{0000000B-1222-DE49-AA58-BF615D525CD6}"/>
            </c:ext>
          </c:extLst>
        </c:ser>
        <c:dLbls>
          <c:showLegendKey val="0"/>
          <c:showVal val="0"/>
          <c:showCatName val="0"/>
          <c:showSerName val="0"/>
          <c:showPercent val="0"/>
          <c:showBubbleSize val="0"/>
        </c:dLbls>
        <c:axId val="-1806324880"/>
        <c:axId val="-1806322560"/>
      </c:areaChart>
      <c:lineChart>
        <c:grouping val="standard"/>
        <c:varyColors val="0"/>
        <c:ser>
          <c:idx val="3"/>
          <c:order val="6"/>
          <c:tx>
            <c:v>Reference Case Line</c:v>
          </c:tx>
          <c:spPr>
            <a:ln w="31750">
              <a:solidFill>
                <a:schemeClr val="tx1"/>
              </a:solidFill>
            </a:ln>
          </c:spPr>
          <c:marker>
            <c:symbol val="none"/>
          </c:marker>
          <c:cat>
            <c:numRef>
              <c:f>TotalEmissions!$B$2:$K$2</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[0]!RefLine</c:f>
              <c:numCache>
                <c:formatCode>0.00</c:formatCode>
                <c:ptCount val="10"/>
                <c:pt idx="0">
                  <c:v>48.947477967900774</c:v>
                </c:pt>
                <c:pt idx="1">
                  <c:v>59.417758403488818</c:v>
                </c:pt>
                <c:pt idx="2">
                  <c:v>67.23862214259195</c:v>
                </c:pt>
                <c:pt idx="3">
                  <c:v>71.948499230726156</c:v>
                </c:pt>
                <c:pt idx="4">
                  <c:v>75.999152605698796</c:v>
                </c:pt>
                <c:pt idx="5">
                  <c:v>77.88137822533858</c:v>
                </c:pt>
                <c:pt idx="6">
                  <c:v>81.691428510870224</c:v>
                </c:pt>
                <c:pt idx="7">
                  <c:v>86.039783157024061</c:v>
                </c:pt>
                <c:pt idx="8">
                  <c:v>90.072684504132255</c:v>
                </c:pt>
                <c:pt idx="9">
                  <c:v>95.672456960119973</c:v>
                </c:pt>
              </c:numCache>
            </c:numRef>
          </c:val>
          <c:smooth val="0"/>
          <c:extLst>
            <c:ext xmlns:c16="http://schemas.microsoft.com/office/drawing/2014/chart" uri="{C3380CC4-5D6E-409C-BE32-E72D297353CC}">
              <c16:uniqueId val="{0000000C-1222-DE49-AA58-BF615D525CD6}"/>
            </c:ext>
          </c:extLst>
        </c:ser>
        <c:ser>
          <c:idx val="4"/>
          <c:order val="7"/>
          <c:tx>
            <c:v>Intervention Case Line</c:v>
          </c:tx>
          <c:spPr>
            <a:ln w="31750">
              <a:solidFill>
                <a:srgbClr val="FF173B"/>
              </a:solidFill>
              <a:prstDash val="solid"/>
            </a:ln>
          </c:spPr>
          <c:marker>
            <c:symbol val="none"/>
          </c:marker>
          <c:cat>
            <c:numRef>
              <c:f>TotalEmissions!$B$2:$K$2</c:f>
              <c:numCache>
                <c:formatCode>General</c:formatCode>
                <c:ptCount val="10"/>
                <c:pt idx="0">
                  <c:v>2010</c:v>
                </c:pt>
                <c:pt idx="1">
                  <c:v>2020</c:v>
                </c:pt>
                <c:pt idx="2">
                  <c:v>2030</c:v>
                </c:pt>
                <c:pt idx="3">
                  <c:v>2040</c:v>
                </c:pt>
                <c:pt idx="4">
                  <c:v>2050</c:v>
                </c:pt>
                <c:pt idx="5">
                  <c:v>2060</c:v>
                </c:pt>
                <c:pt idx="6">
                  <c:v>2070</c:v>
                </c:pt>
                <c:pt idx="7">
                  <c:v>2080</c:v>
                </c:pt>
                <c:pt idx="8">
                  <c:v>2090</c:v>
                </c:pt>
                <c:pt idx="9">
                  <c:v>2100</c:v>
                </c:pt>
              </c:numCache>
            </c:numRef>
          </c:cat>
          <c:val>
            <c:numRef>
              <c:f>[0]!IntLine</c:f>
              <c:numCache>
                <c:formatCode>0.00</c:formatCode>
                <c:ptCount val="10"/>
                <c:pt idx="0">
                  <c:v>49.203953937660756</c:v>
                </c:pt>
                <c:pt idx="1">
                  <c:v>46.328628711512245</c:v>
                </c:pt>
                <c:pt idx="2">
                  <c:v>26.180653027719355</c:v>
                </c:pt>
                <c:pt idx="3">
                  <c:v>10.597655759164496</c:v>
                </c:pt>
                <c:pt idx="4">
                  <c:v>2.1948543227510839</c:v>
                </c:pt>
                <c:pt idx="5">
                  <c:v>0.47814937109859246</c:v>
                </c:pt>
                <c:pt idx="6">
                  <c:v>-0.45507481490002633</c:v>
                </c:pt>
                <c:pt idx="7">
                  <c:v>0.61498510958188257</c:v>
                </c:pt>
                <c:pt idx="8">
                  <c:v>2.1497375639926304</c:v>
                </c:pt>
                <c:pt idx="9">
                  <c:v>3.4707526490409357</c:v>
                </c:pt>
              </c:numCache>
            </c:numRef>
          </c:val>
          <c:smooth val="0"/>
          <c:extLst>
            <c:ext xmlns:c16="http://schemas.microsoft.com/office/drawing/2014/chart" uri="{C3380CC4-5D6E-409C-BE32-E72D297353CC}">
              <c16:uniqueId val="{0000000D-1222-DE49-AA58-BF615D525CD6}"/>
            </c:ext>
          </c:extLst>
        </c:ser>
        <c:ser>
          <c:idx val="14"/>
          <c:order val="14"/>
          <c:tx>
            <c:v>dummy</c:v>
          </c:tx>
          <c:marker>
            <c:symbol val="none"/>
          </c:marker>
          <c:val>
            <c:numRef>
              <c:f>[0]!attdummy</c:f>
              <c:numCache>
                <c:formatCode>0.00</c:formatCode>
                <c:ptCount val="10"/>
              </c:numCache>
            </c:numRef>
          </c:val>
          <c:smooth val="0"/>
          <c:extLst>
            <c:ext xmlns:c16="http://schemas.microsoft.com/office/drawing/2014/chart" uri="{C3380CC4-5D6E-409C-BE32-E72D297353CC}">
              <c16:uniqueId val="{00000000-6A92-7248-AF29-7119146AF926}"/>
            </c:ext>
          </c:extLst>
        </c:ser>
        <c:dLbls>
          <c:showLegendKey val="0"/>
          <c:showVal val="0"/>
          <c:showCatName val="0"/>
          <c:showSerName val="0"/>
          <c:showPercent val="0"/>
          <c:showBubbleSize val="0"/>
        </c:dLbls>
        <c:marker val="1"/>
        <c:smooth val="0"/>
        <c:axId val="-1806324880"/>
        <c:axId val="-1806322560"/>
      </c:lineChart>
      <c:catAx>
        <c:axId val="-18063248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250" b="0" i="0" u="none" strike="noStrike" baseline="0">
                <a:solidFill>
                  <a:srgbClr val="000000"/>
                </a:solidFill>
                <a:latin typeface="Arial"/>
                <a:ea typeface="Arial"/>
                <a:cs typeface="Arial"/>
              </a:defRPr>
            </a:pPr>
            <a:endParaRPr lang="en-US"/>
          </a:p>
        </c:txPr>
        <c:crossAx val="-1806322560"/>
        <c:crossesAt val="0"/>
        <c:auto val="1"/>
        <c:lblAlgn val="ctr"/>
        <c:lblOffset val="100"/>
        <c:tickLblSkip val="9"/>
        <c:tickMarkSkip val="1"/>
        <c:noMultiLvlLbl val="0"/>
      </c:catAx>
      <c:valAx>
        <c:axId val="-1806322560"/>
        <c:scaling>
          <c:orientation val="minMax"/>
          <c:max val="120"/>
          <c:min val="-10"/>
        </c:scaling>
        <c:delete val="0"/>
        <c:axPos val="l"/>
        <c:majorGridlines>
          <c:spPr>
            <a:ln w="3175">
              <a:solidFill>
                <a:schemeClr val="bg1">
                  <a:lumMod val="95000"/>
                </a:schemeClr>
              </a:solidFill>
              <a:prstDash val="sysDash"/>
            </a:ln>
          </c:spPr>
        </c:majorGridlines>
        <c:title>
          <c:tx>
            <c:rich>
              <a:bodyPr/>
              <a:lstStyle/>
              <a:p>
                <a:pPr>
                  <a:defRPr sz="950" b="0" i="0" u="none" strike="noStrike" baseline="0">
                    <a:solidFill>
                      <a:srgbClr val="000000"/>
                    </a:solidFill>
                    <a:latin typeface="Arial"/>
                    <a:ea typeface="Arial"/>
                    <a:cs typeface="Arial"/>
                  </a:defRPr>
                </a:pPr>
                <a:r>
                  <a:rPr lang="en-US" sz="1250" b="1" i="0" u="none" strike="noStrike" baseline="0">
                    <a:solidFill>
                      <a:srgbClr val="000000"/>
                    </a:solidFill>
                    <a:latin typeface="Arial"/>
                    <a:ea typeface="Arial"/>
                    <a:cs typeface="Arial"/>
                  </a:rPr>
                  <a:t>Emissions (Gt-CO2 equivalent/year)</a:t>
                </a:r>
              </a:p>
            </c:rich>
          </c:tx>
          <c:layout>
            <c:manualLayout>
              <c:xMode val="edge"/>
              <c:yMode val="edge"/>
              <c:x val="2.9629629629629602E-3"/>
              <c:y val="0.30291278095963398"/>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1250" b="0" i="0" u="none" strike="noStrike" baseline="0">
                <a:solidFill>
                  <a:srgbClr val="000000"/>
                </a:solidFill>
                <a:latin typeface="Arial"/>
                <a:ea typeface="Arial"/>
                <a:cs typeface="Arial"/>
              </a:defRPr>
            </a:pPr>
            <a:endParaRPr lang="en-US"/>
          </a:p>
        </c:txPr>
        <c:crossAx val="-1806324880"/>
        <c:crossesAt val="1"/>
        <c:crossBetween val="midCat"/>
        <c:majorUnit val="20"/>
        <c:minorUnit val="2"/>
      </c:valAx>
      <c:spPr>
        <a:noFill/>
        <a:ln w="3175">
          <a:noFill/>
          <a:prstDash val="solid"/>
        </a:ln>
      </c:spPr>
    </c:plotArea>
    <c:legend>
      <c:legendPos val="r"/>
      <c:legendEntry>
        <c:idx val="12"/>
        <c:delete val="1"/>
      </c:legendEntry>
      <c:legendEntry>
        <c:idx val="13"/>
        <c:delete val="1"/>
      </c:legendEntry>
      <c:legendEntry>
        <c:idx val="14"/>
        <c:delete val="1"/>
      </c:legendEntry>
      <c:layout>
        <c:manualLayout>
          <c:xMode val="edge"/>
          <c:yMode val="edge"/>
          <c:x val="0.66613123670560126"/>
          <c:y val="0.25729872561661499"/>
          <c:w val="0.33092230473560469"/>
          <c:h val="0.66890501111141598"/>
        </c:manualLayout>
      </c:layout>
      <c:overlay val="0"/>
      <c:spPr>
        <a:noFill/>
        <a:ln w="25400">
          <a:noFill/>
        </a:ln>
      </c:spPr>
      <c:txPr>
        <a:bodyPr/>
        <a:lstStyle/>
        <a:p>
          <a:pPr>
            <a:defRPr sz="12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950" b="0" i="0" u="none" strike="noStrike" baseline="0">
          <a:solidFill>
            <a:srgbClr val="000000"/>
          </a:solidFill>
          <a:latin typeface="Arial"/>
          <a:ea typeface="Arial"/>
          <a:cs typeface="Arial"/>
        </a:defRPr>
      </a:pPr>
      <a:endParaRPr lang="en-US"/>
    </a:p>
  </c:txPr>
  <c:userShapes r:id="rId2"/>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autoTitleDeleted val="0"/>
    <c:plotArea>
      <c:layout/>
      <c:barChart>
        <c:barDir val="col"/>
        <c:grouping val="clustered"/>
        <c:varyColors val="0"/>
        <c:dLbls>
          <c:showLegendKey val="0"/>
          <c:showVal val="0"/>
          <c:showCatName val="0"/>
          <c:showSerName val="0"/>
          <c:showPercent val="0"/>
          <c:showBubbleSize val="0"/>
        </c:dLbls>
        <c:gapWidth val="150"/>
        <c:axId val="1"/>
        <c:axId val="2"/>
      </c:barChart>
      <c:catAx>
        <c:axId val="1"/>
        <c:scaling>
          <c:orientation val="minMax"/>
        </c:scaling>
        <c:delete val="0"/>
        <c:axPos val="b"/>
        <c:majorTickMark val="out"/>
        <c:minorTickMark val="none"/>
        <c:tickLblPos val="nextTo"/>
        <c:crossAx val="2"/>
        <c:crosses val="autoZero"/>
        <c:auto val="1"/>
        <c:lblAlgn val="ctr"/>
        <c:lblOffset val="100"/>
        <c:noMultiLvlLbl val="0"/>
      </c:catAx>
      <c:valAx>
        <c:axId val="2"/>
        <c:scaling>
          <c:orientation val="minMax"/>
        </c:scaling>
        <c:delete val="0"/>
        <c:axPos val="l"/>
        <c:majorGridlines/>
        <c:majorTickMark val="out"/>
        <c:minorTickMark val="none"/>
        <c:tickLblPos val="nextTo"/>
        <c:crossAx val="1"/>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userShapes r:id="rId1"/>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a:latin typeface="Arial" panose="020B0604020202020204" pitchFamily="34" charset="0"/>
                <a:cs typeface="Arial" panose="020B0604020202020204" pitchFamily="34" charset="0"/>
              </a:defRPr>
            </a:pPr>
            <a:r>
              <a:rPr lang="en-US" sz="1600" b="1">
                <a:latin typeface="Arial" panose="020B0604020202020204" pitchFamily="34" charset="0"/>
                <a:cs typeface="Arial" panose="020B0604020202020204" pitchFamily="34" charset="0"/>
              </a:rPr>
              <a:t>Cumulative</a:t>
            </a:r>
            <a:r>
              <a:rPr lang="en-US" sz="1600" b="1" baseline="0">
                <a:latin typeface="Arial" panose="020B0604020202020204" pitchFamily="34" charset="0"/>
                <a:cs typeface="Arial" panose="020B0604020202020204" pitchFamily="34" charset="0"/>
              </a:rPr>
              <a:t> CO2-eq Emissions from 2020 to 2100, All Sectors</a:t>
            </a:r>
          </a:p>
          <a:p>
            <a:pPr>
              <a:defRPr sz="1600" b="1">
                <a:latin typeface="Arial" panose="020B0604020202020204" pitchFamily="34" charset="0"/>
                <a:cs typeface="Arial" panose="020B0604020202020204" pitchFamily="34" charset="0"/>
              </a:defRPr>
            </a:pPr>
            <a:r>
              <a:rPr lang="en-US" sz="1600" b="1">
                <a:latin typeface="Arial" panose="020B0604020202020204" pitchFamily="34" charset="0"/>
                <a:cs typeface="Arial" panose="020B0604020202020204" pitchFamily="34" charset="0"/>
              </a:rPr>
              <a:t>Reference (Ref) vs.</a:t>
            </a:r>
            <a:r>
              <a:rPr lang="en-US" sz="1600" b="1" baseline="0">
                <a:latin typeface="Arial" panose="020B0604020202020204" pitchFamily="34" charset="0"/>
                <a:cs typeface="Arial" panose="020B0604020202020204" pitchFamily="34" charset="0"/>
              </a:rPr>
              <a:t> Intervention (Int)</a:t>
            </a:r>
          </a:p>
        </c:rich>
      </c:tx>
      <c:overlay val="0"/>
    </c:title>
    <c:autoTitleDeleted val="0"/>
    <c:plotArea>
      <c:layout>
        <c:manualLayout>
          <c:layoutTarget val="inner"/>
          <c:xMode val="edge"/>
          <c:yMode val="edge"/>
          <c:x val="0.17753835935544732"/>
          <c:y val="0.11780444012194438"/>
          <c:w val="0.77739236599092598"/>
          <c:h val="0.79882107966907934"/>
        </c:manualLayout>
      </c:layout>
      <c:barChart>
        <c:barDir val="bar"/>
        <c:grouping val="stacked"/>
        <c:varyColors val="0"/>
        <c:ser>
          <c:idx val="0"/>
          <c:order val="0"/>
          <c:tx>
            <c:strRef>
              <c:f>WaterfallVertData!$E$26</c:f>
              <c:strCache>
                <c:ptCount val="1"/>
                <c:pt idx="0">
                  <c:v>Pillars</c:v>
                </c:pt>
              </c:strCache>
            </c:strRef>
          </c:tx>
          <c:spPr>
            <a:solidFill>
              <a:schemeClr val="accent3"/>
            </a:solidFill>
          </c:spPr>
          <c:invertIfNegative val="0"/>
          <c:dLbls>
            <c:dLbl>
              <c:idx val="0"/>
              <c:layout>
                <c:manualLayout>
                  <c:x val="0.37836454073092973"/>
                  <c:y val="-2.8615259299484114E-3"/>
                </c:manualLayout>
              </c:layout>
              <c:numFmt formatCode="#,##0.0" sourceLinked="0"/>
              <c:spPr>
                <a:noFill/>
                <a:ln>
                  <a:noFill/>
                </a:ln>
                <a:effectLst/>
              </c:spPr>
              <c:txPr>
                <a:bodyPr wrap="square" lIns="38100" tIns="19050" rIns="38100" bIns="19050" anchor="ctr">
                  <a:noAutofit/>
                </a:bodyPr>
                <a:lstStyle/>
                <a:p>
                  <a:pPr>
                    <a:defRPr sz="1200"/>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5.7440778160443205E-2"/>
                      <c:h val="3.3464128020786701E-2"/>
                    </c:manualLayout>
                  </c15:layout>
                </c:ext>
                <c:ext xmlns:c16="http://schemas.microsoft.com/office/drawing/2014/chart" uri="{C3380CC4-5D6E-409C-BE32-E72D297353CC}">
                  <c16:uniqueId val="{00000000-86AB-C54C-9CBA-FE6A399B1756}"/>
                </c:ext>
              </c:extLst>
            </c:dLbl>
            <c:dLbl>
              <c:idx val="10"/>
              <c:layout>
                <c:manualLayout>
                  <c:x val="0.11517996710669946"/>
                  <c:y val="-5.5168069508551801E-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6AB-C54C-9CBA-FE6A399B1756}"/>
                </c:ext>
              </c:extLst>
            </c:dLbl>
            <c:dLbl>
              <c:idx val="13"/>
              <c:layout>
                <c:manualLayout>
                  <c:x val="9.5499512422315053E-2"/>
                  <c:y val="-2.695085528102192E-3"/>
                </c:manualLayout>
              </c:layout>
              <c:tx>
                <c:rich>
                  <a:bodyPr/>
                  <a:lstStyle/>
                  <a:p>
                    <a:fld id="{08098DF5-DD88-DC4D-BE5F-756F278077F3}" type="VALUE">
                      <a:rPr lang="en-US"/>
                      <a:pPr/>
                      <a:t>[VALUE]</a:t>
                    </a:fld>
                    <a:endParaRPr lang="en-US"/>
                  </a:p>
                </c:rich>
              </c:tx>
              <c:dLblPos val="ctr"/>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2-86AB-C54C-9CBA-FE6A399B1756}"/>
                </c:ext>
              </c:extLst>
            </c:dLbl>
            <c:numFmt formatCode="#,##0.0" sourceLinked="0"/>
            <c:spPr>
              <a:noFill/>
              <a:ln>
                <a:noFill/>
              </a:ln>
              <a:effectLst/>
            </c:spPr>
            <c:txPr>
              <a:bodyPr wrap="square" lIns="38100" tIns="19050" rIns="38100" bIns="19050" anchor="ctr">
                <a:spAutoFit/>
              </a:bodyPr>
              <a:lstStyle/>
              <a:p>
                <a:pPr>
                  <a:defRPr sz="1200"/>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WaterfallVertData!$A$27:$A$40</c:f>
              <c:strCache>
                <c:ptCount val="14"/>
                <c:pt idx="0">
                  <c:v>Total Anthropogenic Emissions Ref</c:v>
                </c:pt>
                <c:pt idx="1">
                  <c:v>∆PEDEq/FE (ESLF)</c:v>
                </c:pt>
                <c:pt idx="2">
                  <c:v>∆P  </c:v>
                </c:pt>
                <c:pt idx="3">
                  <c:v>∆GNP/P</c:v>
                </c:pt>
                <c:pt idx="4">
                  <c:v>∆FE/GNP </c:v>
                </c:pt>
                <c:pt idx="5">
                  <c:v>∆PEFF/PEDEq </c:v>
                </c:pt>
                <c:pt idx="6">
                  <c:v>∆TFC/PEFF </c:v>
                </c:pt>
                <c:pt idx="7">
                  <c:v>∆Total Industry Carbon (TIC)</c:v>
                </c:pt>
                <c:pt idx="8">
                  <c:v>∆Land Use </c:v>
                </c:pt>
                <c:pt idx="9">
                  <c:v>∆Other Gases </c:v>
                </c:pt>
                <c:pt idx="10">
                  <c:v>Total Anthropogenic Emissions Int</c:v>
                </c:pt>
                <c:pt idx="11">
                  <c:v>Fossil CCS Int</c:v>
                </c:pt>
                <c:pt idx="12">
                  <c:v>Biomass CCS Int</c:v>
                </c:pt>
                <c:pt idx="13">
                  <c:v>Net Anthropogenic Emissions Int</c:v>
                </c:pt>
              </c:strCache>
            </c:strRef>
          </c:cat>
          <c:val>
            <c:numRef>
              <c:f>WaterfallVertData!$E$27:$E$40</c:f>
              <c:numCache>
                <c:formatCode>General</c:formatCode>
                <c:ptCount val="14"/>
                <c:pt idx="0">
                  <c:v>6361.7116682636697</c:v>
                </c:pt>
                <c:pt idx="1">
                  <c:v>#N/A</c:v>
                </c:pt>
                <c:pt idx="2">
                  <c:v>#N/A</c:v>
                </c:pt>
                <c:pt idx="3">
                  <c:v>#N/A</c:v>
                </c:pt>
                <c:pt idx="4">
                  <c:v>#N/A</c:v>
                </c:pt>
                <c:pt idx="5">
                  <c:v>#N/A</c:v>
                </c:pt>
                <c:pt idx="6">
                  <c:v>#N/A</c:v>
                </c:pt>
                <c:pt idx="7">
                  <c:v>#N/A</c:v>
                </c:pt>
                <c:pt idx="8">
                  <c:v>#N/A</c:v>
                </c:pt>
                <c:pt idx="9">
                  <c:v>#N/A</c:v>
                </c:pt>
                <c:pt idx="10">
                  <c:v>1115.2204204972331</c:v>
                </c:pt>
                <c:pt idx="11">
                  <c:v>#N/A</c:v>
                </c:pt>
                <c:pt idx="12">
                  <c:v>#N/A</c:v>
                </c:pt>
                <c:pt idx="13">
                  <c:v>691.50620087712366</c:v>
                </c:pt>
              </c:numCache>
            </c:numRef>
          </c:val>
          <c:extLst>
            <c:ext xmlns:c16="http://schemas.microsoft.com/office/drawing/2014/chart" uri="{C3380CC4-5D6E-409C-BE32-E72D297353CC}">
              <c16:uniqueId val="{00000003-86AB-C54C-9CBA-FE6A399B1756}"/>
            </c:ext>
          </c:extLst>
        </c:ser>
        <c:ser>
          <c:idx val="1"/>
          <c:order val="1"/>
          <c:tx>
            <c:strRef>
              <c:f>WaterfallVertData!$J$26</c:f>
              <c:strCache>
                <c:ptCount val="1"/>
                <c:pt idx="0">
                  <c:v>Invisible</c:v>
                </c:pt>
              </c:strCache>
            </c:strRef>
          </c:tx>
          <c:spPr>
            <a:noFill/>
            <a:ln>
              <a:noFill/>
            </a:ln>
          </c:spPr>
          <c:invertIfNegative val="0"/>
          <c:cat>
            <c:strRef>
              <c:f>WaterfallVertData!$A$27:$A$40</c:f>
              <c:strCache>
                <c:ptCount val="14"/>
                <c:pt idx="0">
                  <c:v>Total Anthropogenic Emissions Ref</c:v>
                </c:pt>
                <c:pt idx="1">
                  <c:v>∆PEDEq/FE (ESLF)</c:v>
                </c:pt>
                <c:pt idx="2">
                  <c:v>∆P  </c:v>
                </c:pt>
                <c:pt idx="3">
                  <c:v>∆GNP/P</c:v>
                </c:pt>
                <c:pt idx="4">
                  <c:v>∆FE/GNP </c:v>
                </c:pt>
                <c:pt idx="5">
                  <c:v>∆PEFF/PEDEq </c:v>
                </c:pt>
                <c:pt idx="6">
                  <c:v>∆TFC/PEFF </c:v>
                </c:pt>
                <c:pt idx="7">
                  <c:v>∆Total Industry Carbon (TIC)</c:v>
                </c:pt>
                <c:pt idx="8">
                  <c:v>∆Land Use </c:v>
                </c:pt>
                <c:pt idx="9">
                  <c:v>∆Other Gases </c:v>
                </c:pt>
                <c:pt idx="10">
                  <c:v>Total Anthropogenic Emissions Int</c:v>
                </c:pt>
                <c:pt idx="11">
                  <c:v>Fossil CCS Int</c:v>
                </c:pt>
                <c:pt idx="12">
                  <c:v>Biomass CCS Int</c:v>
                </c:pt>
                <c:pt idx="13">
                  <c:v>Net Anthropogenic Emissions Int</c:v>
                </c:pt>
              </c:strCache>
            </c:strRef>
          </c:cat>
          <c:val>
            <c:numRef>
              <c:f>WaterfallVertData!$J$27:$J$40</c:f>
              <c:numCache>
                <c:formatCode>General</c:formatCode>
                <c:ptCount val="14"/>
                <c:pt idx="0">
                  <c:v>#N/A</c:v>
                </c:pt>
                <c:pt idx="1">
                  <c:v>6361.7116682636697</c:v>
                </c:pt>
                <c:pt idx="2">
                  <c:v>6296.9635317415941</c:v>
                </c:pt>
                <c:pt idx="3">
                  <c:v>6126.2458080816905</c:v>
                </c:pt>
                <c:pt idx="4">
                  <c:v>6126.2458080816905</c:v>
                </c:pt>
                <c:pt idx="5">
                  <c:v>4768.3363121530983</c:v>
                </c:pt>
                <c:pt idx="6">
                  <c:v>3538.0038435089245</c:v>
                </c:pt>
                <c:pt idx="7">
                  <c:v>3046.0024511557667</c:v>
                </c:pt>
                <c:pt idx="8">
                  <c:v>2976.4902759279585</c:v>
                </c:pt>
                <c:pt idx="9">
                  <c:v>2370.1312166336847</c:v>
                </c:pt>
                <c:pt idx="10">
                  <c:v>#N/A</c:v>
                </c:pt>
                <c:pt idx="11">
                  <c:v>1115.2204204972331</c:v>
                </c:pt>
                <c:pt idx="12">
                  <c:v>691.51164895171371</c:v>
                </c:pt>
                <c:pt idx="13">
                  <c:v>#N/A</c:v>
                </c:pt>
              </c:numCache>
            </c:numRef>
          </c:val>
          <c:extLst>
            <c:ext xmlns:c16="http://schemas.microsoft.com/office/drawing/2014/chart" uri="{C3380CC4-5D6E-409C-BE32-E72D297353CC}">
              <c16:uniqueId val="{00000004-86AB-C54C-9CBA-FE6A399B1756}"/>
            </c:ext>
          </c:extLst>
        </c:ser>
        <c:ser>
          <c:idx val="2"/>
          <c:order val="2"/>
          <c:tx>
            <c:strRef>
              <c:f>WaterfallVertData!$K$26</c:f>
              <c:strCache>
                <c:ptCount val="1"/>
                <c:pt idx="0">
                  <c:v>Label+</c:v>
                </c:pt>
              </c:strCache>
            </c:strRef>
          </c:tx>
          <c:spPr>
            <a:noFill/>
          </c:spPr>
          <c:invertIfNegative val="0"/>
          <c:dLbls>
            <c:numFmt formatCode="\+#,##0;\+#,##0" sourceLinked="0"/>
            <c:spPr>
              <a:noFill/>
              <a:ln>
                <a:noFill/>
              </a:ln>
              <a:effectLst/>
            </c:spPr>
            <c:txPr>
              <a:bodyPr wrap="square" lIns="38100" tIns="19050" rIns="38100" bIns="19050" anchor="ctr">
                <a:spAutoFit/>
              </a:bodyPr>
              <a:lstStyle/>
              <a:p>
                <a:pPr>
                  <a:defRPr sz="1200"/>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WaterfallVertData!$A$27:$A$40</c:f>
              <c:strCache>
                <c:ptCount val="14"/>
                <c:pt idx="0">
                  <c:v>Total Anthropogenic Emissions Ref</c:v>
                </c:pt>
                <c:pt idx="1">
                  <c:v>∆PEDEq/FE (ESLF)</c:v>
                </c:pt>
                <c:pt idx="2">
                  <c:v>∆P  </c:v>
                </c:pt>
                <c:pt idx="3">
                  <c:v>∆GNP/P</c:v>
                </c:pt>
                <c:pt idx="4">
                  <c:v>∆FE/GNP </c:v>
                </c:pt>
                <c:pt idx="5">
                  <c:v>∆PEFF/PEDEq </c:v>
                </c:pt>
                <c:pt idx="6">
                  <c:v>∆TFC/PEFF </c:v>
                </c:pt>
                <c:pt idx="7">
                  <c:v>∆Total Industry Carbon (TIC)</c:v>
                </c:pt>
                <c:pt idx="8">
                  <c:v>∆Land Use </c:v>
                </c:pt>
                <c:pt idx="9">
                  <c:v>∆Other Gases </c:v>
                </c:pt>
                <c:pt idx="10">
                  <c:v>Total Anthropogenic Emissions Int</c:v>
                </c:pt>
                <c:pt idx="11">
                  <c:v>Fossil CCS Int</c:v>
                </c:pt>
                <c:pt idx="12">
                  <c:v>Biomass CCS Int</c:v>
                </c:pt>
                <c:pt idx="13">
                  <c:v>Net Anthropogenic Emissions Int</c:v>
                </c:pt>
              </c:strCache>
            </c:strRef>
          </c:cat>
          <c:val>
            <c:numRef>
              <c:f>WaterfallVertData!$K$27:$K$40</c:f>
              <c:numCache>
                <c:formatCode>General</c:formatCode>
                <c:ptCount val="14"/>
                <c:pt idx="0">
                  <c:v>#N/A</c:v>
                </c:pt>
                <c:pt idx="1">
                  <c:v>#N/A</c:v>
                </c:pt>
                <c:pt idx="2">
                  <c:v>#N/A</c:v>
                </c:pt>
                <c:pt idx="3">
                  <c:v>87.616591386706148</c:v>
                </c:pt>
                <c:pt idx="4">
                  <c:v>#N/A</c:v>
                </c:pt>
                <c:pt idx="5">
                  <c:v>#N/A</c:v>
                </c:pt>
                <c:pt idx="6">
                  <c:v>#N/A</c:v>
                </c:pt>
                <c:pt idx="7">
                  <c:v>#N/A</c:v>
                </c:pt>
                <c:pt idx="8">
                  <c:v>#N/A</c:v>
                </c:pt>
                <c:pt idx="9">
                  <c:v>#N/A</c:v>
                </c:pt>
                <c:pt idx="10">
                  <c:v>#N/A</c:v>
                </c:pt>
                <c:pt idx="11">
                  <c:v>#N/A</c:v>
                </c:pt>
                <c:pt idx="12">
                  <c:v>#N/A</c:v>
                </c:pt>
                <c:pt idx="13">
                  <c:v>#N/A</c:v>
                </c:pt>
              </c:numCache>
            </c:numRef>
          </c:val>
          <c:extLst>
            <c:ext xmlns:c16="http://schemas.microsoft.com/office/drawing/2014/chart" uri="{C3380CC4-5D6E-409C-BE32-E72D297353CC}">
              <c16:uniqueId val="{00000005-86AB-C54C-9CBA-FE6A399B1756}"/>
            </c:ext>
          </c:extLst>
        </c:ser>
        <c:ser>
          <c:idx val="3"/>
          <c:order val="3"/>
          <c:tx>
            <c:strRef>
              <c:f>WaterfallVertData!$L$26</c:f>
              <c:strCache>
                <c:ptCount val="1"/>
                <c:pt idx="0">
                  <c:v>Label-</c:v>
                </c:pt>
              </c:strCache>
            </c:strRef>
          </c:tx>
          <c:spPr>
            <a:noFill/>
          </c:spPr>
          <c:invertIfNegative val="0"/>
          <c:dLbls>
            <c:numFmt formatCode="\-#,##0;\-#,##0" sourceLinked="0"/>
            <c:spPr>
              <a:noFill/>
              <a:ln>
                <a:noFill/>
              </a:ln>
              <a:effectLst/>
            </c:spPr>
            <c:txPr>
              <a:bodyPr wrap="square" lIns="38100" tIns="19050" rIns="38100" bIns="19050" anchor="ctr">
                <a:spAutoFit/>
              </a:bodyPr>
              <a:lstStyle/>
              <a:p>
                <a:pPr>
                  <a:defRPr sz="1200">
                    <a:latin typeface="Arial" panose="020B0604020202020204" pitchFamily="34" charset="0"/>
                    <a:cs typeface="Arial" panose="020B0604020202020204" pitchFamily="34" charset="0"/>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WaterfallVertData!$A$27:$A$40</c:f>
              <c:strCache>
                <c:ptCount val="14"/>
                <c:pt idx="0">
                  <c:v>Total Anthropogenic Emissions Ref</c:v>
                </c:pt>
                <c:pt idx="1">
                  <c:v>∆PEDEq/FE (ESLF)</c:v>
                </c:pt>
                <c:pt idx="2">
                  <c:v>∆P  </c:v>
                </c:pt>
                <c:pt idx="3">
                  <c:v>∆GNP/P</c:v>
                </c:pt>
                <c:pt idx="4">
                  <c:v>∆FE/GNP </c:v>
                </c:pt>
                <c:pt idx="5">
                  <c:v>∆PEFF/PEDEq </c:v>
                </c:pt>
                <c:pt idx="6">
                  <c:v>∆TFC/PEFF </c:v>
                </c:pt>
                <c:pt idx="7">
                  <c:v>∆Total Industry Carbon (TIC)</c:v>
                </c:pt>
                <c:pt idx="8">
                  <c:v>∆Land Use </c:v>
                </c:pt>
                <c:pt idx="9">
                  <c:v>∆Other Gases </c:v>
                </c:pt>
                <c:pt idx="10">
                  <c:v>Total Anthropogenic Emissions Int</c:v>
                </c:pt>
                <c:pt idx="11">
                  <c:v>Fossil CCS Int</c:v>
                </c:pt>
                <c:pt idx="12">
                  <c:v>Biomass CCS Int</c:v>
                </c:pt>
                <c:pt idx="13">
                  <c:v>Net Anthropogenic Emissions Int</c:v>
                </c:pt>
              </c:strCache>
            </c:strRef>
          </c:cat>
          <c:val>
            <c:numRef>
              <c:f>WaterfallVertData!$L$27:$L$40</c:f>
              <c:numCache>
                <c:formatCode>General</c:formatCode>
                <c:ptCount val="14"/>
                <c:pt idx="0">
                  <c:v>#N/A</c:v>
                </c:pt>
                <c:pt idx="1">
                  <c:v>64.748136522075896</c:v>
                </c:pt>
                <c:pt idx="2">
                  <c:v>258.3343150466099</c:v>
                </c:pt>
                <c:pt idx="3">
                  <c:v>#N/A</c:v>
                </c:pt>
                <c:pt idx="4">
                  <c:v>1357.9094959285922</c:v>
                </c:pt>
                <c:pt idx="5">
                  <c:v>1230.3324686441742</c:v>
                </c:pt>
                <c:pt idx="6">
                  <c:v>492.0013923531576</c:v>
                </c:pt>
                <c:pt idx="7">
                  <c:v>69.512175227808868</c:v>
                </c:pt>
                <c:pt idx="8">
                  <c:v>606.35905929427349</c:v>
                </c:pt>
                <c:pt idx="9">
                  <c:v>1254.9107961364516</c:v>
                </c:pt>
                <c:pt idx="10">
                  <c:v>#N/A</c:v>
                </c:pt>
                <c:pt idx="11">
                  <c:v>423.70877154551943</c:v>
                </c:pt>
                <c:pt idx="12">
                  <c:v>5.4480745900896419E-3</c:v>
                </c:pt>
                <c:pt idx="13">
                  <c:v>#N/A</c:v>
                </c:pt>
              </c:numCache>
            </c:numRef>
          </c:val>
          <c:extLst>
            <c:ext xmlns:c16="http://schemas.microsoft.com/office/drawing/2014/chart" uri="{C3380CC4-5D6E-409C-BE32-E72D297353CC}">
              <c16:uniqueId val="{00000006-86AB-C54C-9CBA-FE6A399B1756}"/>
            </c:ext>
          </c:extLst>
        </c:ser>
        <c:dLbls>
          <c:showLegendKey val="0"/>
          <c:showVal val="0"/>
          <c:showCatName val="0"/>
          <c:showSerName val="0"/>
          <c:showPercent val="0"/>
          <c:showBubbleSize val="0"/>
        </c:dLbls>
        <c:gapWidth val="20"/>
        <c:overlap val="100"/>
        <c:axId val="190566400"/>
        <c:axId val="190567936"/>
      </c:barChart>
      <c:scatterChart>
        <c:scatterStyle val="lineMarker"/>
        <c:varyColors val="0"/>
        <c:ser>
          <c:idx val="4"/>
          <c:order val="4"/>
          <c:tx>
            <c:strRef>
              <c:f>WaterfallVertData!$M$26</c:f>
              <c:strCache>
                <c:ptCount val="1"/>
                <c:pt idx="0">
                  <c:v>Lines</c:v>
                </c:pt>
              </c:strCache>
            </c:strRef>
          </c:tx>
          <c:spPr>
            <a:ln w="28575">
              <a:noFill/>
            </a:ln>
          </c:spPr>
          <c:marker>
            <c:symbol val="none"/>
          </c:marker>
          <c:errBars>
            <c:errDir val="y"/>
            <c:errBarType val="minus"/>
            <c:errValType val="cust"/>
            <c:noEndCap val="1"/>
            <c:plus>
              <c:numLit>
                <c:formatCode>General</c:formatCode>
                <c:ptCount val="1"/>
                <c:pt idx="0">
                  <c:v>1</c:v>
                </c:pt>
              </c:numLit>
            </c:plus>
            <c:minus>
              <c:numRef>
                <c:f>WaterfallVertData!$N$27:$N$40</c:f>
                <c:numCache>
                  <c:formatCode>General</c:formatCode>
                  <c:ptCount val="14"/>
                  <c:pt idx="0">
                    <c:v>7.1428571428571425E-2</c:v>
                  </c:pt>
                  <c:pt idx="1">
                    <c:v>7.1428571428571425E-2</c:v>
                  </c:pt>
                  <c:pt idx="2">
                    <c:v>7.1428571428571425E-2</c:v>
                  </c:pt>
                  <c:pt idx="3">
                    <c:v>7.1428571428571425E-2</c:v>
                  </c:pt>
                  <c:pt idx="4">
                    <c:v>7.1428571428571425E-2</c:v>
                  </c:pt>
                  <c:pt idx="5">
                    <c:v>7.1428571428571425E-2</c:v>
                  </c:pt>
                  <c:pt idx="6">
                    <c:v>7.1428571428571425E-2</c:v>
                  </c:pt>
                  <c:pt idx="7">
                    <c:v>7.1428571428571425E-2</c:v>
                  </c:pt>
                  <c:pt idx="8">
                    <c:v>7.1428571428571425E-2</c:v>
                  </c:pt>
                  <c:pt idx="9">
                    <c:v>7.1428571428571425E-2</c:v>
                  </c:pt>
                  <c:pt idx="10">
                    <c:v>7.1428571428571425E-2</c:v>
                  </c:pt>
                  <c:pt idx="11">
                    <c:v>7.1428571428571425E-2</c:v>
                  </c:pt>
                  <c:pt idx="12">
                    <c:v>7.1428571428571425E-2</c:v>
                  </c:pt>
                  <c:pt idx="13">
                    <c:v>#N/A</c:v>
                  </c:pt>
                </c:numCache>
              </c:numRef>
            </c:minus>
            <c:spPr>
              <a:ln w="12700" cmpd="sng">
                <a:prstDash val="dash"/>
              </a:ln>
            </c:spPr>
          </c:errBars>
          <c:xVal>
            <c:numRef>
              <c:f>WaterfallVertData!$D$27:$D$40</c:f>
              <c:numCache>
                <c:formatCode>General</c:formatCode>
                <c:ptCount val="14"/>
                <c:pt idx="0">
                  <c:v>6361.7116682636697</c:v>
                </c:pt>
                <c:pt idx="1">
                  <c:v>6296.9635317415941</c:v>
                </c:pt>
                <c:pt idx="2">
                  <c:v>6038.6292166949843</c:v>
                </c:pt>
                <c:pt idx="3">
                  <c:v>6126.2458080816905</c:v>
                </c:pt>
                <c:pt idx="4">
                  <c:v>4768.3363121530983</c:v>
                </c:pt>
                <c:pt idx="5">
                  <c:v>3538.0038435089241</c:v>
                </c:pt>
                <c:pt idx="6">
                  <c:v>3046.0024511557667</c:v>
                </c:pt>
                <c:pt idx="7">
                  <c:v>2976.490275927958</c:v>
                </c:pt>
                <c:pt idx="8">
                  <c:v>2370.1312166336847</c:v>
                </c:pt>
                <c:pt idx="9">
                  <c:v>1115.2204204972331</c:v>
                </c:pt>
                <c:pt idx="10">
                  <c:v>1115.2204204972331</c:v>
                </c:pt>
                <c:pt idx="11">
                  <c:v>691.51164895171371</c:v>
                </c:pt>
                <c:pt idx="12">
                  <c:v>691.50620087712366</c:v>
                </c:pt>
                <c:pt idx="13">
                  <c:v>691.50620087712366</c:v>
                </c:pt>
              </c:numCache>
            </c:numRef>
          </c:xVal>
          <c:yVal>
            <c:numRef>
              <c:f>WaterfallVertData!$M$27:$M$40</c:f>
              <c:numCache>
                <c:formatCode>0.00</c:formatCode>
                <c:ptCount val="14"/>
                <c:pt idx="0">
                  <c:v>0.9642857142857143</c:v>
                </c:pt>
                <c:pt idx="1">
                  <c:v>0.8928571428571429</c:v>
                </c:pt>
                <c:pt idx="2">
                  <c:v>0.8214285714285714</c:v>
                </c:pt>
                <c:pt idx="3">
                  <c:v>0.75</c:v>
                </c:pt>
                <c:pt idx="4">
                  <c:v>0.6785714285714286</c:v>
                </c:pt>
                <c:pt idx="5">
                  <c:v>0.6071428571428571</c:v>
                </c:pt>
                <c:pt idx="6">
                  <c:v>0.5357142857142857</c:v>
                </c:pt>
                <c:pt idx="7">
                  <c:v>0.4642857142857143</c:v>
                </c:pt>
                <c:pt idx="8">
                  <c:v>0.39285714285714285</c:v>
                </c:pt>
                <c:pt idx="9">
                  <c:v>0.32142857142857145</c:v>
                </c:pt>
                <c:pt idx="10">
                  <c:v>0.25</c:v>
                </c:pt>
                <c:pt idx="11">
                  <c:v>0.17857142857142858</c:v>
                </c:pt>
                <c:pt idx="12">
                  <c:v>0.10714285714285714</c:v>
                </c:pt>
                <c:pt idx="13">
                  <c:v>3.5714285714285712E-2</c:v>
                </c:pt>
              </c:numCache>
            </c:numRef>
          </c:yVal>
          <c:smooth val="0"/>
          <c:extLst>
            <c:ext xmlns:c16="http://schemas.microsoft.com/office/drawing/2014/chart" uri="{C3380CC4-5D6E-409C-BE32-E72D297353CC}">
              <c16:uniqueId val="{00000007-86AB-C54C-9CBA-FE6A399B1756}"/>
            </c:ext>
          </c:extLst>
        </c:ser>
        <c:ser>
          <c:idx val="5"/>
          <c:order val="5"/>
          <c:tx>
            <c:strRef>
              <c:f>WaterfallVertData!$F$26</c:f>
              <c:strCache>
                <c:ptCount val="1"/>
                <c:pt idx="0">
                  <c:v>Base+</c:v>
                </c:pt>
              </c:strCache>
            </c:strRef>
          </c:tx>
          <c:spPr>
            <a:ln w="28575">
              <a:noFill/>
            </a:ln>
          </c:spPr>
          <c:marker>
            <c:symbol val="none"/>
          </c:marker>
          <c:errBars>
            <c:errDir val="x"/>
            <c:errBarType val="minus"/>
            <c:errValType val="cust"/>
            <c:noEndCap val="1"/>
            <c:plus>
              <c:numLit>
                <c:formatCode>General</c:formatCode>
                <c:ptCount val="1"/>
                <c:pt idx="0">
                  <c:v>1</c:v>
                </c:pt>
              </c:numLit>
            </c:plus>
            <c:minus>
              <c:numRef>
                <c:f>WaterfallVertData!$H$27:$H$40</c:f>
                <c:numCache>
                  <c:formatCode>General</c:formatCode>
                  <c:ptCount val="14"/>
                  <c:pt idx="0">
                    <c:v>#N/A</c:v>
                  </c:pt>
                  <c:pt idx="1">
                    <c:v>#N/A</c:v>
                  </c:pt>
                  <c:pt idx="2">
                    <c:v>#N/A</c:v>
                  </c:pt>
                  <c:pt idx="3">
                    <c:v>87.616591386706148</c:v>
                  </c:pt>
                  <c:pt idx="4">
                    <c:v>#N/A</c:v>
                  </c:pt>
                  <c:pt idx="5">
                    <c:v>#N/A</c:v>
                  </c:pt>
                  <c:pt idx="6">
                    <c:v>#N/A</c:v>
                  </c:pt>
                  <c:pt idx="7">
                    <c:v>#N/A</c:v>
                  </c:pt>
                  <c:pt idx="8">
                    <c:v>#N/A</c:v>
                  </c:pt>
                  <c:pt idx="9">
                    <c:v>#N/A</c:v>
                  </c:pt>
                  <c:pt idx="10">
                    <c:v>#N/A</c:v>
                  </c:pt>
                  <c:pt idx="11">
                    <c:v>#N/A</c:v>
                  </c:pt>
                  <c:pt idx="12">
                    <c:v>#N/A</c:v>
                  </c:pt>
                  <c:pt idx="13">
                    <c:v>#N/A</c:v>
                  </c:pt>
                </c:numCache>
              </c:numRef>
            </c:minus>
            <c:spPr>
              <a:ln w="444500">
                <a:solidFill>
                  <a:schemeClr val="accent1"/>
                </a:solidFill>
              </a:ln>
            </c:spPr>
          </c:errBars>
          <c:xVal>
            <c:numRef>
              <c:f>WaterfallVertData!$F$27:$F$40</c:f>
              <c:numCache>
                <c:formatCode>General</c:formatCode>
                <c:ptCount val="14"/>
                <c:pt idx="0">
                  <c:v>#N/A</c:v>
                </c:pt>
                <c:pt idx="1">
                  <c:v>#N/A</c:v>
                </c:pt>
                <c:pt idx="2">
                  <c:v>#N/A</c:v>
                </c:pt>
                <c:pt idx="3">
                  <c:v>6126.2458080816905</c:v>
                </c:pt>
                <c:pt idx="4">
                  <c:v>#N/A</c:v>
                </c:pt>
                <c:pt idx="5">
                  <c:v>#N/A</c:v>
                </c:pt>
                <c:pt idx="6">
                  <c:v>#N/A</c:v>
                </c:pt>
                <c:pt idx="7">
                  <c:v>#N/A</c:v>
                </c:pt>
                <c:pt idx="8">
                  <c:v>#N/A</c:v>
                </c:pt>
                <c:pt idx="9">
                  <c:v>#N/A</c:v>
                </c:pt>
                <c:pt idx="10">
                  <c:v>#N/A</c:v>
                </c:pt>
                <c:pt idx="11">
                  <c:v>#N/A</c:v>
                </c:pt>
                <c:pt idx="12">
                  <c:v>#N/A</c:v>
                </c:pt>
                <c:pt idx="13">
                  <c:v>#N/A</c:v>
                </c:pt>
              </c:numCache>
            </c:numRef>
          </c:xVal>
          <c:yVal>
            <c:numRef>
              <c:f>WaterfallVertData!$M$27:$M$40</c:f>
              <c:numCache>
                <c:formatCode>0.00</c:formatCode>
                <c:ptCount val="14"/>
                <c:pt idx="0">
                  <c:v>0.9642857142857143</c:v>
                </c:pt>
                <c:pt idx="1">
                  <c:v>0.8928571428571429</c:v>
                </c:pt>
                <c:pt idx="2">
                  <c:v>0.8214285714285714</c:v>
                </c:pt>
                <c:pt idx="3">
                  <c:v>0.75</c:v>
                </c:pt>
                <c:pt idx="4">
                  <c:v>0.6785714285714286</c:v>
                </c:pt>
                <c:pt idx="5">
                  <c:v>0.6071428571428571</c:v>
                </c:pt>
                <c:pt idx="6">
                  <c:v>0.5357142857142857</c:v>
                </c:pt>
                <c:pt idx="7">
                  <c:v>0.4642857142857143</c:v>
                </c:pt>
                <c:pt idx="8">
                  <c:v>0.39285714285714285</c:v>
                </c:pt>
                <c:pt idx="9">
                  <c:v>0.32142857142857145</c:v>
                </c:pt>
                <c:pt idx="10">
                  <c:v>0.25</c:v>
                </c:pt>
                <c:pt idx="11">
                  <c:v>0.17857142857142858</c:v>
                </c:pt>
                <c:pt idx="12">
                  <c:v>0.10714285714285714</c:v>
                </c:pt>
                <c:pt idx="13">
                  <c:v>3.5714285714285712E-2</c:v>
                </c:pt>
              </c:numCache>
            </c:numRef>
          </c:yVal>
          <c:smooth val="0"/>
          <c:extLst>
            <c:ext xmlns:c16="http://schemas.microsoft.com/office/drawing/2014/chart" uri="{C3380CC4-5D6E-409C-BE32-E72D297353CC}">
              <c16:uniqueId val="{00000008-86AB-C54C-9CBA-FE6A399B1756}"/>
            </c:ext>
          </c:extLst>
        </c:ser>
        <c:ser>
          <c:idx val="6"/>
          <c:order val="6"/>
          <c:tx>
            <c:strRef>
              <c:f>WaterfallVertData!$G$26</c:f>
              <c:strCache>
                <c:ptCount val="1"/>
                <c:pt idx="0">
                  <c:v>Base-</c:v>
                </c:pt>
              </c:strCache>
            </c:strRef>
          </c:tx>
          <c:spPr>
            <a:ln w="28575">
              <a:noFill/>
            </a:ln>
          </c:spPr>
          <c:marker>
            <c:symbol val="none"/>
          </c:marker>
          <c:errBars>
            <c:errDir val="x"/>
            <c:errBarType val="plus"/>
            <c:errValType val="cust"/>
            <c:noEndCap val="1"/>
            <c:plus>
              <c:numRef>
                <c:f>WaterfallVertData!$I$27:$I$40</c:f>
                <c:numCache>
                  <c:formatCode>General</c:formatCode>
                  <c:ptCount val="14"/>
                  <c:pt idx="0">
                    <c:v>#N/A</c:v>
                  </c:pt>
                  <c:pt idx="1">
                    <c:v>64.748136522075896</c:v>
                  </c:pt>
                  <c:pt idx="2">
                    <c:v>258.3343150466099</c:v>
                  </c:pt>
                  <c:pt idx="3">
                    <c:v>#N/A</c:v>
                  </c:pt>
                  <c:pt idx="4">
                    <c:v>1357.9094959285922</c:v>
                  </c:pt>
                  <c:pt idx="5">
                    <c:v>1230.3324686441742</c:v>
                  </c:pt>
                  <c:pt idx="6">
                    <c:v>492.0013923531576</c:v>
                  </c:pt>
                  <c:pt idx="7">
                    <c:v>69.512175227808868</c:v>
                  </c:pt>
                  <c:pt idx="8">
                    <c:v>606.35905929427349</c:v>
                  </c:pt>
                  <c:pt idx="9">
                    <c:v>1254.9107961364516</c:v>
                  </c:pt>
                  <c:pt idx="10">
                    <c:v>#N/A</c:v>
                  </c:pt>
                  <c:pt idx="11">
                    <c:v>423.70877154551943</c:v>
                  </c:pt>
                  <c:pt idx="12">
                    <c:v>5.4480745900896419E-3</c:v>
                  </c:pt>
                  <c:pt idx="13">
                    <c:v>#N/A</c:v>
                  </c:pt>
                </c:numCache>
              </c:numRef>
            </c:plus>
            <c:minus>
              <c:numLit>
                <c:formatCode>General</c:formatCode>
                <c:ptCount val="1"/>
                <c:pt idx="0">
                  <c:v>1</c:v>
                </c:pt>
              </c:numLit>
            </c:minus>
            <c:spPr>
              <a:ln w="444500">
                <a:solidFill>
                  <a:schemeClr val="accent2"/>
                </a:solidFill>
              </a:ln>
            </c:spPr>
          </c:errBars>
          <c:xVal>
            <c:numRef>
              <c:f>WaterfallVertData!$G$27:$G$40</c:f>
              <c:numCache>
                <c:formatCode>General</c:formatCode>
                <c:ptCount val="14"/>
                <c:pt idx="0">
                  <c:v>#N/A</c:v>
                </c:pt>
                <c:pt idx="1">
                  <c:v>6296.9635317415941</c:v>
                </c:pt>
                <c:pt idx="2">
                  <c:v>6038.6292166949843</c:v>
                </c:pt>
                <c:pt idx="3">
                  <c:v>#N/A</c:v>
                </c:pt>
                <c:pt idx="4">
                  <c:v>4768.3363121530983</c:v>
                </c:pt>
                <c:pt idx="5">
                  <c:v>3538.0038435089241</c:v>
                </c:pt>
                <c:pt idx="6">
                  <c:v>3046.0024511557667</c:v>
                </c:pt>
                <c:pt idx="7">
                  <c:v>2976.490275927958</c:v>
                </c:pt>
                <c:pt idx="8">
                  <c:v>2370.1312166336847</c:v>
                </c:pt>
                <c:pt idx="9">
                  <c:v>1115.2204204972331</c:v>
                </c:pt>
                <c:pt idx="10">
                  <c:v>#N/A</c:v>
                </c:pt>
                <c:pt idx="11">
                  <c:v>691.51164895171371</c:v>
                </c:pt>
                <c:pt idx="12">
                  <c:v>691.50620087712366</c:v>
                </c:pt>
                <c:pt idx="13">
                  <c:v>#N/A</c:v>
                </c:pt>
              </c:numCache>
            </c:numRef>
          </c:xVal>
          <c:yVal>
            <c:numRef>
              <c:f>WaterfallVertData!$M$27:$M$40</c:f>
              <c:numCache>
                <c:formatCode>0.00</c:formatCode>
                <c:ptCount val="14"/>
                <c:pt idx="0">
                  <c:v>0.9642857142857143</c:v>
                </c:pt>
                <c:pt idx="1">
                  <c:v>0.8928571428571429</c:v>
                </c:pt>
                <c:pt idx="2">
                  <c:v>0.8214285714285714</c:v>
                </c:pt>
                <c:pt idx="3">
                  <c:v>0.75</c:v>
                </c:pt>
                <c:pt idx="4">
                  <c:v>0.6785714285714286</c:v>
                </c:pt>
                <c:pt idx="5">
                  <c:v>0.6071428571428571</c:v>
                </c:pt>
                <c:pt idx="6">
                  <c:v>0.5357142857142857</c:v>
                </c:pt>
                <c:pt idx="7">
                  <c:v>0.4642857142857143</c:v>
                </c:pt>
                <c:pt idx="8">
                  <c:v>0.39285714285714285</c:v>
                </c:pt>
                <c:pt idx="9">
                  <c:v>0.32142857142857145</c:v>
                </c:pt>
                <c:pt idx="10">
                  <c:v>0.25</c:v>
                </c:pt>
                <c:pt idx="11">
                  <c:v>0.17857142857142858</c:v>
                </c:pt>
                <c:pt idx="12">
                  <c:v>0.10714285714285714</c:v>
                </c:pt>
                <c:pt idx="13">
                  <c:v>3.5714285714285712E-2</c:v>
                </c:pt>
              </c:numCache>
            </c:numRef>
          </c:yVal>
          <c:smooth val="0"/>
          <c:extLst>
            <c:ext xmlns:c16="http://schemas.microsoft.com/office/drawing/2014/chart" uri="{C3380CC4-5D6E-409C-BE32-E72D297353CC}">
              <c16:uniqueId val="{00000009-86AB-C54C-9CBA-FE6A399B1756}"/>
            </c:ext>
          </c:extLst>
        </c:ser>
        <c:dLbls>
          <c:showLegendKey val="0"/>
          <c:showVal val="0"/>
          <c:showCatName val="0"/>
          <c:showSerName val="0"/>
          <c:showPercent val="0"/>
          <c:showBubbleSize val="0"/>
        </c:dLbls>
        <c:axId val="191038208"/>
        <c:axId val="190569472"/>
      </c:scatterChart>
      <c:catAx>
        <c:axId val="190566400"/>
        <c:scaling>
          <c:orientation val="maxMin"/>
        </c:scaling>
        <c:delete val="0"/>
        <c:axPos val="l"/>
        <c:numFmt formatCode="General" sourceLinked="0"/>
        <c:majorTickMark val="out"/>
        <c:minorTickMark val="none"/>
        <c:tickLblPos val="low"/>
        <c:spPr>
          <a:ln w="19050"/>
        </c:spPr>
        <c:txPr>
          <a:bodyPr/>
          <a:lstStyle/>
          <a:p>
            <a:pPr>
              <a:defRPr sz="1200" b="1">
                <a:latin typeface="Arial" panose="020B0604020202020204" pitchFamily="34" charset="0"/>
                <a:cs typeface="Arial" panose="020B0604020202020204" pitchFamily="34" charset="0"/>
              </a:defRPr>
            </a:pPr>
            <a:endParaRPr lang="en-US"/>
          </a:p>
        </c:txPr>
        <c:crossAx val="190567936"/>
        <c:crossesAt val="0"/>
        <c:auto val="1"/>
        <c:lblAlgn val="ctr"/>
        <c:lblOffset val="100"/>
        <c:noMultiLvlLbl val="0"/>
      </c:catAx>
      <c:valAx>
        <c:axId val="190567936"/>
        <c:scaling>
          <c:orientation val="minMax"/>
          <c:max val="8000"/>
        </c:scaling>
        <c:delete val="0"/>
        <c:axPos val="b"/>
        <c:title>
          <c:tx>
            <c:rich>
              <a:bodyPr/>
              <a:lstStyle/>
              <a:p>
                <a:pPr>
                  <a:defRPr/>
                </a:pPr>
                <a:r>
                  <a:rPr lang="en-US" sz="1200">
                    <a:latin typeface="Arial" panose="020B0604020202020204" pitchFamily="34" charset="0"/>
                    <a:cs typeface="Arial" panose="020B0604020202020204" pitchFamily="34" charset="0"/>
                  </a:rPr>
                  <a:t>Gt</a:t>
                </a:r>
                <a:r>
                  <a:rPr lang="en-US" sz="1200" baseline="0">
                    <a:latin typeface="Arial" panose="020B0604020202020204" pitchFamily="34" charset="0"/>
                    <a:cs typeface="Arial" panose="020B0604020202020204" pitchFamily="34" charset="0"/>
                  </a:rPr>
                  <a:t> CO2-eq</a:t>
                </a:r>
                <a:endParaRPr lang="en-US" sz="1200">
                  <a:latin typeface="Arial" panose="020B0604020202020204" pitchFamily="34" charset="0"/>
                  <a:cs typeface="Arial" panose="020B0604020202020204" pitchFamily="34" charset="0"/>
                </a:endParaRPr>
              </a:p>
            </c:rich>
          </c:tx>
          <c:overlay val="0"/>
        </c:title>
        <c:numFmt formatCode="General" sourceLinked="1"/>
        <c:majorTickMark val="out"/>
        <c:minorTickMark val="none"/>
        <c:tickLblPos val="nextTo"/>
        <c:txPr>
          <a:bodyPr/>
          <a:lstStyle/>
          <a:p>
            <a:pPr>
              <a:defRPr sz="1200"/>
            </a:pPr>
            <a:endParaRPr lang="en-US"/>
          </a:p>
        </c:txPr>
        <c:crossAx val="190566400"/>
        <c:crosses val="max"/>
        <c:crossBetween val="between"/>
      </c:valAx>
      <c:valAx>
        <c:axId val="190569472"/>
        <c:scaling>
          <c:orientation val="minMax"/>
          <c:max val="1"/>
          <c:min val="0"/>
        </c:scaling>
        <c:delete val="1"/>
        <c:axPos val="r"/>
        <c:numFmt formatCode="0.00" sourceLinked="1"/>
        <c:majorTickMark val="out"/>
        <c:minorTickMark val="none"/>
        <c:tickLblPos val="nextTo"/>
        <c:crossAx val="191038208"/>
        <c:crosses val="max"/>
        <c:crossBetween val="midCat"/>
      </c:valAx>
      <c:valAx>
        <c:axId val="191038208"/>
        <c:scaling>
          <c:orientation val="minMax"/>
        </c:scaling>
        <c:delete val="1"/>
        <c:axPos val="b"/>
        <c:numFmt formatCode="General" sourceLinked="1"/>
        <c:majorTickMark val="out"/>
        <c:minorTickMark val="none"/>
        <c:tickLblPos val="nextTo"/>
        <c:crossAx val="190569472"/>
        <c:crosses val="autoZero"/>
        <c:crossBetween val="midCat"/>
      </c:valAx>
    </c:plotArea>
    <c:plotVisOnly val="1"/>
    <c:dispBlanksAs val="gap"/>
    <c:showDLblsOverMax val="0"/>
  </c:chart>
  <c:spPr>
    <a:ln>
      <a:noFill/>
    </a:ln>
  </c:spPr>
  <c:userShapes r:id="rId1"/>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a:latin typeface="Arial" panose="020B0604020202020204" pitchFamily="34" charset="0"/>
                <a:cs typeface="Arial" panose="020B0604020202020204" pitchFamily="34" charset="0"/>
              </a:defRPr>
            </a:pPr>
            <a:r>
              <a:rPr lang="en-US" sz="1600" b="1">
                <a:latin typeface="Arial" panose="020B0604020202020204" pitchFamily="34" charset="0"/>
                <a:cs typeface="Arial" panose="020B0604020202020204" pitchFamily="34" charset="0"/>
              </a:rPr>
              <a:t>Cumulative</a:t>
            </a:r>
            <a:r>
              <a:rPr lang="en-US" sz="1600" b="1" baseline="0">
                <a:latin typeface="Arial" panose="020B0604020202020204" pitchFamily="34" charset="0"/>
                <a:cs typeface="Arial" panose="020B0604020202020204" pitchFamily="34" charset="0"/>
              </a:rPr>
              <a:t> CO2-eq Emissions from 2020 to 2050, All Sectors</a:t>
            </a:r>
          </a:p>
          <a:p>
            <a:pPr>
              <a:defRPr sz="1600" b="1">
                <a:latin typeface="Arial" panose="020B0604020202020204" pitchFamily="34" charset="0"/>
                <a:cs typeface="Arial" panose="020B0604020202020204" pitchFamily="34" charset="0"/>
              </a:defRPr>
            </a:pPr>
            <a:r>
              <a:rPr lang="en-US" sz="1600" b="1">
                <a:latin typeface="Arial" panose="020B0604020202020204" pitchFamily="34" charset="0"/>
                <a:cs typeface="Arial" panose="020B0604020202020204" pitchFamily="34" charset="0"/>
              </a:rPr>
              <a:t>Reference (Ref) vs.</a:t>
            </a:r>
            <a:r>
              <a:rPr lang="en-US" sz="1600" b="1" baseline="0">
                <a:latin typeface="Arial" panose="020B0604020202020204" pitchFamily="34" charset="0"/>
                <a:cs typeface="Arial" panose="020B0604020202020204" pitchFamily="34" charset="0"/>
              </a:rPr>
              <a:t> Intervention (Int)</a:t>
            </a:r>
          </a:p>
        </c:rich>
      </c:tx>
      <c:overlay val="0"/>
    </c:title>
    <c:autoTitleDeleted val="0"/>
    <c:plotArea>
      <c:layout>
        <c:manualLayout>
          <c:layoutTarget val="inner"/>
          <c:xMode val="edge"/>
          <c:yMode val="edge"/>
          <c:x val="0.17753835935544732"/>
          <c:y val="0.11780444012194438"/>
          <c:w val="0.77739236599092598"/>
          <c:h val="0.79882107966907934"/>
        </c:manualLayout>
      </c:layout>
      <c:barChart>
        <c:barDir val="bar"/>
        <c:grouping val="stacked"/>
        <c:varyColors val="0"/>
        <c:ser>
          <c:idx val="0"/>
          <c:order val="0"/>
          <c:tx>
            <c:strRef>
              <c:f>WaterfallVertData2050!$E$26</c:f>
              <c:strCache>
                <c:ptCount val="1"/>
                <c:pt idx="0">
                  <c:v>Pillars</c:v>
                </c:pt>
              </c:strCache>
            </c:strRef>
          </c:tx>
          <c:spPr>
            <a:solidFill>
              <a:schemeClr val="accent3"/>
            </a:solidFill>
          </c:spPr>
          <c:invertIfNegative val="0"/>
          <c:dLbls>
            <c:dLbl>
              <c:idx val="0"/>
              <c:layout>
                <c:manualLayout>
                  <c:x val="0.16130788755993059"/>
                  <c:y val="-1.0394352506743302E-4"/>
                </c:manualLayout>
              </c:layout>
              <c:numFmt formatCode="#,##0.0" sourceLinked="0"/>
              <c:spPr>
                <a:noFill/>
                <a:ln>
                  <a:noFill/>
                </a:ln>
                <a:effectLst/>
              </c:spPr>
              <c:txPr>
                <a:bodyPr wrap="square" lIns="38100" tIns="19050" rIns="38100" bIns="19050" anchor="ctr">
                  <a:noAutofit/>
                </a:bodyPr>
                <a:lstStyle/>
                <a:p>
                  <a:pPr>
                    <a:defRPr sz="1200"/>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5.7440778160443205E-2"/>
                      <c:h val="3.3464128020786701E-2"/>
                    </c:manualLayout>
                  </c15:layout>
                </c:ext>
                <c:ext xmlns:c16="http://schemas.microsoft.com/office/drawing/2014/chart" uri="{C3380CC4-5D6E-409C-BE32-E72D297353CC}">
                  <c16:uniqueId val="{00000000-43B2-0141-B9E6-D416DC13463B}"/>
                </c:ext>
              </c:extLst>
            </c:dLbl>
            <c:dLbl>
              <c:idx val="10"/>
              <c:layout>
                <c:manualLayout>
                  <c:x val="0.10044606249645906"/>
                  <c:y val="-6.5134323802046808E-7"/>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43B2-0141-B9E6-D416DC13463B}"/>
                </c:ext>
              </c:extLst>
            </c:dLbl>
            <c:dLbl>
              <c:idx val="13"/>
              <c:layout>
                <c:manualLayout>
                  <c:x val="8.1707990339106487E-2"/>
                  <c:y val="-2.6942270254684975E-3"/>
                </c:manualLayout>
              </c:layout>
              <c:tx>
                <c:rich>
                  <a:bodyPr wrap="square" lIns="38100" tIns="19050" rIns="38100" bIns="19050" anchor="ctr">
                    <a:noAutofit/>
                  </a:bodyPr>
                  <a:lstStyle/>
                  <a:p>
                    <a:pPr>
                      <a:defRPr sz="1200"/>
                    </a:pPr>
                    <a:fld id="{08098DF5-DD88-DC4D-BE5F-756F278077F3}" type="VALUE">
                      <a:rPr lang="en-US"/>
                      <a:pPr>
                        <a:defRPr sz="1200"/>
                      </a:pPr>
                      <a:t>[VALUE]</a:t>
                    </a:fld>
                    <a:endParaRPr lang="en-US"/>
                  </a:p>
                </c:rich>
              </c:tx>
              <c:numFmt formatCode="#,##0.0" sourceLinked="0"/>
              <c:spPr>
                <a:noFill/>
                <a:ln>
                  <a:noFill/>
                </a:ln>
                <a:effectLst/>
              </c:spPr>
              <c:dLblPos val="ctr"/>
              <c:showLegendKey val="0"/>
              <c:showVal val="1"/>
              <c:showCatName val="0"/>
              <c:showSerName val="0"/>
              <c:showPercent val="0"/>
              <c:showBubbleSize val="0"/>
              <c:extLst>
                <c:ext xmlns:c15="http://schemas.microsoft.com/office/drawing/2012/chart" uri="{CE6537A1-D6FC-4f65-9D91-7224C49458BB}">
                  <c15:layout>
                    <c:manualLayout>
                      <c:w val="3.9185615395407096E-2"/>
                      <c:h val="4.9142978850993613E-2"/>
                    </c:manualLayout>
                  </c15:layout>
                  <c15:dlblFieldTable/>
                  <c15:showDataLabelsRange val="0"/>
                </c:ext>
                <c:ext xmlns:c16="http://schemas.microsoft.com/office/drawing/2014/chart" uri="{C3380CC4-5D6E-409C-BE32-E72D297353CC}">
                  <c16:uniqueId val="{00000002-43B2-0141-B9E6-D416DC13463B}"/>
                </c:ext>
              </c:extLst>
            </c:dLbl>
            <c:numFmt formatCode="#,##0.0" sourceLinked="0"/>
            <c:spPr>
              <a:noFill/>
              <a:ln>
                <a:noFill/>
              </a:ln>
              <a:effectLst/>
            </c:spPr>
            <c:txPr>
              <a:bodyPr wrap="square" lIns="38100" tIns="19050" rIns="38100" bIns="19050" anchor="ctr">
                <a:spAutoFit/>
              </a:bodyPr>
              <a:lstStyle/>
              <a:p>
                <a:pPr>
                  <a:defRPr sz="1200"/>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WaterfallVertData2050!$A$27:$A$40</c:f>
              <c:strCache>
                <c:ptCount val="14"/>
                <c:pt idx="0">
                  <c:v>Total Anthropogenic Emissions Ref</c:v>
                </c:pt>
                <c:pt idx="1">
                  <c:v>∆PEDEq/FE (ESLF)</c:v>
                </c:pt>
                <c:pt idx="2">
                  <c:v>∆P  </c:v>
                </c:pt>
                <c:pt idx="3">
                  <c:v>∆GNP/P</c:v>
                </c:pt>
                <c:pt idx="4">
                  <c:v>∆FE/GNP </c:v>
                </c:pt>
                <c:pt idx="5">
                  <c:v>∆PEFF/PEDEq </c:v>
                </c:pt>
                <c:pt idx="6">
                  <c:v>∆TFC/PEFF </c:v>
                </c:pt>
                <c:pt idx="7">
                  <c:v>∆Total Industry Carbon (TIC)</c:v>
                </c:pt>
                <c:pt idx="8">
                  <c:v>∆Land Use </c:v>
                </c:pt>
                <c:pt idx="9">
                  <c:v>∆Other Gases </c:v>
                </c:pt>
                <c:pt idx="10">
                  <c:v>Total Anthropogenic Emissions Int</c:v>
                </c:pt>
                <c:pt idx="11">
                  <c:v>Fossil CCS Int</c:v>
                </c:pt>
                <c:pt idx="12">
                  <c:v>Biomass CCS Int</c:v>
                </c:pt>
                <c:pt idx="13">
                  <c:v>Net Anthropogenic Emissions Int</c:v>
                </c:pt>
              </c:strCache>
            </c:strRef>
          </c:cat>
          <c:val>
            <c:numRef>
              <c:f>WaterfallVertData2050!$E$27:$E$40</c:f>
              <c:numCache>
                <c:formatCode>General</c:formatCode>
                <c:ptCount val="14"/>
                <c:pt idx="0">
                  <c:v>2136.6642242837129</c:v>
                </c:pt>
                <c:pt idx="1">
                  <c:v>#N/A</c:v>
                </c:pt>
                <c:pt idx="2">
                  <c:v>#N/A</c:v>
                </c:pt>
                <c:pt idx="3">
                  <c:v>#N/A</c:v>
                </c:pt>
                <c:pt idx="4">
                  <c:v>#N/A</c:v>
                </c:pt>
                <c:pt idx="5">
                  <c:v>#N/A</c:v>
                </c:pt>
                <c:pt idx="6">
                  <c:v>#N/A</c:v>
                </c:pt>
                <c:pt idx="7">
                  <c:v>#N/A</c:v>
                </c:pt>
                <c:pt idx="8">
                  <c:v>#N/A</c:v>
                </c:pt>
                <c:pt idx="9">
                  <c:v>#N/A</c:v>
                </c:pt>
                <c:pt idx="10">
                  <c:v>717.63795765702389</c:v>
                </c:pt>
                <c:pt idx="11">
                  <c:v>#N/A</c:v>
                </c:pt>
                <c:pt idx="12">
                  <c:v>#N/A</c:v>
                </c:pt>
                <c:pt idx="13">
                  <c:v>634.66224455728684</c:v>
                </c:pt>
              </c:numCache>
            </c:numRef>
          </c:val>
          <c:extLst>
            <c:ext xmlns:c16="http://schemas.microsoft.com/office/drawing/2014/chart" uri="{C3380CC4-5D6E-409C-BE32-E72D297353CC}">
              <c16:uniqueId val="{00000003-43B2-0141-B9E6-D416DC13463B}"/>
            </c:ext>
          </c:extLst>
        </c:ser>
        <c:ser>
          <c:idx val="1"/>
          <c:order val="1"/>
          <c:tx>
            <c:strRef>
              <c:f>WaterfallVertData2050!$J$26</c:f>
              <c:strCache>
                <c:ptCount val="1"/>
                <c:pt idx="0">
                  <c:v>Invisible</c:v>
                </c:pt>
              </c:strCache>
            </c:strRef>
          </c:tx>
          <c:spPr>
            <a:noFill/>
            <a:ln>
              <a:noFill/>
            </a:ln>
          </c:spPr>
          <c:invertIfNegative val="0"/>
          <c:cat>
            <c:strRef>
              <c:f>WaterfallVertData2050!$A$27:$A$40</c:f>
              <c:strCache>
                <c:ptCount val="14"/>
                <c:pt idx="0">
                  <c:v>Total Anthropogenic Emissions Ref</c:v>
                </c:pt>
                <c:pt idx="1">
                  <c:v>∆PEDEq/FE (ESLF)</c:v>
                </c:pt>
                <c:pt idx="2">
                  <c:v>∆P  </c:v>
                </c:pt>
                <c:pt idx="3">
                  <c:v>∆GNP/P</c:v>
                </c:pt>
                <c:pt idx="4">
                  <c:v>∆FE/GNP </c:v>
                </c:pt>
                <c:pt idx="5">
                  <c:v>∆PEFF/PEDEq </c:v>
                </c:pt>
                <c:pt idx="6">
                  <c:v>∆TFC/PEFF </c:v>
                </c:pt>
                <c:pt idx="7">
                  <c:v>∆Total Industry Carbon (TIC)</c:v>
                </c:pt>
                <c:pt idx="8">
                  <c:v>∆Land Use </c:v>
                </c:pt>
                <c:pt idx="9">
                  <c:v>∆Other Gases </c:v>
                </c:pt>
                <c:pt idx="10">
                  <c:v>Total Anthropogenic Emissions Int</c:v>
                </c:pt>
                <c:pt idx="11">
                  <c:v>Fossil CCS Int</c:v>
                </c:pt>
                <c:pt idx="12">
                  <c:v>Biomass CCS Int</c:v>
                </c:pt>
                <c:pt idx="13">
                  <c:v>Net Anthropogenic Emissions Int</c:v>
                </c:pt>
              </c:strCache>
            </c:strRef>
          </c:cat>
          <c:val>
            <c:numRef>
              <c:f>WaterfallVertData2050!$J$27:$J$40</c:f>
              <c:numCache>
                <c:formatCode>General</c:formatCode>
                <c:ptCount val="14"/>
                <c:pt idx="0">
                  <c:v>#N/A</c:v>
                </c:pt>
                <c:pt idx="1">
                  <c:v>2136.6642242837129</c:v>
                </c:pt>
                <c:pt idx="2">
                  <c:v>2076.1615989745524</c:v>
                </c:pt>
                <c:pt idx="3">
                  <c:v>2064.041920899992</c:v>
                </c:pt>
                <c:pt idx="4">
                  <c:v>2064.041920899992</c:v>
                </c:pt>
                <c:pt idx="5">
                  <c:v>1645.2391142548474</c:v>
                </c:pt>
                <c:pt idx="6">
                  <c:v>1437.2308517403774</c:v>
                </c:pt>
                <c:pt idx="7">
                  <c:v>1335.4667231243097</c:v>
                </c:pt>
                <c:pt idx="8">
                  <c:v>1325.2012812383641</c:v>
                </c:pt>
                <c:pt idx="9">
                  <c:v>1056.3723402383318</c:v>
                </c:pt>
                <c:pt idx="10">
                  <c:v>#N/A</c:v>
                </c:pt>
                <c:pt idx="11">
                  <c:v>717.63795765702389</c:v>
                </c:pt>
                <c:pt idx="12">
                  <c:v>634.66276555384036</c:v>
                </c:pt>
                <c:pt idx="13">
                  <c:v>#N/A</c:v>
                </c:pt>
              </c:numCache>
            </c:numRef>
          </c:val>
          <c:extLst>
            <c:ext xmlns:c16="http://schemas.microsoft.com/office/drawing/2014/chart" uri="{C3380CC4-5D6E-409C-BE32-E72D297353CC}">
              <c16:uniqueId val="{00000004-43B2-0141-B9E6-D416DC13463B}"/>
            </c:ext>
          </c:extLst>
        </c:ser>
        <c:ser>
          <c:idx val="2"/>
          <c:order val="2"/>
          <c:tx>
            <c:strRef>
              <c:f>WaterfallVertData2050!$K$26</c:f>
              <c:strCache>
                <c:ptCount val="1"/>
                <c:pt idx="0">
                  <c:v>Label+</c:v>
                </c:pt>
              </c:strCache>
            </c:strRef>
          </c:tx>
          <c:spPr>
            <a:noFill/>
          </c:spPr>
          <c:invertIfNegative val="0"/>
          <c:dLbls>
            <c:numFmt formatCode="\+#,##0;\+#,##0" sourceLinked="0"/>
            <c:spPr>
              <a:noFill/>
              <a:ln>
                <a:noFill/>
              </a:ln>
              <a:effectLst/>
            </c:spPr>
            <c:txPr>
              <a:bodyPr wrap="square" lIns="38100" tIns="19050" rIns="38100" bIns="19050" anchor="ctr">
                <a:spAutoFit/>
              </a:bodyPr>
              <a:lstStyle/>
              <a:p>
                <a:pPr>
                  <a:defRPr sz="1200"/>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WaterfallVertData2050!$A$27:$A$40</c:f>
              <c:strCache>
                <c:ptCount val="14"/>
                <c:pt idx="0">
                  <c:v>Total Anthropogenic Emissions Ref</c:v>
                </c:pt>
                <c:pt idx="1">
                  <c:v>∆PEDEq/FE (ESLF)</c:v>
                </c:pt>
                <c:pt idx="2">
                  <c:v>∆P  </c:v>
                </c:pt>
                <c:pt idx="3">
                  <c:v>∆GNP/P</c:v>
                </c:pt>
                <c:pt idx="4">
                  <c:v>∆FE/GNP </c:v>
                </c:pt>
                <c:pt idx="5">
                  <c:v>∆PEFF/PEDEq </c:v>
                </c:pt>
                <c:pt idx="6">
                  <c:v>∆TFC/PEFF </c:v>
                </c:pt>
                <c:pt idx="7">
                  <c:v>∆Total Industry Carbon (TIC)</c:v>
                </c:pt>
                <c:pt idx="8">
                  <c:v>∆Land Use </c:v>
                </c:pt>
                <c:pt idx="9">
                  <c:v>∆Other Gases </c:v>
                </c:pt>
                <c:pt idx="10">
                  <c:v>Total Anthropogenic Emissions Int</c:v>
                </c:pt>
                <c:pt idx="11">
                  <c:v>Fossil CCS Int</c:v>
                </c:pt>
                <c:pt idx="12">
                  <c:v>Biomass CCS Int</c:v>
                </c:pt>
                <c:pt idx="13">
                  <c:v>Net Anthropogenic Emissions Int</c:v>
                </c:pt>
              </c:strCache>
            </c:strRef>
          </c:cat>
          <c:val>
            <c:numRef>
              <c:f>WaterfallVertData2050!$K$27:$K$40</c:f>
              <c:numCache>
                <c:formatCode>General</c:formatCode>
                <c:ptCount val="14"/>
                <c:pt idx="0">
                  <c:v>#N/A</c:v>
                </c:pt>
                <c:pt idx="1">
                  <c:v>#N/A</c:v>
                </c:pt>
                <c:pt idx="2">
                  <c:v>#N/A</c:v>
                </c:pt>
                <c:pt idx="3">
                  <c:v>23.192071738408508</c:v>
                </c:pt>
                <c:pt idx="4">
                  <c:v>#N/A</c:v>
                </c:pt>
                <c:pt idx="5">
                  <c:v>#N/A</c:v>
                </c:pt>
                <c:pt idx="6">
                  <c:v>#N/A</c:v>
                </c:pt>
                <c:pt idx="7">
                  <c:v>#N/A</c:v>
                </c:pt>
                <c:pt idx="8">
                  <c:v>#N/A</c:v>
                </c:pt>
                <c:pt idx="9">
                  <c:v>#N/A</c:v>
                </c:pt>
                <c:pt idx="10">
                  <c:v>#N/A</c:v>
                </c:pt>
                <c:pt idx="11">
                  <c:v>#N/A</c:v>
                </c:pt>
                <c:pt idx="12">
                  <c:v>#N/A</c:v>
                </c:pt>
                <c:pt idx="13">
                  <c:v>#N/A</c:v>
                </c:pt>
              </c:numCache>
            </c:numRef>
          </c:val>
          <c:extLst>
            <c:ext xmlns:c16="http://schemas.microsoft.com/office/drawing/2014/chart" uri="{C3380CC4-5D6E-409C-BE32-E72D297353CC}">
              <c16:uniqueId val="{00000005-43B2-0141-B9E6-D416DC13463B}"/>
            </c:ext>
          </c:extLst>
        </c:ser>
        <c:ser>
          <c:idx val="3"/>
          <c:order val="3"/>
          <c:tx>
            <c:strRef>
              <c:f>WaterfallVertData2050!$L$26</c:f>
              <c:strCache>
                <c:ptCount val="1"/>
                <c:pt idx="0">
                  <c:v>Label-</c:v>
                </c:pt>
              </c:strCache>
            </c:strRef>
          </c:tx>
          <c:spPr>
            <a:noFill/>
          </c:spPr>
          <c:invertIfNegative val="0"/>
          <c:dLbls>
            <c:numFmt formatCode="\-#,##0;\-#,##0" sourceLinked="0"/>
            <c:spPr>
              <a:noFill/>
              <a:ln>
                <a:noFill/>
              </a:ln>
              <a:effectLst/>
            </c:spPr>
            <c:txPr>
              <a:bodyPr wrap="square" lIns="38100" tIns="19050" rIns="38100" bIns="19050" anchor="ctr">
                <a:spAutoFit/>
              </a:bodyPr>
              <a:lstStyle/>
              <a:p>
                <a:pPr>
                  <a:defRPr sz="1200">
                    <a:latin typeface="Arial" panose="020B0604020202020204" pitchFamily="34" charset="0"/>
                    <a:cs typeface="Arial" panose="020B0604020202020204" pitchFamily="34" charset="0"/>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WaterfallVertData2050!$A$27:$A$40</c:f>
              <c:strCache>
                <c:ptCount val="14"/>
                <c:pt idx="0">
                  <c:v>Total Anthropogenic Emissions Ref</c:v>
                </c:pt>
                <c:pt idx="1">
                  <c:v>∆PEDEq/FE (ESLF)</c:v>
                </c:pt>
                <c:pt idx="2">
                  <c:v>∆P  </c:v>
                </c:pt>
                <c:pt idx="3">
                  <c:v>∆GNP/P</c:v>
                </c:pt>
                <c:pt idx="4">
                  <c:v>∆FE/GNP </c:v>
                </c:pt>
                <c:pt idx="5">
                  <c:v>∆PEFF/PEDEq </c:v>
                </c:pt>
                <c:pt idx="6">
                  <c:v>∆TFC/PEFF </c:v>
                </c:pt>
                <c:pt idx="7">
                  <c:v>∆Total Industry Carbon (TIC)</c:v>
                </c:pt>
                <c:pt idx="8">
                  <c:v>∆Land Use </c:v>
                </c:pt>
                <c:pt idx="9">
                  <c:v>∆Other Gases </c:v>
                </c:pt>
                <c:pt idx="10">
                  <c:v>Total Anthropogenic Emissions Int</c:v>
                </c:pt>
                <c:pt idx="11">
                  <c:v>Fossil CCS Int</c:v>
                </c:pt>
                <c:pt idx="12">
                  <c:v>Biomass CCS Int</c:v>
                </c:pt>
                <c:pt idx="13">
                  <c:v>Net Anthropogenic Emissions Int</c:v>
                </c:pt>
              </c:strCache>
            </c:strRef>
          </c:cat>
          <c:val>
            <c:numRef>
              <c:f>WaterfallVertData2050!$L$27:$L$40</c:f>
              <c:numCache>
                <c:formatCode>General</c:formatCode>
                <c:ptCount val="14"/>
                <c:pt idx="0">
                  <c:v>#N/A</c:v>
                </c:pt>
                <c:pt idx="1">
                  <c:v>60.502625309160663</c:v>
                </c:pt>
                <c:pt idx="2">
                  <c:v>35.311749812969033</c:v>
                </c:pt>
                <c:pt idx="3">
                  <c:v>#N/A</c:v>
                </c:pt>
                <c:pt idx="4">
                  <c:v>418.80280664514447</c:v>
                </c:pt>
                <c:pt idx="5">
                  <c:v>208.00826251447</c:v>
                </c:pt>
                <c:pt idx="6">
                  <c:v>101.76412861606769</c:v>
                </c:pt>
                <c:pt idx="7">
                  <c:v>10.265441885945622</c:v>
                </c:pt>
                <c:pt idx="8">
                  <c:v>268.82894100003222</c:v>
                </c:pt>
                <c:pt idx="9">
                  <c:v>338.73438258130795</c:v>
                </c:pt>
                <c:pt idx="10">
                  <c:v>#N/A</c:v>
                </c:pt>
                <c:pt idx="11">
                  <c:v>82.975192103183502</c:v>
                </c:pt>
                <c:pt idx="12">
                  <c:v>5.2099655352094568E-4</c:v>
                </c:pt>
                <c:pt idx="13">
                  <c:v>#N/A</c:v>
                </c:pt>
              </c:numCache>
            </c:numRef>
          </c:val>
          <c:extLst>
            <c:ext xmlns:c16="http://schemas.microsoft.com/office/drawing/2014/chart" uri="{C3380CC4-5D6E-409C-BE32-E72D297353CC}">
              <c16:uniqueId val="{00000006-43B2-0141-B9E6-D416DC13463B}"/>
            </c:ext>
          </c:extLst>
        </c:ser>
        <c:dLbls>
          <c:showLegendKey val="0"/>
          <c:showVal val="0"/>
          <c:showCatName val="0"/>
          <c:showSerName val="0"/>
          <c:showPercent val="0"/>
          <c:showBubbleSize val="0"/>
        </c:dLbls>
        <c:gapWidth val="20"/>
        <c:overlap val="100"/>
        <c:axId val="190566400"/>
        <c:axId val="190567936"/>
      </c:barChart>
      <c:scatterChart>
        <c:scatterStyle val="lineMarker"/>
        <c:varyColors val="0"/>
        <c:ser>
          <c:idx val="4"/>
          <c:order val="4"/>
          <c:tx>
            <c:strRef>
              <c:f>WaterfallVertData2050!$M$26</c:f>
              <c:strCache>
                <c:ptCount val="1"/>
                <c:pt idx="0">
                  <c:v>Lines</c:v>
                </c:pt>
              </c:strCache>
            </c:strRef>
          </c:tx>
          <c:spPr>
            <a:ln w="28575">
              <a:noFill/>
            </a:ln>
          </c:spPr>
          <c:marker>
            <c:symbol val="none"/>
          </c:marker>
          <c:errBars>
            <c:errDir val="y"/>
            <c:errBarType val="minus"/>
            <c:errValType val="cust"/>
            <c:noEndCap val="1"/>
            <c:plus>
              <c:numLit>
                <c:formatCode>General</c:formatCode>
                <c:ptCount val="1"/>
                <c:pt idx="0">
                  <c:v>1</c:v>
                </c:pt>
              </c:numLit>
            </c:plus>
            <c:minus>
              <c:numRef>
                <c:f>WaterfallVertData2050!$N$27:$N$40</c:f>
                <c:numCache>
                  <c:formatCode>General</c:formatCode>
                  <c:ptCount val="14"/>
                  <c:pt idx="0">
                    <c:v>7.1428571428571425E-2</c:v>
                  </c:pt>
                  <c:pt idx="1">
                    <c:v>7.1428571428571425E-2</c:v>
                  </c:pt>
                  <c:pt idx="2">
                    <c:v>7.1428571428571425E-2</c:v>
                  </c:pt>
                  <c:pt idx="3">
                    <c:v>7.1428571428571425E-2</c:v>
                  </c:pt>
                  <c:pt idx="4">
                    <c:v>7.1428571428571425E-2</c:v>
                  </c:pt>
                  <c:pt idx="5">
                    <c:v>7.1428571428571425E-2</c:v>
                  </c:pt>
                  <c:pt idx="6">
                    <c:v>7.1428571428571425E-2</c:v>
                  </c:pt>
                  <c:pt idx="7">
                    <c:v>7.1428571428571425E-2</c:v>
                  </c:pt>
                  <c:pt idx="8">
                    <c:v>7.1428571428571425E-2</c:v>
                  </c:pt>
                  <c:pt idx="9">
                    <c:v>7.1428571428571425E-2</c:v>
                  </c:pt>
                  <c:pt idx="10">
                    <c:v>7.1428571428571425E-2</c:v>
                  </c:pt>
                  <c:pt idx="11">
                    <c:v>7.1428571428571425E-2</c:v>
                  </c:pt>
                  <c:pt idx="12">
                    <c:v>7.1428571428571425E-2</c:v>
                  </c:pt>
                  <c:pt idx="13">
                    <c:v>#N/A</c:v>
                  </c:pt>
                </c:numCache>
              </c:numRef>
            </c:minus>
            <c:spPr>
              <a:ln w="12700" cmpd="sng">
                <a:prstDash val="dash"/>
              </a:ln>
            </c:spPr>
          </c:errBars>
          <c:xVal>
            <c:numRef>
              <c:f>WaterfallVertData2050!$D$27:$D$40</c:f>
              <c:numCache>
                <c:formatCode>General</c:formatCode>
                <c:ptCount val="14"/>
                <c:pt idx="0">
                  <c:v>2136.6642242837129</c:v>
                </c:pt>
                <c:pt idx="1">
                  <c:v>2076.1615989745524</c:v>
                </c:pt>
                <c:pt idx="2">
                  <c:v>2040.8498491615833</c:v>
                </c:pt>
                <c:pt idx="3">
                  <c:v>2064.041920899992</c:v>
                </c:pt>
                <c:pt idx="4">
                  <c:v>1645.2391142548474</c:v>
                </c:pt>
                <c:pt idx="5">
                  <c:v>1437.2308517403774</c:v>
                </c:pt>
                <c:pt idx="6">
                  <c:v>1335.4667231243097</c:v>
                </c:pt>
                <c:pt idx="7">
                  <c:v>1325.2012812383641</c:v>
                </c:pt>
                <c:pt idx="8">
                  <c:v>1056.3723402383318</c:v>
                </c:pt>
                <c:pt idx="9">
                  <c:v>717.63795765702389</c:v>
                </c:pt>
                <c:pt idx="10">
                  <c:v>717.63795765702389</c:v>
                </c:pt>
                <c:pt idx="11">
                  <c:v>634.66276555384036</c:v>
                </c:pt>
                <c:pt idx="12">
                  <c:v>634.66224455728684</c:v>
                </c:pt>
                <c:pt idx="13">
                  <c:v>634.66224455728684</c:v>
                </c:pt>
              </c:numCache>
            </c:numRef>
          </c:xVal>
          <c:yVal>
            <c:numRef>
              <c:f>WaterfallVertData2050!$M$27:$M$40</c:f>
              <c:numCache>
                <c:formatCode>0.00</c:formatCode>
                <c:ptCount val="14"/>
                <c:pt idx="0">
                  <c:v>0.9642857142857143</c:v>
                </c:pt>
                <c:pt idx="1">
                  <c:v>0.8928571428571429</c:v>
                </c:pt>
                <c:pt idx="2">
                  <c:v>0.8214285714285714</c:v>
                </c:pt>
                <c:pt idx="3">
                  <c:v>0.75</c:v>
                </c:pt>
                <c:pt idx="4">
                  <c:v>0.6785714285714286</c:v>
                </c:pt>
                <c:pt idx="5">
                  <c:v>0.6071428571428571</c:v>
                </c:pt>
                <c:pt idx="6">
                  <c:v>0.5357142857142857</c:v>
                </c:pt>
                <c:pt idx="7">
                  <c:v>0.4642857142857143</c:v>
                </c:pt>
                <c:pt idx="8">
                  <c:v>0.39285714285714285</c:v>
                </c:pt>
                <c:pt idx="9">
                  <c:v>0.32142857142857145</c:v>
                </c:pt>
                <c:pt idx="10">
                  <c:v>0.25</c:v>
                </c:pt>
                <c:pt idx="11">
                  <c:v>0.17857142857142858</c:v>
                </c:pt>
                <c:pt idx="12">
                  <c:v>0.10714285714285714</c:v>
                </c:pt>
                <c:pt idx="13">
                  <c:v>3.5714285714285712E-2</c:v>
                </c:pt>
              </c:numCache>
            </c:numRef>
          </c:yVal>
          <c:smooth val="0"/>
          <c:extLst>
            <c:ext xmlns:c16="http://schemas.microsoft.com/office/drawing/2014/chart" uri="{C3380CC4-5D6E-409C-BE32-E72D297353CC}">
              <c16:uniqueId val="{00000007-43B2-0141-B9E6-D416DC13463B}"/>
            </c:ext>
          </c:extLst>
        </c:ser>
        <c:ser>
          <c:idx val="5"/>
          <c:order val="5"/>
          <c:tx>
            <c:strRef>
              <c:f>WaterfallVertData2050!$F$26</c:f>
              <c:strCache>
                <c:ptCount val="1"/>
                <c:pt idx="0">
                  <c:v>Base+</c:v>
                </c:pt>
              </c:strCache>
            </c:strRef>
          </c:tx>
          <c:spPr>
            <a:ln w="28575">
              <a:noFill/>
            </a:ln>
          </c:spPr>
          <c:marker>
            <c:symbol val="none"/>
          </c:marker>
          <c:errBars>
            <c:errDir val="x"/>
            <c:errBarType val="minus"/>
            <c:errValType val="cust"/>
            <c:noEndCap val="1"/>
            <c:plus>
              <c:numLit>
                <c:formatCode>General</c:formatCode>
                <c:ptCount val="1"/>
                <c:pt idx="0">
                  <c:v>1</c:v>
                </c:pt>
              </c:numLit>
            </c:plus>
            <c:minus>
              <c:numRef>
                <c:f>WaterfallVertData2050!$H$27:$H$40</c:f>
                <c:numCache>
                  <c:formatCode>General</c:formatCode>
                  <c:ptCount val="14"/>
                  <c:pt idx="0">
                    <c:v>#N/A</c:v>
                  </c:pt>
                  <c:pt idx="1">
                    <c:v>#N/A</c:v>
                  </c:pt>
                  <c:pt idx="2">
                    <c:v>#N/A</c:v>
                  </c:pt>
                  <c:pt idx="3">
                    <c:v>23.192071738408508</c:v>
                  </c:pt>
                  <c:pt idx="4">
                    <c:v>#N/A</c:v>
                  </c:pt>
                  <c:pt idx="5">
                    <c:v>#N/A</c:v>
                  </c:pt>
                  <c:pt idx="6">
                    <c:v>#N/A</c:v>
                  </c:pt>
                  <c:pt idx="7">
                    <c:v>#N/A</c:v>
                  </c:pt>
                  <c:pt idx="8">
                    <c:v>#N/A</c:v>
                  </c:pt>
                  <c:pt idx="9">
                    <c:v>#N/A</c:v>
                  </c:pt>
                  <c:pt idx="10">
                    <c:v>#N/A</c:v>
                  </c:pt>
                  <c:pt idx="11">
                    <c:v>#N/A</c:v>
                  </c:pt>
                  <c:pt idx="12">
                    <c:v>#N/A</c:v>
                  </c:pt>
                  <c:pt idx="13">
                    <c:v>#N/A</c:v>
                  </c:pt>
                </c:numCache>
              </c:numRef>
            </c:minus>
            <c:spPr>
              <a:ln w="444500">
                <a:solidFill>
                  <a:schemeClr val="accent1"/>
                </a:solidFill>
              </a:ln>
            </c:spPr>
          </c:errBars>
          <c:xVal>
            <c:numRef>
              <c:f>WaterfallVertData2050!$F$27:$F$40</c:f>
              <c:numCache>
                <c:formatCode>General</c:formatCode>
                <c:ptCount val="14"/>
                <c:pt idx="0">
                  <c:v>#N/A</c:v>
                </c:pt>
                <c:pt idx="1">
                  <c:v>#N/A</c:v>
                </c:pt>
                <c:pt idx="2">
                  <c:v>#N/A</c:v>
                </c:pt>
                <c:pt idx="3">
                  <c:v>2064.041920899992</c:v>
                </c:pt>
                <c:pt idx="4">
                  <c:v>#N/A</c:v>
                </c:pt>
                <c:pt idx="5">
                  <c:v>#N/A</c:v>
                </c:pt>
                <c:pt idx="6">
                  <c:v>#N/A</c:v>
                </c:pt>
                <c:pt idx="7">
                  <c:v>#N/A</c:v>
                </c:pt>
                <c:pt idx="8">
                  <c:v>#N/A</c:v>
                </c:pt>
                <c:pt idx="9">
                  <c:v>#N/A</c:v>
                </c:pt>
                <c:pt idx="10">
                  <c:v>#N/A</c:v>
                </c:pt>
                <c:pt idx="11">
                  <c:v>#N/A</c:v>
                </c:pt>
                <c:pt idx="12">
                  <c:v>#N/A</c:v>
                </c:pt>
                <c:pt idx="13">
                  <c:v>#N/A</c:v>
                </c:pt>
              </c:numCache>
            </c:numRef>
          </c:xVal>
          <c:yVal>
            <c:numRef>
              <c:f>WaterfallVertData2050!$M$27:$M$40</c:f>
              <c:numCache>
                <c:formatCode>0.00</c:formatCode>
                <c:ptCount val="14"/>
                <c:pt idx="0">
                  <c:v>0.9642857142857143</c:v>
                </c:pt>
                <c:pt idx="1">
                  <c:v>0.8928571428571429</c:v>
                </c:pt>
                <c:pt idx="2">
                  <c:v>0.8214285714285714</c:v>
                </c:pt>
                <c:pt idx="3">
                  <c:v>0.75</c:v>
                </c:pt>
                <c:pt idx="4">
                  <c:v>0.6785714285714286</c:v>
                </c:pt>
                <c:pt idx="5">
                  <c:v>0.6071428571428571</c:v>
                </c:pt>
                <c:pt idx="6">
                  <c:v>0.5357142857142857</c:v>
                </c:pt>
                <c:pt idx="7">
                  <c:v>0.4642857142857143</c:v>
                </c:pt>
                <c:pt idx="8">
                  <c:v>0.39285714285714285</c:v>
                </c:pt>
                <c:pt idx="9">
                  <c:v>0.32142857142857145</c:v>
                </c:pt>
                <c:pt idx="10">
                  <c:v>0.25</c:v>
                </c:pt>
                <c:pt idx="11">
                  <c:v>0.17857142857142858</c:v>
                </c:pt>
                <c:pt idx="12">
                  <c:v>0.10714285714285714</c:v>
                </c:pt>
                <c:pt idx="13">
                  <c:v>3.5714285714285712E-2</c:v>
                </c:pt>
              </c:numCache>
            </c:numRef>
          </c:yVal>
          <c:smooth val="0"/>
          <c:extLst>
            <c:ext xmlns:c16="http://schemas.microsoft.com/office/drawing/2014/chart" uri="{C3380CC4-5D6E-409C-BE32-E72D297353CC}">
              <c16:uniqueId val="{00000008-43B2-0141-B9E6-D416DC13463B}"/>
            </c:ext>
          </c:extLst>
        </c:ser>
        <c:ser>
          <c:idx val="6"/>
          <c:order val="6"/>
          <c:tx>
            <c:strRef>
              <c:f>WaterfallVertData2050!$G$26</c:f>
              <c:strCache>
                <c:ptCount val="1"/>
                <c:pt idx="0">
                  <c:v>Base-</c:v>
                </c:pt>
              </c:strCache>
            </c:strRef>
          </c:tx>
          <c:spPr>
            <a:ln w="28575">
              <a:noFill/>
            </a:ln>
          </c:spPr>
          <c:marker>
            <c:symbol val="none"/>
          </c:marker>
          <c:errBars>
            <c:errDir val="x"/>
            <c:errBarType val="plus"/>
            <c:errValType val="cust"/>
            <c:noEndCap val="1"/>
            <c:plus>
              <c:numRef>
                <c:f>WaterfallVertData2050!$I$27:$I$40</c:f>
                <c:numCache>
                  <c:formatCode>General</c:formatCode>
                  <c:ptCount val="14"/>
                  <c:pt idx="0">
                    <c:v>#N/A</c:v>
                  </c:pt>
                  <c:pt idx="1">
                    <c:v>60.502625309160663</c:v>
                  </c:pt>
                  <c:pt idx="2">
                    <c:v>35.311749812969033</c:v>
                  </c:pt>
                  <c:pt idx="3">
                    <c:v>#N/A</c:v>
                  </c:pt>
                  <c:pt idx="4">
                    <c:v>418.80280664514447</c:v>
                  </c:pt>
                  <c:pt idx="5">
                    <c:v>208.00826251447</c:v>
                  </c:pt>
                  <c:pt idx="6">
                    <c:v>101.76412861606769</c:v>
                  </c:pt>
                  <c:pt idx="7">
                    <c:v>10.265441885945622</c:v>
                  </c:pt>
                  <c:pt idx="8">
                    <c:v>268.82894100003222</c:v>
                  </c:pt>
                  <c:pt idx="9">
                    <c:v>338.73438258130795</c:v>
                  </c:pt>
                  <c:pt idx="10">
                    <c:v>#N/A</c:v>
                  </c:pt>
                  <c:pt idx="11">
                    <c:v>82.975192103183502</c:v>
                  </c:pt>
                  <c:pt idx="12">
                    <c:v>5.2099655352094568E-4</c:v>
                  </c:pt>
                  <c:pt idx="13">
                    <c:v>#N/A</c:v>
                  </c:pt>
                </c:numCache>
              </c:numRef>
            </c:plus>
            <c:minus>
              <c:numRef>
                <c:f>WaterfallVertData2050!$H$27:$H$40</c:f>
                <c:numCache>
                  <c:formatCode>General</c:formatCode>
                  <c:ptCount val="14"/>
                  <c:pt idx="0">
                    <c:v>#N/A</c:v>
                  </c:pt>
                  <c:pt idx="1">
                    <c:v>#N/A</c:v>
                  </c:pt>
                  <c:pt idx="2">
                    <c:v>#N/A</c:v>
                  </c:pt>
                  <c:pt idx="3">
                    <c:v>23.192071738408508</c:v>
                  </c:pt>
                  <c:pt idx="4">
                    <c:v>#N/A</c:v>
                  </c:pt>
                  <c:pt idx="5">
                    <c:v>#N/A</c:v>
                  </c:pt>
                  <c:pt idx="6">
                    <c:v>#N/A</c:v>
                  </c:pt>
                  <c:pt idx="7">
                    <c:v>#N/A</c:v>
                  </c:pt>
                  <c:pt idx="8">
                    <c:v>#N/A</c:v>
                  </c:pt>
                  <c:pt idx="9">
                    <c:v>#N/A</c:v>
                  </c:pt>
                  <c:pt idx="10">
                    <c:v>#N/A</c:v>
                  </c:pt>
                  <c:pt idx="11">
                    <c:v>#N/A</c:v>
                  </c:pt>
                  <c:pt idx="12">
                    <c:v>#N/A</c:v>
                  </c:pt>
                  <c:pt idx="13">
                    <c:v>#N/A</c:v>
                  </c:pt>
                </c:numCache>
              </c:numRef>
            </c:minus>
            <c:spPr>
              <a:ln w="444500">
                <a:solidFill>
                  <a:schemeClr val="accent2"/>
                </a:solidFill>
              </a:ln>
            </c:spPr>
          </c:errBars>
          <c:xVal>
            <c:numRef>
              <c:f>WaterfallVertData2050!$G$27:$G$40</c:f>
              <c:numCache>
                <c:formatCode>General</c:formatCode>
                <c:ptCount val="14"/>
                <c:pt idx="0">
                  <c:v>#N/A</c:v>
                </c:pt>
                <c:pt idx="1">
                  <c:v>2076.1615989745524</c:v>
                </c:pt>
                <c:pt idx="2">
                  <c:v>2040.8498491615833</c:v>
                </c:pt>
                <c:pt idx="3">
                  <c:v>#N/A</c:v>
                </c:pt>
                <c:pt idx="4">
                  <c:v>1645.2391142548474</c:v>
                </c:pt>
                <c:pt idx="5">
                  <c:v>1437.2308517403774</c:v>
                </c:pt>
                <c:pt idx="6">
                  <c:v>1335.4667231243097</c:v>
                </c:pt>
                <c:pt idx="7">
                  <c:v>1325.2012812383641</c:v>
                </c:pt>
                <c:pt idx="8">
                  <c:v>1056.3723402383318</c:v>
                </c:pt>
                <c:pt idx="9">
                  <c:v>717.63795765702389</c:v>
                </c:pt>
                <c:pt idx="10">
                  <c:v>#N/A</c:v>
                </c:pt>
                <c:pt idx="11">
                  <c:v>634.66276555384036</c:v>
                </c:pt>
                <c:pt idx="12">
                  <c:v>634.66224455728684</c:v>
                </c:pt>
                <c:pt idx="13">
                  <c:v>#N/A</c:v>
                </c:pt>
              </c:numCache>
            </c:numRef>
          </c:xVal>
          <c:yVal>
            <c:numRef>
              <c:f>WaterfallVertData2050!$M$27:$M$40</c:f>
              <c:numCache>
                <c:formatCode>0.00</c:formatCode>
                <c:ptCount val="14"/>
                <c:pt idx="0">
                  <c:v>0.9642857142857143</c:v>
                </c:pt>
                <c:pt idx="1">
                  <c:v>0.8928571428571429</c:v>
                </c:pt>
                <c:pt idx="2">
                  <c:v>0.8214285714285714</c:v>
                </c:pt>
                <c:pt idx="3">
                  <c:v>0.75</c:v>
                </c:pt>
                <c:pt idx="4">
                  <c:v>0.6785714285714286</c:v>
                </c:pt>
                <c:pt idx="5">
                  <c:v>0.6071428571428571</c:v>
                </c:pt>
                <c:pt idx="6">
                  <c:v>0.5357142857142857</c:v>
                </c:pt>
                <c:pt idx="7">
                  <c:v>0.4642857142857143</c:v>
                </c:pt>
                <c:pt idx="8">
                  <c:v>0.39285714285714285</c:v>
                </c:pt>
                <c:pt idx="9">
                  <c:v>0.32142857142857145</c:v>
                </c:pt>
                <c:pt idx="10">
                  <c:v>0.25</c:v>
                </c:pt>
                <c:pt idx="11">
                  <c:v>0.17857142857142858</c:v>
                </c:pt>
                <c:pt idx="12">
                  <c:v>0.10714285714285714</c:v>
                </c:pt>
                <c:pt idx="13">
                  <c:v>3.5714285714285712E-2</c:v>
                </c:pt>
              </c:numCache>
            </c:numRef>
          </c:yVal>
          <c:smooth val="0"/>
          <c:extLst>
            <c:ext xmlns:c16="http://schemas.microsoft.com/office/drawing/2014/chart" uri="{C3380CC4-5D6E-409C-BE32-E72D297353CC}">
              <c16:uniqueId val="{00000009-43B2-0141-B9E6-D416DC13463B}"/>
            </c:ext>
          </c:extLst>
        </c:ser>
        <c:dLbls>
          <c:showLegendKey val="0"/>
          <c:showVal val="0"/>
          <c:showCatName val="0"/>
          <c:showSerName val="0"/>
          <c:showPercent val="0"/>
          <c:showBubbleSize val="0"/>
        </c:dLbls>
        <c:axId val="191038208"/>
        <c:axId val="190569472"/>
      </c:scatterChart>
      <c:catAx>
        <c:axId val="190566400"/>
        <c:scaling>
          <c:orientation val="maxMin"/>
        </c:scaling>
        <c:delete val="0"/>
        <c:axPos val="l"/>
        <c:numFmt formatCode="General" sourceLinked="0"/>
        <c:majorTickMark val="out"/>
        <c:minorTickMark val="none"/>
        <c:tickLblPos val="low"/>
        <c:spPr>
          <a:ln w="19050"/>
        </c:spPr>
        <c:txPr>
          <a:bodyPr/>
          <a:lstStyle/>
          <a:p>
            <a:pPr>
              <a:defRPr sz="1200" b="1">
                <a:latin typeface="Arial" panose="020B0604020202020204" pitchFamily="34" charset="0"/>
                <a:cs typeface="Arial" panose="020B0604020202020204" pitchFamily="34" charset="0"/>
              </a:defRPr>
            </a:pPr>
            <a:endParaRPr lang="en-US"/>
          </a:p>
        </c:txPr>
        <c:crossAx val="190567936"/>
        <c:crossesAt val="0"/>
        <c:auto val="1"/>
        <c:lblAlgn val="ctr"/>
        <c:lblOffset val="100"/>
        <c:noMultiLvlLbl val="0"/>
      </c:catAx>
      <c:valAx>
        <c:axId val="190567936"/>
        <c:scaling>
          <c:orientation val="minMax"/>
          <c:max val="8000"/>
        </c:scaling>
        <c:delete val="0"/>
        <c:axPos val="b"/>
        <c:title>
          <c:tx>
            <c:rich>
              <a:bodyPr/>
              <a:lstStyle/>
              <a:p>
                <a:pPr>
                  <a:defRPr/>
                </a:pPr>
                <a:r>
                  <a:rPr lang="en-US" sz="1200">
                    <a:latin typeface="Arial" panose="020B0604020202020204" pitchFamily="34" charset="0"/>
                    <a:cs typeface="Arial" panose="020B0604020202020204" pitchFamily="34" charset="0"/>
                  </a:rPr>
                  <a:t>Gt</a:t>
                </a:r>
                <a:r>
                  <a:rPr lang="en-US" sz="1200" baseline="0">
                    <a:latin typeface="Arial" panose="020B0604020202020204" pitchFamily="34" charset="0"/>
                    <a:cs typeface="Arial" panose="020B0604020202020204" pitchFamily="34" charset="0"/>
                  </a:rPr>
                  <a:t> CO2-eq</a:t>
                </a:r>
                <a:endParaRPr lang="en-US" sz="1200">
                  <a:latin typeface="Arial" panose="020B0604020202020204" pitchFamily="34" charset="0"/>
                  <a:cs typeface="Arial" panose="020B0604020202020204" pitchFamily="34" charset="0"/>
                </a:endParaRPr>
              </a:p>
            </c:rich>
          </c:tx>
          <c:overlay val="0"/>
        </c:title>
        <c:numFmt formatCode="General" sourceLinked="1"/>
        <c:majorTickMark val="out"/>
        <c:minorTickMark val="none"/>
        <c:tickLblPos val="nextTo"/>
        <c:txPr>
          <a:bodyPr/>
          <a:lstStyle/>
          <a:p>
            <a:pPr>
              <a:defRPr sz="1200"/>
            </a:pPr>
            <a:endParaRPr lang="en-US"/>
          </a:p>
        </c:txPr>
        <c:crossAx val="190566400"/>
        <c:crosses val="max"/>
        <c:crossBetween val="between"/>
      </c:valAx>
      <c:valAx>
        <c:axId val="190569472"/>
        <c:scaling>
          <c:orientation val="minMax"/>
          <c:max val="1"/>
          <c:min val="0"/>
        </c:scaling>
        <c:delete val="1"/>
        <c:axPos val="r"/>
        <c:numFmt formatCode="0.00" sourceLinked="1"/>
        <c:majorTickMark val="out"/>
        <c:minorTickMark val="none"/>
        <c:tickLblPos val="nextTo"/>
        <c:crossAx val="191038208"/>
        <c:crosses val="max"/>
        <c:crossBetween val="midCat"/>
      </c:valAx>
      <c:valAx>
        <c:axId val="191038208"/>
        <c:scaling>
          <c:orientation val="minMax"/>
        </c:scaling>
        <c:delete val="1"/>
        <c:axPos val="b"/>
        <c:numFmt formatCode="General" sourceLinked="1"/>
        <c:majorTickMark val="out"/>
        <c:minorTickMark val="none"/>
        <c:tickLblPos val="nextTo"/>
        <c:crossAx val="190569472"/>
        <c:crosses val="autoZero"/>
        <c:crossBetween val="midCat"/>
      </c:valAx>
    </c:plotArea>
    <c:plotVisOnly val="1"/>
    <c:dispBlanksAs val="gap"/>
    <c:showDLblsOverMax val="0"/>
  </c:chart>
  <c:spPr>
    <a:ln>
      <a:noFill/>
    </a:ln>
  </c:spPr>
  <c:userShapes r:id="rId1"/>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400" b="1" baseline="0">
                <a:latin typeface="Arial" panose="020B0604020202020204" pitchFamily="34" charset="0"/>
                <a:cs typeface="Arial" panose="020B0604020202020204" pitchFamily="34" charset="0"/>
              </a:rPr>
              <a:t>Cumulative Emissions Attribution</a:t>
            </a:r>
          </a:p>
          <a:p>
            <a:pPr>
              <a:defRPr>
                <a:latin typeface="Arial" panose="020B0604020202020204" pitchFamily="34" charset="0"/>
                <a:cs typeface="Arial" panose="020B0604020202020204" pitchFamily="34" charset="0"/>
              </a:defRPr>
            </a:pPr>
            <a:r>
              <a:rPr lang="en-US" sz="1400" b="1" baseline="0">
                <a:latin typeface="Arial" panose="020B0604020202020204" pitchFamily="34" charset="0"/>
                <a:cs typeface="Arial" panose="020B0604020202020204" pitchFamily="34" charset="0"/>
              </a:rPr>
              <a:t>All Sectors, Reference Case</a:t>
            </a:r>
            <a:endParaRPr lang="en-US" sz="1400" b="1">
              <a:latin typeface="Arial" panose="020B0604020202020204" pitchFamily="34" charset="0"/>
              <a:cs typeface="Arial" panose="020B060402020202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0.13097577846693029"/>
          <c:y val="8.4672711365624764E-2"/>
          <c:w val="0.63177330112493657"/>
          <c:h val="0.8174433164653897"/>
        </c:manualLayout>
      </c:layout>
      <c:barChart>
        <c:barDir val="col"/>
        <c:grouping val="stacked"/>
        <c:varyColors val="0"/>
        <c:ser>
          <c:idx val="0"/>
          <c:order val="0"/>
          <c:tx>
            <c:strRef>
              <c:f>LMDItableRefAllSectors!$A$4</c:f>
              <c:strCache>
                <c:ptCount val="1"/>
                <c:pt idx="0">
                  <c:v>Population</c:v>
                </c:pt>
              </c:strCache>
            </c:strRef>
          </c:tx>
          <c:spPr>
            <a:solidFill>
              <a:srgbClr val="FFFF00"/>
            </a:solidFill>
            <a:ln>
              <a:noFill/>
            </a:ln>
            <a:effectLst/>
          </c:spPr>
          <c:invertIfNegative val="0"/>
          <c:cat>
            <c:strRef>
              <c:f>LMDItableRefAllSectors!$B$3:$D$3</c:f>
              <c:strCache>
                <c:ptCount val="3"/>
                <c:pt idx="0">
                  <c:v>2020 to 2050</c:v>
                </c:pt>
                <c:pt idx="1">
                  <c:v>2050 to 2100</c:v>
                </c:pt>
                <c:pt idx="2">
                  <c:v>2020 to 2100</c:v>
                </c:pt>
              </c:strCache>
            </c:strRef>
          </c:cat>
          <c:val>
            <c:numRef>
              <c:f>LMDItableRefAllSectors!$B$4:$D$4</c:f>
              <c:numCache>
                <c:formatCode>0.0</c:formatCode>
                <c:ptCount val="3"/>
                <c:pt idx="0">
                  <c:v>132.92849833603316</c:v>
                </c:pt>
                <c:pt idx="1">
                  <c:v>481.29005859670502</c:v>
                </c:pt>
                <c:pt idx="2">
                  <c:v>606.34894253220921</c:v>
                </c:pt>
              </c:numCache>
            </c:numRef>
          </c:val>
          <c:extLst>
            <c:ext xmlns:c16="http://schemas.microsoft.com/office/drawing/2014/chart" uri="{C3380CC4-5D6E-409C-BE32-E72D297353CC}">
              <c16:uniqueId val="{00000000-8F93-4F42-8831-44630CEED37D}"/>
            </c:ext>
          </c:extLst>
        </c:ser>
        <c:ser>
          <c:idx val="1"/>
          <c:order val="1"/>
          <c:tx>
            <c:strRef>
              <c:f>LMDItableRefAllSectors!$A$5</c:f>
              <c:strCache>
                <c:ptCount val="1"/>
                <c:pt idx="0">
                  <c:v>Economic Activity per Person</c:v>
                </c:pt>
              </c:strCache>
            </c:strRef>
          </c:tx>
          <c:spPr>
            <a:solidFill>
              <a:schemeClr val="bg1">
                <a:lumMod val="65000"/>
              </a:schemeClr>
            </a:solidFill>
            <a:ln>
              <a:noFill/>
            </a:ln>
            <a:effectLst/>
          </c:spPr>
          <c:invertIfNegative val="0"/>
          <c:cat>
            <c:strRef>
              <c:f>LMDItableRefAllSectors!$B$3:$D$3</c:f>
              <c:strCache>
                <c:ptCount val="3"/>
                <c:pt idx="0">
                  <c:v>2020 to 2050</c:v>
                </c:pt>
                <c:pt idx="1">
                  <c:v>2050 to 2100</c:v>
                </c:pt>
                <c:pt idx="2">
                  <c:v>2020 to 2100</c:v>
                </c:pt>
              </c:strCache>
            </c:strRef>
          </c:cat>
          <c:val>
            <c:numRef>
              <c:f>LMDItableRefAllSectors!$B$5:$D$5</c:f>
              <c:numCache>
                <c:formatCode>0.0</c:formatCode>
                <c:ptCount val="3"/>
                <c:pt idx="0">
                  <c:v>450.4159594134602</c:v>
                </c:pt>
                <c:pt idx="1">
                  <c:v>2597.1077208511706</c:v>
                </c:pt>
                <c:pt idx="2">
                  <c:v>3020.1153441331153</c:v>
                </c:pt>
              </c:numCache>
            </c:numRef>
          </c:val>
          <c:extLst>
            <c:ext xmlns:c16="http://schemas.microsoft.com/office/drawing/2014/chart" uri="{C3380CC4-5D6E-409C-BE32-E72D297353CC}">
              <c16:uniqueId val="{00000001-8F93-4F42-8831-44630CEED37D}"/>
            </c:ext>
          </c:extLst>
        </c:ser>
        <c:ser>
          <c:idx val="2"/>
          <c:order val="2"/>
          <c:tx>
            <c:strRef>
              <c:f>LMDItableRefAllSectors!$A$6</c:f>
              <c:strCache>
                <c:ptCount val="1"/>
                <c:pt idx="0">
                  <c:v>Energy Intensity of Economy</c:v>
                </c:pt>
              </c:strCache>
            </c:strRef>
          </c:tx>
          <c:spPr>
            <a:solidFill>
              <a:srgbClr val="00B050"/>
            </a:solidFill>
            <a:ln>
              <a:noFill/>
            </a:ln>
            <a:effectLst/>
          </c:spPr>
          <c:invertIfNegative val="0"/>
          <c:cat>
            <c:strRef>
              <c:f>LMDItableRefAllSectors!$B$3:$D$3</c:f>
              <c:strCache>
                <c:ptCount val="3"/>
                <c:pt idx="0">
                  <c:v>2020 to 2050</c:v>
                </c:pt>
                <c:pt idx="1">
                  <c:v>2050 to 2100</c:v>
                </c:pt>
                <c:pt idx="2">
                  <c:v>2020 to 2100</c:v>
                </c:pt>
              </c:strCache>
            </c:strRef>
          </c:cat>
          <c:val>
            <c:numRef>
              <c:f>LMDItableRefAllSectors!$B$6:$D$6</c:f>
              <c:numCache>
                <c:formatCode>0.0</c:formatCode>
                <c:ptCount val="3"/>
                <c:pt idx="0">
                  <c:v>-346.1882155569931</c:v>
                </c:pt>
                <c:pt idx="1">
                  <c:v>-1757.7058891577703</c:v>
                </c:pt>
                <c:pt idx="2">
                  <c:v>-2083.5172264895928</c:v>
                </c:pt>
              </c:numCache>
            </c:numRef>
          </c:val>
          <c:extLst>
            <c:ext xmlns:c16="http://schemas.microsoft.com/office/drawing/2014/chart" uri="{C3380CC4-5D6E-409C-BE32-E72D297353CC}">
              <c16:uniqueId val="{00000002-8F93-4F42-8831-44630CEED37D}"/>
            </c:ext>
          </c:extLst>
        </c:ser>
        <c:ser>
          <c:idx val="3"/>
          <c:order val="3"/>
          <c:tx>
            <c:strRef>
              <c:f>LMDItableRefAllSectors!$A$7</c:f>
              <c:strCache>
                <c:ptCount val="1"/>
                <c:pt idx="0">
                  <c:v>Energy Supply Loss Factor</c:v>
                </c:pt>
              </c:strCache>
            </c:strRef>
          </c:tx>
          <c:spPr>
            <a:solidFill>
              <a:srgbClr val="1DFF01"/>
            </a:solidFill>
            <a:ln>
              <a:noFill/>
            </a:ln>
            <a:effectLst/>
          </c:spPr>
          <c:invertIfNegative val="0"/>
          <c:cat>
            <c:strRef>
              <c:f>LMDItableRefAllSectors!$B$3:$D$3</c:f>
              <c:strCache>
                <c:ptCount val="3"/>
                <c:pt idx="0">
                  <c:v>2020 to 2050</c:v>
                </c:pt>
                <c:pt idx="1">
                  <c:v>2050 to 2100</c:v>
                </c:pt>
                <c:pt idx="2">
                  <c:v>2020 to 2100</c:v>
                </c:pt>
              </c:strCache>
            </c:strRef>
          </c:cat>
          <c:val>
            <c:numRef>
              <c:f>LMDItableRefAllSectors!$B$7:$D$7</c:f>
              <c:numCache>
                <c:formatCode>0.0</c:formatCode>
                <c:ptCount val="3"/>
                <c:pt idx="0">
                  <c:v>-4.8990408532691525</c:v>
                </c:pt>
                <c:pt idx="1">
                  <c:v>-64.542473356037249</c:v>
                </c:pt>
                <c:pt idx="2">
                  <c:v>-68.769055879635403</c:v>
                </c:pt>
              </c:numCache>
            </c:numRef>
          </c:val>
          <c:extLst>
            <c:ext xmlns:c16="http://schemas.microsoft.com/office/drawing/2014/chart" uri="{C3380CC4-5D6E-409C-BE32-E72D297353CC}">
              <c16:uniqueId val="{00000003-8F93-4F42-8831-44630CEED37D}"/>
            </c:ext>
          </c:extLst>
        </c:ser>
        <c:ser>
          <c:idx val="4"/>
          <c:order val="4"/>
          <c:tx>
            <c:strRef>
              <c:f>LMDItableRefAllSectors!$A$8</c:f>
              <c:strCache>
                <c:ptCount val="1"/>
                <c:pt idx="0">
                  <c:v>Fossil Fuel Fraction</c:v>
                </c:pt>
              </c:strCache>
            </c:strRef>
          </c:tx>
          <c:spPr>
            <a:solidFill>
              <a:srgbClr val="FF9300"/>
            </a:solidFill>
            <a:ln>
              <a:noFill/>
            </a:ln>
            <a:effectLst/>
          </c:spPr>
          <c:invertIfNegative val="0"/>
          <c:cat>
            <c:strRef>
              <c:f>LMDItableRefAllSectors!$B$3:$D$3</c:f>
              <c:strCache>
                <c:ptCount val="3"/>
                <c:pt idx="0">
                  <c:v>2020 to 2050</c:v>
                </c:pt>
                <c:pt idx="1">
                  <c:v>2050 to 2100</c:v>
                </c:pt>
                <c:pt idx="2">
                  <c:v>2020 to 2100</c:v>
                </c:pt>
              </c:strCache>
            </c:strRef>
          </c:cat>
          <c:val>
            <c:numRef>
              <c:f>LMDItableRefAllSectors!$B$8:$D$8</c:f>
              <c:numCache>
                <c:formatCode>0.0</c:formatCode>
                <c:ptCount val="3"/>
                <c:pt idx="0">
                  <c:v>-27.664765745349865</c:v>
                </c:pt>
                <c:pt idx="1">
                  <c:v>-115.70624137689489</c:v>
                </c:pt>
                <c:pt idx="2">
                  <c:v>-141.60947442392472</c:v>
                </c:pt>
              </c:numCache>
            </c:numRef>
          </c:val>
          <c:extLst>
            <c:ext xmlns:c16="http://schemas.microsoft.com/office/drawing/2014/chart" uri="{C3380CC4-5D6E-409C-BE32-E72D297353CC}">
              <c16:uniqueId val="{00000004-8F93-4F42-8831-44630CEED37D}"/>
            </c:ext>
          </c:extLst>
        </c:ser>
        <c:ser>
          <c:idx val="5"/>
          <c:order val="5"/>
          <c:tx>
            <c:strRef>
              <c:f>LMDItableRefAllSectors!$A$9</c:f>
              <c:strCache>
                <c:ptCount val="1"/>
                <c:pt idx="0">
                  <c:v>Carbon Intensity of Fossil Energy</c:v>
                </c:pt>
              </c:strCache>
            </c:strRef>
          </c:tx>
          <c:spPr>
            <a:solidFill>
              <a:srgbClr val="A1F5FF"/>
            </a:solidFill>
            <a:ln>
              <a:noFill/>
            </a:ln>
            <a:effectLst/>
          </c:spPr>
          <c:invertIfNegative val="0"/>
          <c:cat>
            <c:strRef>
              <c:f>LMDItableRefAllSectors!$B$3:$D$3</c:f>
              <c:strCache>
                <c:ptCount val="3"/>
                <c:pt idx="0">
                  <c:v>2020 to 2050</c:v>
                </c:pt>
                <c:pt idx="1">
                  <c:v>2050 to 2100</c:v>
                </c:pt>
                <c:pt idx="2">
                  <c:v>2020 to 2100</c:v>
                </c:pt>
              </c:strCache>
            </c:strRef>
          </c:cat>
          <c:val>
            <c:numRef>
              <c:f>LMDItableRefAllSectors!$B$9:$D$9</c:f>
              <c:numCache>
                <c:formatCode>0.0</c:formatCode>
                <c:ptCount val="3"/>
                <c:pt idx="0">
                  <c:v>-0.66072361562609383</c:v>
                </c:pt>
                <c:pt idx="1">
                  <c:v>22.203131380793163</c:v>
                </c:pt>
                <c:pt idx="2">
                  <c:v>21.777127250531972</c:v>
                </c:pt>
              </c:numCache>
            </c:numRef>
          </c:val>
          <c:extLst>
            <c:ext xmlns:c16="http://schemas.microsoft.com/office/drawing/2014/chart" uri="{C3380CC4-5D6E-409C-BE32-E72D297353CC}">
              <c16:uniqueId val="{00000005-8F93-4F42-8831-44630CEED37D}"/>
            </c:ext>
          </c:extLst>
        </c:ser>
        <c:ser>
          <c:idx val="6"/>
          <c:order val="6"/>
          <c:tx>
            <c:strRef>
              <c:f>LMDItableRefAllSectors!$A$10</c:f>
              <c:strCache>
                <c:ptCount val="1"/>
                <c:pt idx="0">
                  <c:v>Industrial Process Carbon Emissions</c:v>
                </c:pt>
              </c:strCache>
            </c:strRef>
          </c:tx>
          <c:spPr>
            <a:solidFill>
              <a:schemeClr val="tx1"/>
            </a:solidFill>
            <a:ln w="25400">
              <a:noFill/>
            </a:ln>
            <a:effectLst/>
          </c:spPr>
          <c:invertIfNegative val="0"/>
          <c:cat>
            <c:strRef>
              <c:f>LMDItableRefAllSectors!$B$3:$D$3</c:f>
              <c:strCache>
                <c:ptCount val="3"/>
                <c:pt idx="0">
                  <c:v>2020 to 2050</c:v>
                </c:pt>
                <c:pt idx="1">
                  <c:v>2050 to 2100</c:v>
                </c:pt>
                <c:pt idx="2">
                  <c:v>2020 to 2100</c:v>
                </c:pt>
              </c:strCache>
            </c:strRef>
          </c:cat>
          <c:val>
            <c:numRef>
              <c:f>LMDItableRefAllSectors!$B$10:$D$10</c:f>
              <c:numCache>
                <c:formatCode>0.0</c:formatCode>
                <c:ptCount val="3"/>
                <c:pt idx="0">
                  <c:v>6.6478203932444249</c:v>
                </c:pt>
                <c:pt idx="1">
                  <c:v>52.673985958099344</c:v>
                </c:pt>
                <c:pt idx="2">
                  <c:v>58.875427722930894</c:v>
                </c:pt>
              </c:numCache>
            </c:numRef>
          </c:val>
          <c:extLst>
            <c:ext xmlns:c16="http://schemas.microsoft.com/office/drawing/2014/chart" uri="{C3380CC4-5D6E-409C-BE32-E72D297353CC}">
              <c16:uniqueId val="{00000006-8F93-4F42-8831-44630CEED37D}"/>
            </c:ext>
          </c:extLst>
        </c:ser>
        <c:ser>
          <c:idx val="7"/>
          <c:order val="7"/>
          <c:tx>
            <c:strRef>
              <c:f>LMDItableRefAllSectors!$A$11</c:f>
              <c:strCache>
                <c:ptCount val="1"/>
                <c:pt idx="0">
                  <c:v>Other Gases</c:v>
                </c:pt>
              </c:strCache>
            </c:strRef>
          </c:tx>
          <c:spPr>
            <a:solidFill>
              <a:srgbClr val="942092"/>
            </a:solidFill>
            <a:ln w="25400">
              <a:noFill/>
            </a:ln>
            <a:effectLst/>
          </c:spPr>
          <c:invertIfNegative val="0"/>
          <c:cat>
            <c:strRef>
              <c:f>LMDItableRefAllSectors!$B$3:$D$3</c:f>
              <c:strCache>
                <c:ptCount val="3"/>
                <c:pt idx="0">
                  <c:v>2020 to 2050</c:v>
                </c:pt>
                <c:pt idx="1">
                  <c:v>2050 to 2100</c:v>
                </c:pt>
                <c:pt idx="2">
                  <c:v>2020 to 2100</c:v>
                </c:pt>
              </c:strCache>
            </c:strRef>
          </c:cat>
          <c:val>
            <c:numRef>
              <c:f>LMDItableRefAllSectors!$B$11:$D$11</c:f>
              <c:numCache>
                <c:formatCode>0.0</c:formatCode>
                <c:ptCount val="3"/>
                <c:pt idx="0">
                  <c:v>71.57021549019467</c:v>
                </c:pt>
                <c:pt idx="1">
                  <c:v>273.7756597843063</c:v>
                </c:pt>
                <c:pt idx="2">
                  <c:v>341.27756337722195</c:v>
                </c:pt>
              </c:numCache>
            </c:numRef>
          </c:val>
          <c:extLst>
            <c:ext xmlns:c16="http://schemas.microsoft.com/office/drawing/2014/chart" uri="{C3380CC4-5D6E-409C-BE32-E72D297353CC}">
              <c16:uniqueId val="{00000007-8F93-4F42-8831-44630CEED37D}"/>
            </c:ext>
          </c:extLst>
        </c:ser>
        <c:ser>
          <c:idx val="8"/>
          <c:order val="8"/>
          <c:tx>
            <c:strRef>
              <c:f>LMDItableRefAllSectors!$A$12</c:f>
              <c:strCache>
                <c:ptCount val="1"/>
                <c:pt idx="0">
                  <c:v>Land Use</c:v>
                </c:pt>
              </c:strCache>
            </c:strRef>
          </c:tx>
          <c:spPr>
            <a:solidFill>
              <a:srgbClr val="1500FF"/>
            </a:solidFill>
            <a:ln w="25400">
              <a:noFill/>
            </a:ln>
            <a:effectLst/>
          </c:spPr>
          <c:invertIfNegative val="0"/>
          <c:cat>
            <c:strRef>
              <c:f>LMDItableRefAllSectors!$B$3:$D$3</c:f>
              <c:strCache>
                <c:ptCount val="3"/>
                <c:pt idx="0">
                  <c:v>2020 to 2050</c:v>
                </c:pt>
                <c:pt idx="1">
                  <c:v>2050 to 2100</c:v>
                </c:pt>
                <c:pt idx="2">
                  <c:v>2020 to 2100</c:v>
                </c:pt>
              </c:strCache>
            </c:strRef>
          </c:cat>
          <c:val>
            <c:numRef>
              <c:f>LMDItableRefAllSectors!$B$12:$D$12</c:f>
              <c:numCache>
                <c:formatCode>0.0</c:formatCode>
                <c:ptCount val="3"/>
                <c:pt idx="0">
                  <c:v>19.432096266500025</c:v>
                </c:pt>
                <c:pt idx="1">
                  <c:v>-211.37112416564997</c:v>
                </c:pt>
                <c:pt idx="2">
                  <c:v>-191.77336978214998</c:v>
                </c:pt>
              </c:numCache>
            </c:numRef>
          </c:val>
          <c:extLst>
            <c:ext xmlns:c16="http://schemas.microsoft.com/office/drawing/2014/chart" uri="{C3380CC4-5D6E-409C-BE32-E72D297353CC}">
              <c16:uniqueId val="{00000008-8F93-4F42-8831-44630CEED37D}"/>
            </c:ext>
          </c:extLst>
        </c:ser>
        <c:dLbls>
          <c:showLegendKey val="0"/>
          <c:showVal val="0"/>
          <c:showCatName val="0"/>
          <c:showSerName val="0"/>
          <c:showPercent val="0"/>
          <c:showBubbleSize val="0"/>
        </c:dLbls>
        <c:gapWidth val="150"/>
        <c:overlap val="100"/>
        <c:axId val="2118656896"/>
        <c:axId val="145524495"/>
      </c:barChart>
      <c:scatterChart>
        <c:scatterStyle val="lineMarker"/>
        <c:varyColors val="0"/>
        <c:ser>
          <c:idx val="9"/>
          <c:order val="9"/>
          <c:tx>
            <c:strRef>
              <c:f>LMDItableRefAllSectors!$A$13</c:f>
              <c:strCache>
                <c:ptCount val="1"/>
                <c:pt idx="0">
                  <c:v>Total Net Emissions</c:v>
                </c:pt>
              </c:strCache>
            </c:strRef>
          </c:tx>
          <c:spPr>
            <a:ln w="25400" cap="rnd">
              <a:noFill/>
              <a:round/>
            </a:ln>
            <a:effectLst/>
          </c:spPr>
          <c:marker>
            <c:symbol val="circle"/>
            <c:size val="11"/>
            <c:spPr>
              <a:solidFill>
                <a:schemeClr val="tx1"/>
              </a:solidFill>
              <a:ln w="25400" cap="sq">
                <a:noFill/>
              </a:ln>
              <a:effectLst/>
            </c:spPr>
          </c:marker>
          <c:xVal>
            <c:strRef>
              <c:f>LMDItableRefAllSectors!$B$3:$D$3</c:f>
              <c:strCache>
                <c:ptCount val="3"/>
                <c:pt idx="0">
                  <c:v>2020 to 2050</c:v>
                </c:pt>
                <c:pt idx="1">
                  <c:v>2050 to 2100</c:v>
                </c:pt>
                <c:pt idx="2">
                  <c:v>2020 to 2100</c:v>
                </c:pt>
              </c:strCache>
            </c:strRef>
          </c:xVal>
          <c:yVal>
            <c:numRef>
              <c:f>LMDItableRefAllSectors!$B$13:$D$13</c:f>
              <c:numCache>
                <c:formatCode>0.0</c:formatCode>
                <c:ptCount val="3"/>
                <c:pt idx="0">
                  <c:v>301.58184412819423</c:v>
                </c:pt>
                <c:pt idx="1">
                  <c:v>1277.724828514722</c:v>
                </c:pt>
                <c:pt idx="2">
                  <c:v>1562.7252784407065</c:v>
                </c:pt>
              </c:numCache>
            </c:numRef>
          </c:yVal>
          <c:smooth val="0"/>
          <c:extLst>
            <c:ext xmlns:c16="http://schemas.microsoft.com/office/drawing/2014/chart" uri="{C3380CC4-5D6E-409C-BE32-E72D297353CC}">
              <c16:uniqueId val="{00000009-8F93-4F42-8831-44630CEED37D}"/>
            </c:ext>
          </c:extLst>
        </c:ser>
        <c:dLbls>
          <c:showLegendKey val="0"/>
          <c:showVal val="0"/>
          <c:showCatName val="0"/>
          <c:showSerName val="0"/>
          <c:showPercent val="0"/>
          <c:showBubbleSize val="0"/>
        </c:dLbls>
        <c:axId val="492370095"/>
        <c:axId val="509768159"/>
      </c:scatterChart>
      <c:catAx>
        <c:axId val="2118656896"/>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45524495"/>
        <c:crosses val="autoZero"/>
        <c:auto val="1"/>
        <c:lblAlgn val="ctr"/>
        <c:lblOffset val="100"/>
        <c:noMultiLvlLbl val="0"/>
      </c:catAx>
      <c:valAx>
        <c:axId val="145524495"/>
        <c:scaling>
          <c:orientation val="minMax"/>
        </c:scaling>
        <c:delete val="0"/>
        <c:axPos val="l"/>
        <c:majorGridlines>
          <c:spPr>
            <a:ln w="9525" cap="flat" cmpd="sng" algn="ctr">
              <a:solidFill>
                <a:schemeClr val="tx1">
                  <a:alpha val="12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200" b="1">
                    <a:latin typeface="Arial" panose="020B0604020202020204" pitchFamily="34" charset="0"/>
                    <a:cs typeface="Arial" panose="020B0604020202020204" pitchFamily="34" charset="0"/>
                  </a:rPr>
                  <a:t>Gt CO2-eq</a:t>
                </a:r>
              </a:p>
            </c:rich>
          </c:tx>
          <c:layout>
            <c:manualLayout>
              <c:xMode val="edge"/>
              <c:yMode val="edge"/>
              <c:x val="2.9172192655153462E-2"/>
              <c:y val="0.47985208022257791"/>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2118656896"/>
        <c:crosses val="autoZero"/>
        <c:crossBetween val="between"/>
      </c:valAx>
      <c:valAx>
        <c:axId val="509768159"/>
        <c:scaling>
          <c:orientation val="minMax"/>
        </c:scaling>
        <c:delete val="1"/>
        <c:axPos val="r"/>
        <c:numFmt formatCode="0.0" sourceLinked="1"/>
        <c:majorTickMark val="out"/>
        <c:minorTickMark val="none"/>
        <c:tickLblPos val="nextTo"/>
        <c:crossAx val="492370095"/>
        <c:crosses val="max"/>
        <c:crossBetween val="midCat"/>
      </c:valAx>
      <c:valAx>
        <c:axId val="492370095"/>
        <c:scaling>
          <c:orientation val="minMax"/>
        </c:scaling>
        <c:delete val="1"/>
        <c:axPos val="t"/>
        <c:majorTickMark val="out"/>
        <c:minorTickMark val="none"/>
        <c:tickLblPos val="nextTo"/>
        <c:crossAx val="509768159"/>
        <c:crosses val="max"/>
        <c:crossBetween val="midCat"/>
      </c:valAx>
      <c:spPr>
        <a:noFill/>
        <a:ln>
          <a:noFill/>
        </a:ln>
        <a:effectLst/>
      </c:spPr>
    </c:plotArea>
    <c:legend>
      <c:legendPos val="r"/>
      <c:layout>
        <c:manualLayout>
          <c:xMode val="edge"/>
          <c:yMode val="edge"/>
          <c:x val="0.76548340917242497"/>
          <c:y val="0.10916433229928621"/>
          <c:w val="0.23234991895025142"/>
          <c:h val="0.63382061404449785"/>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userShapes r:id="rId3"/>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title pos="t" align="ctr" overlay="0">
      <cx:tx>
        <cx:rich>
          <a:bodyPr spcFirstLastPara="1" vertOverflow="ellipsis" horzOverflow="overflow" wrap="square" lIns="0" tIns="0" rIns="0" bIns="0" anchor="ctr" anchorCtr="1"/>
          <a:lstStyle/>
          <a:p>
            <a:pPr algn="ctr" rtl="0">
              <a:defRPr/>
            </a:pPr>
            <a:r>
              <a:rPr lang="en-US" sz="1600" b="1" i="0" u="none" strike="noStrike" baseline="0">
                <a:solidFill>
                  <a:sysClr val="windowText" lastClr="000000">
                    <a:lumMod val="65000"/>
                    <a:lumOff val="35000"/>
                  </a:sysClr>
                </a:solidFill>
                <a:latin typeface="Calibri" panose="020F0502020204030204"/>
              </a:rPr>
              <a:t>Cumulative CO2-eq Emissions from years 2020 to 2100,  All Sectors</a:t>
            </a:r>
          </a:p>
          <a:p>
            <a:pPr algn="ctr" rtl="0">
              <a:defRPr/>
            </a:pPr>
            <a:r>
              <a:rPr lang="en-US" sz="1600" b="1" i="0" u="none" strike="noStrike" baseline="0">
                <a:solidFill>
                  <a:sysClr val="windowText" lastClr="000000">
                    <a:lumMod val="65000"/>
                    <a:lumOff val="35000"/>
                  </a:sysClr>
                </a:solidFill>
                <a:latin typeface="Calibri" panose="020F0502020204030204"/>
              </a:rPr>
              <a:t>Reference vs. Intervention</a:t>
            </a:r>
          </a:p>
        </cx:rich>
      </cx:tx>
    </cx:title>
    <cx:plotArea>
      <cx:plotAreaRegion>
        <cx:series layoutId="waterfall" uniqueId="{29E52B00-C8C9-7746-9E9B-C5321BC8AA38}">
          <cx:dataPt idx="0"/>
          <cx:dataPt idx="10"/>
          <cx:dataPt idx="13"/>
          <cx:dataId val="0"/>
          <cx:layoutPr>
            <cx:subtotals>
              <cx:idx val="0"/>
              <cx:idx val="10"/>
              <cx:idx val="13"/>
            </cx:subtotals>
          </cx:layoutPr>
        </cx:series>
      </cx:plotAreaRegion>
      <cx:axis id="0">
        <cx:catScaling gapWidth="0.5"/>
        <cx:tickLabels/>
        <cx:txPr>
          <a:bodyPr spcFirstLastPara="1" vertOverflow="ellipsis" horzOverflow="overflow" wrap="square" lIns="0" tIns="0" rIns="0" bIns="0" anchor="ctr" anchorCtr="1"/>
          <a:lstStyle/>
          <a:p>
            <a:pPr algn="ctr" rtl="0">
              <a:defRPr sz="1100" b="1"/>
            </a:pPr>
            <a:endParaRPr lang="en-US" sz="1100" b="1" i="0" u="none" strike="noStrike" baseline="0">
              <a:solidFill>
                <a:sysClr val="windowText" lastClr="000000">
                  <a:lumMod val="65000"/>
                  <a:lumOff val="35000"/>
                </a:sysClr>
              </a:solidFill>
              <a:latin typeface="Calibri" panose="020F0502020204030204"/>
            </a:endParaRPr>
          </a:p>
        </cx:txPr>
      </cx:axis>
      <cx:axis id="1">
        <cx:valScaling/>
        <cx:title>
          <cx:tx>
            <cx:txData>
              <cx:v>CO2-eq (Gt) </cx:v>
            </cx:txData>
          </cx:tx>
          <cx:txPr>
            <a:bodyPr spcFirstLastPara="1" vertOverflow="ellipsis" horzOverflow="overflow" wrap="square" lIns="0" tIns="0" rIns="0" bIns="0" anchor="ctr" anchorCtr="1"/>
            <a:lstStyle/>
            <a:p>
              <a:pPr algn="ctr" rtl="0">
                <a:defRPr/>
              </a:pPr>
              <a:r>
                <a:rPr lang="en-US" sz="1200" b="1" i="0" u="none" strike="noStrike" baseline="0">
                  <a:solidFill>
                    <a:sysClr val="windowText" lastClr="000000">
                      <a:lumMod val="65000"/>
                      <a:lumOff val="35000"/>
                    </a:sysClr>
                  </a:solidFill>
                  <a:latin typeface="Calibri" panose="020F0502020204030204"/>
                </a:rPr>
                <a:t>CO2-eq (Gt) </a:t>
              </a:r>
            </a:p>
          </cx:txPr>
        </cx:title>
        <cx:majorGridlines/>
        <cx:tickLabels/>
        <cx:numFmt formatCode="General" sourceLinked="0"/>
      </cx:axis>
    </cx:plotArea>
    <cx:legend pos="t" align="ctr" overlay="0">
      <cx:txPr>
        <a:bodyPr spcFirstLastPara="1" vertOverflow="ellipsis" horzOverflow="overflow" wrap="square" lIns="0" tIns="0" rIns="0" bIns="0" anchor="ctr" anchorCtr="1"/>
        <a:lstStyle/>
        <a:p>
          <a:pPr algn="ctr" rtl="0">
            <a:defRPr sz="1200"/>
          </a:pPr>
          <a:endParaRPr lang="en-US" sz="1200" b="0" i="0" u="none" strike="noStrike" baseline="0">
            <a:solidFill>
              <a:sysClr val="windowText" lastClr="000000">
                <a:lumMod val="65000"/>
                <a:lumOff val="35000"/>
              </a:sysClr>
            </a:solidFill>
            <a:latin typeface="Calibri" panose="020F0502020204030204"/>
          </a:endParaRPr>
        </a:p>
      </cx:txPr>
    </cx:legend>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04.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106.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108.xml"/></Relationships>
</file>

<file path=xl/chartsheets/_rels/sheet4.xml.rels><?xml version="1.0" encoding="UTF-8" standalone="yes"?>
<Relationships xmlns="http://schemas.openxmlformats.org/package/2006/relationships"><Relationship Id="rId1" Type="http://schemas.openxmlformats.org/officeDocument/2006/relationships/drawing" Target="../drawings/drawing110.xml"/></Relationships>
</file>

<file path=xl/chartsheets/_rels/sheet5.xml.rels><?xml version="1.0" encoding="UTF-8" standalone="yes"?>
<Relationships xmlns="http://schemas.openxmlformats.org/package/2006/relationships"><Relationship Id="rId1" Type="http://schemas.openxmlformats.org/officeDocument/2006/relationships/drawing" Target="../drawings/drawing112.xml"/></Relationships>
</file>

<file path=xl/chartsheets/_rels/sheet6.xml.rels><?xml version="1.0" encoding="UTF-8" standalone="yes"?>
<Relationships xmlns="http://schemas.openxmlformats.org/package/2006/relationships"><Relationship Id="rId1" Type="http://schemas.openxmlformats.org/officeDocument/2006/relationships/drawing" Target="../drawings/drawing114.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42A05662-7E57-854D-8853-62150985803C}">
  <sheetPr codeName="Chart23">
    <tabColor rgb="FF00B0F0"/>
  </sheetPr>
  <sheetViews>
    <sheetView zoomScale="121" workbookViewId="0" zoomToFit="1"/>
  </sheetViews>
  <pageMargins left="0.75" right="0.75" top="1" bottom="1" header="0.5" footer="0.5"/>
  <pageSetup orientation="landscape" horizontalDpi="0" verticalDpi="0"/>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3F9EE67C-422C-584E-85C9-5F0D59BFA793}">
  <sheetPr codeName="Chart24">
    <tabColor rgb="FFFF0000"/>
  </sheetPr>
  <sheetViews>
    <sheetView zoomScale="125" workbookViewId="0"/>
  </sheetViews>
  <pageMargins left="0.75" right="0.75" top="1" bottom="1" header="0.5" footer="0.5"/>
  <pageSetup orientation="landscape" horizontalDpi="0" verticalDpi="0"/>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8F519402-80A4-4F42-9DFE-0D1BD84DC98C}">
  <sheetPr codeName="Chart28">
    <tabColor rgb="FFCF009B"/>
  </sheetPr>
  <sheetViews>
    <sheetView zoomScale="189" workbookViewId="0" zoomToFit="1"/>
  </sheetViews>
  <pageMargins left="0.7" right="0.7" top="0.75" bottom="0.75" header="0.3" footer="0.3"/>
  <pageSetup orientation="landscape" horizontalDpi="0" verticalDpi="0"/>
  <drawing r:id="rId1"/>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BE1E0574-5D33-4344-8843-0EDFF24F5937}">
  <sheetPr codeName="Chart29">
    <tabColor rgb="FFCF009B"/>
  </sheetPr>
  <sheetViews>
    <sheetView workbookViewId="0"/>
  </sheetViews>
  <pageMargins left="0.7" right="0.7" top="0.75" bottom="0.75" header="0.3" footer="0.3"/>
  <pageSetup paperSize="8" orientation="landscape" horizontalDpi="0" verticalDpi="0"/>
  <drawing r:id="rId1"/>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6A03F03D-84DC-0246-89F0-2AB8A38B97F0}">
  <sheetPr codeName="Chart1">
    <tabColor rgb="FFCF009B"/>
  </sheetPr>
  <sheetViews>
    <sheetView zoomScale="75" workbookViewId="0"/>
  </sheetViews>
  <pageMargins left="0.7" right="0.7" top="0.75" bottom="0.75" header="0.3" footer="0.3"/>
  <pageSetup paperSize="8" orientation="landscape" horizontalDpi="0" verticalDpi="0"/>
  <drawing r:id="rId1"/>
</chartsheet>
</file>

<file path=xl/chartsheets/sheet6.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94125BF0-73D5-874B-81AE-9BA678969AC6}">
  <sheetPr codeName="Chart12">
    <tabColor rgb="FFFF0000"/>
  </sheetPr>
  <sheetViews>
    <sheetView zoomScale="200" workbookViewId="0"/>
  </sheetViews>
  <pageMargins left="0.7" right="0.7" top="0.75" bottom="0.75" header="0.3" footer="0.3"/>
  <pageSetup orientation="landscape" horizontalDpi="0" verticalDpi="0"/>
  <drawing r:id="rId1"/>
</chartsheet>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21" Type="http://schemas.openxmlformats.org/officeDocument/2006/relationships/chart" Target="../charts/chart21.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25.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28.xml.rels><?xml version="1.0" encoding="UTF-8" standalone="yes"?>
<Relationships xmlns="http://schemas.openxmlformats.org/package/2006/relationships"><Relationship Id="rId8" Type="http://schemas.openxmlformats.org/officeDocument/2006/relationships/chart" Target="../charts/chart32.xml"/><Relationship Id="rId13" Type="http://schemas.openxmlformats.org/officeDocument/2006/relationships/chart" Target="../charts/chart37.xml"/><Relationship Id="rId18" Type="http://schemas.openxmlformats.org/officeDocument/2006/relationships/chart" Target="../charts/chart42.xml"/><Relationship Id="rId3" Type="http://schemas.openxmlformats.org/officeDocument/2006/relationships/chart" Target="../charts/chart27.xml"/><Relationship Id="rId21" Type="http://schemas.openxmlformats.org/officeDocument/2006/relationships/chart" Target="../charts/chart45.xml"/><Relationship Id="rId7" Type="http://schemas.openxmlformats.org/officeDocument/2006/relationships/chart" Target="../charts/chart31.xml"/><Relationship Id="rId12" Type="http://schemas.openxmlformats.org/officeDocument/2006/relationships/chart" Target="../charts/chart36.xml"/><Relationship Id="rId17" Type="http://schemas.openxmlformats.org/officeDocument/2006/relationships/chart" Target="../charts/chart41.xml"/><Relationship Id="rId2" Type="http://schemas.openxmlformats.org/officeDocument/2006/relationships/chart" Target="../charts/chart26.xml"/><Relationship Id="rId16" Type="http://schemas.openxmlformats.org/officeDocument/2006/relationships/chart" Target="../charts/chart40.xml"/><Relationship Id="rId20" Type="http://schemas.openxmlformats.org/officeDocument/2006/relationships/chart" Target="../charts/chart44.xml"/><Relationship Id="rId1" Type="http://schemas.openxmlformats.org/officeDocument/2006/relationships/chart" Target="../charts/chart25.xml"/><Relationship Id="rId6" Type="http://schemas.openxmlformats.org/officeDocument/2006/relationships/chart" Target="../charts/chart30.xml"/><Relationship Id="rId11" Type="http://schemas.openxmlformats.org/officeDocument/2006/relationships/chart" Target="../charts/chart35.xml"/><Relationship Id="rId5" Type="http://schemas.openxmlformats.org/officeDocument/2006/relationships/chart" Target="../charts/chart29.xml"/><Relationship Id="rId15" Type="http://schemas.openxmlformats.org/officeDocument/2006/relationships/chart" Target="../charts/chart39.xml"/><Relationship Id="rId10" Type="http://schemas.openxmlformats.org/officeDocument/2006/relationships/chart" Target="../charts/chart34.xml"/><Relationship Id="rId19" Type="http://schemas.openxmlformats.org/officeDocument/2006/relationships/chart" Target="../charts/chart43.xml"/><Relationship Id="rId4" Type="http://schemas.openxmlformats.org/officeDocument/2006/relationships/chart" Target="../charts/chart28.xml"/><Relationship Id="rId9" Type="http://schemas.openxmlformats.org/officeDocument/2006/relationships/chart" Target="../charts/chart33.xml"/><Relationship Id="rId14" Type="http://schemas.openxmlformats.org/officeDocument/2006/relationships/chart" Target="../charts/chart38.xml"/></Relationships>
</file>

<file path=xl/drawings/_rels/drawing50.xml.rels><?xml version="1.0" encoding="UTF-8" standalone="yes"?>
<Relationships xmlns="http://schemas.openxmlformats.org/package/2006/relationships"><Relationship Id="rId8" Type="http://schemas.openxmlformats.org/officeDocument/2006/relationships/chart" Target="../charts/chart53.xml"/><Relationship Id="rId13" Type="http://schemas.openxmlformats.org/officeDocument/2006/relationships/chart" Target="../charts/chart58.xml"/><Relationship Id="rId18" Type="http://schemas.openxmlformats.org/officeDocument/2006/relationships/chart" Target="../charts/chart63.xml"/><Relationship Id="rId3" Type="http://schemas.openxmlformats.org/officeDocument/2006/relationships/chart" Target="../charts/chart48.xml"/><Relationship Id="rId21" Type="http://schemas.openxmlformats.org/officeDocument/2006/relationships/chart" Target="../charts/chart66.xml"/><Relationship Id="rId7" Type="http://schemas.openxmlformats.org/officeDocument/2006/relationships/chart" Target="../charts/chart52.xml"/><Relationship Id="rId12" Type="http://schemas.openxmlformats.org/officeDocument/2006/relationships/chart" Target="../charts/chart57.xml"/><Relationship Id="rId17" Type="http://schemas.openxmlformats.org/officeDocument/2006/relationships/chart" Target="../charts/chart62.xml"/><Relationship Id="rId25" Type="http://schemas.openxmlformats.org/officeDocument/2006/relationships/chart" Target="../charts/chart70.xml"/><Relationship Id="rId2" Type="http://schemas.openxmlformats.org/officeDocument/2006/relationships/chart" Target="../charts/chart47.xml"/><Relationship Id="rId16" Type="http://schemas.openxmlformats.org/officeDocument/2006/relationships/chart" Target="../charts/chart61.xml"/><Relationship Id="rId20" Type="http://schemas.openxmlformats.org/officeDocument/2006/relationships/chart" Target="../charts/chart65.xml"/><Relationship Id="rId1" Type="http://schemas.openxmlformats.org/officeDocument/2006/relationships/chart" Target="../charts/chart46.xml"/><Relationship Id="rId6" Type="http://schemas.openxmlformats.org/officeDocument/2006/relationships/chart" Target="../charts/chart51.xml"/><Relationship Id="rId11" Type="http://schemas.openxmlformats.org/officeDocument/2006/relationships/chart" Target="../charts/chart56.xml"/><Relationship Id="rId24" Type="http://schemas.openxmlformats.org/officeDocument/2006/relationships/chart" Target="../charts/chart69.xml"/><Relationship Id="rId5" Type="http://schemas.openxmlformats.org/officeDocument/2006/relationships/chart" Target="../charts/chart50.xml"/><Relationship Id="rId15" Type="http://schemas.openxmlformats.org/officeDocument/2006/relationships/chart" Target="../charts/chart60.xml"/><Relationship Id="rId23" Type="http://schemas.openxmlformats.org/officeDocument/2006/relationships/chart" Target="../charts/chart68.xml"/><Relationship Id="rId10" Type="http://schemas.openxmlformats.org/officeDocument/2006/relationships/chart" Target="../charts/chart55.xml"/><Relationship Id="rId19" Type="http://schemas.openxmlformats.org/officeDocument/2006/relationships/chart" Target="../charts/chart64.xml"/><Relationship Id="rId4" Type="http://schemas.openxmlformats.org/officeDocument/2006/relationships/chart" Target="../charts/chart49.xml"/><Relationship Id="rId9" Type="http://schemas.openxmlformats.org/officeDocument/2006/relationships/chart" Target="../charts/chart54.xml"/><Relationship Id="rId14" Type="http://schemas.openxmlformats.org/officeDocument/2006/relationships/chart" Target="../charts/chart59.xml"/><Relationship Id="rId22" Type="http://schemas.openxmlformats.org/officeDocument/2006/relationships/chart" Target="../charts/chart67.xml"/></Relationships>
</file>

<file path=xl/drawings/_rels/drawing75.xml.rels><?xml version="1.0" encoding="UTF-8" standalone="yes"?>
<Relationships xmlns="http://schemas.openxmlformats.org/package/2006/relationships"><Relationship Id="rId8" Type="http://schemas.openxmlformats.org/officeDocument/2006/relationships/chart" Target="../charts/chart78.xml"/><Relationship Id="rId13" Type="http://schemas.openxmlformats.org/officeDocument/2006/relationships/chart" Target="../charts/chart83.xml"/><Relationship Id="rId18" Type="http://schemas.openxmlformats.org/officeDocument/2006/relationships/chart" Target="../charts/chart88.xml"/><Relationship Id="rId26" Type="http://schemas.openxmlformats.org/officeDocument/2006/relationships/chart" Target="../charts/chart96.xml"/><Relationship Id="rId3" Type="http://schemas.openxmlformats.org/officeDocument/2006/relationships/chart" Target="../charts/chart73.xml"/><Relationship Id="rId21" Type="http://schemas.openxmlformats.org/officeDocument/2006/relationships/chart" Target="../charts/chart91.xml"/><Relationship Id="rId7" Type="http://schemas.openxmlformats.org/officeDocument/2006/relationships/chart" Target="../charts/chart77.xml"/><Relationship Id="rId12" Type="http://schemas.openxmlformats.org/officeDocument/2006/relationships/chart" Target="../charts/chart82.xml"/><Relationship Id="rId17" Type="http://schemas.openxmlformats.org/officeDocument/2006/relationships/chart" Target="../charts/chart87.xml"/><Relationship Id="rId25" Type="http://schemas.openxmlformats.org/officeDocument/2006/relationships/chart" Target="../charts/chart95.xml"/><Relationship Id="rId2" Type="http://schemas.openxmlformats.org/officeDocument/2006/relationships/chart" Target="../charts/chart72.xml"/><Relationship Id="rId16" Type="http://schemas.openxmlformats.org/officeDocument/2006/relationships/chart" Target="../charts/chart86.xml"/><Relationship Id="rId20" Type="http://schemas.openxmlformats.org/officeDocument/2006/relationships/chart" Target="../charts/chart90.xml"/><Relationship Id="rId1" Type="http://schemas.openxmlformats.org/officeDocument/2006/relationships/chart" Target="../charts/chart71.xml"/><Relationship Id="rId6" Type="http://schemas.openxmlformats.org/officeDocument/2006/relationships/chart" Target="../charts/chart76.xml"/><Relationship Id="rId11" Type="http://schemas.openxmlformats.org/officeDocument/2006/relationships/chart" Target="../charts/chart81.xml"/><Relationship Id="rId24" Type="http://schemas.openxmlformats.org/officeDocument/2006/relationships/chart" Target="../charts/chart94.xml"/><Relationship Id="rId5" Type="http://schemas.openxmlformats.org/officeDocument/2006/relationships/chart" Target="../charts/chart75.xml"/><Relationship Id="rId15" Type="http://schemas.openxmlformats.org/officeDocument/2006/relationships/chart" Target="../charts/chart85.xml"/><Relationship Id="rId23" Type="http://schemas.openxmlformats.org/officeDocument/2006/relationships/chart" Target="../charts/chart93.xml"/><Relationship Id="rId28" Type="http://schemas.openxmlformats.org/officeDocument/2006/relationships/chart" Target="../charts/chart98.xml"/><Relationship Id="rId10" Type="http://schemas.openxmlformats.org/officeDocument/2006/relationships/chart" Target="../charts/chart80.xml"/><Relationship Id="rId19" Type="http://schemas.openxmlformats.org/officeDocument/2006/relationships/chart" Target="../charts/chart89.xml"/><Relationship Id="rId4" Type="http://schemas.openxmlformats.org/officeDocument/2006/relationships/chart" Target="../charts/chart74.xml"/><Relationship Id="rId9" Type="http://schemas.openxmlformats.org/officeDocument/2006/relationships/chart" Target="../charts/chart79.xml"/><Relationship Id="rId14" Type="http://schemas.openxmlformats.org/officeDocument/2006/relationships/chart" Target="../charts/chart84.xml"/><Relationship Id="rId22" Type="http://schemas.openxmlformats.org/officeDocument/2006/relationships/chart" Target="../charts/chart92.xml"/><Relationship Id="rId27" Type="http://schemas.openxmlformats.org/officeDocument/2006/relationships/chart" Target="../charts/chart97.xml"/></Relationships>
</file>

<file path=xl/drawings/_rels/drawing104.xml.rels><?xml version="1.0" encoding="UTF-8" standalone="yes"?>
<Relationships xmlns="http://schemas.openxmlformats.org/package/2006/relationships"><Relationship Id="rId1" Type="http://schemas.openxmlformats.org/officeDocument/2006/relationships/chart" Target="../charts/chart99.xml"/></Relationships>
</file>

<file path=xl/drawings/_rels/drawing106.xml.rels><?xml version="1.0" encoding="UTF-8" standalone="yes"?>
<Relationships xmlns="http://schemas.openxmlformats.org/package/2006/relationships"><Relationship Id="rId1" Type="http://schemas.openxmlformats.org/officeDocument/2006/relationships/chart" Target="../charts/chart100.xml"/></Relationships>
</file>

<file path=xl/drawings/_rels/drawing108.xml.rels><?xml version="1.0" encoding="UTF-8" standalone="yes"?>
<Relationships xmlns="http://schemas.openxmlformats.org/package/2006/relationships"><Relationship Id="rId2" Type="http://schemas.openxmlformats.org/officeDocument/2006/relationships/chart" Target="../charts/chart101.xml"/><Relationship Id="rId1" Type="http://schemas.microsoft.com/office/2014/relationships/chartEx" Target="../charts/chartEx1.xml"/></Relationships>
</file>

<file path=xl/drawings/_rels/drawing110.xml.rels><?xml version="1.0" encoding="UTF-8" standalone="yes"?>
<Relationships xmlns="http://schemas.openxmlformats.org/package/2006/relationships"><Relationship Id="rId1" Type="http://schemas.openxmlformats.org/officeDocument/2006/relationships/chart" Target="../charts/chart102.xml"/></Relationships>
</file>

<file path=xl/drawings/_rels/drawing112.xml.rels><?xml version="1.0" encoding="UTF-8" standalone="yes"?>
<Relationships xmlns="http://schemas.openxmlformats.org/package/2006/relationships"><Relationship Id="rId1" Type="http://schemas.openxmlformats.org/officeDocument/2006/relationships/chart" Target="../charts/chart103.xml"/></Relationships>
</file>

<file path=xl/drawings/_rels/drawing114.xml.rels><?xml version="1.0" encoding="UTF-8" standalone="yes"?>
<Relationships xmlns="http://schemas.openxmlformats.org/package/2006/relationships"><Relationship Id="rId1" Type="http://schemas.openxmlformats.org/officeDocument/2006/relationships/chart" Target="../charts/chart104.xml"/></Relationships>
</file>

<file path=xl/drawings/_rels/drawing11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absoluteAnchor>
    <xdr:pos x="5101167" y="17056099"/>
    <xdr:ext cx="1965960" cy="2370668"/>
    <xdr:graphicFrame macro="">
      <xdr:nvGraphicFramePr>
        <xdr:cNvPr id="2" name="Chart 20">
          <a:extLst>
            <a:ext uri="{FF2B5EF4-FFF2-40B4-BE49-F238E27FC236}">
              <a16:creationId xmlns:a16="http://schemas.microsoft.com/office/drawing/2014/main" id="{0E6839D1-5292-C241-A01D-72464FA7E8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absoluteAnchor>
    <xdr:pos x="4034367" y="4859866"/>
    <xdr:ext cx="1965960" cy="2286000"/>
    <xdr:graphicFrame macro="">
      <xdr:nvGraphicFramePr>
        <xdr:cNvPr id="3" name="Chart 1">
          <a:extLst>
            <a:ext uri="{FF2B5EF4-FFF2-40B4-BE49-F238E27FC236}">
              <a16:creationId xmlns:a16="http://schemas.microsoft.com/office/drawing/2014/main" id="{15828C75-3FA7-594F-88B9-DC814B4770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xdr:absoluteAnchor>
    <xdr:pos x="2315633" y="4834466"/>
    <xdr:ext cx="1965960" cy="2286000"/>
    <xdr:graphicFrame macro="">
      <xdr:nvGraphicFramePr>
        <xdr:cNvPr id="4" name="Chart 2">
          <a:extLst>
            <a:ext uri="{FF2B5EF4-FFF2-40B4-BE49-F238E27FC236}">
              <a16:creationId xmlns:a16="http://schemas.microsoft.com/office/drawing/2014/main" id="{2A8B89A3-3290-2345-92EF-A8F280EF099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absoluteAnchor>
  <xdr:absoluteAnchor>
    <xdr:pos x="3976794" y="1631525"/>
    <xdr:ext cx="1965960" cy="2286000"/>
    <xdr:graphicFrame macro="">
      <xdr:nvGraphicFramePr>
        <xdr:cNvPr id="5" name="Chart 3">
          <a:extLst>
            <a:ext uri="{FF2B5EF4-FFF2-40B4-BE49-F238E27FC236}">
              <a16:creationId xmlns:a16="http://schemas.microsoft.com/office/drawing/2014/main" id="{2B4302D5-A746-FB4D-9195-E87EF8690F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absoluteAnchor>
  <xdr:absoluteAnchor>
    <xdr:pos x="5651499" y="1642532"/>
    <xdr:ext cx="1981201" cy="2286000"/>
    <xdr:graphicFrame macro="">
      <xdr:nvGraphicFramePr>
        <xdr:cNvPr id="6" name="Chart 8">
          <a:extLst>
            <a:ext uri="{FF2B5EF4-FFF2-40B4-BE49-F238E27FC236}">
              <a16:creationId xmlns:a16="http://schemas.microsoft.com/office/drawing/2014/main" id="{0717F788-3463-7947-8BF4-1C61B7FFD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absoluteAnchor>
  <xdr:absoluteAnchor>
    <xdr:pos x="2237740" y="1631525"/>
    <xdr:ext cx="1985433" cy="2286000"/>
    <xdr:graphicFrame macro="">
      <xdr:nvGraphicFramePr>
        <xdr:cNvPr id="7" name="Chart 12">
          <a:extLst>
            <a:ext uri="{FF2B5EF4-FFF2-40B4-BE49-F238E27FC236}">
              <a16:creationId xmlns:a16="http://schemas.microsoft.com/office/drawing/2014/main" id="{F3BA1A0E-C8BF-2647-8CE0-C2831D33C4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absoluteAnchor>
  <xdr:twoCellAnchor>
    <xdr:from>
      <xdr:col>7</xdr:col>
      <xdr:colOff>50800</xdr:colOff>
      <xdr:row>9</xdr:row>
      <xdr:rowOff>0</xdr:rowOff>
    </xdr:from>
    <xdr:to>
      <xdr:col>7</xdr:col>
      <xdr:colOff>469900</xdr:colOff>
      <xdr:row>9</xdr:row>
      <xdr:rowOff>0</xdr:rowOff>
    </xdr:to>
    <xdr:sp macro="" textlink="">
      <xdr:nvSpPr>
        <xdr:cNvPr id="8" name="Line 13">
          <a:extLst>
            <a:ext uri="{FF2B5EF4-FFF2-40B4-BE49-F238E27FC236}">
              <a16:creationId xmlns:a16="http://schemas.microsoft.com/office/drawing/2014/main" id="{76F719C4-8478-6141-972F-2038580E0EEE}"/>
            </a:ext>
          </a:extLst>
        </xdr:cNvPr>
        <xdr:cNvSpPr>
          <a:spLocks noChangeShapeType="1"/>
        </xdr:cNvSpPr>
      </xdr:nvSpPr>
      <xdr:spPr bwMode="auto">
        <a:xfrm>
          <a:off x="3136900" y="1485900"/>
          <a:ext cx="3683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absoluteAnchor>
    <xdr:pos x="8504767" y="17051865"/>
    <xdr:ext cx="1965960" cy="2353735"/>
    <xdr:graphicFrame macro="">
      <xdr:nvGraphicFramePr>
        <xdr:cNvPr id="9" name="Chart 15">
          <a:extLst>
            <a:ext uri="{FF2B5EF4-FFF2-40B4-BE49-F238E27FC236}">
              <a16:creationId xmlns:a16="http://schemas.microsoft.com/office/drawing/2014/main" id="{02DC5931-74C0-7E47-9F29-57C28E7E20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absoluteAnchor>
  <xdr:absoluteAnchor>
    <xdr:pos x="10236200" y="17060332"/>
    <xdr:ext cx="1965960" cy="2345268"/>
    <xdr:graphicFrame macro="">
      <xdr:nvGraphicFramePr>
        <xdr:cNvPr id="10" name="Chart 16">
          <a:extLst>
            <a:ext uri="{FF2B5EF4-FFF2-40B4-BE49-F238E27FC236}">
              <a16:creationId xmlns:a16="http://schemas.microsoft.com/office/drawing/2014/main" id="{D9B3176C-90AF-0E4C-996A-2106B16F86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absoluteAnchor>
  <xdr:absoluteAnchor>
    <xdr:pos x="3412068" y="17106900"/>
    <xdr:ext cx="1934634" cy="2319868"/>
    <xdr:graphicFrame macro="">
      <xdr:nvGraphicFramePr>
        <xdr:cNvPr id="11" name="Chart 17">
          <a:extLst>
            <a:ext uri="{FF2B5EF4-FFF2-40B4-BE49-F238E27FC236}">
              <a16:creationId xmlns:a16="http://schemas.microsoft.com/office/drawing/2014/main" id="{18D54323-47BA-9245-A1EE-ABC7756757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absoluteAnchor>
  <xdr:absoluteAnchor>
    <xdr:pos x="1672169" y="17166167"/>
    <xdr:ext cx="1926166" cy="2286000"/>
    <xdr:graphicFrame macro="">
      <xdr:nvGraphicFramePr>
        <xdr:cNvPr id="12" name="Chart 21">
          <a:extLst>
            <a:ext uri="{FF2B5EF4-FFF2-40B4-BE49-F238E27FC236}">
              <a16:creationId xmlns:a16="http://schemas.microsoft.com/office/drawing/2014/main" id="{D62404BE-032B-6B42-B7FE-ECF4CCA1F5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absoluteAnchor>
  <xdr:oneCellAnchor>
    <xdr:from>
      <xdr:col>13</xdr:col>
      <xdr:colOff>97368</xdr:colOff>
      <xdr:row>8</xdr:row>
      <xdr:rowOff>71967</xdr:rowOff>
    </xdr:from>
    <xdr:ext cx="228600" cy="272473"/>
    <xdr:sp macro="" textlink="">
      <xdr:nvSpPr>
        <xdr:cNvPr id="18" name="Text Box 48">
          <a:extLst>
            <a:ext uri="{FF2B5EF4-FFF2-40B4-BE49-F238E27FC236}">
              <a16:creationId xmlns:a16="http://schemas.microsoft.com/office/drawing/2014/main" id="{FEE888B2-31FF-C043-B269-D158029CB965}"/>
            </a:ext>
          </a:extLst>
        </xdr:cNvPr>
        <xdr:cNvSpPr txBox="1">
          <a:spLocks noChangeArrowheads="1"/>
        </xdr:cNvSpPr>
      </xdr:nvSpPr>
      <xdr:spPr bwMode="auto">
        <a:xfrm>
          <a:off x="5748868" y="1392767"/>
          <a:ext cx="228600" cy="272473"/>
        </a:xfrm>
        <a:prstGeom prst="rect">
          <a:avLst/>
        </a:prstGeom>
        <a:noFill/>
        <a:ln>
          <a:noFill/>
        </a:ln>
        <a:extLst>
          <a:ext uri="{909E8E84-426E-40dd-AFC4-6F175D3DCCD1}">
            <a14:hiddenFill xmlns=""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27432" tIns="22860" rIns="0" bIns="0" anchor="t" upright="1">
          <a:spAutoFit/>
        </a:bodyPr>
        <a:lstStyle/>
        <a:p>
          <a:pPr algn="l" rtl="0">
            <a:defRPr sz="1000"/>
          </a:pPr>
          <a:r>
            <a:rPr lang="en-US" sz="1600" b="0" i="0" u="none" strike="noStrike" baseline="0">
              <a:solidFill>
                <a:srgbClr val="000000"/>
              </a:solidFill>
              <a:latin typeface="Arial"/>
              <a:ea typeface="Arial"/>
              <a:cs typeface="Arial"/>
            </a:rPr>
            <a:t>x</a:t>
          </a:r>
        </a:p>
      </xdr:txBody>
    </xdr:sp>
    <xdr:clientData/>
  </xdr:oneCellAnchor>
  <xdr:oneCellAnchor>
    <xdr:from>
      <xdr:col>17</xdr:col>
      <xdr:colOff>214553</xdr:colOff>
      <xdr:row>8</xdr:row>
      <xdr:rowOff>55033</xdr:rowOff>
    </xdr:from>
    <xdr:ext cx="212436" cy="272473"/>
    <xdr:sp macro="" textlink="">
      <xdr:nvSpPr>
        <xdr:cNvPr id="19" name="Text Box 49">
          <a:extLst>
            <a:ext uri="{FF2B5EF4-FFF2-40B4-BE49-F238E27FC236}">
              <a16:creationId xmlns:a16="http://schemas.microsoft.com/office/drawing/2014/main" id="{B5FF4466-231E-234C-8637-B048B6CC8257}"/>
            </a:ext>
          </a:extLst>
        </xdr:cNvPr>
        <xdr:cNvSpPr txBox="1">
          <a:spLocks noChangeArrowheads="1"/>
        </xdr:cNvSpPr>
      </xdr:nvSpPr>
      <xdr:spPr bwMode="auto">
        <a:xfrm>
          <a:off x="7555153" y="1375833"/>
          <a:ext cx="212436" cy="272473"/>
        </a:xfrm>
        <a:prstGeom prst="rect">
          <a:avLst/>
        </a:prstGeom>
        <a:noFill/>
        <a:ln>
          <a:noFill/>
        </a:ln>
        <a:extLst>
          <a:ext uri="{909E8E84-426E-40dd-AFC4-6F175D3DCCD1}">
            <a14:hiddenFill xmlns=""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27432" tIns="22860" rIns="0" bIns="0" anchor="t" upright="1">
          <a:spAutoFit/>
        </a:bodyPr>
        <a:lstStyle/>
        <a:p>
          <a:pPr algn="l" rtl="0">
            <a:defRPr sz="1000"/>
          </a:pPr>
          <a:r>
            <a:rPr lang="en-US" sz="1600" b="0" i="0" u="none" strike="noStrike" baseline="0">
              <a:solidFill>
                <a:srgbClr val="000000"/>
              </a:solidFill>
              <a:latin typeface="Arial"/>
              <a:ea typeface="Arial"/>
              <a:cs typeface="Arial"/>
            </a:rPr>
            <a:t>x</a:t>
          </a:r>
        </a:p>
      </xdr:txBody>
    </xdr:sp>
    <xdr:clientData/>
  </xdr:oneCellAnchor>
  <xdr:oneCellAnchor>
    <xdr:from>
      <xdr:col>9</xdr:col>
      <xdr:colOff>122769</xdr:colOff>
      <xdr:row>8</xdr:row>
      <xdr:rowOff>71967</xdr:rowOff>
    </xdr:from>
    <xdr:ext cx="215900" cy="272473"/>
    <xdr:sp macro="" textlink="">
      <xdr:nvSpPr>
        <xdr:cNvPr id="20" name="Text Box 50">
          <a:extLst>
            <a:ext uri="{FF2B5EF4-FFF2-40B4-BE49-F238E27FC236}">
              <a16:creationId xmlns:a16="http://schemas.microsoft.com/office/drawing/2014/main" id="{074190A4-30DA-114A-A1ED-D3FAE4CFA59F}"/>
            </a:ext>
          </a:extLst>
        </xdr:cNvPr>
        <xdr:cNvSpPr txBox="1">
          <a:spLocks noChangeArrowheads="1"/>
        </xdr:cNvSpPr>
      </xdr:nvSpPr>
      <xdr:spPr bwMode="auto">
        <a:xfrm>
          <a:off x="4047069" y="1392767"/>
          <a:ext cx="215900" cy="272473"/>
        </a:xfrm>
        <a:prstGeom prst="rect">
          <a:avLst/>
        </a:prstGeom>
        <a:noFill/>
        <a:ln>
          <a:noFill/>
        </a:ln>
        <a:extLst>
          <a:ext uri="{909E8E84-426E-40dd-AFC4-6F175D3DCCD1}">
            <a14:hiddenFill xmlns=""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27432" tIns="22860" rIns="0" bIns="0" anchor="t" upright="1">
          <a:spAutoFit/>
        </a:bodyPr>
        <a:lstStyle/>
        <a:p>
          <a:pPr algn="l" rtl="0">
            <a:defRPr sz="1000"/>
          </a:pPr>
          <a:r>
            <a:rPr lang="en-US" sz="1600" b="0" i="0" u="none" strike="noStrike" baseline="0">
              <a:solidFill>
                <a:srgbClr val="000000"/>
              </a:solidFill>
              <a:latin typeface="Arial"/>
              <a:ea typeface="Arial"/>
              <a:cs typeface="Arial"/>
            </a:rPr>
            <a:t>x</a:t>
          </a:r>
        </a:p>
      </xdr:txBody>
    </xdr:sp>
    <xdr:clientData/>
  </xdr:oneCellAnchor>
  <xdr:absoluteAnchor>
    <xdr:pos x="548640" y="1604433"/>
    <xdr:ext cx="1965960" cy="2286000"/>
    <xdr:graphicFrame macro="">
      <xdr:nvGraphicFramePr>
        <xdr:cNvPr id="25" name="Chart 14">
          <a:extLst>
            <a:ext uri="{FF2B5EF4-FFF2-40B4-BE49-F238E27FC236}">
              <a16:creationId xmlns:a16="http://schemas.microsoft.com/office/drawing/2014/main" id="{161BD2F0-DC24-6844-9088-0CFB620CE5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absoluteAnchor>
  <xdr:absoluteAnchor>
    <xdr:pos x="0" y="13919200"/>
    <xdr:ext cx="1981202" cy="2286000"/>
    <xdr:graphicFrame macro="">
      <xdr:nvGraphicFramePr>
        <xdr:cNvPr id="26" name="Chart 14">
          <a:extLst>
            <a:ext uri="{FF2B5EF4-FFF2-40B4-BE49-F238E27FC236}">
              <a16:creationId xmlns:a16="http://schemas.microsoft.com/office/drawing/2014/main" id="{FDABE7C0-66D7-1847-9DCA-546879E164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absoluteAnchor>
  <xdr:absoluteAnchor>
    <xdr:pos x="8468" y="17149232"/>
    <xdr:ext cx="1896533" cy="2328334"/>
    <xdr:graphicFrame macro="">
      <xdr:nvGraphicFramePr>
        <xdr:cNvPr id="27" name="Chart 21">
          <a:extLst>
            <a:ext uri="{FF2B5EF4-FFF2-40B4-BE49-F238E27FC236}">
              <a16:creationId xmlns:a16="http://schemas.microsoft.com/office/drawing/2014/main" id="{1104F8CD-5ED0-3B45-B395-C8C08036BE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absoluteAnchor>
  <xdr:oneCellAnchor>
    <xdr:from>
      <xdr:col>5</xdr:col>
      <xdr:colOff>127000</xdr:colOff>
      <xdr:row>8</xdr:row>
      <xdr:rowOff>88900</xdr:rowOff>
    </xdr:from>
    <xdr:ext cx="215900" cy="272473"/>
    <xdr:sp macro="" textlink="">
      <xdr:nvSpPr>
        <xdr:cNvPr id="29" name="Text Box 50">
          <a:extLst>
            <a:ext uri="{FF2B5EF4-FFF2-40B4-BE49-F238E27FC236}">
              <a16:creationId xmlns:a16="http://schemas.microsoft.com/office/drawing/2014/main" id="{0C425582-9047-4A49-A90C-12BAFB3F09C5}"/>
            </a:ext>
          </a:extLst>
        </xdr:cNvPr>
        <xdr:cNvSpPr txBox="1">
          <a:spLocks noChangeArrowheads="1"/>
        </xdr:cNvSpPr>
      </xdr:nvSpPr>
      <xdr:spPr bwMode="auto">
        <a:xfrm>
          <a:off x="2362200" y="1409700"/>
          <a:ext cx="215900" cy="272473"/>
        </a:xfrm>
        <a:prstGeom prst="rect">
          <a:avLst/>
        </a:prstGeom>
        <a:noFill/>
        <a:ln>
          <a:noFill/>
        </a:ln>
        <a:extLst>
          <a:ext uri="{909E8E84-426E-40dd-AFC4-6F175D3DCCD1}">
            <a14:hiddenFill xmlns=""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27432" tIns="22860" rIns="0" bIns="0" anchor="t" upright="1">
          <a:spAutoFit/>
        </a:bodyPr>
        <a:lstStyle/>
        <a:p>
          <a:pPr algn="l" rtl="0">
            <a:defRPr sz="1000"/>
          </a:pPr>
          <a:r>
            <a:rPr lang="en-US" sz="1600" b="0" i="0" u="none" strike="noStrike" baseline="0">
              <a:solidFill>
                <a:srgbClr val="000000"/>
              </a:solidFill>
              <a:latin typeface="Arial"/>
              <a:ea typeface="Arial"/>
              <a:cs typeface="Arial"/>
            </a:rPr>
            <a:t>x</a:t>
          </a:r>
        </a:p>
      </xdr:txBody>
    </xdr:sp>
    <xdr:clientData/>
  </xdr:oneCellAnchor>
  <xdr:oneCellAnchor>
    <xdr:from>
      <xdr:col>0</xdr:col>
      <xdr:colOff>414866</xdr:colOff>
      <xdr:row>6</xdr:row>
      <xdr:rowOff>97367</xdr:rowOff>
    </xdr:from>
    <xdr:ext cx="2102988" cy="273921"/>
    <xdr:sp macro="" textlink="">
      <xdr:nvSpPr>
        <xdr:cNvPr id="34" name="Text Box 37">
          <a:extLst>
            <a:ext uri="{FF2B5EF4-FFF2-40B4-BE49-F238E27FC236}">
              <a16:creationId xmlns:a16="http://schemas.microsoft.com/office/drawing/2014/main" id="{4B493A32-35A9-AA47-B561-8EBA93C91A45}"/>
            </a:ext>
          </a:extLst>
        </xdr:cNvPr>
        <xdr:cNvSpPr txBox="1">
          <a:spLocks noChangeArrowheads="1"/>
        </xdr:cNvSpPr>
      </xdr:nvSpPr>
      <xdr:spPr bwMode="auto">
        <a:xfrm>
          <a:off x="414866" y="1087967"/>
          <a:ext cx="2102988" cy="273921"/>
        </a:xfrm>
        <a:prstGeom prst="rect">
          <a:avLst/>
        </a:prstGeom>
        <a:noFill/>
        <a:ln>
          <a:noFill/>
        </a:ln>
        <a:extLst>
          <a:ext uri="{909E8E84-426E-40dd-AFC4-6F175D3DCCD1}">
            <a14:hiddenFill xmlns=""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27432" tIns="27432" rIns="0" bIns="0" anchor="t" upright="1">
          <a:spAutoFit/>
        </a:bodyPr>
        <a:lstStyle/>
        <a:p>
          <a:pPr algn="l" rtl="0">
            <a:defRPr sz="1000"/>
          </a:pPr>
          <a:r>
            <a:rPr lang="en-US" sz="1600" b="1" i="0" u="none" strike="noStrike" baseline="0">
              <a:solidFill>
                <a:srgbClr val="000000"/>
              </a:solidFill>
              <a:latin typeface="Arial"/>
              <a:ea typeface="Arial"/>
              <a:cs typeface="Arial"/>
            </a:rPr>
            <a:t>Energy Sector Ratios</a:t>
          </a:r>
        </a:p>
      </xdr:txBody>
    </xdr:sp>
    <xdr:clientData/>
  </xdr:oneCellAnchor>
  <xdr:twoCellAnchor>
    <xdr:from>
      <xdr:col>11</xdr:col>
      <xdr:colOff>25401</xdr:colOff>
      <xdr:row>9</xdr:row>
      <xdr:rowOff>8467</xdr:rowOff>
    </xdr:from>
    <xdr:to>
      <xdr:col>11</xdr:col>
      <xdr:colOff>393700</xdr:colOff>
      <xdr:row>9</xdr:row>
      <xdr:rowOff>8467</xdr:rowOff>
    </xdr:to>
    <xdr:sp macro="" textlink="">
      <xdr:nvSpPr>
        <xdr:cNvPr id="35" name="Line 13">
          <a:extLst>
            <a:ext uri="{FF2B5EF4-FFF2-40B4-BE49-F238E27FC236}">
              <a16:creationId xmlns:a16="http://schemas.microsoft.com/office/drawing/2014/main" id="{66098C70-3E25-D04E-B948-354B2FAE2A06}"/>
            </a:ext>
          </a:extLst>
        </xdr:cNvPr>
        <xdr:cNvSpPr>
          <a:spLocks noChangeShapeType="1"/>
        </xdr:cNvSpPr>
      </xdr:nvSpPr>
      <xdr:spPr bwMode="auto">
        <a:xfrm>
          <a:off x="4838701" y="1494367"/>
          <a:ext cx="368299"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15</xdr:col>
      <xdr:colOff>55037</xdr:colOff>
      <xdr:row>9</xdr:row>
      <xdr:rowOff>0</xdr:rowOff>
    </xdr:from>
    <xdr:to>
      <xdr:col>16</xdr:col>
      <xdr:colOff>4236</xdr:colOff>
      <xdr:row>9</xdr:row>
      <xdr:rowOff>0</xdr:rowOff>
    </xdr:to>
    <xdr:sp macro="" textlink="">
      <xdr:nvSpPr>
        <xdr:cNvPr id="36" name="Line 13">
          <a:extLst>
            <a:ext uri="{FF2B5EF4-FFF2-40B4-BE49-F238E27FC236}">
              <a16:creationId xmlns:a16="http://schemas.microsoft.com/office/drawing/2014/main" id="{9C30C770-0755-7E42-8867-D744D3200443}"/>
            </a:ext>
          </a:extLst>
        </xdr:cNvPr>
        <xdr:cNvSpPr>
          <a:spLocks noChangeShapeType="1"/>
        </xdr:cNvSpPr>
      </xdr:nvSpPr>
      <xdr:spPr bwMode="auto">
        <a:xfrm>
          <a:off x="6557437" y="1485900"/>
          <a:ext cx="368299"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absoluteAnchor>
    <xdr:pos x="546100" y="4813300"/>
    <xdr:ext cx="1981201" cy="2286000"/>
    <xdr:graphicFrame macro="">
      <xdr:nvGraphicFramePr>
        <xdr:cNvPr id="39" name="Chart 8">
          <a:extLst>
            <a:ext uri="{FF2B5EF4-FFF2-40B4-BE49-F238E27FC236}">
              <a16:creationId xmlns:a16="http://schemas.microsoft.com/office/drawing/2014/main" id="{F33E2290-F3A9-4642-BC29-54EE9CB0A4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absoluteAnchor>
  <xdr:absoluteAnchor>
    <xdr:pos x="6798734" y="17056100"/>
    <xdr:ext cx="1965960" cy="2370668"/>
    <xdr:graphicFrame macro="">
      <xdr:nvGraphicFramePr>
        <xdr:cNvPr id="40" name="Chart 20">
          <a:extLst>
            <a:ext uri="{FF2B5EF4-FFF2-40B4-BE49-F238E27FC236}">
              <a16:creationId xmlns:a16="http://schemas.microsoft.com/office/drawing/2014/main" id="{FB384853-C8C2-CC4F-B536-E88E91296D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absoluteAnchor>
  <xdr:absoluteAnchor>
    <xdr:pos x="3399367" y="13944599"/>
    <xdr:ext cx="1965960" cy="2252133"/>
    <xdr:graphicFrame macro="">
      <xdr:nvGraphicFramePr>
        <xdr:cNvPr id="45" name="Chart 30">
          <a:extLst>
            <a:ext uri="{FF2B5EF4-FFF2-40B4-BE49-F238E27FC236}">
              <a16:creationId xmlns:a16="http://schemas.microsoft.com/office/drawing/2014/main" id="{1FBEC431-1541-0742-8EDB-4904FA45EC8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absoluteAnchor>
  <xdr:absoluteAnchor>
    <xdr:pos x="1680634" y="13931900"/>
    <xdr:ext cx="1965960" cy="2252133"/>
    <xdr:graphicFrame macro="">
      <xdr:nvGraphicFramePr>
        <xdr:cNvPr id="46" name="Chart 30">
          <a:extLst>
            <a:ext uri="{FF2B5EF4-FFF2-40B4-BE49-F238E27FC236}">
              <a16:creationId xmlns:a16="http://schemas.microsoft.com/office/drawing/2014/main" id="{C1D560DF-D18F-B84D-9350-90DA3C7205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absoluteAnchor>
  <xdr:absoluteAnchor>
    <xdr:pos x="5135034" y="13957300"/>
    <xdr:ext cx="1965960" cy="2252133"/>
    <xdr:graphicFrame macro="">
      <xdr:nvGraphicFramePr>
        <xdr:cNvPr id="47" name="Chart 30">
          <a:extLst>
            <a:ext uri="{FF2B5EF4-FFF2-40B4-BE49-F238E27FC236}">
              <a16:creationId xmlns:a16="http://schemas.microsoft.com/office/drawing/2014/main" id="{AD97F2E4-FC3C-D047-8C1B-8BF29A8D2D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absoluteAnchor>
  <xdr:absoluteAnchor>
    <xdr:pos x="6722534" y="13944600"/>
    <xdr:ext cx="1965960" cy="2252133"/>
    <xdr:graphicFrame macro="">
      <xdr:nvGraphicFramePr>
        <xdr:cNvPr id="48" name="Chart 30">
          <a:extLst>
            <a:ext uri="{FF2B5EF4-FFF2-40B4-BE49-F238E27FC236}">
              <a16:creationId xmlns:a16="http://schemas.microsoft.com/office/drawing/2014/main" id="{6D767181-4226-EB42-A06A-B7F3D90A4A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absoluteAnchor>
  <xdr:absoluteAnchor>
    <xdr:pos x="8500534" y="13957300"/>
    <xdr:ext cx="1965960" cy="2252133"/>
    <xdr:graphicFrame macro="">
      <xdr:nvGraphicFramePr>
        <xdr:cNvPr id="49" name="Chart 30">
          <a:extLst>
            <a:ext uri="{FF2B5EF4-FFF2-40B4-BE49-F238E27FC236}">
              <a16:creationId xmlns:a16="http://schemas.microsoft.com/office/drawing/2014/main" id="{A15B9C71-B98D-FB4B-A383-543C8A3450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absoluteAnchor>
  <xdr:absoluteAnchor>
    <xdr:pos x="10113434" y="13931900"/>
    <xdr:ext cx="1965960" cy="2286000"/>
    <xdr:graphicFrame macro="">
      <xdr:nvGraphicFramePr>
        <xdr:cNvPr id="50" name="Chart 1">
          <a:extLst>
            <a:ext uri="{FF2B5EF4-FFF2-40B4-BE49-F238E27FC236}">
              <a16:creationId xmlns:a16="http://schemas.microsoft.com/office/drawing/2014/main" id="{A35E9409-3171-1148-93F2-882ADC8993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absoluteAnchor>
  <xdr:oneCellAnchor>
    <xdr:from>
      <xdr:col>5</xdr:col>
      <xdr:colOff>46565</xdr:colOff>
      <xdr:row>27</xdr:row>
      <xdr:rowOff>63500</xdr:rowOff>
    </xdr:from>
    <xdr:ext cx="215900" cy="272473"/>
    <xdr:sp macro="" textlink="">
      <xdr:nvSpPr>
        <xdr:cNvPr id="65" name="Text Box 47">
          <a:extLst>
            <a:ext uri="{FF2B5EF4-FFF2-40B4-BE49-F238E27FC236}">
              <a16:creationId xmlns:a16="http://schemas.microsoft.com/office/drawing/2014/main" id="{B4D4C5FF-5BA2-EB45-A227-9911C42C0748}"/>
            </a:ext>
          </a:extLst>
        </xdr:cNvPr>
        <xdr:cNvSpPr txBox="1">
          <a:spLocks noChangeArrowheads="1"/>
        </xdr:cNvSpPr>
      </xdr:nvSpPr>
      <xdr:spPr bwMode="auto">
        <a:xfrm>
          <a:off x="2281765" y="4521200"/>
          <a:ext cx="215900" cy="272473"/>
        </a:xfrm>
        <a:prstGeom prst="rect">
          <a:avLst/>
        </a:prstGeom>
        <a:noFill/>
        <a:ln>
          <a:noFill/>
        </a:ln>
        <a:extLst>
          <a:ext uri="{909E8E84-426E-40dd-AFC4-6F175D3DCCD1}">
            <a14:hiddenFill xmlns=""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27432" tIns="22860" rIns="0" bIns="0" anchor="t" upright="1">
          <a:spAutoFit/>
        </a:bodyPr>
        <a:lstStyle/>
        <a:p>
          <a:pPr algn="l" rtl="0">
            <a:defRPr sz="1000"/>
          </a:pPr>
          <a:r>
            <a:rPr lang="en-US" sz="1600" b="0" i="0" u="none" strike="noStrike" baseline="0">
              <a:solidFill>
                <a:srgbClr val="000000"/>
              </a:solidFill>
              <a:latin typeface="Arial"/>
              <a:ea typeface="Arial"/>
              <a:cs typeface="Arial"/>
            </a:rPr>
            <a:t>x</a:t>
          </a:r>
        </a:p>
      </xdr:txBody>
    </xdr:sp>
    <xdr:clientData/>
  </xdr:oneCellAnchor>
  <xdr:twoCellAnchor>
    <xdr:from>
      <xdr:col>3</xdr:col>
      <xdr:colOff>59267</xdr:colOff>
      <xdr:row>27</xdr:row>
      <xdr:rowOff>160866</xdr:rowOff>
    </xdr:from>
    <xdr:to>
      <xdr:col>4</xdr:col>
      <xdr:colOff>4232</xdr:colOff>
      <xdr:row>27</xdr:row>
      <xdr:rowOff>160866</xdr:rowOff>
    </xdr:to>
    <xdr:sp macro="" textlink="">
      <xdr:nvSpPr>
        <xdr:cNvPr id="66" name="Line 13">
          <a:extLst>
            <a:ext uri="{FF2B5EF4-FFF2-40B4-BE49-F238E27FC236}">
              <a16:creationId xmlns:a16="http://schemas.microsoft.com/office/drawing/2014/main" id="{BE06D92A-D0D7-914D-A837-72583C54D8A1}"/>
            </a:ext>
          </a:extLst>
        </xdr:cNvPr>
        <xdr:cNvSpPr>
          <a:spLocks noChangeShapeType="1"/>
        </xdr:cNvSpPr>
      </xdr:nvSpPr>
      <xdr:spPr bwMode="auto">
        <a:xfrm>
          <a:off x="8288867" y="1481666"/>
          <a:ext cx="36406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11</xdr:col>
      <xdr:colOff>25401</xdr:colOff>
      <xdr:row>27</xdr:row>
      <xdr:rowOff>148167</xdr:rowOff>
    </xdr:from>
    <xdr:to>
      <xdr:col>11</xdr:col>
      <xdr:colOff>393700</xdr:colOff>
      <xdr:row>27</xdr:row>
      <xdr:rowOff>148167</xdr:rowOff>
    </xdr:to>
    <xdr:sp macro="" textlink="">
      <xdr:nvSpPr>
        <xdr:cNvPr id="67" name="Line 13">
          <a:extLst>
            <a:ext uri="{FF2B5EF4-FFF2-40B4-BE49-F238E27FC236}">
              <a16:creationId xmlns:a16="http://schemas.microsoft.com/office/drawing/2014/main" id="{47CCE25C-B368-674A-A91D-C07A8256B377}"/>
            </a:ext>
          </a:extLst>
        </xdr:cNvPr>
        <xdr:cNvSpPr>
          <a:spLocks noChangeShapeType="1"/>
        </xdr:cNvSpPr>
      </xdr:nvSpPr>
      <xdr:spPr bwMode="auto">
        <a:xfrm>
          <a:off x="11633201" y="1468967"/>
          <a:ext cx="368299"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7</xdr:col>
      <xdr:colOff>25401</xdr:colOff>
      <xdr:row>27</xdr:row>
      <xdr:rowOff>148167</xdr:rowOff>
    </xdr:from>
    <xdr:to>
      <xdr:col>7</xdr:col>
      <xdr:colOff>393700</xdr:colOff>
      <xdr:row>27</xdr:row>
      <xdr:rowOff>148167</xdr:rowOff>
    </xdr:to>
    <xdr:sp macro="" textlink="">
      <xdr:nvSpPr>
        <xdr:cNvPr id="68" name="Line 13">
          <a:extLst>
            <a:ext uri="{FF2B5EF4-FFF2-40B4-BE49-F238E27FC236}">
              <a16:creationId xmlns:a16="http://schemas.microsoft.com/office/drawing/2014/main" id="{43389347-70D0-5143-AA04-D2C7084654B1}"/>
            </a:ext>
          </a:extLst>
        </xdr:cNvPr>
        <xdr:cNvSpPr>
          <a:spLocks noChangeShapeType="1"/>
        </xdr:cNvSpPr>
      </xdr:nvSpPr>
      <xdr:spPr bwMode="auto">
        <a:xfrm>
          <a:off x="9944101" y="1468967"/>
          <a:ext cx="368299"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oneCellAnchor>
    <xdr:from>
      <xdr:col>9</xdr:col>
      <xdr:colOff>101600</xdr:colOff>
      <xdr:row>27</xdr:row>
      <xdr:rowOff>76200</xdr:rowOff>
    </xdr:from>
    <xdr:ext cx="215900" cy="272473"/>
    <xdr:sp macro="" textlink="">
      <xdr:nvSpPr>
        <xdr:cNvPr id="69" name="Text Box 47">
          <a:extLst>
            <a:ext uri="{FF2B5EF4-FFF2-40B4-BE49-F238E27FC236}">
              <a16:creationId xmlns:a16="http://schemas.microsoft.com/office/drawing/2014/main" id="{5A87B98B-2C35-FF46-A467-FE84386D09C3}"/>
            </a:ext>
          </a:extLst>
        </xdr:cNvPr>
        <xdr:cNvSpPr txBox="1">
          <a:spLocks noChangeArrowheads="1"/>
        </xdr:cNvSpPr>
      </xdr:nvSpPr>
      <xdr:spPr bwMode="auto">
        <a:xfrm>
          <a:off x="4025900" y="4533900"/>
          <a:ext cx="215900" cy="272473"/>
        </a:xfrm>
        <a:prstGeom prst="rect">
          <a:avLst/>
        </a:prstGeom>
        <a:noFill/>
        <a:ln>
          <a:noFill/>
        </a:ln>
        <a:extLst>
          <a:ext uri="{909E8E84-426E-40dd-AFC4-6F175D3DCCD1}">
            <a14:hiddenFill xmlns=""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27432" tIns="22860" rIns="0" bIns="0" anchor="t" upright="1">
          <a:spAutoFit/>
        </a:bodyPr>
        <a:lstStyle/>
        <a:p>
          <a:pPr algn="l" rtl="0">
            <a:defRPr sz="1000"/>
          </a:pPr>
          <a:r>
            <a:rPr lang="en-US" sz="1600" b="0" i="0" u="none" strike="noStrike" baseline="0">
              <a:solidFill>
                <a:srgbClr val="000000"/>
              </a:solidFill>
              <a:latin typeface="Arial"/>
              <a:ea typeface="Arial"/>
              <a:cs typeface="Arial"/>
            </a:rPr>
            <a:t>x</a:t>
          </a:r>
        </a:p>
      </xdr:txBody>
    </xdr:sp>
    <xdr:clientData/>
  </xdr:oneCellAnchor>
  <xdr:twoCellAnchor>
    <xdr:from>
      <xdr:col>7</xdr:col>
      <xdr:colOff>25401</xdr:colOff>
      <xdr:row>27</xdr:row>
      <xdr:rowOff>148167</xdr:rowOff>
    </xdr:from>
    <xdr:to>
      <xdr:col>7</xdr:col>
      <xdr:colOff>393700</xdr:colOff>
      <xdr:row>27</xdr:row>
      <xdr:rowOff>148167</xdr:rowOff>
    </xdr:to>
    <xdr:sp macro="" textlink="">
      <xdr:nvSpPr>
        <xdr:cNvPr id="70" name="Line 13">
          <a:extLst>
            <a:ext uri="{FF2B5EF4-FFF2-40B4-BE49-F238E27FC236}">
              <a16:creationId xmlns:a16="http://schemas.microsoft.com/office/drawing/2014/main" id="{56E422D6-092E-4949-A8D7-32A8E9CB3978}"/>
            </a:ext>
          </a:extLst>
        </xdr:cNvPr>
        <xdr:cNvSpPr>
          <a:spLocks noChangeShapeType="1"/>
        </xdr:cNvSpPr>
      </xdr:nvSpPr>
      <xdr:spPr bwMode="auto">
        <a:xfrm>
          <a:off x="9944101" y="1468967"/>
          <a:ext cx="368299"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xmlns="">
              <a:noFill/>
            </a14:hiddenFill>
          </a:ext>
        </a:extLst>
      </xdr:spPr>
      <xdr:txBody>
        <a:bodyPr rtlCol="0"/>
        <a:lstStyle/>
        <a:p>
          <a:pPr algn="ctr"/>
          <a:endParaRPr lang="en-US"/>
        </a:p>
      </xdr:txBody>
    </xdr:sp>
    <xdr:clientData/>
  </xdr:twoCellAnchor>
  <xdr:twoCellAnchor>
    <xdr:from>
      <xdr:col>11</xdr:col>
      <xdr:colOff>25401</xdr:colOff>
      <xdr:row>27</xdr:row>
      <xdr:rowOff>148167</xdr:rowOff>
    </xdr:from>
    <xdr:to>
      <xdr:col>11</xdr:col>
      <xdr:colOff>393700</xdr:colOff>
      <xdr:row>27</xdr:row>
      <xdr:rowOff>148167</xdr:rowOff>
    </xdr:to>
    <xdr:sp macro="" textlink="">
      <xdr:nvSpPr>
        <xdr:cNvPr id="71" name="Line 13">
          <a:extLst>
            <a:ext uri="{FF2B5EF4-FFF2-40B4-BE49-F238E27FC236}">
              <a16:creationId xmlns:a16="http://schemas.microsoft.com/office/drawing/2014/main" id="{AD66EABF-CD0A-9240-9FEB-F59C910DB1B0}"/>
            </a:ext>
          </a:extLst>
        </xdr:cNvPr>
        <xdr:cNvSpPr>
          <a:spLocks noChangeShapeType="1"/>
        </xdr:cNvSpPr>
      </xdr:nvSpPr>
      <xdr:spPr bwMode="auto">
        <a:xfrm>
          <a:off x="11633201" y="1468967"/>
          <a:ext cx="368299"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xmlns="">
              <a:noFill/>
            </a14:hiddenFill>
          </a:ext>
        </a:extLst>
      </xdr:spPr>
      <xdr:txBody>
        <a:bodyPr rtlCol="0"/>
        <a:lstStyle/>
        <a:p>
          <a:pPr algn="ctr"/>
          <a:endParaRPr lang="en-US"/>
        </a:p>
      </xdr:txBody>
    </xdr:sp>
    <xdr:clientData/>
  </xdr:twoCellAnchor>
</xdr:wsDr>
</file>

<file path=xl/drawings/drawing2.xml><?xml version="1.0" encoding="utf-8"?>
<c:userShapes xmlns:c="http://schemas.openxmlformats.org/drawingml/2006/chart">
  <cdr:relSizeAnchor xmlns:cdr="http://schemas.openxmlformats.org/drawingml/2006/chartDrawing">
    <cdr:from>
      <cdr:x>0.42775</cdr:x>
      <cdr:y>0.41218</cdr:y>
    </cdr:from>
    <cdr:to>
      <cdr:x>0.86876</cdr:x>
      <cdr:y>0.5148</cdr:y>
    </cdr:to>
    <cdr:sp macro="" textlink="">
      <cdr:nvSpPr>
        <cdr:cNvPr id="990209" name="Text Box 1"/>
        <cdr:cNvSpPr txBox="1">
          <a:spLocks xmlns:a="http://schemas.openxmlformats.org/drawingml/2006/main" noChangeArrowheads="1"/>
        </cdr:cNvSpPr>
      </cdr:nvSpPr>
      <cdr:spPr bwMode="auto">
        <a:xfrm xmlns:a="http://schemas.openxmlformats.org/drawingml/2006/main">
          <a:off x="840941" y="977149"/>
          <a:ext cx="867008" cy="243278"/>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0.44868</cdr:x>
      <cdr:y>0.45782</cdr:y>
    </cdr:from>
    <cdr:to>
      <cdr:x>0.44868</cdr:x>
      <cdr:y>0.45782</cdr:y>
    </cdr:to>
    <cdr:sp macro="" textlink="">
      <cdr:nvSpPr>
        <cdr:cNvPr id="2" name="Text Box 1">
          <a:extLst xmlns:a="http://schemas.openxmlformats.org/drawingml/2006/main">
            <a:ext uri="{FF2B5EF4-FFF2-40B4-BE49-F238E27FC236}">
              <a16:creationId xmlns:a16="http://schemas.microsoft.com/office/drawing/2014/main" id="{ADA8CB62-FCE9-764F-980B-B8052FCC5C5E}"/>
            </a:ext>
          </a:extLst>
        </cdr:cNvPr>
        <cdr:cNvSpPr txBox="1">
          <a:spLocks xmlns:a="http://schemas.openxmlformats.org/drawingml/2006/main" noChangeArrowheads="1"/>
        </cdr:cNvSpPr>
      </cdr:nvSpPr>
      <cdr:spPr bwMode="auto">
        <a:xfrm xmlns:a="http://schemas.openxmlformats.org/drawingml/2006/main">
          <a:off x="843344" y="994248"/>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0.58135</cdr:x>
      <cdr:y>0.30769</cdr:y>
    </cdr:from>
    <cdr:to>
      <cdr:x>0.58135</cdr:x>
      <cdr:y>0.30769</cdr:y>
    </cdr:to>
    <cdr:sp macro="" textlink="">
      <cdr:nvSpPr>
        <cdr:cNvPr id="3" name="Text Box 2">
          <a:extLst xmlns:a="http://schemas.openxmlformats.org/drawingml/2006/main">
            <a:ext uri="{FF2B5EF4-FFF2-40B4-BE49-F238E27FC236}">
              <a16:creationId xmlns:a16="http://schemas.microsoft.com/office/drawing/2014/main" id="{7291A361-3C35-054B-A65A-95EBE80E3869}"/>
            </a:ext>
          </a:extLst>
        </cdr:cNvPr>
        <cdr:cNvSpPr txBox="1">
          <a:spLocks xmlns:a="http://schemas.openxmlformats.org/drawingml/2006/main" noChangeArrowheads="1"/>
        </cdr:cNvSpPr>
      </cdr:nvSpPr>
      <cdr:spPr bwMode="auto">
        <a:xfrm xmlns:a="http://schemas.openxmlformats.org/drawingml/2006/main">
          <a:off x="1092708" y="668207"/>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0.44868</cdr:x>
      <cdr:y>0.45782</cdr:y>
    </cdr:from>
    <cdr:to>
      <cdr:x>0.44868</cdr:x>
      <cdr:y>0.45782</cdr:y>
    </cdr:to>
    <cdr:sp macro="" textlink="">
      <cdr:nvSpPr>
        <cdr:cNvPr id="13" name="Text Box 1">
          <a:extLst xmlns:a="http://schemas.openxmlformats.org/drawingml/2006/main">
            <a:ext uri="{FF2B5EF4-FFF2-40B4-BE49-F238E27FC236}">
              <a16:creationId xmlns:a16="http://schemas.microsoft.com/office/drawing/2014/main" id="{8048C809-DB8E-404E-91B2-7EF471B2797B}"/>
            </a:ext>
          </a:extLst>
        </cdr:cNvPr>
        <cdr:cNvSpPr txBox="1">
          <a:spLocks xmlns:a="http://schemas.openxmlformats.org/drawingml/2006/main" noChangeArrowheads="1"/>
        </cdr:cNvSpPr>
      </cdr:nvSpPr>
      <cdr:spPr bwMode="auto">
        <a:xfrm xmlns:a="http://schemas.openxmlformats.org/drawingml/2006/main">
          <a:off x="843344" y="994248"/>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0.58135</cdr:x>
      <cdr:y>0.30769</cdr:y>
    </cdr:from>
    <cdr:to>
      <cdr:x>0.58135</cdr:x>
      <cdr:y>0.30769</cdr:y>
    </cdr:to>
    <cdr:sp macro="" textlink="">
      <cdr:nvSpPr>
        <cdr:cNvPr id="14" name="Text Box 2">
          <a:extLst xmlns:a="http://schemas.openxmlformats.org/drawingml/2006/main">
            <a:ext uri="{FF2B5EF4-FFF2-40B4-BE49-F238E27FC236}">
              <a16:creationId xmlns:a16="http://schemas.microsoft.com/office/drawing/2014/main" id="{111AE6B3-C088-584A-98B0-E5F6D35DB54D}"/>
            </a:ext>
          </a:extLst>
        </cdr:cNvPr>
        <cdr:cNvSpPr txBox="1">
          <a:spLocks xmlns:a="http://schemas.openxmlformats.org/drawingml/2006/main" noChangeArrowheads="1"/>
        </cdr:cNvSpPr>
      </cdr:nvSpPr>
      <cdr:spPr bwMode="auto">
        <a:xfrm xmlns:a="http://schemas.openxmlformats.org/drawingml/2006/main">
          <a:off x="1092708" y="668207"/>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0.44868</cdr:x>
      <cdr:y>0.45782</cdr:y>
    </cdr:from>
    <cdr:to>
      <cdr:x>0.44868</cdr:x>
      <cdr:y>0.45782</cdr:y>
    </cdr:to>
    <cdr:sp macro="" textlink="">
      <cdr:nvSpPr>
        <cdr:cNvPr id="15" name="Text Box 1">
          <a:extLst xmlns:a="http://schemas.openxmlformats.org/drawingml/2006/main">
            <a:ext uri="{FF2B5EF4-FFF2-40B4-BE49-F238E27FC236}">
              <a16:creationId xmlns:a16="http://schemas.microsoft.com/office/drawing/2014/main" id="{9852A8B9-494B-5F43-9CE2-DDEB6DDE4211}"/>
            </a:ext>
          </a:extLst>
        </cdr:cNvPr>
        <cdr:cNvSpPr txBox="1">
          <a:spLocks xmlns:a="http://schemas.openxmlformats.org/drawingml/2006/main" noChangeArrowheads="1"/>
        </cdr:cNvSpPr>
      </cdr:nvSpPr>
      <cdr:spPr bwMode="auto">
        <a:xfrm xmlns:a="http://schemas.openxmlformats.org/drawingml/2006/main">
          <a:off x="843344" y="994248"/>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0.58135</cdr:x>
      <cdr:y>0.30769</cdr:y>
    </cdr:from>
    <cdr:to>
      <cdr:x>0.58135</cdr:x>
      <cdr:y>0.30769</cdr:y>
    </cdr:to>
    <cdr:sp macro="" textlink="">
      <cdr:nvSpPr>
        <cdr:cNvPr id="16" name="Text Box 2">
          <a:extLst xmlns:a="http://schemas.openxmlformats.org/drawingml/2006/main">
            <a:ext uri="{FF2B5EF4-FFF2-40B4-BE49-F238E27FC236}">
              <a16:creationId xmlns:a16="http://schemas.microsoft.com/office/drawing/2014/main" id="{2FB25BBE-A057-D842-9023-10CA2B6DF43E}"/>
            </a:ext>
          </a:extLst>
        </cdr:cNvPr>
        <cdr:cNvSpPr txBox="1">
          <a:spLocks xmlns:a="http://schemas.openxmlformats.org/drawingml/2006/main" noChangeArrowheads="1"/>
        </cdr:cNvSpPr>
      </cdr:nvSpPr>
      <cdr:spPr bwMode="auto">
        <a:xfrm xmlns:a="http://schemas.openxmlformats.org/drawingml/2006/main">
          <a:off x="1092708" y="668207"/>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0.44868</cdr:x>
      <cdr:y>0.45782</cdr:y>
    </cdr:from>
    <cdr:to>
      <cdr:x>0.44868</cdr:x>
      <cdr:y>0.45782</cdr:y>
    </cdr:to>
    <cdr:sp macro="" textlink="">
      <cdr:nvSpPr>
        <cdr:cNvPr id="17" name="Text Box 1">
          <a:extLst xmlns:a="http://schemas.openxmlformats.org/drawingml/2006/main">
            <a:ext uri="{FF2B5EF4-FFF2-40B4-BE49-F238E27FC236}">
              <a16:creationId xmlns:a16="http://schemas.microsoft.com/office/drawing/2014/main" id="{36E8E6DC-35CC-5E4B-823A-3A8613414BC0}"/>
            </a:ext>
          </a:extLst>
        </cdr:cNvPr>
        <cdr:cNvSpPr txBox="1">
          <a:spLocks xmlns:a="http://schemas.openxmlformats.org/drawingml/2006/main" noChangeArrowheads="1"/>
        </cdr:cNvSpPr>
      </cdr:nvSpPr>
      <cdr:spPr bwMode="auto">
        <a:xfrm xmlns:a="http://schemas.openxmlformats.org/drawingml/2006/main">
          <a:off x="843344" y="994248"/>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0.58135</cdr:x>
      <cdr:y>0.30769</cdr:y>
    </cdr:from>
    <cdr:to>
      <cdr:x>0.58135</cdr:x>
      <cdr:y>0.30769</cdr:y>
    </cdr:to>
    <cdr:sp macro="" textlink="">
      <cdr:nvSpPr>
        <cdr:cNvPr id="18" name="Text Box 2">
          <a:extLst xmlns:a="http://schemas.openxmlformats.org/drawingml/2006/main">
            <a:ext uri="{FF2B5EF4-FFF2-40B4-BE49-F238E27FC236}">
              <a16:creationId xmlns:a16="http://schemas.microsoft.com/office/drawing/2014/main" id="{856ECEC2-45D0-8447-BD08-187203FFB8BA}"/>
            </a:ext>
          </a:extLst>
        </cdr:cNvPr>
        <cdr:cNvSpPr txBox="1">
          <a:spLocks xmlns:a="http://schemas.openxmlformats.org/drawingml/2006/main" noChangeArrowheads="1"/>
        </cdr:cNvSpPr>
      </cdr:nvSpPr>
      <cdr:spPr bwMode="auto">
        <a:xfrm xmlns:a="http://schemas.openxmlformats.org/drawingml/2006/main">
          <a:off x="1092708" y="668207"/>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0.41019</cdr:x>
      <cdr:y>0.62209</cdr:y>
    </cdr:from>
    <cdr:to>
      <cdr:x>0.8135</cdr:x>
      <cdr:y>0.71239</cdr:y>
    </cdr:to>
    <cdr:sp macro="" textlink="">
      <cdr:nvSpPr>
        <cdr:cNvPr id="21" name="Text Box 1">
          <a:extLst xmlns:a="http://schemas.openxmlformats.org/drawingml/2006/main">
            <a:ext uri="{FF2B5EF4-FFF2-40B4-BE49-F238E27FC236}">
              <a16:creationId xmlns:a16="http://schemas.microsoft.com/office/drawing/2014/main" id="{856FCE98-DBBB-D44B-BDD1-EDF565AC085E}"/>
            </a:ext>
          </a:extLst>
        </cdr:cNvPr>
        <cdr:cNvSpPr txBox="1">
          <a:spLocks xmlns:a="http://schemas.openxmlformats.org/drawingml/2006/main" noChangeArrowheads="1"/>
        </cdr:cNvSpPr>
      </cdr:nvSpPr>
      <cdr:spPr bwMode="auto">
        <a:xfrm xmlns:a="http://schemas.openxmlformats.org/drawingml/2006/main">
          <a:off x="806417" y="1474775"/>
          <a:ext cx="792891" cy="214072"/>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wrap="square" lIns="27432" tIns="18288" rIns="0" bIns="0" anchor="t" upright="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rtl="0">
            <a:defRPr sz="1000"/>
          </a:pPr>
          <a:r>
            <a:rPr lang="en-US" sz="1000" b="0" i="0" u="none" strike="noStrike" baseline="0">
              <a:solidFill>
                <a:srgbClr val="FF0000"/>
              </a:solidFill>
              <a:latin typeface="Arial"/>
              <a:ea typeface="Arial"/>
              <a:cs typeface="Arial"/>
            </a:rPr>
            <a:t>Intervention</a:t>
          </a:r>
        </a:p>
      </cdr:txBody>
    </cdr:sp>
  </cdr:relSizeAnchor>
  <cdr:relSizeAnchor xmlns:cdr="http://schemas.openxmlformats.org/drawingml/2006/chartDrawing">
    <cdr:from>
      <cdr:x>0.44868</cdr:x>
      <cdr:y>0.45782</cdr:y>
    </cdr:from>
    <cdr:to>
      <cdr:x>0.44868</cdr:x>
      <cdr:y>0.45782</cdr:y>
    </cdr:to>
    <cdr:sp macro="" textlink="">
      <cdr:nvSpPr>
        <cdr:cNvPr id="22" name="Text Box 1">
          <a:extLst xmlns:a="http://schemas.openxmlformats.org/drawingml/2006/main">
            <a:ext uri="{FF2B5EF4-FFF2-40B4-BE49-F238E27FC236}">
              <a16:creationId xmlns:a16="http://schemas.microsoft.com/office/drawing/2014/main" id="{8048C809-DB8E-404E-91B2-7EF471B2797B}"/>
            </a:ext>
          </a:extLst>
        </cdr:cNvPr>
        <cdr:cNvSpPr txBox="1">
          <a:spLocks xmlns:a="http://schemas.openxmlformats.org/drawingml/2006/main" noChangeArrowheads="1"/>
        </cdr:cNvSpPr>
      </cdr:nvSpPr>
      <cdr:spPr bwMode="auto">
        <a:xfrm xmlns:a="http://schemas.openxmlformats.org/drawingml/2006/main">
          <a:off x="843344" y="994248"/>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0.58135</cdr:x>
      <cdr:y>0.30769</cdr:y>
    </cdr:from>
    <cdr:to>
      <cdr:x>0.58135</cdr:x>
      <cdr:y>0.30769</cdr:y>
    </cdr:to>
    <cdr:sp macro="" textlink="">
      <cdr:nvSpPr>
        <cdr:cNvPr id="23" name="Text Box 2">
          <a:extLst xmlns:a="http://schemas.openxmlformats.org/drawingml/2006/main">
            <a:ext uri="{FF2B5EF4-FFF2-40B4-BE49-F238E27FC236}">
              <a16:creationId xmlns:a16="http://schemas.microsoft.com/office/drawing/2014/main" id="{111AE6B3-C088-584A-98B0-E5F6D35DB54D}"/>
            </a:ext>
          </a:extLst>
        </cdr:cNvPr>
        <cdr:cNvSpPr txBox="1">
          <a:spLocks xmlns:a="http://schemas.openxmlformats.org/drawingml/2006/main" noChangeArrowheads="1"/>
        </cdr:cNvSpPr>
      </cdr:nvSpPr>
      <cdr:spPr bwMode="auto">
        <a:xfrm xmlns:a="http://schemas.openxmlformats.org/drawingml/2006/main">
          <a:off x="1092708" y="668207"/>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0.44868</cdr:x>
      <cdr:y>0.45782</cdr:y>
    </cdr:from>
    <cdr:to>
      <cdr:x>0.44868</cdr:x>
      <cdr:y>0.45782</cdr:y>
    </cdr:to>
    <cdr:sp macro="" textlink="">
      <cdr:nvSpPr>
        <cdr:cNvPr id="24" name="Text Box 1">
          <a:extLst xmlns:a="http://schemas.openxmlformats.org/drawingml/2006/main">
            <a:ext uri="{FF2B5EF4-FFF2-40B4-BE49-F238E27FC236}">
              <a16:creationId xmlns:a16="http://schemas.microsoft.com/office/drawing/2014/main" id="{9852A8B9-494B-5F43-9CE2-DDEB6DDE4211}"/>
            </a:ext>
          </a:extLst>
        </cdr:cNvPr>
        <cdr:cNvSpPr txBox="1">
          <a:spLocks xmlns:a="http://schemas.openxmlformats.org/drawingml/2006/main" noChangeArrowheads="1"/>
        </cdr:cNvSpPr>
      </cdr:nvSpPr>
      <cdr:spPr bwMode="auto">
        <a:xfrm xmlns:a="http://schemas.openxmlformats.org/drawingml/2006/main">
          <a:off x="843344" y="994248"/>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0.58135</cdr:x>
      <cdr:y>0.30769</cdr:y>
    </cdr:from>
    <cdr:to>
      <cdr:x>0.58135</cdr:x>
      <cdr:y>0.30769</cdr:y>
    </cdr:to>
    <cdr:sp macro="" textlink="">
      <cdr:nvSpPr>
        <cdr:cNvPr id="25" name="Text Box 2">
          <a:extLst xmlns:a="http://schemas.openxmlformats.org/drawingml/2006/main">
            <a:ext uri="{FF2B5EF4-FFF2-40B4-BE49-F238E27FC236}">
              <a16:creationId xmlns:a16="http://schemas.microsoft.com/office/drawing/2014/main" id="{2FB25BBE-A057-D842-9023-10CA2B6DF43E}"/>
            </a:ext>
          </a:extLst>
        </cdr:cNvPr>
        <cdr:cNvSpPr txBox="1">
          <a:spLocks xmlns:a="http://schemas.openxmlformats.org/drawingml/2006/main" noChangeArrowheads="1"/>
        </cdr:cNvSpPr>
      </cdr:nvSpPr>
      <cdr:spPr bwMode="auto">
        <a:xfrm xmlns:a="http://schemas.openxmlformats.org/drawingml/2006/main">
          <a:off x="1092708" y="668207"/>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userShapes>
</file>

<file path=xl/drawings/drawing3.xml><?xml version="1.0" encoding="utf-8"?>
<c:userShapes xmlns:c="http://schemas.openxmlformats.org/drawingml/2006/chart">
  <cdr:relSizeAnchor xmlns:cdr="http://schemas.openxmlformats.org/drawingml/2006/chartDrawing">
    <cdr:from>
      <cdr:x>0.40431</cdr:x>
      <cdr:y>0.15371</cdr:y>
    </cdr:from>
    <cdr:to>
      <cdr:x>0.86883</cdr:x>
      <cdr:y>0.29074</cdr:y>
    </cdr:to>
    <cdr:sp macro="" textlink="">
      <cdr:nvSpPr>
        <cdr:cNvPr id="2" name="TextBox 1"/>
        <cdr:cNvSpPr txBox="1"/>
      </cdr:nvSpPr>
      <cdr:spPr>
        <a:xfrm xmlns:a="http://schemas.openxmlformats.org/drawingml/2006/main">
          <a:off x="794857" y="351373"/>
          <a:ext cx="913228" cy="313251"/>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000">
              <a:latin typeface="Arial"/>
              <a:cs typeface="Arial"/>
            </a:rPr>
            <a:t>Reference</a:t>
          </a:r>
        </a:p>
      </cdr:txBody>
    </cdr:sp>
  </cdr:relSizeAnchor>
  <cdr:relSizeAnchor xmlns:cdr="http://schemas.openxmlformats.org/drawingml/2006/chartDrawing">
    <cdr:from>
      <cdr:x>0.24492</cdr:x>
      <cdr:y>0.59259</cdr:y>
    </cdr:from>
    <cdr:to>
      <cdr:x>0.70943</cdr:x>
      <cdr:y>0.72963</cdr:y>
    </cdr:to>
    <cdr:sp macro="" textlink="">
      <cdr:nvSpPr>
        <cdr:cNvPr id="3" name="TextBox 2"/>
        <cdr:cNvSpPr txBox="1"/>
      </cdr:nvSpPr>
      <cdr:spPr>
        <a:xfrm xmlns:a="http://schemas.openxmlformats.org/drawingml/2006/main">
          <a:off x="481506" y="1354661"/>
          <a:ext cx="913208" cy="31327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a:solidFill>
                <a:srgbClr val="FF0000"/>
              </a:solidFill>
            </a:rPr>
            <a:t>Intervention</a:t>
          </a:r>
        </a:p>
      </cdr:txBody>
    </cdr:sp>
  </cdr:relSizeAnchor>
</c:userShapes>
</file>

<file path=xl/drawings/drawing4.xml><?xml version="1.0" encoding="utf-8"?>
<c:userShapes xmlns:c="http://schemas.openxmlformats.org/drawingml/2006/chart">
  <cdr:relSizeAnchor xmlns:cdr="http://schemas.openxmlformats.org/drawingml/2006/chartDrawing">
    <cdr:from>
      <cdr:x>0.21925</cdr:x>
      <cdr:y>0.17407</cdr:y>
    </cdr:from>
    <cdr:to>
      <cdr:x>0.68376</cdr:x>
      <cdr:y>0.28889</cdr:y>
    </cdr:to>
    <cdr:sp macro="" textlink="">
      <cdr:nvSpPr>
        <cdr:cNvPr id="2" name="TextBox 1"/>
        <cdr:cNvSpPr txBox="1"/>
      </cdr:nvSpPr>
      <cdr:spPr>
        <a:xfrm xmlns:a="http://schemas.openxmlformats.org/drawingml/2006/main">
          <a:off x="431038" y="397932"/>
          <a:ext cx="913208" cy="26247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000">
              <a:latin typeface="Arial"/>
              <a:cs typeface="Arial"/>
            </a:rPr>
            <a:t>Reference</a:t>
          </a:r>
        </a:p>
      </cdr:txBody>
    </cdr:sp>
  </cdr:relSizeAnchor>
  <cdr:relSizeAnchor xmlns:cdr="http://schemas.openxmlformats.org/drawingml/2006/chartDrawing">
    <cdr:from>
      <cdr:x>0.3571</cdr:x>
      <cdr:y>0.4537</cdr:y>
    </cdr:from>
    <cdr:to>
      <cdr:x>0.82161</cdr:x>
      <cdr:y>0.57963</cdr:y>
    </cdr:to>
    <cdr:sp macro="" textlink="">
      <cdr:nvSpPr>
        <cdr:cNvPr id="3" name="TextBox 2"/>
        <cdr:cNvSpPr txBox="1"/>
      </cdr:nvSpPr>
      <cdr:spPr>
        <a:xfrm xmlns:a="http://schemas.openxmlformats.org/drawingml/2006/main">
          <a:off x="702044" y="1037163"/>
          <a:ext cx="913208" cy="28787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a:solidFill>
                <a:srgbClr val="FF0000"/>
              </a:solidFill>
            </a:rPr>
            <a:t>Intervention</a:t>
          </a:r>
        </a:p>
      </cdr:txBody>
    </cdr:sp>
  </cdr:relSizeAnchor>
</c:userShapes>
</file>

<file path=xl/drawings/drawing5.xml><?xml version="1.0" encoding="utf-8"?>
<c:userShapes xmlns:c="http://schemas.openxmlformats.org/drawingml/2006/chart">
  <cdr:relSizeAnchor xmlns:cdr="http://schemas.openxmlformats.org/drawingml/2006/chartDrawing">
    <cdr:from>
      <cdr:x>0.28729</cdr:x>
      <cdr:y>0.71876</cdr:y>
    </cdr:from>
    <cdr:to>
      <cdr:x>0.70033</cdr:x>
      <cdr:y>0.79772</cdr:y>
    </cdr:to>
    <cdr:sp macro="" textlink="">
      <cdr:nvSpPr>
        <cdr:cNvPr id="984065" name="Text Box 1"/>
        <cdr:cNvSpPr txBox="1">
          <a:spLocks xmlns:a="http://schemas.openxmlformats.org/drawingml/2006/main" noChangeArrowheads="1"/>
        </cdr:cNvSpPr>
      </cdr:nvSpPr>
      <cdr:spPr bwMode="auto">
        <a:xfrm xmlns:a="http://schemas.openxmlformats.org/drawingml/2006/main">
          <a:off x="564800" y="1643093"/>
          <a:ext cx="812020" cy="180503"/>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FF0000"/>
              </a:solidFill>
              <a:latin typeface="Arial"/>
              <a:ea typeface="Arial"/>
              <a:cs typeface="Arial"/>
            </a:rPr>
            <a:t>Intervention</a:t>
          </a:r>
        </a:p>
      </cdr:txBody>
    </cdr:sp>
  </cdr:relSizeAnchor>
  <cdr:relSizeAnchor xmlns:cdr="http://schemas.openxmlformats.org/drawingml/2006/chartDrawing">
    <cdr:from>
      <cdr:x>0.48061</cdr:x>
      <cdr:y>0.37191</cdr:y>
    </cdr:from>
    <cdr:to>
      <cdr:x>0.96281</cdr:x>
      <cdr:y>0.4581</cdr:y>
    </cdr:to>
    <cdr:sp macro="" textlink="">
      <cdr:nvSpPr>
        <cdr:cNvPr id="984066" name="Text Box 2"/>
        <cdr:cNvSpPr txBox="1">
          <a:spLocks xmlns:a="http://schemas.openxmlformats.org/drawingml/2006/main" noChangeArrowheads="1"/>
        </cdr:cNvSpPr>
      </cdr:nvSpPr>
      <cdr:spPr bwMode="auto">
        <a:xfrm xmlns:a="http://schemas.openxmlformats.org/drawingml/2006/main">
          <a:off x="944860" y="850176"/>
          <a:ext cx="947986" cy="19703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userShapes>
</file>

<file path=xl/drawings/drawing6.xml><?xml version="1.0" encoding="utf-8"?>
<c:userShapes xmlns:c="http://schemas.openxmlformats.org/drawingml/2006/chart">
  <cdr:relSizeAnchor xmlns:cdr="http://schemas.openxmlformats.org/drawingml/2006/chartDrawing">
    <cdr:from>
      <cdr:x>0.23481</cdr:x>
      <cdr:y>0.5606</cdr:y>
    </cdr:from>
    <cdr:to>
      <cdr:x>0.604</cdr:x>
      <cdr:y>0.65113</cdr:y>
    </cdr:to>
    <cdr:sp macro="" textlink="">
      <cdr:nvSpPr>
        <cdr:cNvPr id="985089" name="Text Box 1"/>
        <cdr:cNvSpPr txBox="1">
          <a:spLocks xmlns:a="http://schemas.openxmlformats.org/drawingml/2006/main" noChangeArrowheads="1"/>
        </cdr:cNvSpPr>
      </cdr:nvSpPr>
      <cdr:spPr bwMode="auto">
        <a:xfrm xmlns:a="http://schemas.openxmlformats.org/drawingml/2006/main">
          <a:off x="465215" y="1281537"/>
          <a:ext cx="731440" cy="206951"/>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wrap="none" lIns="18288" tIns="18288" rIns="0" bIns="0" anchor="t" upright="1">
          <a:spAutoFit/>
        </a:bodyPr>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0.32754</cdr:x>
      <cdr:y>0.37222</cdr:y>
    </cdr:from>
    <cdr:to>
      <cdr:x>0.73602</cdr:x>
      <cdr:y>0.4433</cdr:y>
    </cdr:to>
    <cdr:sp macro="" textlink="">
      <cdr:nvSpPr>
        <cdr:cNvPr id="985090" name="Text Box 2"/>
        <cdr:cNvSpPr txBox="1">
          <a:spLocks xmlns:a="http://schemas.openxmlformats.org/drawingml/2006/main" noChangeArrowheads="1"/>
        </cdr:cNvSpPr>
      </cdr:nvSpPr>
      <cdr:spPr bwMode="auto">
        <a:xfrm xmlns:a="http://schemas.openxmlformats.org/drawingml/2006/main">
          <a:off x="648916" y="850897"/>
          <a:ext cx="809281" cy="162489"/>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45720" tIns="0" rIns="0" bIns="0" anchor="t" upright="1"/>
        <a:lstStyle xmlns:a="http://schemas.openxmlformats.org/drawingml/2006/main"/>
        <a:p xmlns:a="http://schemas.openxmlformats.org/drawingml/2006/main">
          <a:pPr algn="l" rtl="0">
            <a:defRPr sz="1000"/>
          </a:pPr>
          <a:r>
            <a:rPr lang="en-US" sz="1000" b="0" i="0" u="none" strike="noStrike" baseline="0">
              <a:solidFill>
                <a:srgbClr val="FF0000"/>
              </a:solidFill>
              <a:latin typeface="Arial"/>
              <a:ea typeface="Arial"/>
              <a:cs typeface="Arial"/>
            </a:rPr>
            <a:t>Intervention</a:t>
          </a:r>
        </a:p>
      </cdr:txBody>
    </cdr:sp>
  </cdr:relSizeAnchor>
</c:userShapes>
</file>

<file path=xl/drawings/drawing7.xml><?xml version="1.0" encoding="utf-8"?>
<c:userShapes xmlns:c="http://schemas.openxmlformats.org/drawingml/2006/chart">
  <cdr:relSizeAnchor xmlns:cdr="http://schemas.openxmlformats.org/drawingml/2006/chartDrawing">
    <cdr:from>
      <cdr:x>0.50134</cdr:x>
      <cdr:y>0.62972</cdr:y>
    </cdr:from>
    <cdr:to>
      <cdr:x>0.86065</cdr:x>
      <cdr:y>0.71501</cdr:y>
    </cdr:to>
    <cdr:sp macro="" textlink="">
      <cdr:nvSpPr>
        <cdr:cNvPr id="986113" name="Text Box 1"/>
        <cdr:cNvSpPr txBox="1">
          <a:spLocks xmlns:a="http://schemas.openxmlformats.org/drawingml/2006/main" noChangeArrowheads="1"/>
        </cdr:cNvSpPr>
      </cdr:nvSpPr>
      <cdr:spPr bwMode="auto">
        <a:xfrm xmlns:a="http://schemas.openxmlformats.org/drawingml/2006/main">
          <a:off x="995370" y="1439535"/>
          <a:ext cx="713386" cy="194973"/>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FF0000"/>
              </a:solidFill>
              <a:latin typeface="Arial"/>
              <a:ea typeface="Arial"/>
              <a:cs typeface="Arial"/>
            </a:rPr>
            <a:t>Intervention</a:t>
          </a:r>
        </a:p>
      </cdr:txBody>
    </cdr:sp>
  </cdr:relSizeAnchor>
  <cdr:relSizeAnchor xmlns:cdr="http://schemas.openxmlformats.org/drawingml/2006/chartDrawing">
    <cdr:from>
      <cdr:x>0.29809</cdr:x>
      <cdr:y>0.26364</cdr:y>
    </cdr:from>
    <cdr:to>
      <cdr:x>0.76333</cdr:x>
      <cdr:y>0.34892</cdr:y>
    </cdr:to>
    <cdr:sp macro="" textlink="">
      <cdr:nvSpPr>
        <cdr:cNvPr id="986114" name="Text Box 2"/>
        <cdr:cNvSpPr txBox="1">
          <a:spLocks xmlns:a="http://schemas.openxmlformats.org/drawingml/2006/main" noChangeArrowheads="1"/>
        </cdr:cNvSpPr>
      </cdr:nvSpPr>
      <cdr:spPr bwMode="auto">
        <a:xfrm xmlns:a="http://schemas.openxmlformats.org/drawingml/2006/main">
          <a:off x="591830" y="602673"/>
          <a:ext cx="923703" cy="194951"/>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userShapes>
</file>

<file path=xl/drawings/drawing8.xml><?xml version="1.0" encoding="utf-8"?>
<c:userShapes xmlns:c="http://schemas.openxmlformats.org/drawingml/2006/chart">
  <cdr:relSizeAnchor xmlns:cdr="http://schemas.openxmlformats.org/drawingml/2006/chartDrawing">
    <cdr:from>
      <cdr:x>0.38487</cdr:x>
      <cdr:y>0.41234</cdr:y>
    </cdr:from>
    <cdr:to>
      <cdr:x>0.84347</cdr:x>
      <cdr:y>0.53566</cdr:y>
    </cdr:to>
    <cdr:sp macro="" textlink="">
      <cdr:nvSpPr>
        <cdr:cNvPr id="2" name="TextBox 1"/>
        <cdr:cNvSpPr txBox="1"/>
      </cdr:nvSpPr>
      <cdr:spPr>
        <a:xfrm xmlns:a="http://schemas.openxmlformats.org/drawingml/2006/main">
          <a:off x="756641" y="970548"/>
          <a:ext cx="901589" cy="290262"/>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pPr marL="0" marR="0" indent="0" defTabSz="914400" rtl="0" eaLnBrk="1" fontAlgn="auto" latinLnBrk="0" hangingPunct="1">
            <a:lnSpc>
              <a:spcPct val="100000"/>
            </a:lnSpc>
            <a:spcBef>
              <a:spcPts val="0"/>
            </a:spcBef>
            <a:spcAft>
              <a:spcPts val="0"/>
            </a:spcAft>
            <a:buClrTx/>
            <a:buSzTx/>
            <a:buFontTx/>
            <a:buNone/>
            <a:tabLst/>
            <a:defRPr/>
          </a:pPr>
          <a:r>
            <a:rPr lang="en-US" sz="1000" b="0" i="0" baseline="0">
              <a:effectLst/>
              <a:latin typeface="Arial"/>
              <a:ea typeface="+mn-ea"/>
              <a:cs typeface="Arial"/>
            </a:rPr>
            <a:t>Reference</a:t>
          </a:r>
          <a:endParaRPr lang="en-US" sz="1000">
            <a:effectLst/>
            <a:latin typeface="Arial"/>
            <a:cs typeface="Arial"/>
          </a:endParaRPr>
        </a:p>
      </cdr:txBody>
    </cdr:sp>
  </cdr:relSizeAnchor>
  <cdr:relSizeAnchor xmlns:cdr="http://schemas.openxmlformats.org/drawingml/2006/chartDrawing">
    <cdr:from>
      <cdr:x>0.40977</cdr:x>
      <cdr:y>0.57033</cdr:y>
    </cdr:from>
    <cdr:to>
      <cdr:x>0.86837</cdr:x>
      <cdr:y>0.71676</cdr:y>
    </cdr:to>
    <cdr:sp macro="" textlink="">
      <cdr:nvSpPr>
        <cdr:cNvPr id="3" name="TextBox 2"/>
        <cdr:cNvSpPr txBox="1"/>
      </cdr:nvSpPr>
      <cdr:spPr>
        <a:xfrm xmlns:a="http://schemas.openxmlformats.org/drawingml/2006/main">
          <a:off x="817034" y="1253066"/>
          <a:ext cx="914400" cy="32173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000">
              <a:solidFill>
                <a:srgbClr val="FF0000"/>
              </a:solidFill>
              <a:latin typeface="Arial"/>
              <a:cs typeface="Arial"/>
            </a:rPr>
            <a:t>Intervention</a:t>
          </a:r>
        </a:p>
      </cdr:txBody>
    </cdr:sp>
  </cdr:relSizeAnchor>
  <cdr:relSizeAnchor xmlns:cdr="http://schemas.openxmlformats.org/drawingml/2006/chartDrawing">
    <cdr:from>
      <cdr:x>0.44868</cdr:x>
      <cdr:y>0.45782</cdr:y>
    </cdr:from>
    <cdr:to>
      <cdr:x>0.44868</cdr:x>
      <cdr:y>0.45782</cdr:y>
    </cdr:to>
    <cdr:sp macro="" textlink="">
      <cdr:nvSpPr>
        <cdr:cNvPr id="991233" name="Text Box 1"/>
        <cdr:cNvSpPr txBox="1">
          <a:spLocks xmlns:a="http://schemas.openxmlformats.org/drawingml/2006/main" noChangeArrowheads="1"/>
        </cdr:cNvSpPr>
      </cdr:nvSpPr>
      <cdr:spPr bwMode="auto">
        <a:xfrm xmlns:a="http://schemas.openxmlformats.org/drawingml/2006/main">
          <a:off x="843344" y="994248"/>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0.58135</cdr:x>
      <cdr:y>0.30769</cdr:y>
    </cdr:from>
    <cdr:to>
      <cdr:x>0.58135</cdr:x>
      <cdr:y>0.30769</cdr:y>
    </cdr:to>
    <cdr:sp macro="" textlink="">
      <cdr:nvSpPr>
        <cdr:cNvPr id="991234" name="Text Box 2"/>
        <cdr:cNvSpPr txBox="1">
          <a:spLocks xmlns:a="http://schemas.openxmlformats.org/drawingml/2006/main" noChangeArrowheads="1"/>
        </cdr:cNvSpPr>
      </cdr:nvSpPr>
      <cdr:spPr bwMode="auto">
        <a:xfrm xmlns:a="http://schemas.openxmlformats.org/drawingml/2006/main">
          <a:off x="1092708" y="668207"/>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0.44868</cdr:x>
      <cdr:y>0.45782</cdr:y>
    </cdr:from>
    <cdr:to>
      <cdr:x>0.44868</cdr:x>
      <cdr:y>0.45782</cdr:y>
    </cdr:to>
    <cdr:sp macro="" textlink="">
      <cdr:nvSpPr>
        <cdr:cNvPr id="7" name="Text Box 1">
          <a:extLst xmlns:a="http://schemas.openxmlformats.org/drawingml/2006/main">
            <a:ext uri="{FF2B5EF4-FFF2-40B4-BE49-F238E27FC236}">
              <a16:creationId xmlns:a16="http://schemas.microsoft.com/office/drawing/2014/main" id="{8048C809-DB8E-404E-91B2-7EF471B2797B}"/>
            </a:ext>
          </a:extLst>
        </cdr:cNvPr>
        <cdr:cNvSpPr txBox="1">
          <a:spLocks xmlns:a="http://schemas.openxmlformats.org/drawingml/2006/main" noChangeArrowheads="1"/>
        </cdr:cNvSpPr>
      </cdr:nvSpPr>
      <cdr:spPr bwMode="auto">
        <a:xfrm xmlns:a="http://schemas.openxmlformats.org/drawingml/2006/main">
          <a:off x="843344" y="994248"/>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0.58135</cdr:x>
      <cdr:y>0.30769</cdr:y>
    </cdr:from>
    <cdr:to>
      <cdr:x>0.58135</cdr:x>
      <cdr:y>0.30769</cdr:y>
    </cdr:to>
    <cdr:sp macro="" textlink="">
      <cdr:nvSpPr>
        <cdr:cNvPr id="8" name="Text Box 2">
          <a:extLst xmlns:a="http://schemas.openxmlformats.org/drawingml/2006/main">
            <a:ext uri="{FF2B5EF4-FFF2-40B4-BE49-F238E27FC236}">
              <a16:creationId xmlns:a16="http://schemas.microsoft.com/office/drawing/2014/main" id="{111AE6B3-C088-584A-98B0-E5F6D35DB54D}"/>
            </a:ext>
          </a:extLst>
        </cdr:cNvPr>
        <cdr:cNvSpPr txBox="1">
          <a:spLocks xmlns:a="http://schemas.openxmlformats.org/drawingml/2006/main" noChangeArrowheads="1"/>
        </cdr:cNvSpPr>
      </cdr:nvSpPr>
      <cdr:spPr bwMode="auto">
        <a:xfrm xmlns:a="http://schemas.openxmlformats.org/drawingml/2006/main">
          <a:off x="1092708" y="668207"/>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0.44868</cdr:x>
      <cdr:y>0.45782</cdr:y>
    </cdr:from>
    <cdr:to>
      <cdr:x>0.44868</cdr:x>
      <cdr:y>0.45782</cdr:y>
    </cdr:to>
    <cdr:sp macro="" textlink="">
      <cdr:nvSpPr>
        <cdr:cNvPr id="10" name="Text Box 1">
          <a:extLst xmlns:a="http://schemas.openxmlformats.org/drawingml/2006/main">
            <a:ext uri="{FF2B5EF4-FFF2-40B4-BE49-F238E27FC236}">
              <a16:creationId xmlns:a16="http://schemas.microsoft.com/office/drawing/2014/main" id="{9852A8B9-494B-5F43-9CE2-DDEB6DDE4211}"/>
            </a:ext>
          </a:extLst>
        </cdr:cNvPr>
        <cdr:cNvSpPr txBox="1">
          <a:spLocks xmlns:a="http://schemas.openxmlformats.org/drawingml/2006/main" noChangeArrowheads="1"/>
        </cdr:cNvSpPr>
      </cdr:nvSpPr>
      <cdr:spPr bwMode="auto">
        <a:xfrm xmlns:a="http://schemas.openxmlformats.org/drawingml/2006/main">
          <a:off x="843344" y="994248"/>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0.58135</cdr:x>
      <cdr:y>0.30769</cdr:y>
    </cdr:from>
    <cdr:to>
      <cdr:x>0.58135</cdr:x>
      <cdr:y>0.30769</cdr:y>
    </cdr:to>
    <cdr:sp macro="" textlink="">
      <cdr:nvSpPr>
        <cdr:cNvPr id="11" name="Text Box 2">
          <a:extLst xmlns:a="http://schemas.openxmlformats.org/drawingml/2006/main">
            <a:ext uri="{FF2B5EF4-FFF2-40B4-BE49-F238E27FC236}">
              <a16:creationId xmlns:a16="http://schemas.microsoft.com/office/drawing/2014/main" id="{2FB25BBE-A057-D842-9023-10CA2B6DF43E}"/>
            </a:ext>
          </a:extLst>
        </cdr:cNvPr>
        <cdr:cNvSpPr txBox="1">
          <a:spLocks xmlns:a="http://schemas.openxmlformats.org/drawingml/2006/main" noChangeArrowheads="1"/>
        </cdr:cNvSpPr>
      </cdr:nvSpPr>
      <cdr:spPr bwMode="auto">
        <a:xfrm xmlns:a="http://schemas.openxmlformats.org/drawingml/2006/main">
          <a:off x="1092708" y="668207"/>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userShapes>
</file>

<file path=xl/drawings/drawing9.xml><?xml version="1.0" encoding="utf-8"?>
<c:userShapes xmlns:c="http://schemas.openxmlformats.org/drawingml/2006/chart">
  <cdr:relSizeAnchor xmlns:cdr="http://schemas.openxmlformats.org/drawingml/2006/chartDrawing">
    <cdr:from>
      <cdr:x>0.41551</cdr:x>
      <cdr:y>0.7854</cdr:y>
    </cdr:from>
    <cdr:to>
      <cdr:x>0.41551</cdr:x>
      <cdr:y>0.7854</cdr:y>
    </cdr:to>
    <cdr:sp macro="" textlink="">
      <cdr:nvSpPr>
        <cdr:cNvPr id="988161" name="Text Box 1"/>
        <cdr:cNvSpPr txBox="1">
          <a:spLocks xmlns:a="http://schemas.openxmlformats.org/drawingml/2006/main" noChangeArrowheads="1"/>
        </cdr:cNvSpPr>
      </cdr:nvSpPr>
      <cdr:spPr bwMode="auto">
        <a:xfrm xmlns:a="http://schemas.openxmlformats.org/drawingml/2006/main">
          <a:off x="833755" y="1695691"/>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0.45522</cdr:x>
      <cdr:y>0.75187</cdr:y>
    </cdr:from>
    <cdr:to>
      <cdr:x>0.80057</cdr:x>
      <cdr:y>0.83218</cdr:y>
    </cdr:to>
    <cdr:sp macro="" textlink="">
      <cdr:nvSpPr>
        <cdr:cNvPr id="988162" name="Text Box 2"/>
        <cdr:cNvSpPr txBox="1">
          <a:spLocks xmlns:a="http://schemas.openxmlformats.org/drawingml/2006/main" noChangeArrowheads="1"/>
        </cdr:cNvSpPr>
      </cdr:nvSpPr>
      <cdr:spPr bwMode="auto">
        <a:xfrm xmlns:a="http://schemas.openxmlformats.org/drawingml/2006/main">
          <a:off x="894944" y="1763329"/>
          <a:ext cx="678944" cy="188349"/>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wrap="none" lIns="18288" tIns="18288" rIns="0" bIns="0" anchor="t" upright="1">
          <a:spAutoFit/>
        </a:bodyPr>
        <a:lstStyle xmlns:a="http://schemas.openxmlformats.org/drawingml/2006/main"/>
        <a:p xmlns:a="http://schemas.openxmlformats.org/drawingml/2006/main">
          <a:pPr algn="l" rtl="0">
            <a:defRPr sz="1000"/>
          </a:pPr>
          <a:r>
            <a:rPr lang="en-US" sz="1000" b="0" i="0" u="none" strike="noStrike" baseline="0">
              <a:solidFill>
                <a:srgbClr val="FF0000"/>
              </a:solidFill>
              <a:latin typeface="Arial"/>
              <a:ea typeface="Arial"/>
              <a:cs typeface="Arial"/>
            </a:rPr>
            <a:t>Intervention</a:t>
          </a:r>
        </a:p>
      </cdr:txBody>
    </cdr:sp>
  </cdr:relSizeAnchor>
  <cdr:relSizeAnchor xmlns:cdr="http://schemas.openxmlformats.org/drawingml/2006/chartDrawing">
    <cdr:from>
      <cdr:x>0.36518</cdr:x>
      <cdr:y>0.3925</cdr:y>
    </cdr:from>
    <cdr:to>
      <cdr:x>0.82378</cdr:x>
      <cdr:y>0.53451</cdr:y>
    </cdr:to>
    <cdr:sp macro="" textlink="">
      <cdr:nvSpPr>
        <cdr:cNvPr id="2" name="TextBox 1"/>
        <cdr:cNvSpPr txBox="1"/>
      </cdr:nvSpPr>
      <cdr:spPr>
        <a:xfrm xmlns:a="http://schemas.openxmlformats.org/drawingml/2006/main">
          <a:off x="728132" y="842432"/>
          <a:ext cx="914403" cy="30479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pPr marL="0" marR="0" indent="0" defTabSz="914400" rtl="0" eaLnBrk="1" fontAlgn="auto" latinLnBrk="0" hangingPunct="1">
            <a:lnSpc>
              <a:spcPct val="100000"/>
            </a:lnSpc>
            <a:spcBef>
              <a:spcPts val="0"/>
            </a:spcBef>
            <a:spcAft>
              <a:spcPts val="0"/>
            </a:spcAft>
            <a:buClrTx/>
            <a:buSzTx/>
            <a:buFontTx/>
            <a:buNone/>
            <a:tabLst/>
            <a:defRPr/>
          </a:pPr>
          <a:r>
            <a:rPr lang="en-US" sz="1000" b="0" i="0" baseline="0">
              <a:effectLst/>
              <a:latin typeface="Arial"/>
              <a:ea typeface="+mn-ea"/>
              <a:cs typeface="Arial"/>
            </a:rPr>
            <a:t>Reference</a:t>
          </a:r>
          <a:endParaRPr lang="en-US" sz="1000">
            <a:effectLst/>
            <a:latin typeface="Arial"/>
            <a:cs typeface="Arial"/>
          </a:endParaRPr>
        </a:p>
      </cdr:txBody>
    </cdr:sp>
  </cdr:relSizeAnchor>
  <cdr:relSizeAnchor xmlns:cdr="http://schemas.openxmlformats.org/drawingml/2006/chartDrawing">
    <cdr:from>
      <cdr:x>0.44868</cdr:x>
      <cdr:y>0.45782</cdr:y>
    </cdr:from>
    <cdr:to>
      <cdr:x>0.44868</cdr:x>
      <cdr:y>0.45782</cdr:y>
    </cdr:to>
    <cdr:sp macro="" textlink="">
      <cdr:nvSpPr>
        <cdr:cNvPr id="991233" name="Text Box 1"/>
        <cdr:cNvSpPr txBox="1">
          <a:spLocks xmlns:a="http://schemas.openxmlformats.org/drawingml/2006/main" noChangeArrowheads="1"/>
        </cdr:cNvSpPr>
      </cdr:nvSpPr>
      <cdr:spPr bwMode="auto">
        <a:xfrm xmlns:a="http://schemas.openxmlformats.org/drawingml/2006/main">
          <a:off x="843344" y="994248"/>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0.58135</cdr:x>
      <cdr:y>0.30769</cdr:y>
    </cdr:from>
    <cdr:to>
      <cdr:x>0.58135</cdr:x>
      <cdr:y>0.30769</cdr:y>
    </cdr:to>
    <cdr:sp macro="" textlink="">
      <cdr:nvSpPr>
        <cdr:cNvPr id="991234" name="Text Box 2"/>
        <cdr:cNvSpPr txBox="1">
          <a:spLocks xmlns:a="http://schemas.openxmlformats.org/drawingml/2006/main" noChangeArrowheads="1"/>
        </cdr:cNvSpPr>
      </cdr:nvSpPr>
      <cdr:spPr bwMode="auto">
        <a:xfrm xmlns:a="http://schemas.openxmlformats.org/drawingml/2006/main">
          <a:off x="1092708" y="668207"/>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0.40186</cdr:x>
      <cdr:y>0.36155</cdr:y>
    </cdr:from>
    <cdr:to>
      <cdr:x>0.81074</cdr:x>
      <cdr:y>0.56815</cdr:y>
    </cdr:to>
    <cdr:sp macro="" textlink="">
      <cdr:nvSpPr>
        <cdr:cNvPr id="991235" name="Text Box 3"/>
        <cdr:cNvSpPr txBox="1">
          <a:spLocks xmlns:a="http://schemas.openxmlformats.org/drawingml/2006/main" noChangeArrowheads="1"/>
        </cdr:cNvSpPr>
      </cdr:nvSpPr>
      <cdr:spPr bwMode="auto">
        <a:xfrm xmlns:a="http://schemas.openxmlformats.org/drawingml/2006/main">
          <a:off x="755333" y="785168"/>
          <a:ext cx="768540" cy="448694"/>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endParaRPr lang="en-US" sz="1000" b="0" i="0" u="none" strike="noStrike" baseline="0">
            <a:solidFill>
              <a:srgbClr val="FF0000"/>
            </a:solidFill>
            <a:latin typeface="Arial"/>
            <a:ea typeface="Arial"/>
            <a:cs typeface="Arial"/>
          </a:endParaRPr>
        </a:p>
      </cdr:txBody>
    </cdr:sp>
  </cdr:relSizeAnchor>
  <cdr:relSizeAnchor xmlns:cdr="http://schemas.openxmlformats.org/drawingml/2006/chartDrawing">
    <cdr:from>
      <cdr:x>0.44868</cdr:x>
      <cdr:y>0.45782</cdr:y>
    </cdr:from>
    <cdr:to>
      <cdr:x>0.44868</cdr:x>
      <cdr:y>0.45782</cdr:y>
    </cdr:to>
    <cdr:sp macro="" textlink="">
      <cdr:nvSpPr>
        <cdr:cNvPr id="7" name="Text Box 1">
          <a:extLst xmlns:a="http://schemas.openxmlformats.org/drawingml/2006/main">
            <a:ext uri="{FF2B5EF4-FFF2-40B4-BE49-F238E27FC236}">
              <a16:creationId xmlns:a16="http://schemas.microsoft.com/office/drawing/2014/main" id="{8048C809-DB8E-404E-91B2-7EF471B2797B}"/>
            </a:ext>
          </a:extLst>
        </cdr:cNvPr>
        <cdr:cNvSpPr txBox="1">
          <a:spLocks xmlns:a="http://schemas.openxmlformats.org/drawingml/2006/main" noChangeArrowheads="1"/>
        </cdr:cNvSpPr>
      </cdr:nvSpPr>
      <cdr:spPr bwMode="auto">
        <a:xfrm xmlns:a="http://schemas.openxmlformats.org/drawingml/2006/main">
          <a:off x="843344" y="994248"/>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0.58135</cdr:x>
      <cdr:y>0.30769</cdr:y>
    </cdr:from>
    <cdr:to>
      <cdr:x>0.58135</cdr:x>
      <cdr:y>0.30769</cdr:y>
    </cdr:to>
    <cdr:sp macro="" textlink="">
      <cdr:nvSpPr>
        <cdr:cNvPr id="8" name="Text Box 2">
          <a:extLst xmlns:a="http://schemas.openxmlformats.org/drawingml/2006/main">
            <a:ext uri="{FF2B5EF4-FFF2-40B4-BE49-F238E27FC236}">
              <a16:creationId xmlns:a16="http://schemas.microsoft.com/office/drawing/2014/main" id="{111AE6B3-C088-584A-98B0-E5F6D35DB54D}"/>
            </a:ext>
          </a:extLst>
        </cdr:cNvPr>
        <cdr:cNvSpPr txBox="1">
          <a:spLocks xmlns:a="http://schemas.openxmlformats.org/drawingml/2006/main" noChangeArrowheads="1"/>
        </cdr:cNvSpPr>
      </cdr:nvSpPr>
      <cdr:spPr bwMode="auto">
        <a:xfrm xmlns:a="http://schemas.openxmlformats.org/drawingml/2006/main">
          <a:off x="1092708" y="668207"/>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0.44868</cdr:x>
      <cdr:y>0.45782</cdr:y>
    </cdr:from>
    <cdr:to>
      <cdr:x>0.44868</cdr:x>
      <cdr:y>0.45782</cdr:y>
    </cdr:to>
    <cdr:sp macro="" textlink="">
      <cdr:nvSpPr>
        <cdr:cNvPr id="10" name="Text Box 1">
          <a:extLst xmlns:a="http://schemas.openxmlformats.org/drawingml/2006/main">
            <a:ext uri="{FF2B5EF4-FFF2-40B4-BE49-F238E27FC236}">
              <a16:creationId xmlns:a16="http://schemas.microsoft.com/office/drawing/2014/main" id="{9852A8B9-494B-5F43-9CE2-DDEB6DDE4211}"/>
            </a:ext>
          </a:extLst>
        </cdr:cNvPr>
        <cdr:cNvSpPr txBox="1">
          <a:spLocks xmlns:a="http://schemas.openxmlformats.org/drawingml/2006/main" noChangeArrowheads="1"/>
        </cdr:cNvSpPr>
      </cdr:nvSpPr>
      <cdr:spPr bwMode="auto">
        <a:xfrm xmlns:a="http://schemas.openxmlformats.org/drawingml/2006/main">
          <a:off x="843344" y="994248"/>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0.58135</cdr:x>
      <cdr:y>0.30769</cdr:y>
    </cdr:from>
    <cdr:to>
      <cdr:x>0.58135</cdr:x>
      <cdr:y>0.30769</cdr:y>
    </cdr:to>
    <cdr:sp macro="" textlink="">
      <cdr:nvSpPr>
        <cdr:cNvPr id="11" name="Text Box 2">
          <a:extLst xmlns:a="http://schemas.openxmlformats.org/drawingml/2006/main">
            <a:ext uri="{FF2B5EF4-FFF2-40B4-BE49-F238E27FC236}">
              <a16:creationId xmlns:a16="http://schemas.microsoft.com/office/drawing/2014/main" id="{2FB25BBE-A057-D842-9023-10CA2B6DF43E}"/>
            </a:ext>
          </a:extLst>
        </cdr:cNvPr>
        <cdr:cNvSpPr txBox="1">
          <a:spLocks xmlns:a="http://schemas.openxmlformats.org/drawingml/2006/main" noChangeArrowheads="1"/>
        </cdr:cNvSpPr>
      </cdr:nvSpPr>
      <cdr:spPr bwMode="auto">
        <a:xfrm xmlns:a="http://schemas.openxmlformats.org/drawingml/2006/main">
          <a:off x="1092708" y="668207"/>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userShapes>
</file>

<file path=xl/drawings/drawing10.xml><?xml version="1.0" encoding="utf-8"?>
<c:userShapes xmlns:c="http://schemas.openxmlformats.org/drawingml/2006/chart">
  <cdr:relSizeAnchor xmlns:cdr="http://schemas.openxmlformats.org/drawingml/2006/chartDrawing">
    <cdr:from>
      <cdr:x>0.39689</cdr:x>
      <cdr:y>0.65713</cdr:y>
    </cdr:from>
    <cdr:to>
      <cdr:x>0.39689</cdr:x>
      <cdr:y>0.65713</cdr:y>
    </cdr:to>
    <cdr:sp macro="" textlink="">
      <cdr:nvSpPr>
        <cdr:cNvPr id="989185" name="Text Box 1"/>
        <cdr:cNvSpPr txBox="1">
          <a:spLocks xmlns:a="http://schemas.openxmlformats.org/drawingml/2006/main" noChangeArrowheads="1"/>
        </cdr:cNvSpPr>
      </cdr:nvSpPr>
      <cdr:spPr bwMode="auto">
        <a:xfrm xmlns:a="http://schemas.openxmlformats.org/drawingml/2006/main">
          <a:off x="745998" y="1443784"/>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0.4877</cdr:x>
      <cdr:y>0.52122</cdr:y>
    </cdr:from>
    <cdr:to>
      <cdr:x>0.4877</cdr:x>
      <cdr:y>0.52122</cdr:y>
    </cdr:to>
    <cdr:sp macro="" textlink="">
      <cdr:nvSpPr>
        <cdr:cNvPr id="989186" name="Text Box 2"/>
        <cdr:cNvSpPr txBox="1">
          <a:spLocks xmlns:a="http://schemas.openxmlformats.org/drawingml/2006/main" noChangeArrowheads="1"/>
        </cdr:cNvSpPr>
      </cdr:nvSpPr>
      <cdr:spPr bwMode="auto">
        <a:xfrm xmlns:a="http://schemas.openxmlformats.org/drawingml/2006/main">
          <a:off x="916686" y="1145175"/>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0.34247</cdr:x>
      <cdr:y>0.53369</cdr:y>
    </cdr:from>
    <cdr:to>
      <cdr:x>0.74521</cdr:x>
      <cdr:y>0.63861</cdr:y>
    </cdr:to>
    <cdr:sp macro="" textlink="">
      <cdr:nvSpPr>
        <cdr:cNvPr id="989187" name="Text Box 3"/>
        <cdr:cNvSpPr txBox="1">
          <a:spLocks xmlns:a="http://schemas.openxmlformats.org/drawingml/2006/main" noChangeArrowheads="1"/>
        </cdr:cNvSpPr>
      </cdr:nvSpPr>
      <cdr:spPr bwMode="auto">
        <a:xfrm xmlns:a="http://schemas.openxmlformats.org/drawingml/2006/main">
          <a:off x="639349" y="1165794"/>
          <a:ext cx="751875" cy="229187"/>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0.47876</cdr:x>
      <cdr:y>0.71158</cdr:y>
    </cdr:from>
    <cdr:to>
      <cdr:x>0.8815</cdr:x>
      <cdr:y>0.80076</cdr:y>
    </cdr:to>
    <cdr:sp macro="" textlink="">
      <cdr:nvSpPr>
        <cdr:cNvPr id="989188" name="Text Box 4"/>
        <cdr:cNvSpPr txBox="1">
          <a:spLocks xmlns:a="http://schemas.openxmlformats.org/drawingml/2006/main" noChangeArrowheads="1"/>
        </cdr:cNvSpPr>
      </cdr:nvSpPr>
      <cdr:spPr bwMode="auto">
        <a:xfrm xmlns:a="http://schemas.openxmlformats.org/drawingml/2006/main">
          <a:off x="926217" y="1650761"/>
          <a:ext cx="779154" cy="206886"/>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FF0000"/>
              </a:solidFill>
              <a:latin typeface="Arial"/>
              <a:ea typeface="Arial"/>
              <a:cs typeface="Arial"/>
            </a:rPr>
            <a:t>Intervention</a:t>
          </a:r>
        </a:p>
      </cdr:txBody>
    </cdr:sp>
  </cdr:relSizeAnchor>
  <cdr:relSizeAnchor xmlns:cdr="http://schemas.openxmlformats.org/drawingml/2006/chartDrawing">
    <cdr:from>
      <cdr:x>0.44868</cdr:x>
      <cdr:y>0.45782</cdr:y>
    </cdr:from>
    <cdr:to>
      <cdr:x>0.44868</cdr:x>
      <cdr:y>0.45782</cdr:y>
    </cdr:to>
    <cdr:sp macro="" textlink="">
      <cdr:nvSpPr>
        <cdr:cNvPr id="991233" name="Text Box 1"/>
        <cdr:cNvSpPr txBox="1">
          <a:spLocks xmlns:a="http://schemas.openxmlformats.org/drawingml/2006/main" noChangeArrowheads="1"/>
        </cdr:cNvSpPr>
      </cdr:nvSpPr>
      <cdr:spPr bwMode="auto">
        <a:xfrm xmlns:a="http://schemas.openxmlformats.org/drawingml/2006/main">
          <a:off x="843344" y="994248"/>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0.58135</cdr:x>
      <cdr:y>0.30769</cdr:y>
    </cdr:from>
    <cdr:to>
      <cdr:x>0.58135</cdr:x>
      <cdr:y>0.30769</cdr:y>
    </cdr:to>
    <cdr:sp macro="" textlink="">
      <cdr:nvSpPr>
        <cdr:cNvPr id="991234" name="Text Box 2"/>
        <cdr:cNvSpPr txBox="1">
          <a:spLocks xmlns:a="http://schemas.openxmlformats.org/drawingml/2006/main" noChangeArrowheads="1"/>
        </cdr:cNvSpPr>
      </cdr:nvSpPr>
      <cdr:spPr bwMode="auto">
        <a:xfrm xmlns:a="http://schemas.openxmlformats.org/drawingml/2006/main">
          <a:off x="1092708" y="668207"/>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0.44868</cdr:x>
      <cdr:y>0.45782</cdr:y>
    </cdr:from>
    <cdr:to>
      <cdr:x>0.44868</cdr:x>
      <cdr:y>0.45782</cdr:y>
    </cdr:to>
    <cdr:sp macro="" textlink="">
      <cdr:nvSpPr>
        <cdr:cNvPr id="7" name="Text Box 1">
          <a:extLst xmlns:a="http://schemas.openxmlformats.org/drawingml/2006/main">
            <a:ext uri="{FF2B5EF4-FFF2-40B4-BE49-F238E27FC236}">
              <a16:creationId xmlns:a16="http://schemas.microsoft.com/office/drawing/2014/main" id="{8048C809-DB8E-404E-91B2-7EF471B2797B}"/>
            </a:ext>
          </a:extLst>
        </cdr:cNvPr>
        <cdr:cNvSpPr txBox="1">
          <a:spLocks xmlns:a="http://schemas.openxmlformats.org/drawingml/2006/main" noChangeArrowheads="1"/>
        </cdr:cNvSpPr>
      </cdr:nvSpPr>
      <cdr:spPr bwMode="auto">
        <a:xfrm xmlns:a="http://schemas.openxmlformats.org/drawingml/2006/main">
          <a:off x="843344" y="994248"/>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0.58135</cdr:x>
      <cdr:y>0.30769</cdr:y>
    </cdr:from>
    <cdr:to>
      <cdr:x>0.58135</cdr:x>
      <cdr:y>0.30769</cdr:y>
    </cdr:to>
    <cdr:sp macro="" textlink="">
      <cdr:nvSpPr>
        <cdr:cNvPr id="8" name="Text Box 2">
          <a:extLst xmlns:a="http://schemas.openxmlformats.org/drawingml/2006/main">
            <a:ext uri="{FF2B5EF4-FFF2-40B4-BE49-F238E27FC236}">
              <a16:creationId xmlns:a16="http://schemas.microsoft.com/office/drawing/2014/main" id="{111AE6B3-C088-584A-98B0-E5F6D35DB54D}"/>
            </a:ext>
          </a:extLst>
        </cdr:cNvPr>
        <cdr:cNvSpPr txBox="1">
          <a:spLocks xmlns:a="http://schemas.openxmlformats.org/drawingml/2006/main" noChangeArrowheads="1"/>
        </cdr:cNvSpPr>
      </cdr:nvSpPr>
      <cdr:spPr bwMode="auto">
        <a:xfrm xmlns:a="http://schemas.openxmlformats.org/drawingml/2006/main">
          <a:off x="1092708" y="668207"/>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0.44868</cdr:x>
      <cdr:y>0.45782</cdr:y>
    </cdr:from>
    <cdr:to>
      <cdr:x>0.44868</cdr:x>
      <cdr:y>0.45782</cdr:y>
    </cdr:to>
    <cdr:sp macro="" textlink="">
      <cdr:nvSpPr>
        <cdr:cNvPr id="10" name="Text Box 1">
          <a:extLst xmlns:a="http://schemas.openxmlformats.org/drawingml/2006/main">
            <a:ext uri="{FF2B5EF4-FFF2-40B4-BE49-F238E27FC236}">
              <a16:creationId xmlns:a16="http://schemas.microsoft.com/office/drawing/2014/main" id="{9852A8B9-494B-5F43-9CE2-DDEB6DDE4211}"/>
            </a:ext>
          </a:extLst>
        </cdr:cNvPr>
        <cdr:cNvSpPr txBox="1">
          <a:spLocks xmlns:a="http://schemas.openxmlformats.org/drawingml/2006/main" noChangeArrowheads="1"/>
        </cdr:cNvSpPr>
      </cdr:nvSpPr>
      <cdr:spPr bwMode="auto">
        <a:xfrm xmlns:a="http://schemas.openxmlformats.org/drawingml/2006/main">
          <a:off x="843344" y="994248"/>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0.58135</cdr:x>
      <cdr:y>0.30769</cdr:y>
    </cdr:from>
    <cdr:to>
      <cdr:x>0.58135</cdr:x>
      <cdr:y>0.30769</cdr:y>
    </cdr:to>
    <cdr:sp macro="" textlink="">
      <cdr:nvSpPr>
        <cdr:cNvPr id="11" name="Text Box 2">
          <a:extLst xmlns:a="http://schemas.openxmlformats.org/drawingml/2006/main">
            <a:ext uri="{FF2B5EF4-FFF2-40B4-BE49-F238E27FC236}">
              <a16:creationId xmlns:a16="http://schemas.microsoft.com/office/drawing/2014/main" id="{2FB25BBE-A057-D842-9023-10CA2B6DF43E}"/>
            </a:ext>
          </a:extLst>
        </cdr:cNvPr>
        <cdr:cNvSpPr txBox="1">
          <a:spLocks xmlns:a="http://schemas.openxmlformats.org/drawingml/2006/main" noChangeArrowheads="1"/>
        </cdr:cNvSpPr>
      </cdr:nvSpPr>
      <cdr:spPr bwMode="auto">
        <a:xfrm xmlns:a="http://schemas.openxmlformats.org/drawingml/2006/main">
          <a:off x="1092708" y="668207"/>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userShapes>
</file>

<file path=xl/drawings/drawing11.xml><?xml version="1.0" encoding="utf-8"?>
<c:userShapes xmlns:c="http://schemas.openxmlformats.org/drawingml/2006/chart">
  <cdr:relSizeAnchor xmlns:cdr="http://schemas.openxmlformats.org/drawingml/2006/chartDrawing">
    <cdr:from>
      <cdr:x>0.44868</cdr:x>
      <cdr:y>0.45782</cdr:y>
    </cdr:from>
    <cdr:to>
      <cdr:x>0.44868</cdr:x>
      <cdr:y>0.45782</cdr:y>
    </cdr:to>
    <cdr:sp macro="" textlink="">
      <cdr:nvSpPr>
        <cdr:cNvPr id="991233" name="Text Box 1"/>
        <cdr:cNvSpPr txBox="1">
          <a:spLocks xmlns:a="http://schemas.openxmlformats.org/drawingml/2006/main" noChangeArrowheads="1"/>
        </cdr:cNvSpPr>
      </cdr:nvSpPr>
      <cdr:spPr bwMode="auto">
        <a:xfrm xmlns:a="http://schemas.openxmlformats.org/drawingml/2006/main">
          <a:off x="843344" y="994248"/>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0.58135</cdr:x>
      <cdr:y>0.30769</cdr:y>
    </cdr:from>
    <cdr:to>
      <cdr:x>0.58135</cdr:x>
      <cdr:y>0.30769</cdr:y>
    </cdr:to>
    <cdr:sp macro="" textlink="">
      <cdr:nvSpPr>
        <cdr:cNvPr id="991234" name="Text Box 2"/>
        <cdr:cNvSpPr txBox="1">
          <a:spLocks xmlns:a="http://schemas.openxmlformats.org/drawingml/2006/main" noChangeArrowheads="1"/>
        </cdr:cNvSpPr>
      </cdr:nvSpPr>
      <cdr:spPr bwMode="auto">
        <a:xfrm xmlns:a="http://schemas.openxmlformats.org/drawingml/2006/main">
          <a:off x="1092708" y="668207"/>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0.40186</cdr:x>
      <cdr:y>0.36155</cdr:y>
    </cdr:from>
    <cdr:to>
      <cdr:x>0.81074</cdr:x>
      <cdr:y>0.56815</cdr:y>
    </cdr:to>
    <cdr:sp macro="" textlink="">
      <cdr:nvSpPr>
        <cdr:cNvPr id="991235" name="Text Box 3"/>
        <cdr:cNvSpPr txBox="1">
          <a:spLocks xmlns:a="http://schemas.openxmlformats.org/drawingml/2006/main" noChangeArrowheads="1"/>
        </cdr:cNvSpPr>
      </cdr:nvSpPr>
      <cdr:spPr bwMode="auto">
        <a:xfrm xmlns:a="http://schemas.openxmlformats.org/drawingml/2006/main">
          <a:off x="755333" y="785168"/>
          <a:ext cx="768540" cy="448694"/>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endParaRPr lang="en-US" sz="1000" b="0" i="0" u="none" strike="noStrike" baseline="0">
            <a:solidFill>
              <a:srgbClr val="FF0000"/>
            </a:solidFill>
            <a:latin typeface="Arial"/>
            <a:ea typeface="Arial"/>
            <a:cs typeface="Arial"/>
          </a:endParaRPr>
        </a:p>
      </cdr:txBody>
    </cdr:sp>
  </cdr:relSizeAnchor>
  <cdr:relSizeAnchor xmlns:cdr="http://schemas.openxmlformats.org/drawingml/2006/chartDrawing">
    <cdr:from>
      <cdr:x>0.39791</cdr:x>
      <cdr:y>0.2745</cdr:y>
    </cdr:from>
    <cdr:to>
      <cdr:x>0.78719</cdr:x>
      <cdr:y>0.36505</cdr:y>
    </cdr:to>
    <cdr:sp macro="" textlink="">
      <cdr:nvSpPr>
        <cdr:cNvPr id="5" name="Text Box 3"/>
        <cdr:cNvSpPr txBox="1">
          <a:spLocks xmlns:a="http://schemas.openxmlformats.org/drawingml/2006/main" noChangeArrowheads="1"/>
        </cdr:cNvSpPr>
      </cdr:nvSpPr>
      <cdr:spPr bwMode="auto">
        <a:xfrm xmlns:a="http://schemas.openxmlformats.org/drawingml/2006/main">
          <a:off x="766432" y="627515"/>
          <a:ext cx="749818" cy="206997"/>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wrap="none" lIns="18288" tIns="18288" rIns="0" bIns="0" anchor="t" upright="1">
          <a:sp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0.38435</cdr:x>
      <cdr:y>0.47745</cdr:y>
    </cdr:from>
    <cdr:to>
      <cdr:x>0.78766</cdr:x>
      <cdr:y>0.56775</cdr:y>
    </cdr:to>
    <cdr:sp macro="" textlink="">
      <cdr:nvSpPr>
        <cdr:cNvPr id="6" name="Text Box 1"/>
        <cdr:cNvSpPr txBox="1">
          <a:spLocks xmlns:a="http://schemas.openxmlformats.org/drawingml/2006/main" noChangeArrowheads="1"/>
        </cdr:cNvSpPr>
      </cdr:nvSpPr>
      <cdr:spPr bwMode="auto">
        <a:xfrm xmlns:a="http://schemas.openxmlformats.org/drawingml/2006/main">
          <a:off x="740322" y="1091458"/>
          <a:ext cx="776842" cy="206426"/>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wrap="square" lIns="27432" tIns="18288" rIns="0" bIns="0" anchor="t" upright="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rtl="0">
            <a:defRPr sz="1000"/>
          </a:pPr>
          <a:r>
            <a:rPr lang="en-US" sz="1000" b="0" i="0" u="none" strike="noStrike" baseline="0">
              <a:solidFill>
                <a:srgbClr val="FF0000"/>
              </a:solidFill>
              <a:latin typeface="Arial"/>
              <a:ea typeface="Arial"/>
              <a:cs typeface="Arial"/>
            </a:rPr>
            <a:t>Intervention</a:t>
          </a:r>
        </a:p>
      </cdr:txBody>
    </cdr:sp>
  </cdr:relSizeAnchor>
  <cdr:relSizeAnchor xmlns:cdr="http://schemas.openxmlformats.org/drawingml/2006/chartDrawing">
    <cdr:from>
      <cdr:x>0.44868</cdr:x>
      <cdr:y>0.45782</cdr:y>
    </cdr:from>
    <cdr:to>
      <cdr:x>0.44868</cdr:x>
      <cdr:y>0.45782</cdr:y>
    </cdr:to>
    <cdr:sp macro="" textlink="">
      <cdr:nvSpPr>
        <cdr:cNvPr id="7" name="Text Box 1">
          <a:extLst xmlns:a="http://schemas.openxmlformats.org/drawingml/2006/main">
            <a:ext uri="{FF2B5EF4-FFF2-40B4-BE49-F238E27FC236}">
              <a16:creationId xmlns:a16="http://schemas.microsoft.com/office/drawing/2014/main" id="{8048C809-DB8E-404E-91B2-7EF471B2797B}"/>
            </a:ext>
          </a:extLst>
        </cdr:cNvPr>
        <cdr:cNvSpPr txBox="1">
          <a:spLocks xmlns:a="http://schemas.openxmlformats.org/drawingml/2006/main" noChangeArrowheads="1"/>
        </cdr:cNvSpPr>
      </cdr:nvSpPr>
      <cdr:spPr bwMode="auto">
        <a:xfrm xmlns:a="http://schemas.openxmlformats.org/drawingml/2006/main">
          <a:off x="843344" y="994248"/>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0.58135</cdr:x>
      <cdr:y>0.30769</cdr:y>
    </cdr:from>
    <cdr:to>
      <cdr:x>0.58135</cdr:x>
      <cdr:y>0.30769</cdr:y>
    </cdr:to>
    <cdr:sp macro="" textlink="">
      <cdr:nvSpPr>
        <cdr:cNvPr id="8" name="Text Box 2">
          <a:extLst xmlns:a="http://schemas.openxmlformats.org/drawingml/2006/main">
            <a:ext uri="{FF2B5EF4-FFF2-40B4-BE49-F238E27FC236}">
              <a16:creationId xmlns:a16="http://schemas.microsoft.com/office/drawing/2014/main" id="{111AE6B3-C088-584A-98B0-E5F6D35DB54D}"/>
            </a:ext>
          </a:extLst>
        </cdr:cNvPr>
        <cdr:cNvSpPr txBox="1">
          <a:spLocks xmlns:a="http://schemas.openxmlformats.org/drawingml/2006/main" noChangeArrowheads="1"/>
        </cdr:cNvSpPr>
      </cdr:nvSpPr>
      <cdr:spPr bwMode="auto">
        <a:xfrm xmlns:a="http://schemas.openxmlformats.org/drawingml/2006/main">
          <a:off x="1092708" y="668207"/>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0.44868</cdr:x>
      <cdr:y>0.45782</cdr:y>
    </cdr:from>
    <cdr:to>
      <cdr:x>0.44868</cdr:x>
      <cdr:y>0.45782</cdr:y>
    </cdr:to>
    <cdr:sp macro="" textlink="">
      <cdr:nvSpPr>
        <cdr:cNvPr id="10" name="Text Box 1">
          <a:extLst xmlns:a="http://schemas.openxmlformats.org/drawingml/2006/main">
            <a:ext uri="{FF2B5EF4-FFF2-40B4-BE49-F238E27FC236}">
              <a16:creationId xmlns:a16="http://schemas.microsoft.com/office/drawing/2014/main" id="{9852A8B9-494B-5F43-9CE2-DDEB6DDE4211}"/>
            </a:ext>
          </a:extLst>
        </cdr:cNvPr>
        <cdr:cNvSpPr txBox="1">
          <a:spLocks xmlns:a="http://schemas.openxmlformats.org/drawingml/2006/main" noChangeArrowheads="1"/>
        </cdr:cNvSpPr>
      </cdr:nvSpPr>
      <cdr:spPr bwMode="auto">
        <a:xfrm xmlns:a="http://schemas.openxmlformats.org/drawingml/2006/main">
          <a:off x="843344" y="994248"/>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0.58135</cdr:x>
      <cdr:y>0.30769</cdr:y>
    </cdr:from>
    <cdr:to>
      <cdr:x>0.58135</cdr:x>
      <cdr:y>0.30769</cdr:y>
    </cdr:to>
    <cdr:sp macro="" textlink="">
      <cdr:nvSpPr>
        <cdr:cNvPr id="11" name="Text Box 2">
          <a:extLst xmlns:a="http://schemas.openxmlformats.org/drawingml/2006/main">
            <a:ext uri="{FF2B5EF4-FFF2-40B4-BE49-F238E27FC236}">
              <a16:creationId xmlns:a16="http://schemas.microsoft.com/office/drawing/2014/main" id="{2FB25BBE-A057-D842-9023-10CA2B6DF43E}"/>
            </a:ext>
          </a:extLst>
        </cdr:cNvPr>
        <cdr:cNvSpPr txBox="1">
          <a:spLocks xmlns:a="http://schemas.openxmlformats.org/drawingml/2006/main" noChangeArrowheads="1"/>
        </cdr:cNvSpPr>
      </cdr:nvSpPr>
      <cdr:spPr bwMode="auto">
        <a:xfrm xmlns:a="http://schemas.openxmlformats.org/drawingml/2006/main">
          <a:off x="1092708" y="668207"/>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userShapes>
</file>

<file path=xl/drawings/drawing12.xml><?xml version="1.0" encoding="utf-8"?>
<c:userShapes xmlns:c="http://schemas.openxmlformats.org/drawingml/2006/chart">
  <cdr:relSizeAnchor xmlns:cdr="http://schemas.openxmlformats.org/drawingml/2006/chartDrawing">
    <cdr:from>
      <cdr:x>0.32706</cdr:x>
      <cdr:y>0.5888</cdr:y>
    </cdr:from>
    <cdr:to>
      <cdr:x>0.85691</cdr:x>
      <cdr:y>0.77333</cdr:y>
    </cdr:to>
    <cdr:sp macro="" textlink="">
      <cdr:nvSpPr>
        <cdr:cNvPr id="1640449" name="Text Box 1"/>
        <cdr:cNvSpPr txBox="1">
          <a:spLocks xmlns:a="http://schemas.openxmlformats.org/drawingml/2006/main" noChangeArrowheads="1"/>
        </cdr:cNvSpPr>
      </cdr:nvSpPr>
      <cdr:spPr bwMode="auto">
        <a:xfrm xmlns:a="http://schemas.openxmlformats.org/drawingml/2006/main">
          <a:off x="643827" y="1346004"/>
          <a:ext cx="1043010" cy="421836"/>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 &amp;</a:t>
          </a:r>
        </a:p>
        <a:p xmlns:a="http://schemas.openxmlformats.org/drawingml/2006/main">
          <a:pPr algn="l" rtl="0">
            <a:defRPr sz="1000"/>
          </a:pPr>
          <a:r>
            <a:rPr lang="en-US" sz="1000" b="0" i="0" u="none" strike="noStrike" baseline="0">
              <a:solidFill>
                <a:srgbClr val="FF0000"/>
              </a:solidFill>
              <a:latin typeface="Arial"/>
              <a:ea typeface="Arial"/>
              <a:cs typeface="Arial"/>
            </a:rPr>
            <a:t>Intervention</a:t>
          </a:r>
        </a:p>
      </cdr:txBody>
    </cdr:sp>
  </cdr:relSizeAnchor>
</c:userShapes>
</file>

<file path=xl/drawings/drawing13.xml><?xml version="1.0" encoding="utf-8"?>
<c:userShapes xmlns:c="http://schemas.openxmlformats.org/drawingml/2006/chart">
  <cdr:relSizeAnchor xmlns:cdr="http://schemas.openxmlformats.org/drawingml/2006/chartDrawing">
    <cdr:from>
      <cdr:x>0.36767</cdr:x>
      <cdr:y>0.71102</cdr:y>
    </cdr:from>
    <cdr:to>
      <cdr:x>0.89753</cdr:x>
      <cdr:y>0.89555</cdr:y>
    </cdr:to>
    <cdr:sp macro="" textlink="">
      <cdr:nvSpPr>
        <cdr:cNvPr id="1640449" name="Text Box 1"/>
        <cdr:cNvSpPr txBox="1">
          <a:spLocks xmlns:a="http://schemas.openxmlformats.org/drawingml/2006/main" noChangeArrowheads="1"/>
        </cdr:cNvSpPr>
      </cdr:nvSpPr>
      <cdr:spPr bwMode="auto">
        <a:xfrm xmlns:a="http://schemas.openxmlformats.org/drawingml/2006/main">
          <a:off x="723751" y="1625388"/>
          <a:ext cx="1043030" cy="421835"/>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 &amp;</a:t>
          </a:r>
        </a:p>
        <a:p xmlns:a="http://schemas.openxmlformats.org/drawingml/2006/main">
          <a:pPr algn="l" rtl="0">
            <a:defRPr sz="1000"/>
          </a:pPr>
          <a:r>
            <a:rPr lang="en-US" sz="1000" b="0" i="0" u="none" strike="noStrike" baseline="0">
              <a:solidFill>
                <a:srgbClr val="FF0000"/>
              </a:solidFill>
              <a:latin typeface="Arial"/>
              <a:ea typeface="Arial"/>
              <a:cs typeface="Arial"/>
            </a:rPr>
            <a:t>Intervention</a:t>
          </a:r>
        </a:p>
      </cdr:txBody>
    </cdr:sp>
  </cdr:relSizeAnchor>
</c:userShapes>
</file>

<file path=xl/drawings/drawing14.xml><?xml version="1.0" encoding="utf-8"?>
<c:userShapes xmlns:c="http://schemas.openxmlformats.org/drawingml/2006/chart">
  <cdr:relSizeAnchor xmlns:cdr="http://schemas.openxmlformats.org/drawingml/2006/chartDrawing">
    <cdr:from>
      <cdr:x>0.44868</cdr:x>
      <cdr:y>0.45782</cdr:y>
    </cdr:from>
    <cdr:to>
      <cdr:x>0.44868</cdr:x>
      <cdr:y>0.45782</cdr:y>
    </cdr:to>
    <cdr:sp macro="" textlink="">
      <cdr:nvSpPr>
        <cdr:cNvPr id="991233" name="Text Box 1"/>
        <cdr:cNvSpPr txBox="1">
          <a:spLocks xmlns:a="http://schemas.openxmlformats.org/drawingml/2006/main" noChangeArrowheads="1"/>
        </cdr:cNvSpPr>
      </cdr:nvSpPr>
      <cdr:spPr bwMode="auto">
        <a:xfrm xmlns:a="http://schemas.openxmlformats.org/drawingml/2006/main">
          <a:off x="843344" y="994248"/>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0.58135</cdr:x>
      <cdr:y>0.30769</cdr:y>
    </cdr:from>
    <cdr:to>
      <cdr:x>0.58135</cdr:x>
      <cdr:y>0.30769</cdr:y>
    </cdr:to>
    <cdr:sp macro="" textlink="">
      <cdr:nvSpPr>
        <cdr:cNvPr id="991234" name="Text Box 2"/>
        <cdr:cNvSpPr txBox="1">
          <a:spLocks xmlns:a="http://schemas.openxmlformats.org/drawingml/2006/main" noChangeArrowheads="1"/>
        </cdr:cNvSpPr>
      </cdr:nvSpPr>
      <cdr:spPr bwMode="auto">
        <a:xfrm xmlns:a="http://schemas.openxmlformats.org/drawingml/2006/main">
          <a:off x="1092708" y="668207"/>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0.36104</cdr:x>
      <cdr:y>0.58235</cdr:y>
    </cdr:from>
    <cdr:to>
      <cdr:x>0.77551</cdr:x>
      <cdr:y>0.81176</cdr:y>
    </cdr:to>
    <cdr:sp macro="" textlink="">
      <cdr:nvSpPr>
        <cdr:cNvPr id="991235" name="Text Box 3"/>
        <cdr:cNvSpPr txBox="1">
          <a:spLocks xmlns:a="http://schemas.openxmlformats.org/drawingml/2006/main" noChangeArrowheads="1"/>
        </cdr:cNvSpPr>
      </cdr:nvSpPr>
      <cdr:spPr bwMode="auto">
        <a:xfrm xmlns:a="http://schemas.openxmlformats.org/drawingml/2006/main">
          <a:off x="674032" y="1257300"/>
          <a:ext cx="773768" cy="495299"/>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 &amp; </a:t>
          </a:r>
          <a:r>
            <a:rPr lang="en-US" sz="1000" b="0" i="0" u="none" strike="noStrike" baseline="0">
              <a:solidFill>
                <a:srgbClr val="FF0000"/>
              </a:solidFill>
              <a:latin typeface="Arial"/>
              <a:ea typeface="Arial"/>
              <a:cs typeface="Arial"/>
            </a:rPr>
            <a:t>Intervention</a:t>
          </a:r>
        </a:p>
      </cdr:txBody>
    </cdr:sp>
  </cdr:relSizeAnchor>
  <cdr:relSizeAnchor xmlns:cdr="http://schemas.openxmlformats.org/drawingml/2006/chartDrawing">
    <cdr:from>
      <cdr:x>0.44868</cdr:x>
      <cdr:y>0.45782</cdr:y>
    </cdr:from>
    <cdr:to>
      <cdr:x>0.44868</cdr:x>
      <cdr:y>0.45782</cdr:y>
    </cdr:to>
    <cdr:sp macro="" textlink="">
      <cdr:nvSpPr>
        <cdr:cNvPr id="2" name="Text Box 1">
          <a:extLst xmlns:a="http://schemas.openxmlformats.org/drawingml/2006/main">
            <a:ext uri="{FF2B5EF4-FFF2-40B4-BE49-F238E27FC236}">
              <a16:creationId xmlns:a16="http://schemas.microsoft.com/office/drawing/2014/main" id="{9852A8B9-494B-5F43-9CE2-DDEB6DDE4211}"/>
            </a:ext>
          </a:extLst>
        </cdr:cNvPr>
        <cdr:cNvSpPr txBox="1">
          <a:spLocks xmlns:a="http://schemas.openxmlformats.org/drawingml/2006/main" noChangeArrowheads="1"/>
        </cdr:cNvSpPr>
      </cdr:nvSpPr>
      <cdr:spPr bwMode="auto">
        <a:xfrm xmlns:a="http://schemas.openxmlformats.org/drawingml/2006/main">
          <a:off x="843344" y="994248"/>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0.58135</cdr:x>
      <cdr:y>0.30769</cdr:y>
    </cdr:from>
    <cdr:to>
      <cdr:x>0.58135</cdr:x>
      <cdr:y>0.30769</cdr:y>
    </cdr:to>
    <cdr:sp macro="" textlink="">
      <cdr:nvSpPr>
        <cdr:cNvPr id="3" name="Text Box 2">
          <a:extLst xmlns:a="http://schemas.openxmlformats.org/drawingml/2006/main">
            <a:ext uri="{FF2B5EF4-FFF2-40B4-BE49-F238E27FC236}">
              <a16:creationId xmlns:a16="http://schemas.microsoft.com/office/drawing/2014/main" id="{2FB25BBE-A057-D842-9023-10CA2B6DF43E}"/>
            </a:ext>
          </a:extLst>
        </cdr:cNvPr>
        <cdr:cNvSpPr txBox="1">
          <a:spLocks xmlns:a="http://schemas.openxmlformats.org/drawingml/2006/main" noChangeArrowheads="1"/>
        </cdr:cNvSpPr>
      </cdr:nvSpPr>
      <cdr:spPr bwMode="auto">
        <a:xfrm xmlns:a="http://schemas.openxmlformats.org/drawingml/2006/main">
          <a:off x="1092708" y="668207"/>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userShapes>
</file>

<file path=xl/drawings/drawing15.xml><?xml version="1.0" encoding="utf-8"?>
<c:userShapes xmlns:c="http://schemas.openxmlformats.org/drawingml/2006/chart">
  <cdr:relSizeAnchor xmlns:cdr="http://schemas.openxmlformats.org/drawingml/2006/chartDrawing">
    <cdr:from>
      <cdr:x>0.36943</cdr:x>
      <cdr:y>0.52727</cdr:y>
    </cdr:from>
    <cdr:to>
      <cdr:x>0.73862</cdr:x>
      <cdr:y>0.6178</cdr:y>
    </cdr:to>
    <cdr:sp macro="" textlink="">
      <cdr:nvSpPr>
        <cdr:cNvPr id="985089" name="Text Box 1"/>
        <cdr:cNvSpPr txBox="1">
          <a:spLocks xmlns:a="http://schemas.openxmlformats.org/drawingml/2006/main" noChangeArrowheads="1"/>
        </cdr:cNvSpPr>
      </cdr:nvSpPr>
      <cdr:spPr bwMode="auto">
        <a:xfrm xmlns:a="http://schemas.openxmlformats.org/drawingml/2006/main">
          <a:off x="731915" y="1205337"/>
          <a:ext cx="731440" cy="206951"/>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wrap="none" lIns="18288" tIns="18288" rIns="0" bIns="0" anchor="t" upright="1">
          <a:spAutoFit/>
        </a:bodyPr>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0.26984</cdr:x>
      <cdr:y>0.75555</cdr:y>
    </cdr:from>
    <cdr:to>
      <cdr:x>0.67832</cdr:x>
      <cdr:y>0.82663</cdr:y>
    </cdr:to>
    <cdr:sp macro="" textlink="">
      <cdr:nvSpPr>
        <cdr:cNvPr id="985090" name="Text Box 2"/>
        <cdr:cNvSpPr txBox="1">
          <a:spLocks xmlns:a="http://schemas.openxmlformats.org/drawingml/2006/main" noChangeArrowheads="1"/>
        </cdr:cNvSpPr>
      </cdr:nvSpPr>
      <cdr:spPr bwMode="auto">
        <a:xfrm xmlns:a="http://schemas.openxmlformats.org/drawingml/2006/main">
          <a:off x="534616" y="1727197"/>
          <a:ext cx="809281" cy="162489"/>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45720" tIns="0" rIns="0" bIns="0" anchor="t" upright="1"/>
        <a:lstStyle xmlns:a="http://schemas.openxmlformats.org/drawingml/2006/main"/>
        <a:p xmlns:a="http://schemas.openxmlformats.org/drawingml/2006/main">
          <a:pPr algn="l" rtl="0">
            <a:defRPr sz="1000"/>
          </a:pPr>
          <a:r>
            <a:rPr lang="en-US" sz="1000" b="0" i="0" u="none" strike="noStrike" baseline="0">
              <a:solidFill>
                <a:srgbClr val="FF0000"/>
              </a:solidFill>
              <a:latin typeface="Arial"/>
              <a:ea typeface="Arial"/>
              <a:cs typeface="Arial"/>
            </a:rPr>
            <a:t>Intervention</a:t>
          </a:r>
        </a:p>
      </cdr:txBody>
    </cdr:sp>
  </cdr:relSizeAnchor>
</c:userShapes>
</file>

<file path=xl/drawings/drawing16.xml><?xml version="1.0" encoding="utf-8"?>
<c:userShapes xmlns:c="http://schemas.openxmlformats.org/drawingml/2006/chart">
  <cdr:relSizeAnchor xmlns:cdr="http://schemas.openxmlformats.org/drawingml/2006/chartDrawing">
    <cdr:from>
      <cdr:x>0.37505</cdr:x>
      <cdr:y>0.59635</cdr:y>
    </cdr:from>
    <cdr:to>
      <cdr:x>0.86365</cdr:x>
      <cdr:y>0.71447</cdr:y>
    </cdr:to>
    <cdr:sp macro="" textlink="">
      <cdr:nvSpPr>
        <cdr:cNvPr id="990210" name="Text Box 2"/>
        <cdr:cNvSpPr txBox="1">
          <a:spLocks xmlns:a="http://schemas.openxmlformats.org/drawingml/2006/main" noChangeArrowheads="1"/>
        </cdr:cNvSpPr>
      </cdr:nvSpPr>
      <cdr:spPr bwMode="auto">
        <a:xfrm xmlns:a="http://schemas.openxmlformats.org/drawingml/2006/main">
          <a:off x="737332" y="1413758"/>
          <a:ext cx="960568" cy="280023"/>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FF0000"/>
              </a:solidFill>
              <a:latin typeface="Arial"/>
              <a:ea typeface="Arial"/>
              <a:cs typeface="Arial"/>
            </a:rPr>
            <a:t>Intervention</a:t>
          </a:r>
        </a:p>
      </cdr:txBody>
    </cdr:sp>
  </cdr:relSizeAnchor>
  <cdr:relSizeAnchor xmlns:cdr="http://schemas.openxmlformats.org/drawingml/2006/chartDrawing">
    <cdr:from>
      <cdr:x>0.44868</cdr:x>
      <cdr:y>0.45782</cdr:y>
    </cdr:from>
    <cdr:to>
      <cdr:x>0.44868</cdr:x>
      <cdr:y>0.45782</cdr:y>
    </cdr:to>
    <cdr:sp macro="" textlink="">
      <cdr:nvSpPr>
        <cdr:cNvPr id="991233" name="Text Box 1"/>
        <cdr:cNvSpPr txBox="1">
          <a:spLocks xmlns:a="http://schemas.openxmlformats.org/drawingml/2006/main" noChangeArrowheads="1"/>
        </cdr:cNvSpPr>
      </cdr:nvSpPr>
      <cdr:spPr bwMode="auto">
        <a:xfrm xmlns:a="http://schemas.openxmlformats.org/drawingml/2006/main">
          <a:off x="843344" y="994248"/>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0.58135</cdr:x>
      <cdr:y>0.30769</cdr:y>
    </cdr:from>
    <cdr:to>
      <cdr:x>0.58135</cdr:x>
      <cdr:y>0.30769</cdr:y>
    </cdr:to>
    <cdr:sp macro="" textlink="">
      <cdr:nvSpPr>
        <cdr:cNvPr id="991234" name="Text Box 2"/>
        <cdr:cNvSpPr txBox="1">
          <a:spLocks xmlns:a="http://schemas.openxmlformats.org/drawingml/2006/main" noChangeArrowheads="1"/>
        </cdr:cNvSpPr>
      </cdr:nvSpPr>
      <cdr:spPr bwMode="auto">
        <a:xfrm xmlns:a="http://schemas.openxmlformats.org/drawingml/2006/main">
          <a:off x="1092708" y="668207"/>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0.44959</cdr:x>
      <cdr:y>0.47807</cdr:y>
    </cdr:from>
    <cdr:to>
      <cdr:x>0.83887</cdr:x>
      <cdr:y>0.56862</cdr:y>
    </cdr:to>
    <cdr:sp macro="" textlink="">
      <cdr:nvSpPr>
        <cdr:cNvPr id="5" name="Text Box 3"/>
        <cdr:cNvSpPr txBox="1">
          <a:spLocks xmlns:a="http://schemas.openxmlformats.org/drawingml/2006/main" noChangeArrowheads="1"/>
        </cdr:cNvSpPr>
      </cdr:nvSpPr>
      <cdr:spPr bwMode="auto">
        <a:xfrm xmlns:a="http://schemas.openxmlformats.org/drawingml/2006/main">
          <a:off x="883875" y="1133348"/>
          <a:ext cx="765309" cy="214664"/>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wrap="none" lIns="18288" tIns="18288" rIns="0" bIns="0" anchor="t" upright="1">
          <a:sp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0.44868</cdr:x>
      <cdr:y>0.45782</cdr:y>
    </cdr:from>
    <cdr:to>
      <cdr:x>0.44868</cdr:x>
      <cdr:y>0.45782</cdr:y>
    </cdr:to>
    <cdr:sp macro="" textlink="">
      <cdr:nvSpPr>
        <cdr:cNvPr id="7" name="Text Box 1">
          <a:extLst xmlns:a="http://schemas.openxmlformats.org/drawingml/2006/main">
            <a:ext uri="{FF2B5EF4-FFF2-40B4-BE49-F238E27FC236}">
              <a16:creationId xmlns:a16="http://schemas.microsoft.com/office/drawing/2014/main" id="{8048C809-DB8E-404E-91B2-7EF471B2797B}"/>
            </a:ext>
          </a:extLst>
        </cdr:cNvPr>
        <cdr:cNvSpPr txBox="1">
          <a:spLocks xmlns:a="http://schemas.openxmlformats.org/drawingml/2006/main" noChangeArrowheads="1"/>
        </cdr:cNvSpPr>
      </cdr:nvSpPr>
      <cdr:spPr bwMode="auto">
        <a:xfrm xmlns:a="http://schemas.openxmlformats.org/drawingml/2006/main">
          <a:off x="843344" y="994248"/>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0.58135</cdr:x>
      <cdr:y>0.30769</cdr:y>
    </cdr:from>
    <cdr:to>
      <cdr:x>0.58135</cdr:x>
      <cdr:y>0.30769</cdr:y>
    </cdr:to>
    <cdr:sp macro="" textlink="">
      <cdr:nvSpPr>
        <cdr:cNvPr id="8" name="Text Box 2">
          <a:extLst xmlns:a="http://schemas.openxmlformats.org/drawingml/2006/main">
            <a:ext uri="{FF2B5EF4-FFF2-40B4-BE49-F238E27FC236}">
              <a16:creationId xmlns:a16="http://schemas.microsoft.com/office/drawing/2014/main" id="{111AE6B3-C088-584A-98B0-E5F6D35DB54D}"/>
            </a:ext>
          </a:extLst>
        </cdr:cNvPr>
        <cdr:cNvSpPr txBox="1">
          <a:spLocks xmlns:a="http://schemas.openxmlformats.org/drawingml/2006/main" noChangeArrowheads="1"/>
        </cdr:cNvSpPr>
      </cdr:nvSpPr>
      <cdr:spPr bwMode="auto">
        <a:xfrm xmlns:a="http://schemas.openxmlformats.org/drawingml/2006/main">
          <a:off x="1092708" y="668207"/>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0.44868</cdr:x>
      <cdr:y>0.45782</cdr:y>
    </cdr:from>
    <cdr:to>
      <cdr:x>0.44868</cdr:x>
      <cdr:y>0.45782</cdr:y>
    </cdr:to>
    <cdr:sp macro="" textlink="">
      <cdr:nvSpPr>
        <cdr:cNvPr id="10" name="Text Box 1">
          <a:extLst xmlns:a="http://schemas.openxmlformats.org/drawingml/2006/main">
            <a:ext uri="{FF2B5EF4-FFF2-40B4-BE49-F238E27FC236}">
              <a16:creationId xmlns:a16="http://schemas.microsoft.com/office/drawing/2014/main" id="{9852A8B9-494B-5F43-9CE2-DDEB6DDE4211}"/>
            </a:ext>
          </a:extLst>
        </cdr:cNvPr>
        <cdr:cNvSpPr txBox="1">
          <a:spLocks xmlns:a="http://schemas.openxmlformats.org/drawingml/2006/main" noChangeArrowheads="1"/>
        </cdr:cNvSpPr>
      </cdr:nvSpPr>
      <cdr:spPr bwMode="auto">
        <a:xfrm xmlns:a="http://schemas.openxmlformats.org/drawingml/2006/main">
          <a:off x="843344" y="994248"/>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0.58135</cdr:x>
      <cdr:y>0.30769</cdr:y>
    </cdr:from>
    <cdr:to>
      <cdr:x>0.58135</cdr:x>
      <cdr:y>0.30769</cdr:y>
    </cdr:to>
    <cdr:sp macro="" textlink="">
      <cdr:nvSpPr>
        <cdr:cNvPr id="11" name="Text Box 2">
          <a:extLst xmlns:a="http://schemas.openxmlformats.org/drawingml/2006/main">
            <a:ext uri="{FF2B5EF4-FFF2-40B4-BE49-F238E27FC236}">
              <a16:creationId xmlns:a16="http://schemas.microsoft.com/office/drawing/2014/main" id="{2FB25BBE-A057-D842-9023-10CA2B6DF43E}"/>
            </a:ext>
          </a:extLst>
        </cdr:cNvPr>
        <cdr:cNvSpPr txBox="1">
          <a:spLocks xmlns:a="http://schemas.openxmlformats.org/drawingml/2006/main" noChangeArrowheads="1"/>
        </cdr:cNvSpPr>
      </cdr:nvSpPr>
      <cdr:spPr bwMode="auto">
        <a:xfrm xmlns:a="http://schemas.openxmlformats.org/drawingml/2006/main">
          <a:off x="1092708" y="668207"/>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userShapes>
</file>

<file path=xl/drawings/drawing17.xml><?xml version="1.0" encoding="utf-8"?>
<c:userShapes xmlns:c="http://schemas.openxmlformats.org/drawingml/2006/chart">
  <cdr:relSizeAnchor xmlns:cdr="http://schemas.openxmlformats.org/drawingml/2006/chartDrawing">
    <cdr:from>
      <cdr:x>0.534</cdr:x>
      <cdr:y>0.59471</cdr:y>
    </cdr:from>
    <cdr:to>
      <cdr:x>0.534</cdr:x>
      <cdr:y>0.59471</cdr:y>
    </cdr:to>
    <cdr:sp macro="" textlink="">
      <cdr:nvSpPr>
        <cdr:cNvPr id="994305" name="Text Box 1"/>
        <cdr:cNvSpPr txBox="1">
          <a:spLocks xmlns:a="http://schemas.openxmlformats.org/drawingml/2006/main" noChangeArrowheads="1"/>
        </cdr:cNvSpPr>
      </cdr:nvSpPr>
      <cdr:spPr bwMode="auto">
        <a:xfrm xmlns:a="http://schemas.openxmlformats.org/drawingml/2006/main">
          <a:off x="976579" y="1321749"/>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0.65276</cdr:x>
      <cdr:y>0.80561</cdr:y>
    </cdr:from>
    <cdr:to>
      <cdr:x>0.65276</cdr:x>
      <cdr:y>0.80561</cdr:y>
    </cdr:to>
    <cdr:sp macro="" textlink="">
      <cdr:nvSpPr>
        <cdr:cNvPr id="994306" name="Text Box 2"/>
        <cdr:cNvSpPr txBox="1">
          <a:spLocks xmlns:a="http://schemas.openxmlformats.org/drawingml/2006/main" noChangeArrowheads="1"/>
        </cdr:cNvSpPr>
      </cdr:nvSpPr>
      <cdr:spPr bwMode="auto">
        <a:xfrm xmlns:a="http://schemas.openxmlformats.org/drawingml/2006/main">
          <a:off x="1193775" y="1790468"/>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-1.4%</a:t>
          </a:r>
        </a:p>
      </cdr:txBody>
    </cdr:sp>
  </cdr:relSizeAnchor>
  <cdr:relSizeAnchor xmlns:cdr="http://schemas.openxmlformats.org/drawingml/2006/chartDrawing">
    <cdr:from>
      <cdr:x>0.76704</cdr:x>
      <cdr:y>0.74883</cdr:y>
    </cdr:from>
    <cdr:to>
      <cdr:x>0.76704</cdr:x>
      <cdr:y>0.74883</cdr:y>
    </cdr:to>
    <cdr:sp macro="" textlink="">
      <cdr:nvSpPr>
        <cdr:cNvPr id="994307" name="Text Box 3"/>
        <cdr:cNvSpPr txBox="1">
          <a:spLocks xmlns:a="http://schemas.openxmlformats.org/drawingml/2006/main" noChangeArrowheads="1"/>
        </cdr:cNvSpPr>
      </cdr:nvSpPr>
      <cdr:spPr bwMode="auto">
        <a:xfrm xmlns:a="http://schemas.openxmlformats.org/drawingml/2006/main">
          <a:off x="1402766" y="1664275"/>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a:t>
          </a:r>
        </a:p>
      </cdr:txBody>
    </cdr:sp>
  </cdr:relSizeAnchor>
  <cdr:relSizeAnchor xmlns:cdr="http://schemas.openxmlformats.org/drawingml/2006/chartDrawing">
    <cdr:from>
      <cdr:x>0.26436</cdr:x>
      <cdr:y>0.70827</cdr:y>
    </cdr:from>
    <cdr:to>
      <cdr:x>0.26436</cdr:x>
      <cdr:y>0.70827</cdr:y>
    </cdr:to>
    <cdr:sp macro="" textlink="">
      <cdr:nvSpPr>
        <cdr:cNvPr id="994308" name="Text Box 4"/>
        <cdr:cNvSpPr txBox="1">
          <a:spLocks xmlns:a="http://schemas.openxmlformats.org/drawingml/2006/main" noChangeArrowheads="1"/>
        </cdr:cNvSpPr>
      </cdr:nvSpPr>
      <cdr:spPr bwMode="auto">
        <a:xfrm xmlns:a="http://schemas.openxmlformats.org/drawingml/2006/main">
          <a:off x="483464" y="1574136"/>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0.49471</cdr:x>
      <cdr:y>0.54018</cdr:y>
    </cdr:from>
    <cdr:to>
      <cdr:x>0.86612</cdr:x>
      <cdr:y>0.62774</cdr:y>
    </cdr:to>
    <cdr:sp macro="" textlink="">
      <cdr:nvSpPr>
        <cdr:cNvPr id="994311" name="Text Box 7"/>
        <cdr:cNvSpPr txBox="1">
          <a:spLocks xmlns:a="http://schemas.openxmlformats.org/drawingml/2006/main" noChangeArrowheads="1"/>
        </cdr:cNvSpPr>
      </cdr:nvSpPr>
      <cdr:spPr bwMode="auto">
        <a:xfrm xmlns:a="http://schemas.openxmlformats.org/drawingml/2006/main">
          <a:off x="972580" y="1216556"/>
          <a:ext cx="730177" cy="197196"/>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wrap="none" lIns="18288" tIns="18288" rIns="0" bIns="0" anchor="t" upright="1">
          <a:spAutoFit/>
        </a:bodyPr>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0.534</cdr:x>
      <cdr:y>0.59471</cdr:y>
    </cdr:from>
    <cdr:to>
      <cdr:x>0.534</cdr:x>
      <cdr:y>0.59471</cdr:y>
    </cdr:to>
    <cdr:sp macro="" textlink="">
      <cdr:nvSpPr>
        <cdr:cNvPr id="2" name="Text Box 1">
          <a:extLst xmlns:a="http://schemas.openxmlformats.org/drawingml/2006/main">
            <a:ext uri="{FF2B5EF4-FFF2-40B4-BE49-F238E27FC236}">
              <a16:creationId xmlns:a16="http://schemas.microsoft.com/office/drawing/2014/main" id="{D82BAD52-C122-E14F-B3BB-3718C0599EA6}"/>
            </a:ext>
          </a:extLst>
        </cdr:cNvPr>
        <cdr:cNvSpPr txBox="1">
          <a:spLocks xmlns:a="http://schemas.openxmlformats.org/drawingml/2006/main" noChangeArrowheads="1"/>
        </cdr:cNvSpPr>
      </cdr:nvSpPr>
      <cdr:spPr bwMode="auto">
        <a:xfrm xmlns:a="http://schemas.openxmlformats.org/drawingml/2006/main">
          <a:off x="976579" y="1321749"/>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0.65276</cdr:x>
      <cdr:y>0.80561</cdr:y>
    </cdr:from>
    <cdr:to>
      <cdr:x>0.65276</cdr:x>
      <cdr:y>0.80561</cdr:y>
    </cdr:to>
    <cdr:sp macro="" textlink="">
      <cdr:nvSpPr>
        <cdr:cNvPr id="3" name="Text Box 2">
          <a:extLst xmlns:a="http://schemas.openxmlformats.org/drawingml/2006/main">
            <a:ext uri="{FF2B5EF4-FFF2-40B4-BE49-F238E27FC236}">
              <a16:creationId xmlns:a16="http://schemas.microsoft.com/office/drawing/2014/main" id="{87261BCC-3DFC-BF48-B185-4D7286057536}"/>
            </a:ext>
          </a:extLst>
        </cdr:cNvPr>
        <cdr:cNvSpPr txBox="1">
          <a:spLocks xmlns:a="http://schemas.openxmlformats.org/drawingml/2006/main" noChangeArrowheads="1"/>
        </cdr:cNvSpPr>
      </cdr:nvSpPr>
      <cdr:spPr bwMode="auto">
        <a:xfrm xmlns:a="http://schemas.openxmlformats.org/drawingml/2006/main">
          <a:off x="1193775" y="1790468"/>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-1.4%</a:t>
          </a:r>
        </a:p>
      </cdr:txBody>
    </cdr:sp>
  </cdr:relSizeAnchor>
  <cdr:relSizeAnchor xmlns:cdr="http://schemas.openxmlformats.org/drawingml/2006/chartDrawing">
    <cdr:from>
      <cdr:x>0.76704</cdr:x>
      <cdr:y>0.74883</cdr:y>
    </cdr:from>
    <cdr:to>
      <cdr:x>0.76704</cdr:x>
      <cdr:y>0.74883</cdr:y>
    </cdr:to>
    <cdr:sp macro="" textlink="">
      <cdr:nvSpPr>
        <cdr:cNvPr id="4" name="Text Box 3">
          <a:extLst xmlns:a="http://schemas.openxmlformats.org/drawingml/2006/main">
            <a:ext uri="{FF2B5EF4-FFF2-40B4-BE49-F238E27FC236}">
              <a16:creationId xmlns:a16="http://schemas.microsoft.com/office/drawing/2014/main" id="{DFCA9CF7-0007-0C45-8B99-E3640A596F61}"/>
            </a:ext>
          </a:extLst>
        </cdr:cNvPr>
        <cdr:cNvSpPr txBox="1">
          <a:spLocks xmlns:a="http://schemas.openxmlformats.org/drawingml/2006/main" noChangeArrowheads="1"/>
        </cdr:cNvSpPr>
      </cdr:nvSpPr>
      <cdr:spPr bwMode="auto">
        <a:xfrm xmlns:a="http://schemas.openxmlformats.org/drawingml/2006/main">
          <a:off x="1402766" y="1664275"/>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a:t>
          </a:r>
        </a:p>
      </cdr:txBody>
    </cdr:sp>
  </cdr:relSizeAnchor>
  <cdr:relSizeAnchor xmlns:cdr="http://schemas.openxmlformats.org/drawingml/2006/chartDrawing">
    <cdr:from>
      <cdr:x>0.26436</cdr:x>
      <cdr:y>0.70827</cdr:y>
    </cdr:from>
    <cdr:to>
      <cdr:x>0.26436</cdr:x>
      <cdr:y>0.70827</cdr:y>
    </cdr:to>
    <cdr:sp macro="" textlink="">
      <cdr:nvSpPr>
        <cdr:cNvPr id="5" name="Text Box 4">
          <a:extLst xmlns:a="http://schemas.openxmlformats.org/drawingml/2006/main">
            <a:ext uri="{FF2B5EF4-FFF2-40B4-BE49-F238E27FC236}">
              <a16:creationId xmlns:a16="http://schemas.microsoft.com/office/drawing/2014/main" id="{1CF88F20-2EAB-DF46-91A6-8578C43D4992}"/>
            </a:ext>
          </a:extLst>
        </cdr:cNvPr>
        <cdr:cNvSpPr txBox="1">
          <a:spLocks xmlns:a="http://schemas.openxmlformats.org/drawingml/2006/main" noChangeArrowheads="1"/>
        </cdr:cNvSpPr>
      </cdr:nvSpPr>
      <cdr:spPr bwMode="auto">
        <a:xfrm xmlns:a="http://schemas.openxmlformats.org/drawingml/2006/main">
          <a:off x="483464" y="1574136"/>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0.534</cdr:x>
      <cdr:y>0.59471</cdr:y>
    </cdr:from>
    <cdr:to>
      <cdr:x>0.534</cdr:x>
      <cdr:y>0.59471</cdr:y>
    </cdr:to>
    <cdr:sp macro="" textlink="">
      <cdr:nvSpPr>
        <cdr:cNvPr id="16" name="Text Box 1">
          <a:extLst xmlns:a="http://schemas.openxmlformats.org/drawingml/2006/main">
            <a:ext uri="{FF2B5EF4-FFF2-40B4-BE49-F238E27FC236}">
              <a16:creationId xmlns:a16="http://schemas.microsoft.com/office/drawing/2014/main" id="{2A5B2DA1-B067-684B-8D4D-8DA174C5F355}"/>
            </a:ext>
          </a:extLst>
        </cdr:cNvPr>
        <cdr:cNvSpPr txBox="1">
          <a:spLocks xmlns:a="http://schemas.openxmlformats.org/drawingml/2006/main" noChangeArrowheads="1"/>
        </cdr:cNvSpPr>
      </cdr:nvSpPr>
      <cdr:spPr bwMode="auto">
        <a:xfrm xmlns:a="http://schemas.openxmlformats.org/drawingml/2006/main">
          <a:off x="976579" y="1321749"/>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0.65276</cdr:x>
      <cdr:y>0.80561</cdr:y>
    </cdr:from>
    <cdr:to>
      <cdr:x>0.65276</cdr:x>
      <cdr:y>0.80561</cdr:y>
    </cdr:to>
    <cdr:sp macro="" textlink="">
      <cdr:nvSpPr>
        <cdr:cNvPr id="17" name="Text Box 2">
          <a:extLst xmlns:a="http://schemas.openxmlformats.org/drawingml/2006/main">
            <a:ext uri="{FF2B5EF4-FFF2-40B4-BE49-F238E27FC236}">
              <a16:creationId xmlns:a16="http://schemas.microsoft.com/office/drawing/2014/main" id="{CFD04E1F-2F1B-3643-AF60-E29E7DCD3C06}"/>
            </a:ext>
          </a:extLst>
        </cdr:cNvPr>
        <cdr:cNvSpPr txBox="1">
          <a:spLocks xmlns:a="http://schemas.openxmlformats.org/drawingml/2006/main" noChangeArrowheads="1"/>
        </cdr:cNvSpPr>
      </cdr:nvSpPr>
      <cdr:spPr bwMode="auto">
        <a:xfrm xmlns:a="http://schemas.openxmlformats.org/drawingml/2006/main">
          <a:off x="1193775" y="1790468"/>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-1.4%</a:t>
          </a:r>
        </a:p>
      </cdr:txBody>
    </cdr:sp>
  </cdr:relSizeAnchor>
  <cdr:relSizeAnchor xmlns:cdr="http://schemas.openxmlformats.org/drawingml/2006/chartDrawing">
    <cdr:from>
      <cdr:x>0.76704</cdr:x>
      <cdr:y>0.74883</cdr:y>
    </cdr:from>
    <cdr:to>
      <cdr:x>0.76704</cdr:x>
      <cdr:y>0.74883</cdr:y>
    </cdr:to>
    <cdr:sp macro="" textlink="">
      <cdr:nvSpPr>
        <cdr:cNvPr id="18" name="Text Box 3">
          <a:extLst xmlns:a="http://schemas.openxmlformats.org/drawingml/2006/main">
            <a:ext uri="{FF2B5EF4-FFF2-40B4-BE49-F238E27FC236}">
              <a16:creationId xmlns:a16="http://schemas.microsoft.com/office/drawing/2014/main" id="{AB810CF9-A526-6B49-984B-65306BFAFD0D}"/>
            </a:ext>
          </a:extLst>
        </cdr:cNvPr>
        <cdr:cNvSpPr txBox="1">
          <a:spLocks xmlns:a="http://schemas.openxmlformats.org/drawingml/2006/main" noChangeArrowheads="1"/>
        </cdr:cNvSpPr>
      </cdr:nvSpPr>
      <cdr:spPr bwMode="auto">
        <a:xfrm xmlns:a="http://schemas.openxmlformats.org/drawingml/2006/main">
          <a:off x="1402766" y="1664275"/>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a:t>
          </a:r>
        </a:p>
      </cdr:txBody>
    </cdr:sp>
  </cdr:relSizeAnchor>
  <cdr:relSizeAnchor xmlns:cdr="http://schemas.openxmlformats.org/drawingml/2006/chartDrawing">
    <cdr:from>
      <cdr:x>0.26436</cdr:x>
      <cdr:y>0.70827</cdr:y>
    </cdr:from>
    <cdr:to>
      <cdr:x>0.26436</cdr:x>
      <cdr:y>0.70827</cdr:y>
    </cdr:to>
    <cdr:sp macro="" textlink="">
      <cdr:nvSpPr>
        <cdr:cNvPr id="19" name="Text Box 4">
          <a:extLst xmlns:a="http://schemas.openxmlformats.org/drawingml/2006/main">
            <a:ext uri="{FF2B5EF4-FFF2-40B4-BE49-F238E27FC236}">
              <a16:creationId xmlns:a16="http://schemas.microsoft.com/office/drawing/2014/main" id="{316F89A2-3252-2340-8658-D52FF7A4846F}"/>
            </a:ext>
          </a:extLst>
        </cdr:cNvPr>
        <cdr:cNvSpPr txBox="1">
          <a:spLocks xmlns:a="http://schemas.openxmlformats.org/drawingml/2006/main" noChangeArrowheads="1"/>
        </cdr:cNvSpPr>
      </cdr:nvSpPr>
      <cdr:spPr bwMode="auto">
        <a:xfrm xmlns:a="http://schemas.openxmlformats.org/drawingml/2006/main">
          <a:off x="483464" y="1574136"/>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0.38995</cdr:x>
      <cdr:y>0.78317</cdr:y>
    </cdr:from>
    <cdr:to>
      <cdr:x>0.7894</cdr:x>
      <cdr:y>0.84503</cdr:y>
    </cdr:to>
    <cdr:sp macro="" textlink="">
      <cdr:nvSpPr>
        <cdr:cNvPr id="20" name="Text Box 6">
          <a:extLst xmlns:a="http://schemas.openxmlformats.org/drawingml/2006/main">
            <a:ext uri="{FF2B5EF4-FFF2-40B4-BE49-F238E27FC236}">
              <a16:creationId xmlns:a16="http://schemas.microsoft.com/office/drawing/2014/main" id="{EE66A51C-C1D1-394C-9B60-5EA2C34A6874}"/>
            </a:ext>
          </a:extLst>
        </cdr:cNvPr>
        <cdr:cNvSpPr txBox="1">
          <a:spLocks xmlns:a="http://schemas.openxmlformats.org/drawingml/2006/main" noChangeArrowheads="1"/>
        </cdr:cNvSpPr>
      </cdr:nvSpPr>
      <cdr:spPr bwMode="auto">
        <a:xfrm xmlns:a="http://schemas.openxmlformats.org/drawingml/2006/main">
          <a:off x="766627" y="1763814"/>
          <a:ext cx="785303" cy="139316"/>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FF0000"/>
              </a:solidFill>
              <a:latin typeface="Arial"/>
              <a:ea typeface="Arial"/>
              <a:cs typeface="Arial"/>
            </a:rPr>
            <a:t>Intervention</a:t>
          </a:r>
        </a:p>
      </cdr:txBody>
    </cdr:sp>
  </cdr:relSizeAnchor>
  <cdr:relSizeAnchor xmlns:cdr="http://schemas.openxmlformats.org/drawingml/2006/chartDrawing">
    <cdr:from>
      <cdr:x>0.534</cdr:x>
      <cdr:y>0.59471</cdr:y>
    </cdr:from>
    <cdr:to>
      <cdr:x>0.534</cdr:x>
      <cdr:y>0.59471</cdr:y>
    </cdr:to>
    <cdr:sp macro="" textlink="">
      <cdr:nvSpPr>
        <cdr:cNvPr id="22" name="Text Box 1">
          <a:extLst xmlns:a="http://schemas.openxmlformats.org/drawingml/2006/main">
            <a:ext uri="{FF2B5EF4-FFF2-40B4-BE49-F238E27FC236}">
              <a16:creationId xmlns:a16="http://schemas.microsoft.com/office/drawing/2014/main" id="{D82BAD52-C122-E14F-B3BB-3718C0599EA6}"/>
            </a:ext>
          </a:extLst>
        </cdr:cNvPr>
        <cdr:cNvSpPr txBox="1">
          <a:spLocks xmlns:a="http://schemas.openxmlformats.org/drawingml/2006/main" noChangeArrowheads="1"/>
        </cdr:cNvSpPr>
      </cdr:nvSpPr>
      <cdr:spPr bwMode="auto">
        <a:xfrm xmlns:a="http://schemas.openxmlformats.org/drawingml/2006/main">
          <a:off x="976579" y="1321749"/>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0.65276</cdr:x>
      <cdr:y>0.80561</cdr:y>
    </cdr:from>
    <cdr:to>
      <cdr:x>0.65276</cdr:x>
      <cdr:y>0.80561</cdr:y>
    </cdr:to>
    <cdr:sp macro="" textlink="">
      <cdr:nvSpPr>
        <cdr:cNvPr id="23" name="Text Box 2">
          <a:extLst xmlns:a="http://schemas.openxmlformats.org/drawingml/2006/main">
            <a:ext uri="{FF2B5EF4-FFF2-40B4-BE49-F238E27FC236}">
              <a16:creationId xmlns:a16="http://schemas.microsoft.com/office/drawing/2014/main" id="{87261BCC-3DFC-BF48-B185-4D7286057536}"/>
            </a:ext>
          </a:extLst>
        </cdr:cNvPr>
        <cdr:cNvSpPr txBox="1">
          <a:spLocks xmlns:a="http://schemas.openxmlformats.org/drawingml/2006/main" noChangeArrowheads="1"/>
        </cdr:cNvSpPr>
      </cdr:nvSpPr>
      <cdr:spPr bwMode="auto">
        <a:xfrm xmlns:a="http://schemas.openxmlformats.org/drawingml/2006/main">
          <a:off x="1193775" y="1790468"/>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-1.4%</a:t>
          </a:r>
        </a:p>
      </cdr:txBody>
    </cdr:sp>
  </cdr:relSizeAnchor>
  <cdr:relSizeAnchor xmlns:cdr="http://schemas.openxmlformats.org/drawingml/2006/chartDrawing">
    <cdr:from>
      <cdr:x>0.76704</cdr:x>
      <cdr:y>0.74883</cdr:y>
    </cdr:from>
    <cdr:to>
      <cdr:x>0.76704</cdr:x>
      <cdr:y>0.74883</cdr:y>
    </cdr:to>
    <cdr:sp macro="" textlink="">
      <cdr:nvSpPr>
        <cdr:cNvPr id="24" name="Text Box 3">
          <a:extLst xmlns:a="http://schemas.openxmlformats.org/drawingml/2006/main">
            <a:ext uri="{FF2B5EF4-FFF2-40B4-BE49-F238E27FC236}">
              <a16:creationId xmlns:a16="http://schemas.microsoft.com/office/drawing/2014/main" id="{DFCA9CF7-0007-0C45-8B99-E3640A596F61}"/>
            </a:ext>
          </a:extLst>
        </cdr:cNvPr>
        <cdr:cNvSpPr txBox="1">
          <a:spLocks xmlns:a="http://schemas.openxmlformats.org/drawingml/2006/main" noChangeArrowheads="1"/>
        </cdr:cNvSpPr>
      </cdr:nvSpPr>
      <cdr:spPr bwMode="auto">
        <a:xfrm xmlns:a="http://schemas.openxmlformats.org/drawingml/2006/main">
          <a:off x="1402766" y="1664275"/>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a:t>
          </a:r>
        </a:p>
      </cdr:txBody>
    </cdr:sp>
  </cdr:relSizeAnchor>
  <cdr:relSizeAnchor xmlns:cdr="http://schemas.openxmlformats.org/drawingml/2006/chartDrawing">
    <cdr:from>
      <cdr:x>0.26436</cdr:x>
      <cdr:y>0.70827</cdr:y>
    </cdr:from>
    <cdr:to>
      <cdr:x>0.26436</cdr:x>
      <cdr:y>0.70827</cdr:y>
    </cdr:to>
    <cdr:sp macro="" textlink="">
      <cdr:nvSpPr>
        <cdr:cNvPr id="25" name="Text Box 4">
          <a:extLst xmlns:a="http://schemas.openxmlformats.org/drawingml/2006/main">
            <a:ext uri="{FF2B5EF4-FFF2-40B4-BE49-F238E27FC236}">
              <a16:creationId xmlns:a16="http://schemas.microsoft.com/office/drawing/2014/main" id="{1CF88F20-2EAB-DF46-91A6-8578C43D4992}"/>
            </a:ext>
          </a:extLst>
        </cdr:cNvPr>
        <cdr:cNvSpPr txBox="1">
          <a:spLocks xmlns:a="http://schemas.openxmlformats.org/drawingml/2006/main" noChangeArrowheads="1"/>
        </cdr:cNvSpPr>
      </cdr:nvSpPr>
      <cdr:spPr bwMode="auto">
        <a:xfrm xmlns:a="http://schemas.openxmlformats.org/drawingml/2006/main">
          <a:off x="483464" y="1574136"/>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userShapes>
</file>

<file path=xl/drawings/drawing18.xml><?xml version="1.0" encoding="utf-8"?>
<c:userShapes xmlns:c="http://schemas.openxmlformats.org/drawingml/2006/chart">
  <cdr:relSizeAnchor xmlns:cdr="http://schemas.openxmlformats.org/drawingml/2006/chartDrawing">
    <cdr:from>
      <cdr:x>0.534</cdr:x>
      <cdr:y>0.59471</cdr:y>
    </cdr:from>
    <cdr:to>
      <cdr:x>0.534</cdr:x>
      <cdr:y>0.59471</cdr:y>
    </cdr:to>
    <cdr:sp macro="" textlink="">
      <cdr:nvSpPr>
        <cdr:cNvPr id="994305" name="Text Box 1"/>
        <cdr:cNvSpPr txBox="1">
          <a:spLocks xmlns:a="http://schemas.openxmlformats.org/drawingml/2006/main" noChangeArrowheads="1"/>
        </cdr:cNvSpPr>
      </cdr:nvSpPr>
      <cdr:spPr bwMode="auto">
        <a:xfrm xmlns:a="http://schemas.openxmlformats.org/drawingml/2006/main">
          <a:off x="976579" y="1321749"/>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0.65276</cdr:x>
      <cdr:y>0.80561</cdr:y>
    </cdr:from>
    <cdr:to>
      <cdr:x>0.65276</cdr:x>
      <cdr:y>0.80561</cdr:y>
    </cdr:to>
    <cdr:sp macro="" textlink="">
      <cdr:nvSpPr>
        <cdr:cNvPr id="994306" name="Text Box 2"/>
        <cdr:cNvSpPr txBox="1">
          <a:spLocks xmlns:a="http://schemas.openxmlformats.org/drawingml/2006/main" noChangeArrowheads="1"/>
        </cdr:cNvSpPr>
      </cdr:nvSpPr>
      <cdr:spPr bwMode="auto">
        <a:xfrm xmlns:a="http://schemas.openxmlformats.org/drawingml/2006/main">
          <a:off x="1193775" y="1790468"/>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-1.4%</a:t>
          </a:r>
        </a:p>
      </cdr:txBody>
    </cdr:sp>
  </cdr:relSizeAnchor>
  <cdr:relSizeAnchor xmlns:cdr="http://schemas.openxmlformats.org/drawingml/2006/chartDrawing">
    <cdr:from>
      <cdr:x>0.76704</cdr:x>
      <cdr:y>0.74883</cdr:y>
    </cdr:from>
    <cdr:to>
      <cdr:x>0.76704</cdr:x>
      <cdr:y>0.74883</cdr:y>
    </cdr:to>
    <cdr:sp macro="" textlink="">
      <cdr:nvSpPr>
        <cdr:cNvPr id="994307" name="Text Box 3"/>
        <cdr:cNvSpPr txBox="1">
          <a:spLocks xmlns:a="http://schemas.openxmlformats.org/drawingml/2006/main" noChangeArrowheads="1"/>
        </cdr:cNvSpPr>
      </cdr:nvSpPr>
      <cdr:spPr bwMode="auto">
        <a:xfrm xmlns:a="http://schemas.openxmlformats.org/drawingml/2006/main">
          <a:off x="1402766" y="1664275"/>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a:t>
          </a:r>
        </a:p>
      </cdr:txBody>
    </cdr:sp>
  </cdr:relSizeAnchor>
  <cdr:relSizeAnchor xmlns:cdr="http://schemas.openxmlformats.org/drawingml/2006/chartDrawing">
    <cdr:from>
      <cdr:x>0.26436</cdr:x>
      <cdr:y>0.70827</cdr:y>
    </cdr:from>
    <cdr:to>
      <cdr:x>0.26436</cdr:x>
      <cdr:y>0.70827</cdr:y>
    </cdr:to>
    <cdr:sp macro="" textlink="">
      <cdr:nvSpPr>
        <cdr:cNvPr id="994308" name="Text Box 4"/>
        <cdr:cNvSpPr txBox="1">
          <a:spLocks xmlns:a="http://schemas.openxmlformats.org/drawingml/2006/main" noChangeArrowheads="1"/>
        </cdr:cNvSpPr>
      </cdr:nvSpPr>
      <cdr:spPr bwMode="auto">
        <a:xfrm xmlns:a="http://schemas.openxmlformats.org/drawingml/2006/main">
          <a:off x="483464" y="1574136"/>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0.534</cdr:x>
      <cdr:y>0.59471</cdr:y>
    </cdr:from>
    <cdr:to>
      <cdr:x>0.534</cdr:x>
      <cdr:y>0.59471</cdr:y>
    </cdr:to>
    <cdr:sp macro="" textlink="">
      <cdr:nvSpPr>
        <cdr:cNvPr id="2" name="Text Box 1">
          <a:extLst xmlns:a="http://schemas.openxmlformats.org/drawingml/2006/main">
            <a:ext uri="{FF2B5EF4-FFF2-40B4-BE49-F238E27FC236}">
              <a16:creationId xmlns:a16="http://schemas.microsoft.com/office/drawing/2014/main" id="{D82BAD52-C122-E14F-B3BB-3718C0599EA6}"/>
            </a:ext>
          </a:extLst>
        </cdr:cNvPr>
        <cdr:cNvSpPr txBox="1">
          <a:spLocks xmlns:a="http://schemas.openxmlformats.org/drawingml/2006/main" noChangeArrowheads="1"/>
        </cdr:cNvSpPr>
      </cdr:nvSpPr>
      <cdr:spPr bwMode="auto">
        <a:xfrm xmlns:a="http://schemas.openxmlformats.org/drawingml/2006/main">
          <a:off x="976579" y="1321749"/>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0.65276</cdr:x>
      <cdr:y>0.80561</cdr:y>
    </cdr:from>
    <cdr:to>
      <cdr:x>0.65276</cdr:x>
      <cdr:y>0.80561</cdr:y>
    </cdr:to>
    <cdr:sp macro="" textlink="">
      <cdr:nvSpPr>
        <cdr:cNvPr id="3" name="Text Box 2">
          <a:extLst xmlns:a="http://schemas.openxmlformats.org/drawingml/2006/main">
            <a:ext uri="{FF2B5EF4-FFF2-40B4-BE49-F238E27FC236}">
              <a16:creationId xmlns:a16="http://schemas.microsoft.com/office/drawing/2014/main" id="{87261BCC-3DFC-BF48-B185-4D7286057536}"/>
            </a:ext>
          </a:extLst>
        </cdr:cNvPr>
        <cdr:cNvSpPr txBox="1">
          <a:spLocks xmlns:a="http://schemas.openxmlformats.org/drawingml/2006/main" noChangeArrowheads="1"/>
        </cdr:cNvSpPr>
      </cdr:nvSpPr>
      <cdr:spPr bwMode="auto">
        <a:xfrm xmlns:a="http://schemas.openxmlformats.org/drawingml/2006/main">
          <a:off x="1193775" y="1790468"/>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-1.4%</a:t>
          </a:r>
        </a:p>
      </cdr:txBody>
    </cdr:sp>
  </cdr:relSizeAnchor>
  <cdr:relSizeAnchor xmlns:cdr="http://schemas.openxmlformats.org/drawingml/2006/chartDrawing">
    <cdr:from>
      <cdr:x>0.76704</cdr:x>
      <cdr:y>0.74883</cdr:y>
    </cdr:from>
    <cdr:to>
      <cdr:x>0.76704</cdr:x>
      <cdr:y>0.74883</cdr:y>
    </cdr:to>
    <cdr:sp macro="" textlink="">
      <cdr:nvSpPr>
        <cdr:cNvPr id="4" name="Text Box 3">
          <a:extLst xmlns:a="http://schemas.openxmlformats.org/drawingml/2006/main">
            <a:ext uri="{FF2B5EF4-FFF2-40B4-BE49-F238E27FC236}">
              <a16:creationId xmlns:a16="http://schemas.microsoft.com/office/drawing/2014/main" id="{DFCA9CF7-0007-0C45-8B99-E3640A596F61}"/>
            </a:ext>
          </a:extLst>
        </cdr:cNvPr>
        <cdr:cNvSpPr txBox="1">
          <a:spLocks xmlns:a="http://schemas.openxmlformats.org/drawingml/2006/main" noChangeArrowheads="1"/>
        </cdr:cNvSpPr>
      </cdr:nvSpPr>
      <cdr:spPr bwMode="auto">
        <a:xfrm xmlns:a="http://schemas.openxmlformats.org/drawingml/2006/main">
          <a:off x="1402766" y="1664275"/>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a:t>
          </a:r>
        </a:p>
      </cdr:txBody>
    </cdr:sp>
  </cdr:relSizeAnchor>
  <cdr:relSizeAnchor xmlns:cdr="http://schemas.openxmlformats.org/drawingml/2006/chartDrawing">
    <cdr:from>
      <cdr:x>0.26436</cdr:x>
      <cdr:y>0.70827</cdr:y>
    </cdr:from>
    <cdr:to>
      <cdr:x>0.26436</cdr:x>
      <cdr:y>0.70827</cdr:y>
    </cdr:to>
    <cdr:sp macro="" textlink="">
      <cdr:nvSpPr>
        <cdr:cNvPr id="5" name="Text Box 4">
          <a:extLst xmlns:a="http://schemas.openxmlformats.org/drawingml/2006/main">
            <a:ext uri="{FF2B5EF4-FFF2-40B4-BE49-F238E27FC236}">
              <a16:creationId xmlns:a16="http://schemas.microsoft.com/office/drawing/2014/main" id="{1CF88F20-2EAB-DF46-91A6-8578C43D4992}"/>
            </a:ext>
          </a:extLst>
        </cdr:cNvPr>
        <cdr:cNvSpPr txBox="1">
          <a:spLocks xmlns:a="http://schemas.openxmlformats.org/drawingml/2006/main" noChangeArrowheads="1"/>
        </cdr:cNvSpPr>
      </cdr:nvSpPr>
      <cdr:spPr bwMode="auto">
        <a:xfrm xmlns:a="http://schemas.openxmlformats.org/drawingml/2006/main">
          <a:off x="483464" y="1574136"/>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0.534</cdr:x>
      <cdr:y>0.59471</cdr:y>
    </cdr:from>
    <cdr:to>
      <cdr:x>0.534</cdr:x>
      <cdr:y>0.59471</cdr:y>
    </cdr:to>
    <cdr:sp macro="" textlink="">
      <cdr:nvSpPr>
        <cdr:cNvPr id="16" name="Text Box 1">
          <a:extLst xmlns:a="http://schemas.openxmlformats.org/drawingml/2006/main">
            <a:ext uri="{FF2B5EF4-FFF2-40B4-BE49-F238E27FC236}">
              <a16:creationId xmlns:a16="http://schemas.microsoft.com/office/drawing/2014/main" id="{2A5B2DA1-B067-684B-8D4D-8DA174C5F355}"/>
            </a:ext>
          </a:extLst>
        </cdr:cNvPr>
        <cdr:cNvSpPr txBox="1">
          <a:spLocks xmlns:a="http://schemas.openxmlformats.org/drawingml/2006/main" noChangeArrowheads="1"/>
        </cdr:cNvSpPr>
      </cdr:nvSpPr>
      <cdr:spPr bwMode="auto">
        <a:xfrm xmlns:a="http://schemas.openxmlformats.org/drawingml/2006/main">
          <a:off x="976579" y="1321749"/>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0.65276</cdr:x>
      <cdr:y>0.80561</cdr:y>
    </cdr:from>
    <cdr:to>
      <cdr:x>0.65276</cdr:x>
      <cdr:y>0.80561</cdr:y>
    </cdr:to>
    <cdr:sp macro="" textlink="">
      <cdr:nvSpPr>
        <cdr:cNvPr id="17" name="Text Box 2">
          <a:extLst xmlns:a="http://schemas.openxmlformats.org/drawingml/2006/main">
            <a:ext uri="{FF2B5EF4-FFF2-40B4-BE49-F238E27FC236}">
              <a16:creationId xmlns:a16="http://schemas.microsoft.com/office/drawing/2014/main" id="{CFD04E1F-2F1B-3643-AF60-E29E7DCD3C06}"/>
            </a:ext>
          </a:extLst>
        </cdr:cNvPr>
        <cdr:cNvSpPr txBox="1">
          <a:spLocks xmlns:a="http://schemas.openxmlformats.org/drawingml/2006/main" noChangeArrowheads="1"/>
        </cdr:cNvSpPr>
      </cdr:nvSpPr>
      <cdr:spPr bwMode="auto">
        <a:xfrm xmlns:a="http://schemas.openxmlformats.org/drawingml/2006/main">
          <a:off x="1193775" y="1790468"/>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-1.4%</a:t>
          </a:r>
        </a:p>
      </cdr:txBody>
    </cdr:sp>
  </cdr:relSizeAnchor>
  <cdr:relSizeAnchor xmlns:cdr="http://schemas.openxmlformats.org/drawingml/2006/chartDrawing">
    <cdr:from>
      <cdr:x>0.76704</cdr:x>
      <cdr:y>0.74883</cdr:y>
    </cdr:from>
    <cdr:to>
      <cdr:x>0.76704</cdr:x>
      <cdr:y>0.74883</cdr:y>
    </cdr:to>
    <cdr:sp macro="" textlink="">
      <cdr:nvSpPr>
        <cdr:cNvPr id="18" name="Text Box 3">
          <a:extLst xmlns:a="http://schemas.openxmlformats.org/drawingml/2006/main">
            <a:ext uri="{FF2B5EF4-FFF2-40B4-BE49-F238E27FC236}">
              <a16:creationId xmlns:a16="http://schemas.microsoft.com/office/drawing/2014/main" id="{AB810CF9-A526-6B49-984B-65306BFAFD0D}"/>
            </a:ext>
          </a:extLst>
        </cdr:cNvPr>
        <cdr:cNvSpPr txBox="1">
          <a:spLocks xmlns:a="http://schemas.openxmlformats.org/drawingml/2006/main" noChangeArrowheads="1"/>
        </cdr:cNvSpPr>
      </cdr:nvSpPr>
      <cdr:spPr bwMode="auto">
        <a:xfrm xmlns:a="http://schemas.openxmlformats.org/drawingml/2006/main">
          <a:off x="1402766" y="1664275"/>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a:t>
          </a:r>
        </a:p>
      </cdr:txBody>
    </cdr:sp>
  </cdr:relSizeAnchor>
  <cdr:relSizeAnchor xmlns:cdr="http://schemas.openxmlformats.org/drawingml/2006/chartDrawing">
    <cdr:from>
      <cdr:x>0.26436</cdr:x>
      <cdr:y>0.70827</cdr:y>
    </cdr:from>
    <cdr:to>
      <cdr:x>0.26436</cdr:x>
      <cdr:y>0.70827</cdr:y>
    </cdr:to>
    <cdr:sp macro="" textlink="">
      <cdr:nvSpPr>
        <cdr:cNvPr id="19" name="Text Box 4">
          <a:extLst xmlns:a="http://schemas.openxmlformats.org/drawingml/2006/main">
            <a:ext uri="{FF2B5EF4-FFF2-40B4-BE49-F238E27FC236}">
              <a16:creationId xmlns:a16="http://schemas.microsoft.com/office/drawing/2014/main" id="{316F89A2-3252-2340-8658-D52FF7A4846F}"/>
            </a:ext>
          </a:extLst>
        </cdr:cNvPr>
        <cdr:cNvSpPr txBox="1">
          <a:spLocks xmlns:a="http://schemas.openxmlformats.org/drawingml/2006/main" noChangeArrowheads="1"/>
        </cdr:cNvSpPr>
      </cdr:nvSpPr>
      <cdr:spPr bwMode="auto">
        <a:xfrm xmlns:a="http://schemas.openxmlformats.org/drawingml/2006/main">
          <a:off x="483464" y="1574136"/>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0.534</cdr:x>
      <cdr:y>0.59471</cdr:y>
    </cdr:from>
    <cdr:to>
      <cdr:x>0.534</cdr:x>
      <cdr:y>0.59471</cdr:y>
    </cdr:to>
    <cdr:sp macro="" textlink="">
      <cdr:nvSpPr>
        <cdr:cNvPr id="22" name="Text Box 1">
          <a:extLst xmlns:a="http://schemas.openxmlformats.org/drawingml/2006/main">
            <a:ext uri="{FF2B5EF4-FFF2-40B4-BE49-F238E27FC236}">
              <a16:creationId xmlns:a16="http://schemas.microsoft.com/office/drawing/2014/main" id="{D82BAD52-C122-E14F-B3BB-3718C0599EA6}"/>
            </a:ext>
          </a:extLst>
        </cdr:cNvPr>
        <cdr:cNvSpPr txBox="1">
          <a:spLocks xmlns:a="http://schemas.openxmlformats.org/drawingml/2006/main" noChangeArrowheads="1"/>
        </cdr:cNvSpPr>
      </cdr:nvSpPr>
      <cdr:spPr bwMode="auto">
        <a:xfrm xmlns:a="http://schemas.openxmlformats.org/drawingml/2006/main">
          <a:off x="976579" y="1321749"/>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0.65276</cdr:x>
      <cdr:y>0.80561</cdr:y>
    </cdr:from>
    <cdr:to>
      <cdr:x>0.65276</cdr:x>
      <cdr:y>0.80561</cdr:y>
    </cdr:to>
    <cdr:sp macro="" textlink="">
      <cdr:nvSpPr>
        <cdr:cNvPr id="23" name="Text Box 2">
          <a:extLst xmlns:a="http://schemas.openxmlformats.org/drawingml/2006/main">
            <a:ext uri="{FF2B5EF4-FFF2-40B4-BE49-F238E27FC236}">
              <a16:creationId xmlns:a16="http://schemas.microsoft.com/office/drawing/2014/main" id="{87261BCC-3DFC-BF48-B185-4D7286057536}"/>
            </a:ext>
          </a:extLst>
        </cdr:cNvPr>
        <cdr:cNvSpPr txBox="1">
          <a:spLocks xmlns:a="http://schemas.openxmlformats.org/drawingml/2006/main" noChangeArrowheads="1"/>
        </cdr:cNvSpPr>
      </cdr:nvSpPr>
      <cdr:spPr bwMode="auto">
        <a:xfrm xmlns:a="http://schemas.openxmlformats.org/drawingml/2006/main">
          <a:off x="1193775" y="1790468"/>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-1.4%</a:t>
          </a:r>
        </a:p>
      </cdr:txBody>
    </cdr:sp>
  </cdr:relSizeAnchor>
  <cdr:relSizeAnchor xmlns:cdr="http://schemas.openxmlformats.org/drawingml/2006/chartDrawing">
    <cdr:from>
      <cdr:x>0.76704</cdr:x>
      <cdr:y>0.74883</cdr:y>
    </cdr:from>
    <cdr:to>
      <cdr:x>0.76704</cdr:x>
      <cdr:y>0.74883</cdr:y>
    </cdr:to>
    <cdr:sp macro="" textlink="">
      <cdr:nvSpPr>
        <cdr:cNvPr id="24" name="Text Box 3">
          <a:extLst xmlns:a="http://schemas.openxmlformats.org/drawingml/2006/main">
            <a:ext uri="{FF2B5EF4-FFF2-40B4-BE49-F238E27FC236}">
              <a16:creationId xmlns:a16="http://schemas.microsoft.com/office/drawing/2014/main" id="{DFCA9CF7-0007-0C45-8B99-E3640A596F61}"/>
            </a:ext>
          </a:extLst>
        </cdr:cNvPr>
        <cdr:cNvSpPr txBox="1">
          <a:spLocks xmlns:a="http://schemas.openxmlformats.org/drawingml/2006/main" noChangeArrowheads="1"/>
        </cdr:cNvSpPr>
      </cdr:nvSpPr>
      <cdr:spPr bwMode="auto">
        <a:xfrm xmlns:a="http://schemas.openxmlformats.org/drawingml/2006/main">
          <a:off x="1402766" y="1664275"/>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a:t>
          </a:r>
        </a:p>
      </cdr:txBody>
    </cdr:sp>
  </cdr:relSizeAnchor>
  <cdr:relSizeAnchor xmlns:cdr="http://schemas.openxmlformats.org/drawingml/2006/chartDrawing">
    <cdr:from>
      <cdr:x>0.26436</cdr:x>
      <cdr:y>0.70827</cdr:y>
    </cdr:from>
    <cdr:to>
      <cdr:x>0.26436</cdr:x>
      <cdr:y>0.70827</cdr:y>
    </cdr:to>
    <cdr:sp macro="" textlink="">
      <cdr:nvSpPr>
        <cdr:cNvPr id="25" name="Text Box 4">
          <a:extLst xmlns:a="http://schemas.openxmlformats.org/drawingml/2006/main">
            <a:ext uri="{FF2B5EF4-FFF2-40B4-BE49-F238E27FC236}">
              <a16:creationId xmlns:a16="http://schemas.microsoft.com/office/drawing/2014/main" id="{1CF88F20-2EAB-DF46-91A6-8578C43D4992}"/>
            </a:ext>
          </a:extLst>
        </cdr:cNvPr>
        <cdr:cNvSpPr txBox="1">
          <a:spLocks xmlns:a="http://schemas.openxmlformats.org/drawingml/2006/main" noChangeArrowheads="1"/>
        </cdr:cNvSpPr>
      </cdr:nvSpPr>
      <cdr:spPr bwMode="auto">
        <a:xfrm xmlns:a="http://schemas.openxmlformats.org/drawingml/2006/main">
          <a:off x="483464" y="1574136"/>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0.534</cdr:x>
      <cdr:y>0.59471</cdr:y>
    </cdr:from>
    <cdr:to>
      <cdr:x>0.534</cdr:x>
      <cdr:y>0.59471</cdr:y>
    </cdr:to>
    <cdr:sp macro="" textlink="">
      <cdr:nvSpPr>
        <cdr:cNvPr id="6" name="Text Box 1">
          <a:extLst xmlns:a="http://schemas.openxmlformats.org/drawingml/2006/main">
            <a:ext uri="{FF2B5EF4-FFF2-40B4-BE49-F238E27FC236}">
              <a16:creationId xmlns:a16="http://schemas.microsoft.com/office/drawing/2014/main" id="{4DEEF00B-94DF-0143-89BA-956DA563A5B8}"/>
            </a:ext>
          </a:extLst>
        </cdr:cNvPr>
        <cdr:cNvSpPr txBox="1">
          <a:spLocks xmlns:a="http://schemas.openxmlformats.org/drawingml/2006/main" noChangeArrowheads="1"/>
        </cdr:cNvSpPr>
      </cdr:nvSpPr>
      <cdr:spPr bwMode="auto">
        <a:xfrm xmlns:a="http://schemas.openxmlformats.org/drawingml/2006/main">
          <a:off x="976579" y="1321749"/>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0.65276</cdr:x>
      <cdr:y>0.80561</cdr:y>
    </cdr:from>
    <cdr:to>
      <cdr:x>0.65276</cdr:x>
      <cdr:y>0.80561</cdr:y>
    </cdr:to>
    <cdr:sp macro="" textlink="">
      <cdr:nvSpPr>
        <cdr:cNvPr id="7" name="Text Box 2">
          <a:extLst xmlns:a="http://schemas.openxmlformats.org/drawingml/2006/main">
            <a:ext uri="{FF2B5EF4-FFF2-40B4-BE49-F238E27FC236}">
              <a16:creationId xmlns:a16="http://schemas.microsoft.com/office/drawing/2014/main" id="{3CE9D110-150F-9646-A1ED-76F83AE5879B}"/>
            </a:ext>
          </a:extLst>
        </cdr:cNvPr>
        <cdr:cNvSpPr txBox="1">
          <a:spLocks xmlns:a="http://schemas.openxmlformats.org/drawingml/2006/main" noChangeArrowheads="1"/>
        </cdr:cNvSpPr>
      </cdr:nvSpPr>
      <cdr:spPr bwMode="auto">
        <a:xfrm xmlns:a="http://schemas.openxmlformats.org/drawingml/2006/main">
          <a:off x="1193775" y="1790468"/>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-1.4%</a:t>
          </a:r>
        </a:p>
      </cdr:txBody>
    </cdr:sp>
  </cdr:relSizeAnchor>
  <cdr:relSizeAnchor xmlns:cdr="http://schemas.openxmlformats.org/drawingml/2006/chartDrawing">
    <cdr:from>
      <cdr:x>0.76704</cdr:x>
      <cdr:y>0.74883</cdr:y>
    </cdr:from>
    <cdr:to>
      <cdr:x>0.76704</cdr:x>
      <cdr:y>0.74883</cdr:y>
    </cdr:to>
    <cdr:sp macro="" textlink="">
      <cdr:nvSpPr>
        <cdr:cNvPr id="8" name="Text Box 3">
          <a:extLst xmlns:a="http://schemas.openxmlformats.org/drawingml/2006/main">
            <a:ext uri="{FF2B5EF4-FFF2-40B4-BE49-F238E27FC236}">
              <a16:creationId xmlns:a16="http://schemas.microsoft.com/office/drawing/2014/main" id="{29C29D42-C968-4E47-970D-F9CE968699B8}"/>
            </a:ext>
          </a:extLst>
        </cdr:cNvPr>
        <cdr:cNvSpPr txBox="1">
          <a:spLocks xmlns:a="http://schemas.openxmlformats.org/drawingml/2006/main" noChangeArrowheads="1"/>
        </cdr:cNvSpPr>
      </cdr:nvSpPr>
      <cdr:spPr bwMode="auto">
        <a:xfrm xmlns:a="http://schemas.openxmlformats.org/drawingml/2006/main">
          <a:off x="1402766" y="1664275"/>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a:t>
          </a:r>
        </a:p>
      </cdr:txBody>
    </cdr:sp>
  </cdr:relSizeAnchor>
  <cdr:relSizeAnchor xmlns:cdr="http://schemas.openxmlformats.org/drawingml/2006/chartDrawing">
    <cdr:from>
      <cdr:x>0.26436</cdr:x>
      <cdr:y>0.70827</cdr:y>
    </cdr:from>
    <cdr:to>
      <cdr:x>0.26436</cdr:x>
      <cdr:y>0.70827</cdr:y>
    </cdr:to>
    <cdr:sp macro="" textlink="">
      <cdr:nvSpPr>
        <cdr:cNvPr id="9" name="Text Box 4">
          <a:extLst xmlns:a="http://schemas.openxmlformats.org/drawingml/2006/main">
            <a:ext uri="{FF2B5EF4-FFF2-40B4-BE49-F238E27FC236}">
              <a16:creationId xmlns:a16="http://schemas.microsoft.com/office/drawing/2014/main" id="{F3551177-1BFD-0041-A9B6-838323D63BE4}"/>
            </a:ext>
          </a:extLst>
        </cdr:cNvPr>
        <cdr:cNvSpPr txBox="1">
          <a:spLocks xmlns:a="http://schemas.openxmlformats.org/drawingml/2006/main" noChangeArrowheads="1"/>
        </cdr:cNvSpPr>
      </cdr:nvSpPr>
      <cdr:spPr bwMode="auto">
        <a:xfrm xmlns:a="http://schemas.openxmlformats.org/drawingml/2006/main">
          <a:off x="483464" y="1574136"/>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0.46747</cdr:x>
      <cdr:y>0.65348</cdr:y>
    </cdr:from>
    <cdr:to>
      <cdr:x>0.86692</cdr:x>
      <cdr:y>0.71534</cdr:y>
    </cdr:to>
    <cdr:sp macro="" textlink="">
      <cdr:nvSpPr>
        <cdr:cNvPr id="994310" name="Text Box 6"/>
        <cdr:cNvSpPr txBox="1">
          <a:spLocks xmlns:a="http://schemas.openxmlformats.org/drawingml/2006/main" noChangeArrowheads="1"/>
        </cdr:cNvSpPr>
      </cdr:nvSpPr>
      <cdr:spPr bwMode="auto">
        <a:xfrm xmlns:a="http://schemas.openxmlformats.org/drawingml/2006/main">
          <a:off x="919027" y="1471714"/>
          <a:ext cx="785303" cy="139316"/>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FF0000"/>
              </a:solidFill>
              <a:latin typeface="Arial"/>
              <a:ea typeface="Arial"/>
              <a:cs typeface="Arial"/>
            </a:rPr>
            <a:t>Intervention</a:t>
          </a:r>
        </a:p>
      </cdr:txBody>
    </cdr:sp>
  </cdr:relSizeAnchor>
  <cdr:relSizeAnchor xmlns:cdr="http://schemas.openxmlformats.org/drawingml/2006/chartDrawing">
    <cdr:from>
      <cdr:x>0.27507</cdr:x>
      <cdr:y>0.50071</cdr:y>
    </cdr:from>
    <cdr:to>
      <cdr:x>0.64648</cdr:x>
      <cdr:y>0.58827</cdr:y>
    </cdr:to>
    <cdr:sp macro="" textlink="">
      <cdr:nvSpPr>
        <cdr:cNvPr id="10" name="Text Box 7">
          <a:extLst xmlns:a="http://schemas.openxmlformats.org/drawingml/2006/main">
            <a:ext uri="{FF2B5EF4-FFF2-40B4-BE49-F238E27FC236}">
              <a16:creationId xmlns:a16="http://schemas.microsoft.com/office/drawing/2014/main" id="{3D53DBA9-3E8A-BD4D-83AB-F75667D1FA3A}"/>
            </a:ext>
          </a:extLst>
        </cdr:cNvPr>
        <cdr:cNvSpPr txBox="1">
          <a:spLocks xmlns:a="http://schemas.openxmlformats.org/drawingml/2006/main" noChangeArrowheads="1"/>
        </cdr:cNvSpPr>
      </cdr:nvSpPr>
      <cdr:spPr bwMode="auto">
        <a:xfrm xmlns:a="http://schemas.openxmlformats.org/drawingml/2006/main">
          <a:off x="540780" y="1127656"/>
          <a:ext cx="730177" cy="197196"/>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wrap="none" lIns="18288" tIns="18288" rIns="0" bIns="0" anchor="t" upright="1">
          <a:spAutoFit/>
        </a:bodyPr>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0.534</cdr:x>
      <cdr:y>0.59471</cdr:y>
    </cdr:from>
    <cdr:to>
      <cdr:x>0.534</cdr:x>
      <cdr:y>0.59471</cdr:y>
    </cdr:to>
    <cdr:sp macro="" textlink="">
      <cdr:nvSpPr>
        <cdr:cNvPr id="11" name="Text Box 1">
          <a:extLst xmlns:a="http://schemas.openxmlformats.org/drawingml/2006/main">
            <a:ext uri="{FF2B5EF4-FFF2-40B4-BE49-F238E27FC236}">
              <a16:creationId xmlns:a16="http://schemas.microsoft.com/office/drawing/2014/main" id="{D82BAD52-C122-E14F-B3BB-3718C0599EA6}"/>
            </a:ext>
          </a:extLst>
        </cdr:cNvPr>
        <cdr:cNvSpPr txBox="1">
          <a:spLocks xmlns:a="http://schemas.openxmlformats.org/drawingml/2006/main" noChangeArrowheads="1"/>
        </cdr:cNvSpPr>
      </cdr:nvSpPr>
      <cdr:spPr bwMode="auto">
        <a:xfrm xmlns:a="http://schemas.openxmlformats.org/drawingml/2006/main">
          <a:off x="976579" y="1321749"/>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0.65276</cdr:x>
      <cdr:y>0.80561</cdr:y>
    </cdr:from>
    <cdr:to>
      <cdr:x>0.65276</cdr:x>
      <cdr:y>0.80561</cdr:y>
    </cdr:to>
    <cdr:sp macro="" textlink="">
      <cdr:nvSpPr>
        <cdr:cNvPr id="12" name="Text Box 2">
          <a:extLst xmlns:a="http://schemas.openxmlformats.org/drawingml/2006/main">
            <a:ext uri="{FF2B5EF4-FFF2-40B4-BE49-F238E27FC236}">
              <a16:creationId xmlns:a16="http://schemas.microsoft.com/office/drawing/2014/main" id="{87261BCC-3DFC-BF48-B185-4D7286057536}"/>
            </a:ext>
          </a:extLst>
        </cdr:cNvPr>
        <cdr:cNvSpPr txBox="1">
          <a:spLocks xmlns:a="http://schemas.openxmlformats.org/drawingml/2006/main" noChangeArrowheads="1"/>
        </cdr:cNvSpPr>
      </cdr:nvSpPr>
      <cdr:spPr bwMode="auto">
        <a:xfrm xmlns:a="http://schemas.openxmlformats.org/drawingml/2006/main">
          <a:off x="1193775" y="1790468"/>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-1.4%</a:t>
          </a:r>
        </a:p>
      </cdr:txBody>
    </cdr:sp>
  </cdr:relSizeAnchor>
  <cdr:relSizeAnchor xmlns:cdr="http://schemas.openxmlformats.org/drawingml/2006/chartDrawing">
    <cdr:from>
      <cdr:x>0.76704</cdr:x>
      <cdr:y>0.74883</cdr:y>
    </cdr:from>
    <cdr:to>
      <cdr:x>0.76704</cdr:x>
      <cdr:y>0.74883</cdr:y>
    </cdr:to>
    <cdr:sp macro="" textlink="">
      <cdr:nvSpPr>
        <cdr:cNvPr id="13" name="Text Box 3">
          <a:extLst xmlns:a="http://schemas.openxmlformats.org/drawingml/2006/main">
            <a:ext uri="{FF2B5EF4-FFF2-40B4-BE49-F238E27FC236}">
              <a16:creationId xmlns:a16="http://schemas.microsoft.com/office/drawing/2014/main" id="{DFCA9CF7-0007-0C45-8B99-E3640A596F61}"/>
            </a:ext>
          </a:extLst>
        </cdr:cNvPr>
        <cdr:cNvSpPr txBox="1">
          <a:spLocks xmlns:a="http://schemas.openxmlformats.org/drawingml/2006/main" noChangeArrowheads="1"/>
        </cdr:cNvSpPr>
      </cdr:nvSpPr>
      <cdr:spPr bwMode="auto">
        <a:xfrm xmlns:a="http://schemas.openxmlformats.org/drawingml/2006/main">
          <a:off x="1402766" y="1664275"/>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a:t>
          </a:r>
        </a:p>
      </cdr:txBody>
    </cdr:sp>
  </cdr:relSizeAnchor>
  <cdr:relSizeAnchor xmlns:cdr="http://schemas.openxmlformats.org/drawingml/2006/chartDrawing">
    <cdr:from>
      <cdr:x>0.26436</cdr:x>
      <cdr:y>0.70827</cdr:y>
    </cdr:from>
    <cdr:to>
      <cdr:x>0.26436</cdr:x>
      <cdr:y>0.70827</cdr:y>
    </cdr:to>
    <cdr:sp macro="" textlink="">
      <cdr:nvSpPr>
        <cdr:cNvPr id="14" name="Text Box 4">
          <a:extLst xmlns:a="http://schemas.openxmlformats.org/drawingml/2006/main">
            <a:ext uri="{FF2B5EF4-FFF2-40B4-BE49-F238E27FC236}">
              <a16:creationId xmlns:a16="http://schemas.microsoft.com/office/drawing/2014/main" id="{1CF88F20-2EAB-DF46-91A6-8578C43D4992}"/>
            </a:ext>
          </a:extLst>
        </cdr:cNvPr>
        <cdr:cNvSpPr txBox="1">
          <a:spLocks xmlns:a="http://schemas.openxmlformats.org/drawingml/2006/main" noChangeArrowheads="1"/>
        </cdr:cNvSpPr>
      </cdr:nvSpPr>
      <cdr:spPr bwMode="auto">
        <a:xfrm xmlns:a="http://schemas.openxmlformats.org/drawingml/2006/main">
          <a:off x="483464" y="1574136"/>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userShapes>
</file>

<file path=xl/drawings/drawing19.xml><?xml version="1.0" encoding="utf-8"?>
<c:userShapes xmlns:c="http://schemas.openxmlformats.org/drawingml/2006/chart">
  <cdr:relSizeAnchor xmlns:cdr="http://schemas.openxmlformats.org/drawingml/2006/chartDrawing">
    <cdr:from>
      <cdr:x>0.534</cdr:x>
      <cdr:y>0.59471</cdr:y>
    </cdr:from>
    <cdr:to>
      <cdr:x>0.534</cdr:x>
      <cdr:y>0.59471</cdr:y>
    </cdr:to>
    <cdr:sp macro="" textlink="">
      <cdr:nvSpPr>
        <cdr:cNvPr id="994305" name="Text Box 1"/>
        <cdr:cNvSpPr txBox="1">
          <a:spLocks xmlns:a="http://schemas.openxmlformats.org/drawingml/2006/main" noChangeArrowheads="1"/>
        </cdr:cNvSpPr>
      </cdr:nvSpPr>
      <cdr:spPr bwMode="auto">
        <a:xfrm xmlns:a="http://schemas.openxmlformats.org/drawingml/2006/main">
          <a:off x="976579" y="1321749"/>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0.65276</cdr:x>
      <cdr:y>0.80561</cdr:y>
    </cdr:from>
    <cdr:to>
      <cdr:x>0.65276</cdr:x>
      <cdr:y>0.80561</cdr:y>
    </cdr:to>
    <cdr:sp macro="" textlink="">
      <cdr:nvSpPr>
        <cdr:cNvPr id="994306" name="Text Box 2"/>
        <cdr:cNvSpPr txBox="1">
          <a:spLocks xmlns:a="http://schemas.openxmlformats.org/drawingml/2006/main" noChangeArrowheads="1"/>
        </cdr:cNvSpPr>
      </cdr:nvSpPr>
      <cdr:spPr bwMode="auto">
        <a:xfrm xmlns:a="http://schemas.openxmlformats.org/drawingml/2006/main">
          <a:off x="1193775" y="1790468"/>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-1.4%</a:t>
          </a:r>
        </a:p>
      </cdr:txBody>
    </cdr:sp>
  </cdr:relSizeAnchor>
  <cdr:relSizeAnchor xmlns:cdr="http://schemas.openxmlformats.org/drawingml/2006/chartDrawing">
    <cdr:from>
      <cdr:x>0.76704</cdr:x>
      <cdr:y>0.74883</cdr:y>
    </cdr:from>
    <cdr:to>
      <cdr:x>0.76704</cdr:x>
      <cdr:y>0.74883</cdr:y>
    </cdr:to>
    <cdr:sp macro="" textlink="">
      <cdr:nvSpPr>
        <cdr:cNvPr id="994307" name="Text Box 3"/>
        <cdr:cNvSpPr txBox="1">
          <a:spLocks xmlns:a="http://schemas.openxmlformats.org/drawingml/2006/main" noChangeArrowheads="1"/>
        </cdr:cNvSpPr>
      </cdr:nvSpPr>
      <cdr:spPr bwMode="auto">
        <a:xfrm xmlns:a="http://schemas.openxmlformats.org/drawingml/2006/main">
          <a:off x="1402766" y="1664275"/>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a:t>
          </a:r>
        </a:p>
      </cdr:txBody>
    </cdr:sp>
  </cdr:relSizeAnchor>
  <cdr:relSizeAnchor xmlns:cdr="http://schemas.openxmlformats.org/drawingml/2006/chartDrawing">
    <cdr:from>
      <cdr:x>0.26436</cdr:x>
      <cdr:y>0.70827</cdr:y>
    </cdr:from>
    <cdr:to>
      <cdr:x>0.26436</cdr:x>
      <cdr:y>0.70827</cdr:y>
    </cdr:to>
    <cdr:sp macro="" textlink="">
      <cdr:nvSpPr>
        <cdr:cNvPr id="994308" name="Text Box 4"/>
        <cdr:cNvSpPr txBox="1">
          <a:spLocks xmlns:a="http://schemas.openxmlformats.org/drawingml/2006/main" noChangeArrowheads="1"/>
        </cdr:cNvSpPr>
      </cdr:nvSpPr>
      <cdr:spPr bwMode="auto">
        <a:xfrm xmlns:a="http://schemas.openxmlformats.org/drawingml/2006/main">
          <a:off x="483464" y="1574136"/>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0.32675</cdr:x>
      <cdr:y>0.57402</cdr:y>
    </cdr:from>
    <cdr:to>
      <cdr:x>0.69816</cdr:x>
      <cdr:y>0.66158</cdr:y>
    </cdr:to>
    <cdr:sp macro="" textlink="">
      <cdr:nvSpPr>
        <cdr:cNvPr id="994311" name="Text Box 7"/>
        <cdr:cNvSpPr txBox="1">
          <a:spLocks xmlns:a="http://schemas.openxmlformats.org/drawingml/2006/main" noChangeArrowheads="1"/>
        </cdr:cNvSpPr>
      </cdr:nvSpPr>
      <cdr:spPr bwMode="auto">
        <a:xfrm xmlns:a="http://schemas.openxmlformats.org/drawingml/2006/main">
          <a:off x="642380" y="1292762"/>
          <a:ext cx="730177" cy="197197"/>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wrap="none" lIns="18288" tIns="18288" rIns="0" bIns="0" anchor="t" upright="1">
          <a:spAutoFit/>
        </a:bodyPr>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0.534</cdr:x>
      <cdr:y>0.59471</cdr:y>
    </cdr:from>
    <cdr:to>
      <cdr:x>0.534</cdr:x>
      <cdr:y>0.59471</cdr:y>
    </cdr:to>
    <cdr:sp macro="" textlink="">
      <cdr:nvSpPr>
        <cdr:cNvPr id="2" name="Text Box 1">
          <a:extLst xmlns:a="http://schemas.openxmlformats.org/drawingml/2006/main">
            <a:ext uri="{FF2B5EF4-FFF2-40B4-BE49-F238E27FC236}">
              <a16:creationId xmlns:a16="http://schemas.microsoft.com/office/drawing/2014/main" id="{D82BAD52-C122-E14F-B3BB-3718C0599EA6}"/>
            </a:ext>
          </a:extLst>
        </cdr:cNvPr>
        <cdr:cNvSpPr txBox="1">
          <a:spLocks xmlns:a="http://schemas.openxmlformats.org/drawingml/2006/main" noChangeArrowheads="1"/>
        </cdr:cNvSpPr>
      </cdr:nvSpPr>
      <cdr:spPr bwMode="auto">
        <a:xfrm xmlns:a="http://schemas.openxmlformats.org/drawingml/2006/main">
          <a:off x="976579" y="1321749"/>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0.65276</cdr:x>
      <cdr:y>0.80561</cdr:y>
    </cdr:from>
    <cdr:to>
      <cdr:x>0.65276</cdr:x>
      <cdr:y>0.80561</cdr:y>
    </cdr:to>
    <cdr:sp macro="" textlink="">
      <cdr:nvSpPr>
        <cdr:cNvPr id="3" name="Text Box 2">
          <a:extLst xmlns:a="http://schemas.openxmlformats.org/drawingml/2006/main">
            <a:ext uri="{FF2B5EF4-FFF2-40B4-BE49-F238E27FC236}">
              <a16:creationId xmlns:a16="http://schemas.microsoft.com/office/drawing/2014/main" id="{87261BCC-3DFC-BF48-B185-4D7286057536}"/>
            </a:ext>
          </a:extLst>
        </cdr:cNvPr>
        <cdr:cNvSpPr txBox="1">
          <a:spLocks xmlns:a="http://schemas.openxmlformats.org/drawingml/2006/main" noChangeArrowheads="1"/>
        </cdr:cNvSpPr>
      </cdr:nvSpPr>
      <cdr:spPr bwMode="auto">
        <a:xfrm xmlns:a="http://schemas.openxmlformats.org/drawingml/2006/main">
          <a:off x="1193775" y="1790468"/>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-1.4%</a:t>
          </a:r>
        </a:p>
      </cdr:txBody>
    </cdr:sp>
  </cdr:relSizeAnchor>
  <cdr:relSizeAnchor xmlns:cdr="http://schemas.openxmlformats.org/drawingml/2006/chartDrawing">
    <cdr:from>
      <cdr:x>0.76704</cdr:x>
      <cdr:y>0.74883</cdr:y>
    </cdr:from>
    <cdr:to>
      <cdr:x>0.76704</cdr:x>
      <cdr:y>0.74883</cdr:y>
    </cdr:to>
    <cdr:sp macro="" textlink="">
      <cdr:nvSpPr>
        <cdr:cNvPr id="4" name="Text Box 3">
          <a:extLst xmlns:a="http://schemas.openxmlformats.org/drawingml/2006/main">
            <a:ext uri="{FF2B5EF4-FFF2-40B4-BE49-F238E27FC236}">
              <a16:creationId xmlns:a16="http://schemas.microsoft.com/office/drawing/2014/main" id="{DFCA9CF7-0007-0C45-8B99-E3640A596F61}"/>
            </a:ext>
          </a:extLst>
        </cdr:cNvPr>
        <cdr:cNvSpPr txBox="1">
          <a:spLocks xmlns:a="http://schemas.openxmlformats.org/drawingml/2006/main" noChangeArrowheads="1"/>
        </cdr:cNvSpPr>
      </cdr:nvSpPr>
      <cdr:spPr bwMode="auto">
        <a:xfrm xmlns:a="http://schemas.openxmlformats.org/drawingml/2006/main">
          <a:off x="1402766" y="1664275"/>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a:t>
          </a:r>
        </a:p>
      </cdr:txBody>
    </cdr:sp>
  </cdr:relSizeAnchor>
  <cdr:relSizeAnchor xmlns:cdr="http://schemas.openxmlformats.org/drawingml/2006/chartDrawing">
    <cdr:from>
      <cdr:x>0.26436</cdr:x>
      <cdr:y>0.70827</cdr:y>
    </cdr:from>
    <cdr:to>
      <cdr:x>0.26436</cdr:x>
      <cdr:y>0.70827</cdr:y>
    </cdr:to>
    <cdr:sp macro="" textlink="">
      <cdr:nvSpPr>
        <cdr:cNvPr id="5" name="Text Box 4">
          <a:extLst xmlns:a="http://schemas.openxmlformats.org/drawingml/2006/main">
            <a:ext uri="{FF2B5EF4-FFF2-40B4-BE49-F238E27FC236}">
              <a16:creationId xmlns:a16="http://schemas.microsoft.com/office/drawing/2014/main" id="{1CF88F20-2EAB-DF46-91A6-8578C43D4992}"/>
            </a:ext>
          </a:extLst>
        </cdr:cNvPr>
        <cdr:cNvSpPr txBox="1">
          <a:spLocks xmlns:a="http://schemas.openxmlformats.org/drawingml/2006/main" noChangeArrowheads="1"/>
        </cdr:cNvSpPr>
      </cdr:nvSpPr>
      <cdr:spPr bwMode="auto">
        <a:xfrm xmlns:a="http://schemas.openxmlformats.org/drawingml/2006/main">
          <a:off x="483464" y="1574136"/>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0.534</cdr:x>
      <cdr:y>0.59471</cdr:y>
    </cdr:from>
    <cdr:to>
      <cdr:x>0.534</cdr:x>
      <cdr:y>0.59471</cdr:y>
    </cdr:to>
    <cdr:sp macro="" textlink="">
      <cdr:nvSpPr>
        <cdr:cNvPr id="16" name="Text Box 1">
          <a:extLst xmlns:a="http://schemas.openxmlformats.org/drawingml/2006/main">
            <a:ext uri="{FF2B5EF4-FFF2-40B4-BE49-F238E27FC236}">
              <a16:creationId xmlns:a16="http://schemas.microsoft.com/office/drawing/2014/main" id="{2A5B2DA1-B067-684B-8D4D-8DA174C5F355}"/>
            </a:ext>
          </a:extLst>
        </cdr:cNvPr>
        <cdr:cNvSpPr txBox="1">
          <a:spLocks xmlns:a="http://schemas.openxmlformats.org/drawingml/2006/main" noChangeArrowheads="1"/>
        </cdr:cNvSpPr>
      </cdr:nvSpPr>
      <cdr:spPr bwMode="auto">
        <a:xfrm xmlns:a="http://schemas.openxmlformats.org/drawingml/2006/main">
          <a:off x="976579" y="1321749"/>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0.65276</cdr:x>
      <cdr:y>0.80561</cdr:y>
    </cdr:from>
    <cdr:to>
      <cdr:x>0.65276</cdr:x>
      <cdr:y>0.80561</cdr:y>
    </cdr:to>
    <cdr:sp macro="" textlink="">
      <cdr:nvSpPr>
        <cdr:cNvPr id="17" name="Text Box 2">
          <a:extLst xmlns:a="http://schemas.openxmlformats.org/drawingml/2006/main">
            <a:ext uri="{FF2B5EF4-FFF2-40B4-BE49-F238E27FC236}">
              <a16:creationId xmlns:a16="http://schemas.microsoft.com/office/drawing/2014/main" id="{CFD04E1F-2F1B-3643-AF60-E29E7DCD3C06}"/>
            </a:ext>
          </a:extLst>
        </cdr:cNvPr>
        <cdr:cNvSpPr txBox="1">
          <a:spLocks xmlns:a="http://schemas.openxmlformats.org/drawingml/2006/main" noChangeArrowheads="1"/>
        </cdr:cNvSpPr>
      </cdr:nvSpPr>
      <cdr:spPr bwMode="auto">
        <a:xfrm xmlns:a="http://schemas.openxmlformats.org/drawingml/2006/main">
          <a:off x="1193775" y="1790468"/>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-1.4%</a:t>
          </a:r>
        </a:p>
      </cdr:txBody>
    </cdr:sp>
  </cdr:relSizeAnchor>
  <cdr:relSizeAnchor xmlns:cdr="http://schemas.openxmlformats.org/drawingml/2006/chartDrawing">
    <cdr:from>
      <cdr:x>0.76704</cdr:x>
      <cdr:y>0.74883</cdr:y>
    </cdr:from>
    <cdr:to>
      <cdr:x>0.76704</cdr:x>
      <cdr:y>0.74883</cdr:y>
    </cdr:to>
    <cdr:sp macro="" textlink="">
      <cdr:nvSpPr>
        <cdr:cNvPr id="18" name="Text Box 3">
          <a:extLst xmlns:a="http://schemas.openxmlformats.org/drawingml/2006/main">
            <a:ext uri="{FF2B5EF4-FFF2-40B4-BE49-F238E27FC236}">
              <a16:creationId xmlns:a16="http://schemas.microsoft.com/office/drawing/2014/main" id="{AB810CF9-A526-6B49-984B-65306BFAFD0D}"/>
            </a:ext>
          </a:extLst>
        </cdr:cNvPr>
        <cdr:cNvSpPr txBox="1">
          <a:spLocks xmlns:a="http://schemas.openxmlformats.org/drawingml/2006/main" noChangeArrowheads="1"/>
        </cdr:cNvSpPr>
      </cdr:nvSpPr>
      <cdr:spPr bwMode="auto">
        <a:xfrm xmlns:a="http://schemas.openxmlformats.org/drawingml/2006/main">
          <a:off x="1402766" y="1664275"/>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a:t>
          </a:r>
        </a:p>
      </cdr:txBody>
    </cdr:sp>
  </cdr:relSizeAnchor>
  <cdr:relSizeAnchor xmlns:cdr="http://schemas.openxmlformats.org/drawingml/2006/chartDrawing">
    <cdr:from>
      <cdr:x>0.26436</cdr:x>
      <cdr:y>0.70827</cdr:y>
    </cdr:from>
    <cdr:to>
      <cdr:x>0.26436</cdr:x>
      <cdr:y>0.70827</cdr:y>
    </cdr:to>
    <cdr:sp macro="" textlink="">
      <cdr:nvSpPr>
        <cdr:cNvPr id="19" name="Text Box 4">
          <a:extLst xmlns:a="http://schemas.openxmlformats.org/drawingml/2006/main">
            <a:ext uri="{FF2B5EF4-FFF2-40B4-BE49-F238E27FC236}">
              <a16:creationId xmlns:a16="http://schemas.microsoft.com/office/drawing/2014/main" id="{316F89A2-3252-2340-8658-D52FF7A4846F}"/>
            </a:ext>
          </a:extLst>
        </cdr:cNvPr>
        <cdr:cNvSpPr txBox="1">
          <a:spLocks xmlns:a="http://schemas.openxmlformats.org/drawingml/2006/main" noChangeArrowheads="1"/>
        </cdr:cNvSpPr>
      </cdr:nvSpPr>
      <cdr:spPr bwMode="auto">
        <a:xfrm xmlns:a="http://schemas.openxmlformats.org/drawingml/2006/main">
          <a:off x="483464" y="1574136"/>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0.534</cdr:x>
      <cdr:y>0.59471</cdr:y>
    </cdr:from>
    <cdr:to>
      <cdr:x>0.534</cdr:x>
      <cdr:y>0.59471</cdr:y>
    </cdr:to>
    <cdr:sp macro="" textlink="">
      <cdr:nvSpPr>
        <cdr:cNvPr id="22" name="Text Box 1">
          <a:extLst xmlns:a="http://schemas.openxmlformats.org/drawingml/2006/main">
            <a:ext uri="{FF2B5EF4-FFF2-40B4-BE49-F238E27FC236}">
              <a16:creationId xmlns:a16="http://schemas.microsoft.com/office/drawing/2014/main" id="{D82BAD52-C122-E14F-B3BB-3718C0599EA6}"/>
            </a:ext>
          </a:extLst>
        </cdr:cNvPr>
        <cdr:cNvSpPr txBox="1">
          <a:spLocks xmlns:a="http://schemas.openxmlformats.org/drawingml/2006/main" noChangeArrowheads="1"/>
        </cdr:cNvSpPr>
      </cdr:nvSpPr>
      <cdr:spPr bwMode="auto">
        <a:xfrm xmlns:a="http://schemas.openxmlformats.org/drawingml/2006/main">
          <a:off x="976579" y="1321749"/>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0.65276</cdr:x>
      <cdr:y>0.80561</cdr:y>
    </cdr:from>
    <cdr:to>
      <cdr:x>0.65276</cdr:x>
      <cdr:y>0.80561</cdr:y>
    </cdr:to>
    <cdr:sp macro="" textlink="">
      <cdr:nvSpPr>
        <cdr:cNvPr id="23" name="Text Box 2">
          <a:extLst xmlns:a="http://schemas.openxmlformats.org/drawingml/2006/main">
            <a:ext uri="{FF2B5EF4-FFF2-40B4-BE49-F238E27FC236}">
              <a16:creationId xmlns:a16="http://schemas.microsoft.com/office/drawing/2014/main" id="{87261BCC-3DFC-BF48-B185-4D7286057536}"/>
            </a:ext>
          </a:extLst>
        </cdr:cNvPr>
        <cdr:cNvSpPr txBox="1">
          <a:spLocks xmlns:a="http://schemas.openxmlformats.org/drawingml/2006/main" noChangeArrowheads="1"/>
        </cdr:cNvSpPr>
      </cdr:nvSpPr>
      <cdr:spPr bwMode="auto">
        <a:xfrm xmlns:a="http://schemas.openxmlformats.org/drawingml/2006/main">
          <a:off x="1193775" y="1790468"/>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-1.4%</a:t>
          </a:r>
        </a:p>
      </cdr:txBody>
    </cdr:sp>
  </cdr:relSizeAnchor>
  <cdr:relSizeAnchor xmlns:cdr="http://schemas.openxmlformats.org/drawingml/2006/chartDrawing">
    <cdr:from>
      <cdr:x>0.76704</cdr:x>
      <cdr:y>0.74883</cdr:y>
    </cdr:from>
    <cdr:to>
      <cdr:x>0.76704</cdr:x>
      <cdr:y>0.74883</cdr:y>
    </cdr:to>
    <cdr:sp macro="" textlink="">
      <cdr:nvSpPr>
        <cdr:cNvPr id="24" name="Text Box 3">
          <a:extLst xmlns:a="http://schemas.openxmlformats.org/drawingml/2006/main">
            <a:ext uri="{FF2B5EF4-FFF2-40B4-BE49-F238E27FC236}">
              <a16:creationId xmlns:a16="http://schemas.microsoft.com/office/drawing/2014/main" id="{DFCA9CF7-0007-0C45-8B99-E3640A596F61}"/>
            </a:ext>
          </a:extLst>
        </cdr:cNvPr>
        <cdr:cNvSpPr txBox="1">
          <a:spLocks xmlns:a="http://schemas.openxmlformats.org/drawingml/2006/main" noChangeArrowheads="1"/>
        </cdr:cNvSpPr>
      </cdr:nvSpPr>
      <cdr:spPr bwMode="auto">
        <a:xfrm xmlns:a="http://schemas.openxmlformats.org/drawingml/2006/main">
          <a:off x="1402766" y="1664275"/>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a:t>
          </a:r>
        </a:p>
      </cdr:txBody>
    </cdr:sp>
  </cdr:relSizeAnchor>
  <cdr:relSizeAnchor xmlns:cdr="http://schemas.openxmlformats.org/drawingml/2006/chartDrawing">
    <cdr:from>
      <cdr:x>0.26436</cdr:x>
      <cdr:y>0.70827</cdr:y>
    </cdr:from>
    <cdr:to>
      <cdr:x>0.26436</cdr:x>
      <cdr:y>0.70827</cdr:y>
    </cdr:to>
    <cdr:sp macro="" textlink="">
      <cdr:nvSpPr>
        <cdr:cNvPr id="25" name="Text Box 4">
          <a:extLst xmlns:a="http://schemas.openxmlformats.org/drawingml/2006/main">
            <a:ext uri="{FF2B5EF4-FFF2-40B4-BE49-F238E27FC236}">
              <a16:creationId xmlns:a16="http://schemas.microsoft.com/office/drawing/2014/main" id="{1CF88F20-2EAB-DF46-91A6-8578C43D4992}"/>
            </a:ext>
          </a:extLst>
        </cdr:cNvPr>
        <cdr:cNvSpPr txBox="1">
          <a:spLocks xmlns:a="http://schemas.openxmlformats.org/drawingml/2006/main" noChangeArrowheads="1"/>
        </cdr:cNvSpPr>
      </cdr:nvSpPr>
      <cdr:spPr bwMode="auto">
        <a:xfrm xmlns:a="http://schemas.openxmlformats.org/drawingml/2006/main">
          <a:off x="483464" y="1574136"/>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0.534</cdr:x>
      <cdr:y>0.59471</cdr:y>
    </cdr:from>
    <cdr:to>
      <cdr:x>0.534</cdr:x>
      <cdr:y>0.59471</cdr:y>
    </cdr:to>
    <cdr:sp macro="" textlink="">
      <cdr:nvSpPr>
        <cdr:cNvPr id="15" name="Text Box 1">
          <a:extLst xmlns:a="http://schemas.openxmlformats.org/drawingml/2006/main">
            <a:ext uri="{FF2B5EF4-FFF2-40B4-BE49-F238E27FC236}">
              <a16:creationId xmlns:a16="http://schemas.microsoft.com/office/drawing/2014/main" id="{A24DB43C-B6FC-724E-A30F-8731826D3B1D}"/>
            </a:ext>
          </a:extLst>
        </cdr:cNvPr>
        <cdr:cNvSpPr txBox="1">
          <a:spLocks xmlns:a="http://schemas.openxmlformats.org/drawingml/2006/main" noChangeArrowheads="1"/>
        </cdr:cNvSpPr>
      </cdr:nvSpPr>
      <cdr:spPr bwMode="auto">
        <a:xfrm xmlns:a="http://schemas.openxmlformats.org/drawingml/2006/main">
          <a:off x="976579" y="1321749"/>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0.65276</cdr:x>
      <cdr:y>0.80561</cdr:y>
    </cdr:from>
    <cdr:to>
      <cdr:x>0.65276</cdr:x>
      <cdr:y>0.80561</cdr:y>
    </cdr:to>
    <cdr:sp macro="" textlink="">
      <cdr:nvSpPr>
        <cdr:cNvPr id="21" name="Text Box 2">
          <a:extLst xmlns:a="http://schemas.openxmlformats.org/drawingml/2006/main">
            <a:ext uri="{FF2B5EF4-FFF2-40B4-BE49-F238E27FC236}">
              <a16:creationId xmlns:a16="http://schemas.microsoft.com/office/drawing/2014/main" id="{B492B2CE-DCFB-3942-B3D8-488796CE7EAE}"/>
            </a:ext>
          </a:extLst>
        </cdr:cNvPr>
        <cdr:cNvSpPr txBox="1">
          <a:spLocks xmlns:a="http://schemas.openxmlformats.org/drawingml/2006/main" noChangeArrowheads="1"/>
        </cdr:cNvSpPr>
      </cdr:nvSpPr>
      <cdr:spPr bwMode="auto">
        <a:xfrm xmlns:a="http://schemas.openxmlformats.org/drawingml/2006/main">
          <a:off x="1193775" y="1790468"/>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-1.4%</a:t>
          </a:r>
        </a:p>
      </cdr:txBody>
    </cdr:sp>
  </cdr:relSizeAnchor>
  <cdr:relSizeAnchor xmlns:cdr="http://schemas.openxmlformats.org/drawingml/2006/chartDrawing">
    <cdr:from>
      <cdr:x>0.76704</cdr:x>
      <cdr:y>0.74883</cdr:y>
    </cdr:from>
    <cdr:to>
      <cdr:x>0.76704</cdr:x>
      <cdr:y>0.74883</cdr:y>
    </cdr:to>
    <cdr:sp macro="" textlink="">
      <cdr:nvSpPr>
        <cdr:cNvPr id="26" name="Text Box 3">
          <a:extLst xmlns:a="http://schemas.openxmlformats.org/drawingml/2006/main">
            <a:ext uri="{FF2B5EF4-FFF2-40B4-BE49-F238E27FC236}">
              <a16:creationId xmlns:a16="http://schemas.microsoft.com/office/drawing/2014/main" id="{96A0704A-ECDD-5A4F-88C9-5E979593BCE9}"/>
            </a:ext>
          </a:extLst>
        </cdr:cNvPr>
        <cdr:cNvSpPr txBox="1">
          <a:spLocks xmlns:a="http://schemas.openxmlformats.org/drawingml/2006/main" noChangeArrowheads="1"/>
        </cdr:cNvSpPr>
      </cdr:nvSpPr>
      <cdr:spPr bwMode="auto">
        <a:xfrm xmlns:a="http://schemas.openxmlformats.org/drawingml/2006/main">
          <a:off x="1402766" y="1664275"/>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a:t>
          </a:r>
        </a:p>
      </cdr:txBody>
    </cdr:sp>
  </cdr:relSizeAnchor>
  <cdr:relSizeAnchor xmlns:cdr="http://schemas.openxmlformats.org/drawingml/2006/chartDrawing">
    <cdr:from>
      <cdr:x>0.26436</cdr:x>
      <cdr:y>0.70827</cdr:y>
    </cdr:from>
    <cdr:to>
      <cdr:x>0.26436</cdr:x>
      <cdr:y>0.70827</cdr:y>
    </cdr:to>
    <cdr:sp macro="" textlink="">
      <cdr:nvSpPr>
        <cdr:cNvPr id="27" name="Text Box 4">
          <a:extLst xmlns:a="http://schemas.openxmlformats.org/drawingml/2006/main">
            <a:ext uri="{FF2B5EF4-FFF2-40B4-BE49-F238E27FC236}">
              <a16:creationId xmlns:a16="http://schemas.microsoft.com/office/drawing/2014/main" id="{34DEA2B0-3982-5149-BD46-4403BAC5F5D2}"/>
            </a:ext>
          </a:extLst>
        </cdr:cNvPr>
        <cdr:cNvSpPr txBox="1">
          <a:spLocks xmlns:a="http://schemas.openxmlformats.org/drawingml/2006/main" noChangeArrowheads="1"/>
        </cdr:cNvSpPr>
      </cdr:nvSpPr>
      <cdr:spPr bwMode="auto">
        <a:xfrm xmlns:a="http://schemas.openxmlformats.org/drawingml/2006/main">
          <a:off x="483464" y="1574136"/>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0.34495</cdr:x>
      <cdr:y>0.34822</cdr:y>
    </cdr:from>
    <cdr:to>
      <cdr:x>0.7444</cdr:x>
      <cdr:y>0.41008</cdr:y>
    </cdr:to>
    <cdr:sp macro="" textlink="">
      <cdr:nvSpPr>
        <cdr:cNvPr id="28" name="Text Box 6">
          <a:extLst xmlns:a="http://schemas.openxmlformats.org/drawingml/2006/main">
            <a:ext uri="{FF2B5EF4-FFF2-40B4-BE49-F238E27FC236}">
              <a16:creationId xmlns:a16="http://schemas.microsoft.com/office/drawing/2014/main" id="{BBE05279-DC26-5746-88A7-F119AAA82A9F}"/>
            </a:ext>
          </a:extLst>
        </cdr:cNvPr>
        <cdr:cNvSpPr txBox="1">
          <a:spLocks xmlns:a="http://schemas.openxmlformats.org/drawingml/2006/main" noChangeArrowheads="1"/>
        </cdr:cNvSpPr>
      </cdr:nvSpPr>
      <cdr:spPr bwMode="auto">
        <a:xfrm xmlns:a="http://schemas.openxmlformats.org/drawingml/2006/main">
          <a:off x="678157" y="784231"/>
          <a:ext cx="785303" cy="139317"/>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FF0000"/>
              </a:solidFill>
              <a:latin typeface="Arial"/>
              <a:ea typeface="Arial"/>
              <a:cs typeface="Arial"/>
            </a:rPr>
            <a:t>Intervention</a:t>
          </a:r>
        </a:p>
      </cdr:txBody>
    </cdr:sp>
  </cdr:relSizeAnchor>
</c:userShapes>
</file>

<file path=xl/drawings/drawing20.xml><?xml version="1.0" encoding="utf-8"?>
<c:userShapes xmlns:c="http://schemas.openxmlformats.org/drawingml/2006/chart">
  <cdr:relSizeAnchor xmlns:cdr="http://schemas.openxmlformats.org/drawingml/2006/chartDrawing">
    <cdr:from>
      <cdr:x>0.534</cdr:x>
      <cdr:y>0.59471</cdr:y>
    </cdr:from>
    <cdr:to>
      <cdr:x>0.534</cdr:x>
      <cdr:y>0.59471</cdr:y>
    </cdr:to>
    <cdr:sp macro="" textlink="">
      <cdr:nvSpPr>
        <cdr:cNvPr id="994305" name="Text Box 1"/>
        <cdr:cNvSpPr txBox="1">
          <a:spLocks xmlns:a="http://schemas.openxmlformats.org/drawingml/2006/main" noChangeArrowheads="1"/>
        </cdr:cNvSpPr>
      </cdr:nvSpPr>
      <cdr:spPr bwMode="auto">
        <a:xfrm xmlns:a="http://schemas.openxmlformats.org/drawingml/2006/main">
          <a:off x="976579" y="1321749"/>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0.65276</cdr:x>
      <cdr:y>0.80561</cdr:y>
    </cdr:from>
    <cdr:to>
      <cdr:x>0.65276</cdr:x>
      <cdr:y>0.80561</cdr:y>
    </cdr:to>
    <cdr:sp macro="" textlink="">
      <cdr:nvSpPr>
        <cdr:cNvPr id="994306" name="Text Box 2"/>
        <cdr:cNvSpPr txBox="1">
          <a:spLocks xmlns:a="http://schemas.openxmlformats.org/drawingml/2006/main" noChangeArrowheads="1"/>
        </cdr:cNvSpPr>
      </cdr:nvSpPr>
      <cdr:spPr bwMode="auto">
        <a:xfrm xmlns:a="http://schemas.openxmlformats.org/drawingml/2006/main">
          <a:off x="1193775" y="1790468"/>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-1.4%</a:t>
          </a:r>
        </a:p>
      </cdr:txBody>
    </cdr:sp>
  </cdr:relSizeAnchor>
  <cdr:relSizeAnchor xmlns:cdr="http://schemas.openxmlformats.org/drawingml/2006/chartDrawing">
    <cdr:from>
      <cdr:x>0.76704</cdr:x>
      <cdr:y>0.74883</cdr:y>
    </cdr:from>
    <cdr:to>
      <cdr:x>0.76704</cdr:x>
      <cdr:y>0.74883</cdr:y>
    </cdr:to>
    <cdr:sp macro="" textlink="">
      <cdr:nvSpPr>
        <cdr:cNvPr id="994307" name="Text Box 3"/>
        <cdr:cNvSpPr txBox="1">
          <a:spLocks xmlns:a="http://schemas.openxmlformats.org/drawingml/2006/main" noChangeArrowheads="1"/>
        </cdr:cNvSpPr>
      </cdr:nvSpPr>
      <cdr:spPr bwMode="auto">
        <a:xfrm xmlns:a="http://schemas.openxmlformats.org/drawingml/2006/main">
          <a:off x="1402766" y="1664275"/>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a:t>
          </a:r>
        </a:p>
      </cdr:txBody>
    </cdr:sp>
  </cdr:relSizeAnchor>
  <cdr:relSizeAnchor xmlns:cdr="http://schemas.openxmlformats.org/drawingml/2006/chartDrawing">
    <cdr:from>
      <cdr:x>0.26436</cdr:x>
      <cdr:y>0.70827</cdr:y>
    </cdr:from>
    <cdr:to>
      <cdr:x>0.26436</cdr:x>
      <cdr:y>0.70827</cdr:y>
    </cdr:to>
    <cdr:sp macro="" textlink="">
      <cdr:nvSpPr>
        <cdr:cNvPr id="994308" name="Text Box 4"/>
        <cdr:cNvSpPr txBox="1">
          <a:spLocks xmlns:a="http://schemas.openxmlformats.org/drawingml/2006/main" noChangeArrowheads="1"/>
        </cdr:cNvSpPr>
      </cdr:nvSpPr>
      <cdr:spPr bwMode="auto">
        <a:xfrm xmlns:a="http://schemas.openxmlformats.org/drawingml/2006/main">
          <a:off x="483464" y="1574136"/>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0.45595</cdr:x>
      <cdr:y>0.41048</cdr:y>
    </cdr:from>
    <cdr:to>
      <cdr:x>0.82736</cdr:x>
      <cdr:y>0.49804</cdr:y>
    </cdr:to>
    <cdr:sp macro="" textlink="">
      <cdr:nvSpPr>
        <cdr:cNvPr id="994311" name="Text Box 7"/>
        <cdr:cNvSpPr txBox="1">
          <a:spLocks xmlns:a="http://schemas.openxmlformats.org/drawingml/2006/main" noChangeArrowheads="1"/>
        </cdr:cNvSpPr>
      </cdr:nvSpPr>
      <cdr:spPr bwMode="auto">
        <a:xfrm xmlns:a="http://schemas.openxmlformats.org/drawingml/2006/main">
          <a:off x="896380" y="924462"/>
          <a:ext cx="730177" cy="197197"/>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wrap="none" lIns="18288" tIns="18288" rIns="0" bIns="0" anchor="t" upright="1">
          <a:spAutoFit/>
        </a:bodyPr>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0.534</cdr:x>
      <cdr:y>0.59471</cdr:y>
    </cdr:from>
    <cdr:to>
      <cdr:x>0.534</cdr:x>
      <cdr:y>0.59471</cdr:y>
    </cdr:to>
    <cdr:sp macro="" textlink="">
      <cdr:nvSpPr>
        <cdr:cNvPr id="2" name="Text Box 1">
          <a:extLst xmlns:a="http://schemas.openxmlformats.org/drawingml/2006/main">
            <a:ext uri="{FF2B5EF4-FFF2-40B4-BE49-F238E27FC236}">
              <a16:creationId xmlns:a16="http://schemas.microsoft.com/office/drawing/2014/main" id="{D82BAD52-C122-E14F-B3BB-3718C0599EA6}"/>
            </a:ext>
          </a:extLst>
        </cdr:cNvPr>
        <cdr:cNvSpPr txBox="1">
          <a:spLocks xmlns:a="http://schemas.openxmlformats.org/drawingml/2006/main" noChangeArrowheads="1"/>
        </cdr:cNvSpPr>
      </cdr:nvSpPr>
      <cdr:spPr bwMode="auto">
        <a:xfrm xmlns:a="http://schemas.openxmlformats.org/drawingml/2006/main">
          <a:off x="976579" y="1321749"/>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0.65276</cdr:x>
      <cdr:y>0.80561</cdr:y>
    </cdr:from>
    <cdr:to>
      <cdr:x>0.65276</cdr:x>
      <cdr:y>0.80561</cdr:y>
    </cdr:to>
    <cdr:sp macro="" textlink="">
      <cdr:nvSpPr>
        <cdr:cNvPr id="3" name="Text Box 2">
          <a:extLst xmlns:a="http://schemas.openxmlformats.org/drawingml/2006/main">
            <a:ext uri="{FF2B5EF4-FFF2-40B4-BE49-F238E27FC236}">
              <a16:creationId xmlns:a16="http://schemas.microsoft.com/office/drawing/2014/main" id="{87261BCC-3DFC-BF48-B185-4D7286057536}"/>
            </a:ext>
          </a:extLst>
        </cdr:cNvPr>
        <cdr:cNvSpPr txBox="1">
          <a:spLocks xmlns:a="http://schemas.openxmlformats.org/drawingml/2006/main" noChangeArrowheads="1"/>
        </cdr:cNvSpPr>
      </cdr:nvSpPr>
      <cdr:spPr bwMode="auto">
        <a:xfrm xmlns:a="http://schemas.openxmlformats.org/drawingml/2006/main">
          <a:off x="1193775" y="1790468"/>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-1.4%</a:t>
          </a:r>
        </a:p>
      </cdr:txBody>
    </cdr:sp>
  </cdr:relSizeAnchor>
  <cdr:relSizeAnchor xmlns:cdr="http://schemas.openxmlformats.org/drawingml/2006/chartDrawing">
    <cdr:from>
      <cdr:x>0.76704</cdr:x>
      <cdr:y>0.74883</cdr:y>
    </cdr:from>
    <cdr:to>
      <cdr:x>0.76704</cdr:x>
      <cdr:y>0.74883</cdr:y>
    </cdr:to>
    <cdr:sp macro="" textlink="">
      <cdr:nvSpPr>
        <cdr:cNvPr id="4" name="Text Box 3">
          <a:extLst xmlns:a="http://schemas.openxmlformats.org/drawingml/2006/main">
            <a:ext uri="{FF2B5EF4-FFF2-40B4-BE49-F238E27FC236}">
              <a16:creationId xmlns:a16="http://schemas.microsoft.com/office/drawing/2014/main" id="{DFCA9CF7-0007-0C45-8B99-E3640A596F61}"/>
            </a:ext>
          </a:extLst>
        </cdr:cNvPr>
        <cdr:cNvSpPr txBox="1">
          <a:spLocks xmlns:a="http://schemas.openxmlformats.org/drawingml/2006/main" noChangeArrowheads="1"/>
        </cdr:cNvSpPr>
      </cdr:nvSpPr>
      <cdr:spPr bwMode="auto">
        <a:xfrm xmlns:a="http://schemas.openxmlformats.org/drawingml/2006/main">
          <a:off x="1402766" y="1664275"/>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a:t>
          </a:r>
        </a:p>
      </cdr:txBody>
    </cdr:sp>
  </cdr:relSizeAnchor>
  <cdr:relSizeAnchor xmlns:cdr="http://schemas.openxmlformats.org/drawingml/2006/chartDrawing">
    <cdr:from>
      <cdr:x>0.26436</cdr:x>
      <cdr:y>0.70827</cdr:y>
    </cdr:from>
    <cdr:to>
      <cdr:x>0.26436</cdr:x>
      <cdr:y>0.70827</cdr:y>
    </cdr:to>
    <cdr:sp macro="" textlink="">
      <cdr:nvSpPr>
        <cdr:cNvPr id="5" name="Text Box 4">
          <a:extLst xmlns:a="http://schemas.openxmlformats.org/drawingml/2006/main">
            <a:ext uri="{FF2B5EF4-FFF2-40B4-BE49-F238E27FC236}">
              <a16:creationId xmlns:a16="http://schemas.microsoft.com/office/drawing/2014/main" id="{1CF88F20-2EAB-DF46-91A6-8578C43D4992}"/>
            </a:ext>
          </a:extLst>
        </cdr:cNvPr>
        <cdr:cNvSpPr txBox="1">
          <a:spLocks xmlns:a="http://schemas.openxmlformats.org/drawingml/2006/main" noChangeArrowheads="1"/>
        </cdr:cNvSpPr>
      </cdr:nvSpPr>
      <cdr:spPr bwMode="auto">
        <a:xfrm xmlns:a="http://schemas.openxmlformats.org/drawingml/2006/main">
          <a:off x="483464" y="1574136"/>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0.534</cdr:x>
      <cdr:y>0.59471</cdr:y>
    </cdr:from>
    <cdr:to>
      <cdr:x>0.534</cdr:x>
      <cdr:y>0.59471</cdr:y>
    </cdr:to>
    <cdr:sp macro="" textlink="">
      <cdr:nvSpPr>
        <cdr:cNvPr id="16" name="Text Box 1">
          <a:extLst xmlns:a="http://schemas.openxmlformats.org/drawingml/2006/main">
            <a:ext uri="{FF2B5EF4-FFF2-40B4-BE49-F238E27FC236}">
              <a16:creationId xmlns:a16="http://schemas.microsoft.com/office/drawing/2014/main" id="{2A5B2DA1-B067-684B-8D4D-8DA174C5F355}"/>
            </a:ext>
          </a:extLst>
        </cdr:cNvPr>
        <cdr:cNvSpPr txBox="1">
          <a:spLocks xmlns:a="http://schemas.openxmlformats.org/drawingml/2006/main" noChangeArrowheads="1"/>
        </cdr:cNvSpPr>
      </cdr:nvSpPr>
      <cdr:spPr bwMode="auto">
        <a:xfrm xmlns:a="http://schemas.openxmlformats.org/drawingml/2006/main">
          <a:off x="976579" y="1321749"/>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0.65276</cdr:x>
      <cdr:y>0.80561</cdr:y>
    </cdr:from>
    <cdr:to>
      <cdr:x>0.65276</cdr:x>
      <cdr:y>0.80561</cdr:y>
    </cdr:to>
    <cdr:sp macro="" textlink="">
      <cdr:nvSpPr>
        <cdr:cNvPr id="17" name="Text Box 2">
          <a:extLst xmlns:a="http://schemas.openxmlformats.org/drawingml/2006/main">
            <a:ext uri="{FF2B5EF4-FFF2-40B4-BE49-F238E27FC236}">
              <a16:creationId xmlns:a16="http://schemas.microsoft.com/office/drawing/2014/main" id="{CFD04E1F-2F1B-3643-AF60-E29E7DCD3C06}"/>
            </a:ext>
          </a:extLst>
        </cdr:cNvPr>
        <cdr:cNvSpPr txBox="1">
          <a:spLocks xmlns:a="http://schemas.openxmlformats.org/drawingml/2006/main" noChangeArrowheads="1"/>
        </cdr:cNvSpPr>
      </cdr:nvSpPr>
      <cdr:spPr bwMode="auto">
        <a:xfrm xmlns:a="http://schemas.openxmlformats.org/drawingml/2006/main">
          <a:off x="1193775" y="1790468"/>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-1.4%</a:t>
          </a:r>
        </a:p>
      </cdr:txBody>
    </cdr:sp>
  </cdr:relSizeAnchor>
  <cdr:relSizeAnchor xmlns:cdr="http://schemas.openxmlformats.org/drawingml/2006/chartDrawing">
    <cdr:from>
      <cdr:x>0.76704</cdr:x>
      <cdr:y>0.74883</cdr:y>
    </cdr:from>
    <cdr:to>
      <cdr:x>0.76704</cdr:x>
      <cdr:y>0.74883</cdr:y>
    </cdr:to>
    <cdr:sp macro="" textlink="">
      <cdr:nvSpPr>
        <cdr:cNvPr id="18" name="Text Box 3">
          <a:extLst xmlns:a="http://schemas.openxmlformats.org/drawingml/2006/main">
            <a:ext uri="{FF2B5EF4-FFF2-40B4-BE49-F238E27FC236}">
              <a16:creationId xmlns:a16="http://schemas.microsoft.com/office/drawing/2014/main" id="{AB810CF9-A526-6B49-984B-65306BFAFD0D}"/>
            </a:ext>
          </a:extLst>
        </cdr:cNvPr>
        <cdr:cNvSpPr txBox="1">
          <a:spLocks xmlns:a="http://schemas.openxmlformats.org/drawingml/2006/main" noChangeArrowheads="1"/>
        </cdr:cNvSpPr>
      </cdr:nvSpPr>
      <cdr:spPr bwMode="auto">
        <a:xfrm xmlns:a="http://schemas.openxmlformats.org/drawingml/2006/main">
          <a:off x="1402766" y="1664275"/>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a:t>
          </a:r>
        </a:p>
      </cdr:txBody>
    </cdr:sp>
  </cdr:relSizeAnchor>
  <cdr:relSizeAnchor xmlns:cdr="http://schemas.openxmlformats.org/drawingml/2006/chartDrawing">
    <cdr:from>
      <cdr:x>0.26436</cdr:x>
      <cdr:y>0.70827</cdr:y>
    </cdr:from>
    <cdr:to>
      <cdr:x>0.26436</cdr:x>
      <cdr:y>0.70827</cdr:y>
    </cdr:to>
    <cdr:sp macro="" textlink="">
      <cdr:nvSpPr>
        <cdr:cNvPr id="19" name="Text Box 4">
          <a:extLst xmlns:a="http://schemas.openxmlformats.org/drawingml/2006/main">
            <a:ext uri="{FF2B5EF4-FFF2-40B4-BE49-F238E27FC236}">
              <a16:creationId xmlns:a16="http://schemas.microsoft.com/office/drawing/2014/main" id="{316F89A2-3252-2340-8658-D52FF7A4846F}"/>
            </a:ext>
          </a:extLst>
        </cdr:cNvPr>
        <cdr:cNvSpPr txBox="1">
          <a:spLocks xmlns:a="http://schemas.openxmlformats.org/drawingml/2006/main" noChangeArrowheads="1"/>
        </cdr:cNvSpPr>
      </cdr:nvSpPr>
      <cdr:spPr bwMode="auto">
        <a:xfrm xmlns:a="http://schemas.openxmlformats.org/drawingml/2006/main">
          <a:off x="483464" y="1574136"/>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0.534</cdr:x>
      <cdr:y>0.59471</cdr:y>
    </cdr:from>
    <cdr:to>
      <cdr:x>0.534</cdr:x>
      <cdr:y>0.59471</cdr:y>
    </cdr:to>
    <cdr:sp macro="" textlink="">
      <cdr:nvSpPr>
        <cdr:cNvPr id="22" name="Text Box 1">
          <a:extLst xmlns:a="http://schemas.openxmlformats.org/drawingml/2006/main">
            <a:ext uri="{FF2B5EF4-FFF2-40B4-BE49-F238E27FC236}">
              <a16:creationId xmlns:a16="http://schemas.microsoft.com/office/drawing/2014/main" id="{D82BAD52-C122-E14F-B3BB-3718C0599EA6}"/>
            </a:ext>
          </a:extLst>
        </cdr:cNvPr>
        <cdr:cNvSpPr txBox="1">
          <a:spLocks xmlns:a="http://schemas.openxmlformats.org/drawingml/2006/main" noChangeArrowheads="1"/>
        </cdr:cNvSpPr>
      </cdr:nvSpPr>
      <cdr:spPr bwMode="auto">
        <a:xfrm xmlns:a="http://schemas.openxmlformats.org/drawingml/2006/main">
          <a:off x="976579" y="1321749"/>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0.65276</cdr:x>
      <cdr:y>0.80561</cdr:y>
    </cdr:from>
    <cdr:to>
      <cdr:x>0.65276</cdr:x>
      <cdr:y>0.80561</cdr:y>
    </cdr:to>
    <cdr:sp macro="" textlink="">
      <cdr:nvSpPr>
        <cdr:cNvPr id="23" name="Text Box 2">
          <a:extLst xmlns:a="http://schemas.openxmlformats.org/drawingml/2006/main">
            <a:ext uri="{FF2B5EF4-FFF2-40B4-BE49-F238E27FC236}">
              <a16:creationId xmlns:a16="http://schemas.microsoft.com/office/drawing/2014/main" id="{87261BCC-3DFC-BF48-B185-4D7286057536}"/>
            </a:ext>
          </a:extLst>
        </cdr:cNvPr>
        <cdr:cNvSpPr txBox="1">
          <a:spLocks xmlns:a="http://schemas.openxmlformats.org/drawingml/2006/main" noChangeArrowheads="1"/>
        </cdr:cNvSpPr>
      </cdr:nvSpPr>
      <cdr:spPr bwMode="auto">
        <a:xfrm xmlns:a="http://schemas.openxmlformats.org/drawingml/2006/main">
          <a:off x="1193775" y="1790468"/>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-1.4%</a:t>
          </a:r>
        </a:p>
      </cdr:txBody>
    </cdr:sp>
  </cdr:relSizeAnchor>
  <cdr:relSizeAnchor xmlns:cdr="http://schemas.openxmlformats.org/drawingml/2006/chartDrawing">
    <cdr:from>
      <cdr:x>0.76704</cdr:x>
      <cdr:y>0.74883</cdr:y>
    </cdr:from>
    <cdr:to>
      <cdr:x>0.76704</cdr:x>
      <cdr:y>0.74883</cdr:y>
    </cdr:to>
    <cdr:sp macro="" textlink="">
      <cdr:nvSpPr>
        <cdr:cNvPr id="24" name="Text Box 3">
          <a:extLst xmlns:a="http://schemas.openxmlformats.org/drawingml/2006/main">
            <a:ext uri="{FF2B5EF4-FFF2-40B4-BE49-F238E27FC236}">
              <a16:creationId xmlns:a16="http://schemas.microsoft.com/office/drawing/2014/main" id="{DFCA9CF7-0007-0C45-8B99-E3640A596F61}"/>
            </a:ext>
          </a:extLst>
        </cdr:cNvPr>
        <cdr:cNvSpPr txBox="1">
          <a:spLocks xmlns:a="http://schemas.openxmlformats.org/drawingml/2006/main" noChangeArrowheads="1"/>
        </cdr:cNvSpPr>
      </cdr:nvSpPr>
      <cdr:spPr bwMode="auto">
        <a:xfrm xmlns:a="http://schemas.openxmlformats.org/drawingml/2006/main">
          <a:off x="1402766" y="1664275"/>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a:t>
          </a:r>
        </a:p>
      </cdr:txBody>
    </cdr:sp>
  </cdr:relSizeAnchor>
  <cdr:relSizeAnchor xmlns:cdr="http://schemas.openxmlformats.org/drawingml/2006/chartDrawing">
    <cdr:from>
      <cdr:x>0.26436</cdr:x>
      <cdr:y>0.70827</cdr:y>
    </cdr:from>
    <cdr:to>
      <cdr:x>0.26436</cdr:x>
      <cdr:y>0.70827</cdr:y>
    </cdr:to>
    <cdr:sp macro="" textlink="">
      <cdr:nvSpPr>
        <cdr:cNvPr id="25" name="Text Box 4">
          <a:extLst xmlns:a="http://schemas.openxmlformats.org/drawingml/2006/main">
            <a:ext uri="{FF2B5EF4-FFF2-40B4-BE49-F238E27FC236}">
              <a16:creationId xmlns:a16="http://schemas.microsoft.com/office/drawing/2014/main" id="{1CF88F20-2EAB-DF46-91A6-8578C43D4992}"/>
            </a:ext>
          </a:extLst>
        </cdr:cNvPr>
        <cdr:cNvSpPr txBox="1">
          <a:spLocks xmlns:a="http://schemas.openxmlformats.org/drawingml/2006/main" noChangeArrowheads="1"/>
        </cdr:cNvSpPr>
      </cdr:nvSpPr>
      <cdr:spPr bwMode="auto">
        <a:xfrm xmlns:a="http://schemas.openxmlformats.org/drawingml/2006/main">
          <a:off x="483464" y="1574136"/>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0.534</cdr:x>
      <cdr:y>0.59471</cdr:y>
    </cdr:from>
    <cdr:to>
      <cdr:x>0.534</cdr:x>
      <cdr:y>0.59471</cdr:y>
    </cdr:to>
    <cdr:sp macro="" textlink="">
      <cdr:nvSpPr>
        <cdr:cNvPr id="15" name="Text Box 1">
          <a:extLst xmlns:a="http://schemas.openxmlformats.org/drawingml/2006/main">
            <a:ext uri="{FF2B5EF4-FFF2-40B4-BE49-F238E27FC236}">
              <a16:creationId xmlns:a16="http://schemas.microsoft.com/office/drawing/2014/main" id="{A24DB43C-B6FC-724E-A30F-8731826D3B1D}"/>
            </a:ext>
          </a:extLst>
        </cdr:cNvPr>
        <cdr:cNvSpPr txBox="1">
          <a:spLocks xmlns:a="http://schemas.openxmlformats.org/drawingml/2006/main" noChangeArrowheads="1"/>
        </cdr:cNvSpPr>
      </cdr:nvSpPr>
      <cdr:spPr bwMode="auto">
        <a:xfrm xmlns:a="http://schemas.openxmlformats.org/drawingml/2006/main">
          <a:off x="976579" y="1321749"/>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0.65276</cdr:x>
      <cdr:y>0.80561</cdr:y>
    </cdr:from>
    <cdr:to>
      <cdr:x>0.65276</cdr:x>
      <cdr:y>0.80561</cdr:y>
    </cdr:to>
    <cdr:sp macro="" textlink="">
      <cdr:nvSpPr>
        <cdr:cNvPr id="21" name="Text Box 2">
          <a:extLst xmlns:a="http://schemas.openxmlformats.org/drawingml/2006/main">
            <a:ext uri="{FF2B5EF4-FFF2-40B4-BE49-F238E27FC236}">
              <a16:creationId xmlns:a16="http://schemas.microsoft.com/office/drawing/2014/main" id="{B492B2CE-DCFB-3942-B3D8-488796CE7EAE}"/>
            </a:ext>
          </a:extLst>
        </cdr:cNvPr>
        <cdr:cNvSpPr txBox="1">
          <a:spLocks xmlns:a="http://schemas.openxmlformats.org/drawingml/2006/main" noChangeArrowheads="1"/>
        </cdr:cNvSpPr>
      </cdr:nvSpPr>
      <cdr:spPr bwMode="auto">
        <a:xfrm xmlns:a="http://schemas.openxmlformats.org/drawingml/2006/main">
          <a:off x="1193775" y="1790468"/>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-1.4%</a:t>
          </a:r>
        </a:p>
      </cdr:txBody>
    </cdr:sp>
  </cdr:relSizeAnchor>
  <cdr:relSizeAnchor xmlns:cdr="http://schemas.openxmlformats.org/drawingml/2006/chartDrawing">
    <cdr:from>
      <cdr:x>0.76704</cdr:x>
      <cdr:y>0.74883</cdr:y>
    </cdr:from>
    <cdr:to>
      <cdr:x>0.76704</cdr:x>
      <cdr:y>0.74883</cdr:y>
    </cdr:to>
    <cdr:sp macro="" textlink="">
      <cdr:nvSpPr>
        <cdr:cNvPr id="26" name="Text Box 3">
          <a:extLst xmlns:a="http://schemas.openxmlformats.org/drawingml/2006/main">
            <a:ext uri="{FF2B5EF4-FFF2-40B4-BE49-F238E27FC236}">
              <a16:creationId xmlns:a16="http://schemas.microsoft.com/office/drawing/2014/main" id="{96A0704A-ECDD-5A4F-88C9-5E979593BCE9}"/>
            </a:ext>
          </a:extLst>
        </cdr:cNvPr>
        <cdr:cNvSpPr txBox="1">
          <a:spLocks xmlns:a="http://schemas.openxmlformats.org/drawingml/2006/main" noChangeArrowheads="1"/>
        </cdr:cNvSpPr>
      </cdr:nvSpPr>
      <cdr:spPr bwMode="auto">
        <a:xfrm xmlns:a="http://schemas.openxmlformats.org/drawingml/2006/main">
          <a:off x="1402766" y="1664275"/>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a:t>
          </a:r>
        </a:p>
      </cdr:txBody>
    </cdr:sp>
  </cdr:relSizeAnchor>
  <cdr:relSizeAnchor xmlns:cdr="http://schemas.openxmlformats.org/drawingml/2006/chartDrawing">
    <cdr:from>
      <cdr:x>0.26436</cdr:x>
      <cdr:y>0.70827</cdr:y>
    </cdr:from>
    <cdr:to>
      <cdr:x>0.26436</cdr:x>
      <cdr:y>0.70827</cdr:y>
    </cdr:to>
    <cdr:sp macro="" textlink="">
      <cdr:nvSpPr>
        <cdr:cNvPr id="27" name="Text Box 4">
          <a:extLst xmlns:a="http://schemas.openxmlformats.org/drawingml/2006/main">
            <a:ext uri="{FF2B5EF4-FFF2-40B4-BE49-F238E27FC236}">
              <a16:creationId xmlns:a16="http://schemas.microsoft.com/office/drawing/2014/main" id="{34DEA2B0-3982-5149-BD46-4403BAC5F5D2}"/>
            </a:ext>
          </a:extLst>
        </cdr:cNvPr>
        <cdr:cNvSpPr txBox="1">
          <a:spLocks xmlns:a="http://schemas.openxmlformats.org/drawingml/2006/main" noChangeArrowheads="1"/>
        </cdr:cNvSpPr>
      </cdr:nvSpPr>
      <cdr:spPr bwMode="auto">
        <a:xfrm xmlns:a="http://schemas.openxmlformats.org/drawingml/2006/main">
          <a:off x="483464" y="1574136"/>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0.27389</cdr:x>
      <cdr:y>0.64709</cdr:y>
    </cdr:from>
    <cdr:to>
      <cdr:x>0.67334</cdr:x>
      <cdr:y>0.70895</cdr:y>
    </cdr:to>
    <cdr:sp macro="" textlink="">
      <cdr:nvSpPr>
        <cdr:cNvPr id="28" name="Text Box 6">
          <a:extLst xmlns:a="http://schemas.openxmlformats.org/drawingml/2006/main">
            <a:ext uri="{FF2B5EF4-FFF2-40B4-BE49-F238E27FC236}">
              <a16:creationId xmlns:a16="http://schemas.microsoft.com/office/drawing/2014/main" id="{BBE05279-DC26-5746-88A7-F119AAA82A9F}"/>
            </a:ext>
          </a:extLst>
        </cdr:cNvPr>
        <cdr:cNvSpPr txBox="1">
          <a:spLocks xmlns:a="http://schemas.openxmlformats.org/drawingml/2006/main" noChangeArrowheads="1"/>
        </cdr:cNvSpPr>
      </cdr:nvSpPr>
      <cdr:spPr bwMode="auto">
        <a:xfrm xmlns:a="http://schemas.openxmlformats.org/drawingml/2006/main">
          <a:off x="538457" y="1457331"/>
          <a:ext cx="785303" cy="139317"/>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FF0000"/>
              </a:solidFill>
              <a:latin typeface="Arial"/>
              <a:ea typeface="Arial"/>
              <a:cs typeface="Arial"/>
            </a:rPr>
            <a:t>Intervention</a:t>
          </a:r>
        </a:p>
      </cdr:txBody>
    </cdr:sp>
  </cdr:relSizeAnchor>
  <cdr:relSizeAnchor xmlns:cdr="http://schemas.openxmlformats.org/drawingml/2006/chartDrawing">
    <cdr:from>
      <cdr:x>0.534</cdr:x>
      <cdr:y>0.59471</cdr:y>
    </cdr:from>
    <cdr:to>
      <cdr:x>0.534</cdr:x>
      <cdr:y>0.59471</cdr:y>
    </cdr:to>
    <cdr:sp macro="" textlink="">
      <cdr:nvSpPr>
        <cdr:cNvPr id="6" name="Text Box 1">
          <a:extLst xmlns:a="http://schemas.openxmlformats.org/drawingml/2006/main">
            <a:ext uri="{FF2B5EF4-FFF2-40B4-BE49-F238E27FC236}">
              <a16:creationId xmlns:a16="http://schemas.microsoft.com/office/drawing/2014/main" id="{C80185E3-6D2C-4C41-9BF2-7B8A45805915}"/>
            </a:ext>
          </a:extLst>
        </cdr:cNvPr>
        <cdr:cNvSpPr txBox="1">
          <a:spLocks xmlns:a="http://schemas.openxmlformats.org/drawingml/2006/main" noChangeArrowheads="1"/>
        </cdr:cNvSpPr>
      </cdr:nvSpPr>
      <cdr:spPr bwMode="auto">
        <a:xfrm xmlns:a="http://schemas.openxmlformats.org/drawingml/2006/main">
          <a:off x="976579" y="1321749"/>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0.65276</cdr:x>
      <cdr:y>0.80561</cdr:y>
    </cdr:from>
    <cdr:to>
      <cdr:x>0.65276</cdr:x>
      <cdr:y>0.80561</cdr:y>
    </cdr:to>
    <cdr:sp macro="" textlink="">
      <cdr:nvSpPr>
        <cdr:cNvPr id="7" name="Text Box 2">
          <a:extLst xmlns:a="http://schemas.openxmlformats.org/drawingml/2006/main">
            <a:ext uri="{FF2B5EF4-FFF2-40B4-BE49-F238E27FC236}">
              <a16:creationId xmlns:a16="http://schemas.microsoft.com/office/drawing/2014/main" id="{3E8602D0-AF32-3946-BF13-90CE1CABF8B5}"/>
            </a:ext>
          </a:extLst>
        </cdr:cNvPr>
        <cdr:cNvSpPr txBox="1">
          <a:spLocks xmlns:a="http://schemas.openxmlformats.org/drawingml/2006/main" noChangeArrowheads="1"/>
        </cdr:cNvSpPr>
      </cdr:nvSpPr>
      <cdr:spPr bwMode="auto">
        <a:xfrm xmlns:a="http://schemas.openxmlformats.org/drawingml/2006/main">
          <a:off x="1193775" y="1790468"/>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-1.4%</a:t>
          </a:r>
        </a:p>
      </cdr:txBody>
    </cdr:sp>
  </cdr:relSizeAnchor>
  <cdr:relSizeAnchor xmlns:cdr="http://schemas.openxmlformats.org/drawingml/2006/chartDrawing">
    <cdr:from>
      <cdr:x>0.76704</cdr:x>
      <cdr:y>0.74883</cdr:y>
    </cdr:from>
    <cdr:to>
      <cdr:x>0.76704</cdr:x>
      <cdr:y>0.74883</cdr:y>
    </cdr:to>
    <cdr:sp macro="" textlink="">
      <cdr:nvSpPr>
        <cdr:cNvPr id="8" name="Text Box 3">
          <a:extLst xmlns:a="http://schemas.openxmlformats.org/drawingml/2006/main">
            <a:ext uri="{FF2B5EF4-FFF2-40B4-BE49-F238E27FC236}">
              <a16:creationId xmlns:a16="http://schemas.microsoft.com/office/drawing/2014/main" id="{E01B167E-4CF8-3F4C-9390-86B6D5976F80}"/>
            </a:ext>
          </a:extLst>
        </cdr:cNvPr>
        <cdr:cNvSpPr txBox="1">
          <a:spLocks xmlns:a="http://schemas.openxmlformats.org/drawingml/2006/main" noChangeArrowheads="1"/>
        </cdr:cNvSpPr>
      </cdr:nvSpPr>
      <cdr:spPr bwMode="auto">
        <a:xfrm xmlns:a="http://schemas.openxmlformats.org/drawingml/2006/main">
          <a:off x="1402766" y="1664275"/>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a:t>
          </a:r>
        </a:p>
      </cdr:txBody>
    </cdr:sp>
  </cdr:relSizeAnchor>
  <cdr:relSizeAnchor xmlns:cdr="http://schemas.openxmlformats.org/drawingml/2006/chartDrawing">
    <cdr:from>
      <cdr:x>0.26436</cdr:x>
      <cdr:y>0.70827</cdr:y>
    </cdr:from>
    <cdr:to>
      <cdr:x>0.26436</cdr:x>
      <cdr:y>0.70827</cdr:y>
    </cdr:to>
    <cdr:sp macro="" textlink="">
      <cdr:nvSpPr>
        <cdr:cNvPr id="9" name="Text Box 4">
          <a:extLst xmlns:a="http://schemas.openxmlformats.org/drawingml/2006/main">
            <a:ext uri="{FF2B5EF4-FFF2-40B4-BE49-F238E27FC236}">
              <a16:creationId xmlns:a16="http://schemas.microsoft.com/office/drawing/2014/main" id="{FF615B11-C93A-7C46-89E2-9121A220407A}"/>
            </a:ext>
          </a:extLst>
        </cdr:cNvPr>
        <cdr:cNvSpPr txBox="1">
          <a:spLocks xmlns:a="http://schemas.openxmlformats.org/drawingml/2006/main" noChangeArrowheads="1"/>
        </cdr:cNvSpPr>
      </cdr:nvSpPr>
      <cdr:spPr bwMode="auto">
        <a:xfrm xmlns:a="http://schemas.openxmlformats.org/drawingml/2006/main">
          <a:off x="483464" y="1574136"/>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userShapes>
</file>

<file path=xl/drawings/drawing21.xml><?xml version="1.0" encoding="utf-8"?>
<c:userShapes xmlns:c="http://schemas.openxmlformats.org/drawingml/2006/chart">
  <cdr:relSizeAnchor xmlns:cdr="http://schemas.openxmlformats.org/drawingml/2006/chartDrawing">
    <cdr:from>
      <cdr:x>0.534</cdr:x>
      <cdr:y>0.59471</cdr:y>
    </cdr:from>
    <cdr:to>
      <cdr:x>0.534</cdr:x>
      <cdr:y>0.59471</cdr:y>
    </cdr:to>
    <cdr:sp macro="" textlink="">
      <cdr:nvSpPr>
        <cdr:cNvPr id="994305" name="Text Box 1"/>
        <cdr:cNvSpPr txBox="1">
          <a:spLocks xmlns:a="http://schemas.openxmlformats.org/drawingml/2006/main" noChangeArrowheads="1"/>
        </cdr:cNvSpPr>
      </cdr:nvSpPr>
      <cdr:spPr bwMode="auto">
        <a:xfrm xmlns:a="http://schemas.openxmlformats.org/drawingml/2006/main">
          <a:off x="976579" y="1321749"/>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0.65276</cdr:x>
      <cdr:y>0.80561</cdr:y>
    </cdr:from>
    <cdr:to>
      <cdr:x>0.65276</cdr:x>
      <cdr:y>0.80561</cdr:y>
    </cdr:to>
    <cdr:sp macro="" textlink="">
      <cdr:nvSpPr>
        <cdr:cNvPr id="994306" name="Text Box 2"/>
        <cdr:cNvSpPr txBox="1">
          <a:spLocks xmlns:a="http://schemas.openxmlformats.org/drawingml/2006/main" noChangeArrowheads="1"/>
        </cdr:cNvSpPr>
      </cdr:nvSpPr>
      <cdr:spPr bwMode="auto">
        <a:xfrm xmlns:a="http://schemas.openxmlformats.org/drawingml/2006/main">
          <a:off x="1193775" y="1790468"/>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-1.4%</a:t>
          </a:r>
        </a:p>
      </cdr:txBody>
    </cdr:sp>
  </cdr:relSizeAnchor>
  <cdr:relSizeAnchor xmlns:cdr="http://schemas.openxmlformats.org/drawingml/2006/chartDrawing">
    <cdr:from>
      <cdr:x>0.76704</cdr:x>
      <cdr:y>0.74883</cdr:y>
    </cdr:from>
    <cdr:to>
      <cdr:x>0.76704</cdr:x>
      <cdr:y>0.74883</cdr:y>
    </cdr:to>
    <cdr:sp macro="" textlink="">
      <cdr:nvSpPr>
        <cdr:cNvPr id="994307" name="Text Box 3"/>
        <cdr:cNvSpPr txBox="1">
          <a:spLocks xmlns:a="http://schemas.openxmlformats.org/drawingml/2006/main" noChangeArrowheads="1"/>
        </cdr:cNvSpPr>
      </cdr:nvSpPr>
      <cdr:spPr bwMode="auto">
        <a:xfrm xmlns:a="http://schemas.openxmlformats.org/drawingml/2006/main">
          <a:off x="1402766" y="1664275"/>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a:t>
          </a:r>
        </a:p>
      </cdr:txBody>
    </cdr:sp>
  </cdr:relSizeAnchor>
  <cdr:relSizeAnchor xmlns:cdr="http://schemas.openxmlformats.org/drawingml/2006/chartDrawing">
    <cdr:from>
      <cdr:x>0.26436</cdr:x>
      <cdr:y>0.70827</cdr:y>
    </cdr:from>
    <cdr:to>
      <cdr:x>0.26436</cdr:x>
      <cdr:y>0.70827</cdr:y>
    </cdr:to>
    <cdr:sp macro="" textlink="">
      <cdr:nvSpPr>
        <cdr:cNvPr id="994308" name="Text Box 4"/>
        <cdr:cNvSpPr txBox="1">
          <a:spLocks xmlns:a="http://schemas.openxmlformats.org/drawingml/2006/main" noChangeArrowheads="1"/>
        </cdr:cNvSpPr>
      </cdr:nvSpPr>
      <cdr:spPr bwMode="auto">
        <a:xfrm xmlns:a="http://schemas.openxmlformats.org/drawingml/2006/main">
          <a:off x="483464" y="1574136"/>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0.43011</cdr:x>
      <cdr:y>0.75447</cdr:y>
    </cdr:from>
    <cdr:to>
      <cdr:x>0.80152</cdr:x>
      <cdr:y>0.84202</cdr:y>
    </cdr:to>
    <cdr:sp macro="" textlink="">
      <cdr:nvSpPr>
        <cdr:cNvPr id="994311" name="Text Box 7"/>
        <cdr:cNvSpPr txBox="1">
          <a:spLocks xmlns:a="http://schemas.openxmlformats.org/drawingml/2006/main" noChangeArrowheads="1"/>
        </cdr:cNvSpPr>
      </cdr:nvSpPr>
      <cdr:spPr bwMode="auto">
        <a:xfrm xmlns:a="http://schemas.openxmlformats.org/drawingml/2006/main">
          <a:off x="845579" y="1699156"/>
          <a:ext cx="730178" cy="197196"/>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wrap="none" lIns="18288" tIns="18288" rIns="0" bIns="0" anchor="t" upright="1">
          <a:spAutoFit/>
        </a:bodyPr>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0.534</cdr:x>
      <cdr:y>0.59471</cdr:y>
    </cdr:from>
    <cdr:to>
      <cdr:x>0.534</cdr:x>
      <cdr:y>0.59471</cdr:y>
    </cdr:to>
    <cdr:sp macro="" textlink="">
      <cdr:nvSpPr>
        <cdr:cNvPr id="2" name="Text Box 1">
          <a:extLst xmlns:a="http://schemas.openxmlformats.org/drawingml/2006/main">
            <a:ext uri="{FF2B5EF4-FFF2-40B4-BE49-F238E27FC236}">
              <a16:creationId xmlns:a16="http://schemas.microsoft.com/office/drawing/2014/main" id="{D82BAD52-C122-E14F-B3BB-3718C0599EA6}"/>
            </a:ext>
          </a:extLst>
        </cdr:cNvPr>
        <cdr:cNvSpPr txBox="1">
          <a:spLocks xmlns:a="http://schemas.openxmlformats.org/drawingml/2006/main" noChangeArrowheads="1"/>
        </cdr:cNvSpPr>
      </cdr:nvSpPr>
      <cdr:spPr bwMode="auto">
        <a:xfrm xmlns:a="http://schemas.openxmlformats.org/drawingml/2006/main">
          <a:off x="976579" y="1321749"/>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0.65276</cdr:x>
      <cdr:y>0.80561</cdr:y>
    </cdr:from>
    <cdr:to>
      <cdr:x>0.65276</cdr:x>
      <cdr:y>0.80561</cdr:y>
    </cdr:to>
    <cdr:sp macro="" textlink="">
      <cdr:nvSpPr>
        <cdr:cNvPr id="3" name="Text Box 2">
          <a:extLst xmlns:a="http://schemas.openxmlformats.org/drawingml/2006/main">
            <a:ext uri="{FF2B5EF4-FFF2-40B4-BE49-F238E27FC236}">
              <a16:creationId xmlns:a16="http://schemas.microsoft.com/office/drawing/2014/main" id="{87261BCC-3DFC-BF48-B185-4D7286057536}"/>
            </a:ext>
          </a:extLst>
        </cdr:cNvPr>
        <cdr:cNvSpPr txBox="1">
          <a:spLocks xmlns:a="http://schemas.openxmlformats.org/drawingml/2006/main" noChangeArrowheads="1"/>
        </cdr:cNvSpPr>
      </cdr:nvSpPr>
      <cdr:spPr bwMode="auto">
        <a:xfrm xmlns:a="http://schemas.openxmlformats.org/drawingml/2006/main">
          <a:off x="1193775" y="1790468"/>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-1.4%</a:t>
          </a:r>
        </a:p>
      </cdr:txBody>
    </cdr:sp>
  </cdr:relSizeAnchor>
  <cdr:relSizeAnchor xmlns:cdr="http://schemas.openxmlformats.org/drawingml/2006/chartDrawing">
    <cdr:from>
      <cdr:x>0.76704</cdr:x>
      <cdr:y>0.74883</cdr:y>
    </cdr:from>
    <cdr:to>
      <cdr:x>0.76704</cdr:x>
      <cdr:y>0.74883</cdr:y>
    </cdr:to>
    <cdr:sp macro="" textlink="">
      <cdr:nvSpPr>
        <cdr:cNvPr id="4" name="Text Box 3">
          <a:extLst xmlns:a="http://schemas.openxmlformats.org/drawingml/2006/main">
            <a:ext uri="{FF2B5EF4-FFF2-40B4-BE49-F238E27FC236}">
              <a16:creationId xmlns:a16="http://schemas.microsoft.com/office/drawing/2014/main" id="{DFCA9CF7-0007-0C45-8B99-E3640A596F61}"/>
            </a:ext>
          </a:extLst>
        </cdr:cNvPr>
        <cdr:cNvSpPr txBox="1">
          <a:spLocks xmlns:a="http://schemas.openxmlformats.org/drawingml/2006/main" noChangeArrowheads="1"/>
        </cdr:cNvSpPr>
      </cdr:nvSpPr>
      <cdr:spPr bwMode="auto">
        <a:xfrm xmlns:a="http://schemas.openxmlformats.org/drawingml/2006/main">
          <a:off x="1402766" y="1664275"/>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a:t>
          </a:r>
        </a:p>
      </cdr:txBody>
    </cdr:sp>
  </cdr:relSizeAnchor>
  <cdr:relSizeAnchor xmlns:cdr="http://schemas.openxmlformats.org/drawingml/2006/chartDrawing">
    <cdr:from>
      <cdr:x>0.26436</cdr:x>
      <cdr:y>0.70827</cdr:y>
    </cdr:from>
    <cdr:to>
      <cdr:x>0.26436</cdr:x>
      <cdr:y>0.70827</cdr:y>
    </cdr:to>
    <cdr:sp macro="" textlink="">
      <cdr:nvSpPr>
        <cdr:cNvPr id="5" name="Text Box 4">
          <a:extLst xmlns:a="http://schemas.openxmlformats.org/drawingml/2006/main">
            <a:ext uri="{FF2B5EF4-FFF2-40B4-BE49-F238E27FC236}">
              <a16:creationId xmlns:a16="http://schemas.microsoft.com/office/drawing/2014/main" id="{1CF88F20-2EAB-DF46-91A6-8578C43D4992}"/>
            </a:ext>
          </a:extLst>
        </cdr:cNvPr>
        <cdr:cNvSpPr txBox="1">
          <a:spLocks xmlns:a="http://schemas.openxmlformats.org/drawingml/2006/main" noChangeArrowheads="1"/>
        </cdr:cNvSpPr>
      </cdr:nvSpPr>
      <cdr:spPr bwMode="auto">
        <a:xfrm xmlns:a="http://schemas.openxmlformats.org/drawingml/2006/main">
          <a:off x="483464" y="1574136"/>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0.534</cdr:x>
      <cdr:y>0.59471</cdr:y>
    </cdr:from>
    <cdr:to>
      <cdr:x>0.534</cdr:x>
      <cdr:y>0.59471</cdr:y>
    </cdr:to>
    <cdr:sp macro="" textlink="">
      <cdr:nvSpPr>
        <cdr:cNvPr id="16" name="Text Box 1">
          <a:extLst xmlns:a="http://schemas.openxmlformats.org/drawingml/2006/main">
            <a:ext uri="{FF2B5EF4-FFF2-40B4-BE49-F238E27FC236}">
              <a16:creationId xmlns:a16="http://schemas.microsoft.com/office/drawing/2014/main" id="{2A5B2DA1-B067-684B-8D4D-8DA174C5F355}"/>
            </a:ext>
          </a:extLst>
        </cdr:cNvPr>
        <cdr:cNvSpPr txBox="1">
          <a:spLocks xmlns:a="http://schemas.openxmlformats.org/drawingml/2006/main" noChangeArrowheads="1"/>
        </cdr:cNvSpPr>
      </cdr:nvSpPr>
      <cdr:spPr bwMode="auto">
        <a:xfrm xmlns:a="http://schemas.openxmlformats.org/drawingml/2006/main">
          <a:off x="976579" y="1321749"/>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0.65276</cdr:x>
      <cdr:y>0.80561</cdr:y>
    </cdr:from>
    <cdr:to>
      <cdr:x>0.65276</cdr:x>
      <cdr:y>0.80561</cdr:y>
    </cdr:to>
    <cdr:sp macro="" textlink="">
      <cdr:nvSpPr>
        <cdr:cNvPr id="17" name="Text Box 2">
          <a:extLst xmlns:a="http://schemas.openxmlformats.org/drawingml/2006/main">
            <a:ext uri="{FF2B5EF4-FFF2-40B4-BE49-F238E27FC236}">
              <a16:creationId xmlns:a16="http://schemas.microsoft.com/office/drawing/2014/main" id="{CFD04E1F-2F1B-3643-AF60-E29E7DCD3C06}"/>
            </a:ext>
          </a:extLst>
        </cdr:cNvPr>
        <cdr:cNvSpPr txBox="1">
          <a:spLocks xmlns:a="http://schemas.openxmlformats.org/drawingml/2006/main" noChangeArrowheads="1"/>
        </cdr:cNvSpPr>
      </cdr:nvSpPr>
      <cdr:spPr bwMode="auto">
        <a:xfrm xmlns:a="http://schemas.openxmlformats.org/drawingml/2006/main">
          <a:off x="1193775" y="1790468"/>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-1.4%</a:t>
          </a:r>
        </a:p>
      </cdr:txBody>
    </cdr:sp>
  </cdr:relSizeAnchor>
  <cdr:relSizeAnchor xmlns:cdr="http://schemas.openxmlformats.org/drawingml/2006/chartDrawing">
    <cdr:from>
      <cdr:x>0.76704</cdr:x>
      <cdr:y>0.74883</cdr:y>
    </cdr:from>
    <cdr:to>
      <cdr:x>0.76704</cdr:x>
      <cdr:y>0.74883</cdr:y>
    </cdr:to>
    <cdr:sp macro="" textlink="">
      <cdr:nvSpPr>
        <cdr:cNvPr id="18" name="Text Box 3">
          <a:extLst xmlns:a="http://schemas.openxmlformats.org/drawingml/2006/main">
            <a:ext uri="{FF2B5EF4-FFF2-40B4-BE49-F238E27FC236}">
              <a16:creationId xmlns:a16="http://schemas.microsoft.com/office/drawing/2014/main" id="{AB810CF9-A526-6B49-984B-65306BFAFD0D}"/>
            </a:ext>
          </a:extLst>
        </cdr:cNvPr>
        <cdr:cNvSpPr txBox="1">
          <a:spLocks xmlns:a="http://schemas.openxmlformats.org/drawingml/2006/main" noChangeArrowheads="1"/>
        </cdr:cNvSpPr>
      </cdr:nvSpPr>
      <cdr:spPr bwMode="auto">
        <a:xfrm xmlns:a="http://schemas.openxmlformats.org/drawingml/2006/main">
          <a:off x="1402766" y="1664275"/>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a:t>
          </a:r>
        </a:p>
      </cdr:txBody>
    </cdr:sp>
  </cdr:relSizeAnchor>
  <cdr:relSizeAnchor xmlns:cdr="http://schemas.openxmlformats.org/drawingml/2006/chartDrawing">
    <cdr:from>
      <cdr:x>0.26436</cdr:x>
      <cdr:y>0.70827</cdr:y>
    </cdr:from>
    <cdr:to>
      <cdr:x>0.26436</cdr:x>
      <cdr:y>0.70827</cdr:y>
    </cdr:to>
    <cdr:sp macro="" textlink="">
      <cdr:nvSpPr>
        <cdr:cNvPr id="19" name="Text Box 4">
          <a:extLst xmlns:a="http://schemas.openxmlformats.org/drawingml/2006/main">
            <a:ext uri="{FF2B5EF4-FFF2-40B4-BE49-F238E27FC236}">
              <a16:creationId xmlns:a16="http://schemas.microsoft.com/office/drawing/2014/main" id="{316F89A2-3252-2340-8658-D52FF7A4846F}"/>
            </a:ext>
          </a:extLst>
        </cdr:cNvPr>
        <cdr:cNvSpPr txBox="1">
          <a:spLocks xmlns:a="http://schemas.openxmlformats.org/drawingml/2006/main" noChangeArrowheads="1"/>
        </cdr:cNvSpPr>
      </cdr:nvSpPr>
      <cdr:spPr bwMode="auto">
        <a:xfrm xmlns:a="http://schemas.openxmlformats.org/drawingml/2006/main">
          <a:off x="483464" y="1574136"/>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0.534</cdr:x>
      <cdr:y>0.59471</cdr:y>
    </cdr:from>
    <cdr:to>
      <cdr:x>0.534</cdr:x>
      <cdr:y>0.59471</cdr:y>
    </cdr:to>
    <cdr:sp macro="" textlink="">
      <cdr:nvSpPr>
        <cdr:cNvPr id="22" name="Text Box 1">
          <a:extLst xmlns:a="http://schemas.openxmlformats.org/drawingml/2006/main">
            <a:ext uri="{FF2B5EF4-FFF2-40B4-BE49-F238E27FC236}">
              <a16:creationId xmlns:a16="http://schemas.microsoft.com/office/drawing/2014/main" id="{D82BAD52-C122-E14F-B3BB-3718C0599EA6}"/>
            </a:ext>
          </a:extLst>
        </cdr:cNvPr>
        <cdr:cNvSpPr txBox="1">
          <a:spLocks xmlns:a="http://schemas.openxmlformats.org/drawingml/2006/main" noChangeArrowheads="1"/>
        </cdr:cNvSpPr>
      </cdr:nvSpPr>
      <cdr:spPr bwMode="auto">
        <a:xfrm xmlns:a="http://schemas.openxmlformats.org/drawingml/2006/main">
          <a:off x="976579" y="1321749"/>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0.65276</cdr:x>
      <cdr:y>0.80561</cdr:y>
    </cdr:from>
    <cdr:to>
      <cdr:x>0.65276</cdr:x>
      <cdr:y>0.80561</cdr:y>
    </cdr:to>
    <cdr:sp macro="" textlink="">
      <cdr:nvSpPr>
        <cdr:cNvPr id="23" name="Text Box 2">
          <a:extLst xmlns:a="http://schemas.openxmlformats.org/drawingml/2006/main">
            <a:ext uri="{FF2B5EF4-FFF2-40B4-BE49-F238E27FC236}">
              <a16:creationId xmlns:a16="http://schemas.microsoft.com/office/drawing/2014/main" id="{87261BCC-3DFC-BF48-B185-4D7286057536}"/>
            </a:ext>
          </a:extLst>
        </cdr:cNvPr>
        <cdr:cNvSpPr txBox="1">
          <a:spLocks xmlns:a="http://schemas.openxmlformats.org/drawingml/2006/main" noChangeArrowheads="1"/>
        </cdr:cNvSpPr>
      </cdr:nvSpPr>
      <cdr:spPr bwMode="auto">
        <a:xfrm xmlns:a="http://schemas.openxmlformats.org/drawingml/2006/main">
          <a:off x="1193775" y="1790468"/>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-1.4%</a:t>
          </a:r>
        </a:p>
      </cdr:txBody>
    </cdr:sp>
  </cdr:relSizeAnchor>
  <cdr:relSizeAnchor xmlns:cdr="http://schemas.openxmlformats.org/drawingml/2006/chartDrawing">
    <cdr:from>
      <cdr:x>0.76704</cdr:x>
      <cdr:y>0.74883</cdr:y>
    </cdr:from>
    <cdr:to>
      <cdr:x>0.76704</cdr:x>
      <cdr:y>0.74883</cdr:y>
    </cdr:to>
    <cdr:sp macro="" textlink="">
      <cdr:nvSpPr>
        <cdr:cNvPr id="24" name="Text Box 3">
          <a:extLst xmlns:a="http://schemas.openxmlformats.org/drawingml/2006/main">
            <a:ext uri="{FF2B5EF4-FFF2-40B4-BE49-F238E27FC236}">
              <a16:creationId xmlns:a16="http://schemas.microsoft.com/office/drawing/2014/main" id="{DFCA9CF7-0007-0C45-8B99-E3640A596F61}"/>
            </a:ext>
          </a:extLst>
        </cdr:cNvPr>
        <cdr:cNvSpPr txBox="1">
          <a:spLocks xmlns:a="http://schemas.openxmlformats.org/drawingml/2006/main" noChangeArrowheads="1"/>
        </cdr:cNvSpPr>
      </cdr:nvSpPr>
      <cdr:spPr bwMode="auto">
        <a:xfrm xmlns:a="http://schemas.openxmlformats.org/drawingml/2006/main">
          <a:off x="1402766" y="1664275"/>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a:t>
          </a:r>
        </a:p>
      </cdr:txBody>
    </cdr:sp>
  </cdr:relSizeAnchor>
  <cdr:relSizeAnchor xmlns:cdr="http://schemas.openxmlformats.org/drawingml/2006/chartDrawing">
    <cdr:from>
      <cdr:x>0.26436</cdr:x>
      <cdr:y>0.70827</cdr:y>
    </cdr:from>
    <cdr:to>
      <cdr:x>0.26436</cdr:x>
      <cdr:y>0.70827</cdr:y>
    </cdr:to>
    <cdr:sp macro="" textlink="">
      <cdr:nvSpPr>
        <cdr:cNvPr id="25" name="Text Box 4">
          <a:extLst xmlns:a="http://schemas.openxmlformats.org/drawingml/2006/main">
            <a:ext uri="{FF2B5EF4-FFF2-40B4-BE49-F238E27FC236}">
              <a16:creationId xmlns:a16="http://schemas.microsoft.com/office/drawing/2014/main" id="{1CF88F20-2EAB-DF46-91A6-8578C43D4992}"/>
            </a:ext>
          </a:extLst>
        </cdr:cNvPr>
        <cdr:cNvSpPr txBox="1">
          <a:spLocks xmlns:a="http://schemas.openxmlformats.org/drawingml/2006/main" noChangeArrowheads="1"/>
        </cdr:cNvSpPr>
      </cdr:nvSpPr>
      <cdr:spPr bwMode="auto">
        <a:xfrm xmlns:a="http://schemas.openxmlformats.org/drawingml/2006/main">
          <a:off x="483464" y="1574136"/>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0.534</cdr:x>
      <cdr:y>0.59471</cdr:y>
    </cdr:from>
    <cdr:to>
      <cdr:x>0.534</cdr:x>
      <cdr:y>0.59471</cdr:y>
    </cdr:to>
    <cdr:sp macro="" textlink="">
      <cdr:nvSpPr>
        <cdr:cNvPr id="15" name="Text Box 1">
          <a:extLst xmlns:a="http://schemas.openxmlformats.org/drawingml/2006/main">
            <a:ext uri="{FF2B5EF4-FFF2-40B4-BE49-F238E27FC236}">
              <a16:creationId xmlns:a16="http://schemas.microsoft.com/office/drawing/2014/main" id="{A24DB43C-B6FC-724E-A30F-8731826D3B1D}"/>
            </a:ext>
          </a:extLst>
        </cdr:cNvPr>
        <cdr:cNvSpPr txBox="1">
          <a:spLocks xmlns:a="http://schemas.openxmlformats.org/drawingml/2006/main" noChangeArrowheads="1"/>
        </cdr:cNvSpPr>
      </cdr:nvSpPr>
      <cdr:spPr bwMode="auto">
        <a:xfrm xmlns:a="http://schemas.openxmlformats.org/drawingml/2006/main">
          <a:off x="976579" y="1321749"/>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0.65276</cdr:x>
      <cdr:y>0.80561</cdr:y>
    </cdr:from>
    <cdr:to>
      <cdr:x>0.65276</cdr:x>
      <cdr:y>0.80561</cdr:y>
    </cdr:to>
    <cdr:sp macro="" textlink="">
      <cdr:nvSpPr>
        <cdr:cNvPr id="21" name="Text Box 2">
          <a:extLst xmlns:a="http://schemas.openxmlformats.org/drawingml/2006/main">
            <a:ext uri="{FF2B5EF4-FFF2-40B4-BE49-F238E27FC236}">
              <a16:creationId xmlns:a16="http://schemas.microsoft.com/office/drawing/2014/main" id="{B492B2CE-DCFB-3942-B3D8-488796CE7EAE}"/>
            </a:ext>
          </a:extLst>
        </cdr:cNvPr>
        <cdr:cNvSpPr txBox="1">
          <a:spLocks xmlns:a="http://schemas.openxmlformats.org/drawingml/2006/main" noChangeArrowheads="1"/>
        </cdr:cNvSpPr>
      </cdr:nvSpPr>
      <cdr:spPr bwMode="auto">
        <a:xfrm xmlns:a="http://schemas.openxmlformats.org/drawingml/2006/main">
          <a:off x="1193775" y="1790468"/>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-1.4%</a:t>
          </a:r>
        </a:p>
      </cdr:txBody>
    </cdr:sp>
  </cdr:relSizeAnchor>
  <cdr:relSizeAnchor xmlns:cdr="http://schemas.openxmlformats.org/drawingml/2006/chartDrawing">
    <cdr:from>
      <cdr:x>0.76704</cdr:x>
      <cdr:y>0.74883</cdr:y>
    </cdr:from>
    <cdr:to>
      <cdr:x>0.76704</cdr:x>
      <cdr:y>0.74883</cdr:y>
    </cdr:to>
    <cdr:sp macro="" textlink="">
      <cdr:nvSpPr>
        <cdr:cNvPr id="26" name="Text Box 3">
          <a:extLst xmlns:a="http://schemas.openxmlformats.org/drawingml/2006/main">
            <a:ext uri="{FF2B5EF4-FFF2-40B4-BE49-F238E27FC236}">
              <a16:creationId xmlns:a16="http://schemas.microsoft.com/office/drawing/2014/main" id="{96A0704A-ECDD-5A4F-88C9-5E979593BCE9}"/>
            </a:ext>
          </a:extLst>
        </cdr:cNvPr>
        <cdr:cNvSpPr txBox="1">
          <a:spLocks xmlns:a="http://schemas.openxmlformats.org/drawingml/2006/main" noChangeArrowheads="1"/>
        </cdr:cNvSpPr>
      </cdr:nvSpPr>
      <cdr:spPr bwMode="auto">
        <a:xfrm xmlns:a="http://schemas.openxmlformats.org/drawingml/2006/main">
          <a:off x="1402766" y="1664275"/>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a:t>
          </a:r>
        </a:p>
      </cdr:txBody>
    </cdr:sp>
  </cdr:relSizeAnchor>
  <cdr:relSizeAnchor xmlns:cdr="http://schemas.openxmlformats.org/drawingml/2006/chartDrawing">
    <cdr:from>
      <cdr:x>0.26436</cdr:x>
      <cdr:y>0.70827</cdr:y>
    </cdr:from>
    <cdr:to>
      <cdr:x>0.26436</cdr:x>
      <cdr:y>0.70827</cdr:y>
    </cdr:to>
    <cdr:sp macro="" textlink="">
      <cdr:nvSpPr>
        <cdr:cNvPr id="27" name="Text Box 4">
          <a:extLst xmlns:a="http://schemas.openxmlformats.org/drawingml/2006/main">
            <a:ext uri="{FF2B5EF4-FFF2-40B4-BE49-F238E27FC236}">
              <a16:creationId xmlns:a16="http://schemas.microsoft.com/office/drawing/2014/main" id="{34DEA2B0-3982-5149-BD46-4403BAC5F5D2}"/>
            </a:ext>
          </a:extLst>
        </cdr:cNvPr>
        <cdr:cNvSpPr txBox="1">
          <a:spLocks xmlns:a="http://schemas.openxmlformats.org/drawingml/2006/main" noChangeArrowheads="1"/>
        </cdr:cNvSpPr>
      </cdr:nvSpPr>
      <cdr:spPr bwMode="auto">
        <a:xfrm xmlns:a="http://schemas.openxmlformats.org/drawingml/2006/main">
          <a:off x="483464" y="1574136"/>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0.29327</cdr:x>
      <cdr:y>0.61326</cdr:y>
    </cdr:from>
    <cdr:to>
      <cdr:x>0.69272</cdr:x>
      <cdr:y>0.67512</cdr:y>
    </cdr:to>
    <cdr:sp macro="" textlink="">
      <cdr:nvSpPr>
        <cdr:cNvPr id="28" name="Text Box 6">
          <a:extLst xmlns:a="http://schemas.openxmlformats.org/drawingml/2006/main">
            <a:ext uri="{FF2B5EF4-FFF2-40B4-BE49-F238E27FC236}">
              <a16:creationId xmlns:a16="http://schemas.microsoft.com/office/drawing/2014/main" id="{BBE05279-DC26-5746-88A7-F119AAA82A9F}"/>
            </a:ext>
          </a:extLst>
        </cdr:cNvPr>
        <cdr:cNvSpPr txBox="1">
          <a:spLocks xmlns:a="http://schemas.openxmlformats.org/drawingml/2006/main" noChangeArrowheads="1"/>
        </cdr:cNvSpPr>
      </cdr:nvSpPr>
      <cdr:spPr bwMode="auto">
        <a:xfrm xmlns:a="http://schemas.openxmlformats.org/drawingml/2006/main">
          <a:off x="576559" y="1381135"/>
          <a:ext cx="785302" cy="139317"/>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FF0000"/>
              </a:solidFill>
              <a:latin typeface="Arial"/>
              <a:ea typeface="Arial"/>
              <a:cs typeface="Arial"/>
            </a:rPr>
            <a:t>Intervention</a:t>
          </a:r>
        </a:p>
      </cdr:txBody>
    </cdr:sp>
  </cdr:relSizeAnchor>
  <cdr:relSizeAnchor xmlns:cdr="http://schemas.openxmlformats.org/drawingml/2006/chartDrawing">
    <cdr:from>
      <cdr:x>0.534</cdr:x>
      <cdr:y>0.59471</cdr:y>
    </cdr:from>
    <cdr:to>
      <cdr:x>0.534</cdr:x>
      <cdr:y>0.59471</cdr:y>
    </cdr:to>
    <cdr:sp macro="" textlink="">
      <cdr:nvSpPr>
        <cdr:cNvPr id="6" name="Text Box 1">
          <a:extLst xmlns:a="http://schemas.openxmlformats.org/drawingml/2006/main">
            <a:ext uri="{FF2B5EF4-FFF2-40B4-BE49-F238E27FC236}">
              <a16:creationId xmlns:a16="http://schemas.microsoft.com/office/drawing/2014/main" id="{C80185E3-6D2C-4C41-9BF2-7B8A45805915}"/>
            </a:ext>
          </a:extLst>
        </cdr:cNvPr>
        <cdr:cNvSpPr txBox="1">
          <a:spLocks xmlns:a="http://schemas.openxmlformats.org/drawingml/2006/main" noChangeArrowheads="1"/>
        </cdr:cNvSpPr>
      </cdr:nvSpPr>
      <cdr:spPr bwMode="auto">
        <a:xfrm xmlns:a="http://schemas.openxmlformats.org/drawingml/2006/main">
          <a:off x="976579" y="1321749"/>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0.65276</cdr:x>
      <cdr:y>0.80561</cdr:y>
    </cdr:from>
    <cdr:to>
      <cdr:x>0.65276</cdr:x>
      <cdr:y>0.80561</cdr:y>
    </cdr:to>
    <cdr:sp macro="" textlink="">
      <cdr:nvSpPr>
        <cdr:cNvPr id="7" name="Text Box 2">
          <a:extLst xmlns:a="http://schemas.openxmlformats.org/drawingml/2006/main">
            <a:ext uri="{FF2B5EF4-FFF2-40B4-BE49-F238E27FC236}">
              <a16:creationId xmlns:a16="http://schemas.microsoft.com/office/drawing/2014/main" id="{3E8602D0-AF32-3946-BF13-90CE1CABF8B5}"/>
            </a:ext>
          </a:extLst>
        </cdr:cNvPr>
        <cdr:cNvSpPr txBox="1">
          <a:spLocks xmlns:a="http://schemas.openxmlformats.org/drawingml/2006/main" noChangeArrowheads="1"/>
        </cdr:cNvSpPr>
      </cdr:nvSpPr>
      <cdr:spPr bwMode="auto">
        <a:xfrm xmlns:a="http://schemas.openxmlformats.org/drawingml/2006/main">
          <a:off x="1193775" y="1790468"/>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-1.4%</a:t>
          </a:r>
        </a:p>
      </cdr:txBody>
    </cdr:sp>
  </cdr:relSizeAnchor>
  <cdr:relSizeAnchor xmlns:cdr="http://schemas.openxmlformats.org/drawingml/2006/chartDrawing">
    <cdr:from>
      <cdr:x>0.76704</cdr:x>
      <cdr:y>0.74883</cdr:y>
    </cdr:from>
    <cdr:to>
      <cdr:x>0.76704</cdr:x>
      <cdr:y>0.74883</cdr:y>
    </cdr:to>
    <cdr:sp macro="" textlink="">
      <cdr:nvSpPr>
        <cdr:cNvPr id="8" name="Text Box 3">
          <a:extLst xmlns:a="http://schemas.openxmlformats.org/drawingml/2006/main">
            <a:ext uri="{FF2B5EF4-FFF2-40B4-BE49-F238E27FC236}">
              <a16:creationId xmlns:a16="http://schemas.microsoft.com/office/drawing/2014/main" id="{E01B167E-4CF8-3F4C-9390-86B6D5976F80}"/>
            </a:ext>
          </a:extLst>
        </cdr:cNvPr>
        <cdr:cNvSpPr txBox="1">
          <a:spLocks xmlns:a="http://schemas.openxmlformats.org/drawingml/2006/main" noChangeArrowheads="1"/>
        </cdr:cNvSpPr>
      </cdr:nvSpPr>
      <cdr:spPr bwMode="auto">
        <a:xfrm xmlns:a="http://schemas.openxmlformats.org/drawingml/2006/main">
          <a:off x="1402766" y="1664275"/>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a:t>
          </a:r>
        </a:p>
      </cdr:txBody>
    </cdr:sp>
  </cdr:relSizeAnchor>
  <cdr:relSizeAnchor xmlns:cdr="http://schemas.openxmlformats.org/drawingml/2006/chartDrawing">
    <cdr:from>
      <cdr:x>0.26436</cdr:x>
      <cdr:y>0.70827</cdr:y>
    </cdr:from>
    <cdr:to>
      <cdr:x>0.26436</cdr:x>
      <cdr:y>0.70827</cdr:y>
    </cdr:to>
    <cdr:sp macro="" textlink="">
      <cdr:nvSpPr>
        <cdr:cNvPr id="9" name="Text Box 4">
          <a:extLst xmlns:a="http://schemas.openxmlformats.org/drawingml/2006/main">
            <a:ext uri="{FF2B5EF4-FFF2-40B4-BE49-F238E27FC236}">
              <a16:creationId xmlns:a16="http://schemas.microsoft.com/office/drawing/2014/main" id="{FF615B11-C93A-7C46-89E2-9121A220407A}"/>
            </a:ext>
          </a:extLst>
        </cdr:cNvPr>
        <cdr:cNvSpPr txBox="1">
          <a:spLocks xmlns:a="http://schemas.openxmlformats.org/drawingml/2006/main" noChangeArrowheads="1"/>
        </cdr:cNvSpPr>
      </cdr:nvSpPr>
      <cdr:spPr bwMode="auto">
        <a:xfrm xmlns:a="http://schemas.openxmlformats.org/drawingml/2006/main">
          <a:off x="483464" y="1574136"/>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0.534</cdr:x>
      <cdr:y>0.59471</cdr:y>
    </cdr:from>
    <cdr:to>
      <cdr:x>0.534</cdr:x>
      <cdr:y>0.59471</cdr:y>
    </cdr:to>
    <cdr:sp macro="" textlink="">
      <cdr:nvSpPr>
        <cdr:cNvPr id="10" name="Text Box 1">
          <a:extLst xmlns:a="http://schemas.openxmlformats.org/drawingml/2006/main">
            <a:ext uri="{FF2B5EF4-FFF2-40B4-BE49-F238E27FC236}">
              <a16:creationId xmlns:a16="http://schemas.microsoft.com/office/drawing/2014/main" id="{67CFE4BD-95B3-5847-AE94-631B860B87FC}"/>
            </a:ext>
          </a:extLst>
        </cdr:cNvPr>
        <cdr:cNvSpPr txBox="1">
          <a:spLocks xmlns:a="http://schemas.openxmlformats.org/drawingml/2006/main" noChangeArrowheads="1"/>
        </cdr:cNvSpPr>
      </cdr:nvSpPr>
      <cdr:spPr bwMode="auto">
        <a:xfrm xmlns:a="http://schemas.openxmlformats.org/drawingml/2006/main">
          <a:off x="976579" y="1321749"/>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0.65276</cdr:x>
      <cdr:y>0.80561</cdr:y>
    </cdr:from>
    <cdr:to>
      <cdr:x>0.65276</cdr:x>
      <cdr:y>0.80561</cdr:y>
    </cdr:to>
    <cdr:sp macro="" textlink="">
      <cdr:nvSpPr>
        <cdr:cNvPr id="11" name="Text Box 2">
          <a:extLst xmlns:a="http://schemas.openxmlformats.org/drawingml/2006/main">
            <a:ext uri="{FF2B5EF4-FFF2-40B4-BE49-F238E27FC236}">
              <a16:creationId xmlns:a16="http://schemas.microsoft.com/office/drawing/2014/main" id="{1CF0D6AD-6965-1F4C-9817-F621DBA0B761}"/>
            </a:ext>
          </a:extLst>
        </cdr:cNvPr>
        <cdr:cNvSpPr txBox="1">
          <a:spLocks xmlns:a="http://schemas.openxmlformats.org/drawingml/2006/main" noChangeArrowheads="1"/>
        </cdr:cNvSpPr>
      </cdr:nvSpPr>
      <cdr:spPr bwMode="auto">
        <a:xfrm xmlns:a="http://schemas.openxmlformats.org/drawingml/2006/main">
          <a:off x="1193775" y="1790468"/>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-1.4%</a:t>
          </a:r>
        </a:p>
      </cdr:txBody>
    </cdr:sp>
  </cdr:relSizeAnchor>
  <cdr:relSizeAnchor xmlns:cdr="http://schemas.openxmlformats.org/drawingml/2006/chartDrawing">
    <cdr:from>
      <cdr:x>0.76704</cdr:x>
      <cdr:y>0.74883</cdr:y>
    </cdr:from>
    <cdr:to>
      <cdr:x>0.76704</cdr:x>
      <cdr:y>0.74883</cdr:y>
    </cdr:to>
    <cdr:sp macro="" textlink="">
      <cdr:nvSpPr>
        <cdr:cNvPr id="12" name="Text Box 3">
          <a:extLst xmlns:a="http://schemas.openxmlformats.org/drawingml/2006/main">
            <a:ext uri="{FF2B5EF4-FFF2-40B4-BE49-F238E27FC236}">
              <a16:creationId xmlns:a16="http://schemas.microsoft.com/office/drawing/2014/main" id="{3494BED4-BC77-944E-9288-66697053A2A1}"/>
            </a:ext>
          </a:extLst>
        </cdr:cNvPr>
        <cdr:cNvSpPr txBox="1">
          <a:spLocks xmlns:a="http://schemas.openxmlformats.org/drawingml/2006/main" noChangeArrowheads="1"/>
        </cdr:cNvSpPr>
      </cdr:nvSpPr>
      <cdr:spPr bwMode="auto">
        <a:xfrm xmlns:a="http://schemas.openxmlformats.org/drawingml/2006/main">
          <a:off x="1402766" y="1664275"/>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a:t>
          </a:r>
        </a:p>
      </cdr:txBody>
    </cdr:sp>
  </cdr:relSizeAnchor>
  <cdr:relSizeAnchor xmlns:cdr="http://schemas.openxmlformats.org/drawingml/2006/chartDrawing">
    <cdr:from>
      <cdr:x>0.26436</cdr:x>
      <cdr:y>0.70827</cdr:y>
    </cdr:from>
    <cdr:to>
      <cdr:x>0.26436</cdr:x>
      <cdr:y>0.70827</cdr:y>
    </cdr:to>
    <cdr:sp macro="" textlink="">
      <cdr:nvSpPr>
        <cdr:cNvPr id="13" name="Text Box 4">
          <a:extLst xmlns:a="http://schemas.openxmlformats.org/drawingml/2006/main">
            <a:ext uri="{FF2B5EF4-FFF2-40B4-BE49-F238E27FC236}">
              <a16:creationId xmlns:a16="http://schemas.microsoft.com/office/drawing/2014/main" id="{9B3F90F1-E6DC-AD40-A34C-647EE4BAECC6}"/>
            </a:ext>
          </a:extLst>
        </cdr:cNvPr>
        <cdr:cNvSpPr txBox="1">
          <a:spLocks xmlns:a="http://schemas.openxmlformats.org/drawingml/2006/main" noChangeArrowheads="1"/>
        </cdr:cNvSpPr>
      </cdr:nvSpPr>
      <cdr:spPr bwMode="auto">
        <a:xfrm xmlns:a="http://schemas.openxmlformats.org/drawingml/2006/main">
          <a:off x="483464" y="1574136"/>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userShapes>
</file>

<file path=xl/drawings/drawing22.xml><?xml version="1.0" encoding="utf-8"?>
<c:userShapes xmlns:c="http://schemas.openxmlformats.org/drawingml/2006/chart">
  <cdr:relSizeAnchor xmlns:cdr="http://schemas.openxmlformats.org/drawingml/2006/chartDrawing">
    <cdr:from>
      <cdr:x>0.21935</cdr:x>
      <cdr:y>0.72223</cdr:y>
    </cdr:from>
    <cdr:to>
      <cdr:x>0.70629</cdr:x>
      <cdr:y>0.90001</cdr:y>
    </cdr:to>
    <cdr:sp macro="" textlink="">
      <cdr:nvSpPr>
        <cdr:cNvPr id="4" name="TextBox 3"/>
        <cdr:cNvSpPr txBox="1"/>
      </cdr:nvSpPr>
      <cdr:spPr>
        <a:xfrm xmlns:a="http://schemas.openxmlformats.org/drawingml/2006/main">
          <a:off x="431233" y="1651008"/>
          <a:ext cx="957305" cy="406405"/>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a:solidFill>
                <a:srgbClr val="008000"/>
              </a:solidFill>
            </a:rPr>
            <a:t>(NFC - BECCS</a:t>
          </a:r>
          <a:r>
            <a:rPr lang="en-US" sz="1100" baseline="0">
              <a:solidFill>
                <a:srgbClr val="008000"/>
              </a:solidFill>
            </a:rPr>
            <a:t>)/TFC]</a:t>
          </a:r>
          <a:endParaRPr lang="en-US" sz="1100">
            <a:solidFill>
              <a:srgbClr val="008000"/>
            </a:solidFill>
          </a:endParaRPr>
        </a:p>
        <a:p xmlns:a="http://schemas.openxmlformats.org/drawingml/2006/main">
          <a:endParaRPr lang="en-US" sz="1100">
            <a:solidFill>
              <a:srgbClr val="008000"/>
            </a:solidFill>
          </a:endParaRPr>
        </a:p>
      </cdr:txBody>
    </cdr:sp>
  </cdr:relSizeAnchor>
  <cdr:relSizeAnchor xmlns:cdr="http://schemas.openxmlformats.org/drawingml/2006/chartDrawing">
    <cdr:from>
      <cdr:x>0.31605</cdr:x>
      <cdr:y>0.33334</cdr:y>
    </cdr:from>
    <cdr:to>
      <cdr:x>0.78057</cdr:x>
      <cdr:y>0.47037</cdr:y>
    </cdr:to>
    <cdr:sp macro="" textlink="">
      <cdr:nvSpPr>
        <cdr:cNvPr id="5" name="TextBox 2">
          <a:extLst xmlns:a="http://schemas.openxmlformats.org/drawingml/2006/main">
            <a:ext uri="{FF2B5EF4-FFF2-40B4-BE49-F238E27FC236}">
              <a16:creationId xmlns:a16="http://schemas.microsoft.com/office/drawing/2014/main" id="{A9DFBF09-6BEB-644A-B745-BD8DED459460}"/>
            </a:ext>
          </a:extLst>
        </cdr:cNvPr>
        <cdr:cNvSpPr txBox="1"/>
      </cdr:nvSpPr>
      <cdr:spPr>
        <a:xfrm xmlns:a="http://schemas.openxmlformats.org/drawingml/2006/main">
          <a:off x="621342" y="762005"/>
          <a:ext cx="913227" cy="313251"/>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000">
              <a:latin typeface="Arial"/>
              <a:cs typeface="Arial"/>
            </a:rPr>
            <a:t>Reference</a:t>
          </a:r>
        </a:p>
      </cdr:txBody>
    </cdr:sp>
  </cdr:relSizeAnchor>
  <cdr:relSizeAnchor xmlns:cdr="http://schemas.openxmlformats.org/drawingml/2006/chartDrawing">
    <cdr:from>
      <cdr:x>0.38705</cdr:x>
      <cdr:y>0.49444</cdr:y>
    </cdr:from>
    <cdr:to>
      <cdr:x>0.85156</cdr:x>
      <cdr:y>0.63148</cdr:y>
    </cdr:to>
    <cdr:sp macro="" textlink="">
      <cdr:nvSpPr>
        <cdr:cNvPr id="6" name="TextBox 3">
          <a:extLst xmlns:a="http://schemas.openxmlformats.org/drawingml/2006/main">
            <a:ext uri="{FF2B5EF4-FFF2-40B4-BE49-F238E27FC236}">
              <a16:creationId xmlns:a16="http://schemas.microsoft.com/office/drawing/2014/main" id="{230DBD4B-3180-4249-9CC6-203E5A17D372}"/>
            </a:ext>
          </a:extLst>
        </cdr:cNvPr>
        <cdr:cNvSpPr txBox="1"/>
      </cdr:nvSpPr>
      <cdr:spPr>
        <a:xfrm xmlns:a="http://schemas.openxmlformats.org/drawingml/2006/main">
          <a:off x="760926" y="1130300"/>
          <a:ext cx="913208" cy="31327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a:solidFill>
                <a:srgbClr val="FF0000"/>
              </a:solidFill>
            </a:rPr>
            <a:t>Intervention</a:t>
          </a:r>
        </a:p>
      </cdr:txBody>
    </cdr:sp>
  </cdr:relSizeAnchor>
</c:userShapes>
</file>

<file path=xl/drawings/drawing23.xml><?xml version="1.0" encoding="utf-8"?>
<xdr:wsDr xmlns:xdr="http://schemas.openxmlformats.org/drawingml/2006/spreadsheetDrawing" xmlns:a="http://schemas.openxmlformats.org/drawingml/2006/main">
  <xdr:twoCellAnchor>
    <xdr:from>
      <xdr:col>6</xdr:col>
      <xdr:colOff>285750</xdr:colOff>
      <xdr:row>31</xdr:row>
      <xdr:rowOff>25400</xdr:rowOff>
    </xdr:from>
    <xdr:to>
      <xdr:col>18</xdr:col>
      <xdr:colOff>12700</xdr:colOff>
      <xdr:row>53</xdr:row>
      <xdr:rowOff>12700</xdr:rowOff>
    </xdr:to>
    <xdr:graphicFrame macro="">
      <xdr:nvGraphicFramePr>
        <xdr:cNvPr id="2" name="Chart 1">
          <a:extLst>
            <a:ext uri="{FF2B5EF4-FFF2-40B4-BE49-F238E27FC236}">
              <a16:creationId xmlns:a16="http://schemas.microsoft.com/office/drawing/2014/main" id="{6A84DCD3-AF5F-4B42-9C51-E2C6C52A6E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4.xml><?xml version="1.0" encoding="utf-8"?>
<c:userShapes xmlns:c="http://schemas.openxmlformats.org/drawingml/2006/chart">
  <cdr:relSizeAnchor xmlns:cdr="http://schemas.openxmlformats.org/drawingml/2006/chartDrawing">
    <cdr:from>
      <cdr:x>0.71709</cdr:x>
      <cdr:y>0.26496</cdr:y>
    </cdr:from>
    <cdr:to>
      <cdr:x>0.94499</cdr:x>
      <cdr:y>0.37037</cdr:y>
    </cdr:to>
    <cdr:sp macro="" textlink="">
      <cdr:nvSpPr>
        <cdr:cNvPr id="2" name="TextBox 1">
          <a:extLst xmlns:a="http://schemas.openxmlformats.org/drawingml/2006/main">
            <a:ext uri="{FF2B5EF4-FFF2-40B4-BE49-F238E27FC236}">
              <a16:creationId xmlns:a16="http://schemas.microsoft.com/office/drawing/2014/main" id="{CC7A7102-BE75-3502-6887-B2C5D94ECED6}"/>
            </a:ext>
          </a:extLst>
        </cdr:cNvPr>
        <cdr:cNvSpPr txBox="1"/>
      </cdr:nvSpPr>
      <cdr:spPr>
        <a:xfrm xmlns:a="http://schemas.openxmlformats.org/drawingml/2006/main">
          <a:off x="6953250" y="1181100"/>
          <a:ext cx="2209800" cy="4699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solidFill>
                <a:schemeClr val="bg1"/>
              </a:solidFill>
              <a:latin typeface="Arial" panose="020B0604020202020204" pitchFamily="34" charset="0"/>
              <a:cs typeface="Arial" panose="020B0604020202020204" pitchFamily="34" charset="0"/>
            </a:rPr>
            <a:t>Non-fossil sources</a:t>
          </a:r>
        </a:p>
      </cdr:txBody>
    </cdr:sp>
  </cdr:relSizeAnchor>
  <cdr:relSizeAnchor xmlns:cdr="http://schemas.openxmlformats.org/drawingml/2006/chartDrawing">
    <cdr:from>
      <cdr:x>0.71382</cdr:x>
      <cdr:y>0.40741</cdr:y>
    </cdr:from>
    <cdr:to>
      <cdr:x>0.94172</cdr:x>
      <cdr:y>0.51282</cdr:y>
    </cdr:to>
    <cdr:sp macro="" textlink="">
      <cdr:nvSpPr>
        <cdr:cNvPr id="3" name="TextBox 1">
          <a:extLst xmlns:a="http://schemas.openxmlformats.org/drawingml/2006/main">
            <a:ext uri="{FF2B5EF4-FFF2-40B4-BE49-F238E27FC236}">
              <a16:creationId xmlns:a16="http://schemas.microsoft.com/office/drawing/2014/main" id="{11FDFCF7-FD65-5BED-D454-E5353EBABAFE}"/>
            </a:ext>
          </a:extLst>
        </cdr:cNvPr>
        <cdr:cNvSpPr txBox="1"/>
      </cdr:nvSpPr>
      <cdr:spPr>
        <a:xfrm xmlns:a="http://schemas.openxmlformats.org/drawingml/2006/main">
          <a:off x="6921500" y="1816100"/>
          <a:ext cx="2209800" cy="4699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600">
              <a:solidFill>
                <a:schemeClr val="bg1"/>
              </a:solidFill>
              <a:latin typeface="Arial" panose="020B0604020202020204" pitchFamily="34" charset="0"/>
              <a:cs typeface="Arial" panose="020B0604020202020204" pitchFamily="34" charset="0"/>
            </a:rPr>
            <a:t>Fossil gas</a:t>
          </a:r>
        </a:p>
      </cdr:txBody>
    </cdr:sp>
  </cdr:relSizeAnchor>
  <cdr:relSizeAnchor xmlns:cdr="http://schemas.openxmlformats.org/drawingml/2006/chartDrawing">
    <cdr:from>
      <cdr:x>0.71513</cdr:x>
      <cdr:y>0.55271</cdr:y>
    </cdr:from>
    <cdr:to>
      <cdr:x>0.84152</cdr:x>
      <cdr:y>0.64957</cdr:y>
    </cdr:to>
    <cdr:sp macro="" textlink="">
      <cdr:nvSpPr>
        <cdr:cNvPr id="4" name="TextBox 1">
          <a:extLst xmlns:a="http://schemas.openxmlformats.org/drawingml/2006/main">
            <a:ext uri="{FF2B5EF4-FFF2-40B4-BE49-F238E27FC236}">
              <a16:creationId xmlns:a16="http://schemas.microsoft.com/office/drawing/2014/main" id="{11FDFCF7-FD65-5BED-D454-E5353EBABAFE}"/>
            </a:ext>
          </a:extLst>
        </cdr:cNvPr>
        <cdr:cNvSpPr txBox="1"/>
      </cdr:nvSpPr>
      <cdr:spPr>
        <a:xfrm xmlns:a="http://schemas.openxmlformats.org/drawingml/2006/main">
          <a:off x="6934200" y="2463800"/>
          <a:ext cx="1225550" cy="4318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600">
              <a:solidFill>
                <a:schemeClr val="bg1"/>
              </a:solidFill>
              <a:latin typeface="Arial" panose="020B0604020202020204" pitchFamily="34" charset="0"/>
              <a:cs typeface="Arial" panose="020B0604020202020204" pitchFamily="34" charset="0"/>
            </a:rPr>
            <a:t>Petroleum</a:t>
          </a:r>
        </a:p>
      </cdr:txBody>
    </cdr:sp>
  </cdr:relSizeAnchor>
  <cdr:relSizeAnchor xmlns:cdr="http://schemas.openxmlformats.org/drawingml/2006/chartDrawing">
    <cdr:from>
      <cdr:x>0.71775</cdr:x>
      <cdr:y>0.69801</cdr:y>
    </cdr:from>
    <cdr:to>
      <cdr:x>0.82318</cdr:x>
      <cdr:y>0.80342</cdr:y>
    </cdr:to>
    <cdr:sp macro="" textlink="">
      <cdr:nvSpPr>
        <cdr:cNvPr id="5" name="TextBox 1">
          <a:extLst xmlns:a="http://schemas.openxmlformats.org/drawingml/2006/main">
            <a:ext uri="{FF2B5EF4-FFF2-40B4-BE49-F238E27FC236}">
              <a16:creationId xmlns:a16="http://schemas.microsoft.com/office/drawing/2014/main" id="{11FDFCF7-FD65-5BED-D454-E5353EBABAFE}"/>
            </a:ext>
          </a:extLst>
        </cdr:cNvPr>
        <cdr:cNvSpPr txBox="1"/>
      </cdr:nvSpPr>
      <cdr:spPr>
        <a:xfrm xmlns:a="http://schemas.openxmlformats.org/drawingml/2006/main">
          <a:off x="6959600" y="3111500"/>
          <a:ext cx="1022350" cy="4699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600">
              <a:solidFill>
                <a:schemeClr val="bg1"/>
              </a:solidFill>
              <a:latin typeface="Arial" panose="020B0604020202020204" pitchFamily="34" charset="0"/>
              <a:cs typeface="Arial" panose="020B0604020202020204" pitchFamily="34" charset="0"/>
            </a:rPr>
            <a:t>Coal</a:t>
          </a:r>
        </a:p>
      </cdr:txBody>
    </cdr:sp>
  </cdr:relSizeAnchor>
</c:userShapes>
</file>

<file path=xl/drawings/drawing25.xml><?xml version="1.0" encoding="utf-8"?>
<xdr:wsDr xmlns:xdr="http://schemas.openxmlformats.org/drawingml/2006/spreadsheetDrawing" xmlns:a="http://schemas.openxmlformats.org/drawingml/2006/main">
  <xdr:twoCellAnchor>
    <xdr:from>
      <xdr:col>6</xdr:col>
      <xdr:colOff>285750</xdr:colOff>
      <xdr:row>31</xdr:row>
      <xdr:rowOff>152400</xdr:rowOff>
    </xdr:from>
    <xdr:to>
      <xdr:col>18</xdr:col>
      <xdr:colOff>12700</xdr:colOff>
      <xdr:row>53</xdr:row>
      <xdr:rowOff>139700</xdr:rowOff>
    </xdr:to>
    <xdr:graphicFrame macro="">
      <xdr:nvGraphicFramePr>
        <xdr:cNvPr id="2" name="Chart 1">
          <a:extLst>
            <a:ext uri="{FF2B5EF4-FFF2-40B4-BE49-F238E27FC236}">
              <a16:creationId xmlns:a16="http://schemas.microsoft.com/office/drawing/2014/main" id="{DCA5AC87-453C-B94F-B02C-9520EB721C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57</xdr:row>
      <xdr:rowOff>0</xdr:rowOff>
    </xdr:from>
    <xdr:to>
      <xdr:col>17</xdr:col>
      <xdr:colOff>552450</xdr:colOff>
      <xdr:row>78</xdr:row>
      <xdr:rowOff>190500</xdr:rowOff>
    </xdr:to>
    <xdr:graphicFrame macro="">
      <xdr:nvGraphicFramePr>
        <xdr:cNvPr id="3" name="Chart 2">
          <a:extLst>
            <a:ext uri="{FF2B5EF4-FFF2-40B4-BE49-F238E27FC236}">
              <a16:creationId xmlns:a16="http://schemas.microsoft.com/office/drawing/2014/main" id="{8D6AC32B-4720-BE48-ABAB-388EFF2394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6.xml><?xml version="1.0" encoding="utf-8"?>
<c:userShapes xmlns:c="http://schemas.openxmlformats.org/drawingml/2006/chart">
  <cdr:relSizeAnchor xmlns:cdr="http://schemas.openxmlformats.org/drawingml/2006/chartDrawing">
    <cdr:from>
      <cdr:x>0.73149</cdr:x>
      <cdr:y>0.63818</cdr:y>
    </cdr:from>
    <cdr:to>
      <cdr:x>0.95939</cdr:x>
      <cdr:y>0.74359</cdr:y>
    </cdr:to>
    <cdr:sp macro="" textlink="">
      <cdr:nvSpPr>
        <cdr:cNvPr id="2" name="TextBox 1">
          <a:extLst xmlns:a="http://schemas.openxmlformats.org/drawingml/2006/main">
            <a:ext uri="{FF2B5EF4-FFF2-40B4-BE49-F238E27FC236}">
              <a16:creationId xmlns:a16="http://schemas.microsoft.com/office/drawing/2014/main" id="{CC7A7102-BE75-3502-6887-B2C5D94ECED6}"/>
            </a:ext>
          </a:extLst>
        </cdr:cNvPr>
        <cdr:cNvSpPr txBox="1"/>
      </cdr:nvSpPr>
      <cdr:spPr>
        <a:xfrm xmlns:a="http://schemas.openxmlformats.org/drawingml/2006/main">
          <a:off x="7092904" y="2844797"/>
          <a:ext cx="2209821" cy="46988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solidFill>
                <a:schemeClr val="bg1"/>
              </a:solidFill>
              <a:latin typeface="Arial" panose="020B0604020202020204" pitchFamily="34" charset="0"/>
              <a:cs typeface="Arial" panose="020B0604020202020204" pitchFamily="34" charset="0"/>
            </a:rPr>
            <a:t>Non-fossil sources</a:t>
          </a:r>
        </a:p>
      </cdr:txBody>
    </cdr:sp>
  </cdr:relSizeAnchor>
  <cdr:relSizeAnchor xmlns:cdr="http://schemas.openxmlformats.org/drawingml/2006/chartDrawing">
    <cdr:from>
      <cdr:x>0.70465</cdr:x>
      <cdr:y>0.77208</cdr:y>
    </cdr:from>
    <cdr:to>
      <cdr:x>0.82318</cdr:x>
      <cdr:y>0.8604</cdr:y>
    </cdr:to>
    <cdr:sp macro="" textlink="">
      <cdr:nvSpPr>
        <cdr:cNvPr id="3" name="TextBox 1">
          <a:extLst xmlns:a="http://schemas.openxmlformats.org/drawingml/2006/main">
            <a:ext uri="{FF2B5EF4-FFF2-40B4-BE49-F238E27FC236}">
              <a16:creationId xmlns:a16="http://schemas.microsoft.com/office/drawing/2014/main" id="{11FDFCF7-FD65-5BED-D454-E5353EBABAFE}"/>
            </a:ext>
          </a:extLst>
        </cdr:cNvPr>
        <cdr:cNvSpPr txBox="1"/>
      </cdr:nvSpPr>
      <cdr:spPr>
        <a:xfrm xmlns:a="http://schemas.openxmlformats.org/drawingml/2006/main">
          <a:off x="6832623" y="3441715"/>
          <a:ext cx="1149328" cy="3936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600">
              <a:solidFill>
                <a:schemeClr val="bg1"/>
              </a:solidFill>
              <a:latin typeface="Arial" panose="020B0604020202020204" pitchFamily="34" charset="0"/>
              <a:cs typeface="Arial" panose="020B0604020202020204" pitchFamily="34" charset="0"/>
            </a:rPr>
            <a:t>Fossil gas</a:t>
          </a:r>
        </a:p>
      </cdr:txBody>
    </cdr:sp>
  </cdr:relSizeAnchor>
  <cdr:relSizeAnchor xmlns:cdr="http://schemas.openxmlformats.org/drawingml/2006/chartDrawing">
    <cdr:from>
      <cdr:x>0.1205</cdr:x>
      <cdr:y>0.74359</cdr:y>
    </cdr:from>
    <cdr:to>
      <cdr:x>0.24689</cdr:x>
      <cdr:y>0.84045</cdr:y>
    </cdr:to>
    <cdr:sp macro="" textlink="">
      <cdr:nvSpPr>
        <cdr:cNvPr id="4" name="TextBox 1">
          <a:extLst xmlns:a="http://schemas.openxmlformats.org/drawingml/2006/main">
            <a:ext uri="{FF2B5EF4-FFF2-40B4-BE49-F238E27FC236}">
              <a16:creationId xmlns:a16="http://schemas.microsoft.com/office/drawing/2014/main" id="{11FDFCF7-FD65-5BED-D454-E5353EBABAFE}"/>
            </a:ext>
          </a:extLst>
        </cdr:cNvPr>
        <cdr:cNvSpPr txBox="1"/>
      </cdr:nvSpPr>
      <cdr:spPr>
        <a:xfrm xmlns:a="http://schemas.openxmlformats.org/drawingml/2006/main">
          <a:off x="1168422" y="3314715"/>
          <a:ext cx="1225535" cy="43177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600">
              <a:solidFill>
                <a:schemeClr val="bg1"/>
              </a:solidFill>
              <a:latin typeface="Arial" panose="020B0604020202020204" pitchFamily="34" charset="0"/>
              <a:cs typeface="Arial" panose="020B0604020202020204" pitchFamily="34" charset="0"/>
            </a:rPr>
            <a:t>Petroleum</a:t>
          </a:r>
        </a:p>
      </cdr:txBody>
    </cdr:sp>
  </cdr:relSizeAnchor>
  <cdr:relSizeAnchor xmlns:cdr="http://schemas.openxmlformats.org/drawingml/2006/chartDrawing">
    <cdr:from>
      <cdr:x>0.12312</cdr:x>
      <cdr:y>0.80912</cdr:y>
    </cdr:from>
    <cdr:to>
      <cdr:x>0.19974</cdr:x>
      <cdr:y>0.89459</cdr:y>
    </cdr:to>
    <cdr:sp macro="" textlink="">
      <cdr:nvSpPr>
        <cdr:cNvPr id="5" name="TextBox 1">
          <a:extLst xmlns:a="http://schemas.openxmlformats.org/drawingml/2006/main">
            <a:ext uri="{FF2B5EF4-FFF2-40B4-BE49-F238E27FC236}">
              <a16:creationId xmlns:a16="http://schemas.microsoft.com/office/drawing/2014/main" id="{11FDFCF7-FD65-5BED-D454-E5353EBABAFE}"/>
            </a:ext>
          </a:extLst>
        </cdr:cNvPr>
        <cdr:cNvSpPr txBox="1"/>
      </cdr:nvSpPr>
      <cdr:spPr>
        <a:xfrm xmlns:a="http://schemas.openxmlformats.org/drawingml/2006/main">
          <a:off x="1193827" y="3606819"/>
          <a:ext cx="742923" cy="380981"/>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600">
              <a:solidFill>
                <a:schemeClr val="bg1"/>
              </a:solidFill>
              <a:latin typeface="Arial" panose="020B0604020202020204" pitchFamily="34" charset="0"/>
              <a:cs typeface="Arial" panose="020B0604020202020204" pitchFamily="34" charset="0"/>
            </a:rPr>
            <a:t>Coal</a:t>
          </a:r>
        </a:p>
      </cdr:txBody>
    </cdr:sp>
  </cdr:relSizeAnchor>
</c:userShapes>
</file>

<file path=xl/drawings/drawing27.xml><?xml version="1.0" encoding="utf-8"?>
<c:userShapes xmlns:c="http://schemas.openxmlformats.org/drawingml/2006/chart">
  <cdr:relSizeAnchor xmlns:cdr="http://schemas.openxmlformats.org/drawingml/2006/chartDrawing">
    <cdr:from>
      <cdr:x>0.72887</cdr:x>
      <cdr:y>0.39886</cdr:y>
    </cdr:from>
    <cdr:to>
      <cdr:x>0.95677</cdr:x>
      <cdr:y>0.50427</cdr:y>
    </cdr:to>
    <cdr:sp macro="" textlink="">
      <cdr:nvSpPr>
        <cdr:cNvPr id="2" name="TextBox 1">
          <a:extLst xmlns:a="http://schemas.openxmlformats.org/drawingml/2006/main">
            <a:ext uri="{FF2B5EF4-FFF2-40B4-BE49-F238E27FC236}">
              <a16:creationId xmlns:a16="http://schemas.microsoft.com/office/drawing/2014/main" id="{CC7A7102-BE75-3502-6887-B2C5D94ECED6}"/>
            </a:ext>
          </a:extLst>
        </cdr:cNvPr>
        <cdr:cNvSpPr txBox="1"/>
      </cdr:nvSpPr>
      <cdr:spPr>
        <a:xfrm xmlns:a="http://schemas.openxmlformats.org/drawingml/2006/main">
          <a:off x="7067456" y="1778015"/>
          <a:ext cx="2209821" cy="46988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solidFill>
                <a:schemeClr val="bg1"/>
              </a:solidFill>
              <a:latin typeface="Arial" panose="020B0604020202020204" pitchFamily="34" charset="0"/>
              <a:cs typeface="Arial" panose="020B0604020202020204" pitchFamily="34" charset="0"/>
            </a:rPr>
            <a:t>Non-fossil sources</a:t>
          </a:r>
        </a:p>
      </cdr:txBody>
    </cdr:sp>
  </cdr:relSizeAnchor>
  <cdr:relSizeAnchor xmlns:cdr="http://schemas.openxmlformats.org/drawingml/2006/chartDrawing">
    <cdr:from>
      <cdr:x>0.70334</cdr:x>
      <cdr:y>0.70085</cdr:y>
    </cdr:from>
    <cdr:to>
      <cdr:x>0.82187</cdr:x>
      <cdr:y>0.78917</cdr:y>
    </cdr:to>
    <cdr:sp macro="" textlink="">
      <cdr:nvSpPr>
        <cdr:cNvPr id="3" name="TextBox 1">
          <a:extLst xmlns:a="http://schemas.openxmlformats.org/drawingml/2006/main">
            <a:ext uri="{FF2B5EF4-FFF2-40B4-BE49-F238E27FC236}">
              <a16:creationId xmlns:a16="http://schemas.microsoft.com/office/drawing/2014/main" id="{11FDFCF7-FD65-5BED-D454-E5353EBABAFE}"/>
            </a:ext>
          </a:extLst>
        </cdr:cNvPr>
        <cdr:cNvSpPr txBox="1"/>
      </cdr:nvSpPr>
      <cdr:spPr>
        <a:xfrm xmlns:a="http://schemas.openxmlformats.org/drawingml/2006/main">
          <a:off x="6819903" y="3124201"/>
          <a:ext cx="1149321" cy="393704"/>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600">
              <a:solidFill>
                <a:schemeClr val="bg1"/>
              </a:solidFill>
              <a:latin typeface="Arial" panose="020B0604020202020204" pitchFamily="34" charset="0"/>
              <a:cs typeface="Arial" panose="020B0604020202020204" pitchFamily="34" charset="0"/>
            </a:rPr>
            <a:t>Fossil gas</a:t>
          </a:r>
        </a:p>
      </cdr:txBody>
    </cdr:sp>
  </cdr:relSizeAnchor>
  <cdr:relSizeAnchor xmlns:cdr="http://schemas.openxmlformats.org/drawingml/2006/chartDrawing">
    <cdr:from>
      <cdr:x>0.12443</cdr:x>
      <cdr:y>0.62963</cdr:y>
    </cdr:from>
    <cdr:to>
      <cdr:x>0.25082</cdr:x>
      <cdr:y>0.72649</cdr:y>
    </cdr:to>
    <cdr:sp macro="" textlink="">
      <cdr:nvSpPr>
        <cdr:cNvPr id="4" name="TextBox 1">
          <a:extLst xmlns:a="http://schemas.openxmlformats.org/drawingml/2006/main">
            <a:ext uri="{FF2B5EF4-FFF2-40B4-BE49-F238E27FC236}">
              <a16:creationId xmlns:a16="http://schemas.microsoft.com/office/drawing/2014/main" id="{11FDFCF7-FD65-5BED-D454-E5353EBABAFE}"/>
            </a:ext>
          </a:extLst>
        </cdr:cNvPr>
        <cdr:cNvSpPr txBox="1"/>
      </cdr:nvSpPr>
      <cdr:spPr>
        <a:xfrm xmlns:a="http://schemas.openxmlformats.org/drawingml/2006/main">
          <a:off x="1206522" y="2806701"/>
          <a:ext cx="1225535" cy="43177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600">
              <a:solidFill>
                <a:schemeClr val="bg1"/>
              </a:solidFill>
              <a:latin typeface="Arial" panose="020B0604020202020204" pitchFamily="34" charset="0"/>
              <a:cs typeface="Arial" panose="020B0604020202020204" pitchFamily="34" charset="0"/>
            </a:rPr>
            <a:t>Petroleum</a:t>
          </a:r>
        </a:p>
      </cdr:txBody>
    </cdr:sp>
  </cdr:relSizeAnchor>
  <cdr:relSizeAnchor xmlns:cdr="http://schemas.openxmlformats.org/drawingml/2006/chartDrawing">
    <cdr:from>
      <cdr:x>0.13622</cdr:x>
      <cdr:y>0.78063</cdr:y>
    </cdr:from>
    <cdr:to>
      <cdr:x>0.21284</cdr:x>
      <cdr:y>0.8661</cdr:y>
    </cdr:to>
    <cdr:sp macro="" textlink="">
      <cdr:nvSpPr>
        <cdr:cNvPr id="5" name="TextBox 1">
          <a:extLst xmlns:a="http://schemas.openxmlformats.org/drawingml/2006/main">
            <a:ext uri="{FF2B5EF4-FFF2-40B4-BE49-F238E27FC236}">
              <a16:creationId xmlns:a16="http://schemas.microsoft.com/office/drawing/2014/main" id="{11FDFCF7-FD65-5BED-D454-E5353EBABAFE}"/>
            </a:ext>
          </a:extLst>
        </cdr:cNvPr>
        <cdr:cNvSpPr txBox="1"/>
      </cdr:nvSpPr>
      <cdr:spPr>
        <a:xfrm xmlns:a="http://schemas.openxmlformats.org/drawingml/2006/main">
          <a:off x="1320827" y="3479814"/>
          <a:ext cx="742942" cy="3810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600">
              <a:solidFill>
                <a:schemeClr val="bg1"/>
              </a:solidFill>
              <a:latin typeface="Arial" panose="020B0604020202020204" pitchFamily="34" charset="0"/>
              <a:cs typeface="Arial" panose="020B0604020202020204" pitchFamily="34" charset="0"/>
            </a:rPr>
            <a:t>Coal</a:t>
          </a:r>
        </a:p>
      </cdr:txBody>
    </cdr:sp>
  </cdr:relSizeAnchor>
</c:userShapes>
</file>

<file path=xl/drawings/drawing28.xml><?xml version="1.0" encoding="utf-8"?>
<xdr:wsDr xmlns:xdr="http://schemas.openxmlformats.org/drawingml/2006/spreadsheetDrawing" xmlns:a="http://schemas.openxmlformats.org/drawingml/2006/main">
  <xdr:absoluteAnchor>
    <xdr:pos x="5465233" y="7802033"/>
    <xdr:ext cx="1965960" cy="2286000"/>
    <xdr:graphicFrame macro="">
      <xdr:nvGraphicFramePr>
        <xdr:cNvPr id="2" name="Chart 20">
          <a:extLst>
            <a:ext uri="{FF2B5EF4-FFF2-40B4-BE49-F238E27FC236}">
              <a16:creationId xmlns:a16="http://schemas.microsoft.com/office/drawing/2014/main" id="{2E6E460C-2BCC-6C4A-8784-B04269AE87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absoluteAnchor>
    <xdr:pos x="10529994" y="1628140"/>
    <xdr:ext cx="1965960" cy="2286000"/>
    <xdr:graphicFrame macro="">
      <xdr:nvGraphicFramePr>
        <xdr:cNvPr id="3" name="Chart 1">
          <a:extLst>
            <a:ext uri="{FF2B5EF4-FFF2-40B4-BE49-F238E27FC236}">
              <a16:creationId xmlns:a16="http://schemas.microsoft.com/office/drawing/2014/main" id="{8F85A35B-CD3B-A242-AED6-69350B4A14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xdr:absoluteAnchor>
    <xdr:pos x="8821420" y="1651000"/>
    <xdr:ext cx="1965960" cy="2286000"/>
    <xdr:graphicFrame macro="">
      <xdr:nvGraphicFramePr>
        <xdr:cNvPr id="4" name="Chart 2">
          <a:extLst>
            <a:ext uri="{FF2B5EF4-FFF2-40B4-BE49-F238E27FC236}">
              <a16:creationId xmlns:a16="http://schemas.microsoft.com/office/drawing/2014/main" id="{9D8A68F5-E5D1-F945-B0D7-5CA3484F05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absoluteAnchor>
  <xdr:absoluteAnchor>
    <xdr:pos x="3705860" y="1638300"/>
    <xdr:ext cx="1965960" cy="2286000"/>
    <xdr:graphicFrame macro="">
      <xdr:nvGraphicFramePr>
        <xdr:cNvPr id="5" name="Chart 3">
          <a:extLst>
            <a:ext uri="{FF2B5EF4-FFF2-40B4-BE49-F238E27FC236}">
              <a16:creationId xmlns:a16="http://schemas.microsoft.com/office/drawing/2014/main" id="{ADD8496C-6AD4-964A-8DDD-307937682F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absoluteAnchor>
  <xdr:absoluteAnchor>
    <xdr:pos x="5372100" y="1651000"/>
    <xdr:ext cx="1993900" cy="2273300"/>
    <xdr:graphicFrame macro="">
      <xdr:nvGraphicFramePr>
        <xdr:cNvPr id="6" name="Chart 8">
          <a:extLst>
            <a:ext uri="{FF2B5EF4-FFF2-40B4-BE49-F238E27FC236}">
              <a16:creationId xmlns:a16="http://schemas.microsoft.com/office/drawing/2014/main" id="{E8D1E113-233F-5A45-BEAA-F5E25CB70E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absoluteAnchor>
  <xdr:absoluteAnchor>
    <xdr:pos x="2032000" y="1672167"/>
    <xdr:ext cx="1965960" cy="2286000"/>
    <xdr:graphicFrame macro="">
      <xdr:nvGraphicFramePr>
        <xdr:cNvPr id="7" name="Chart 12">
          <a:extLst>
            <a:ext uri="{FF2B5EF4-FFF2-40B4-BE49-F238E27FC236}">
              <a16:creationId xmlns:a16="http://schemas.microsoft.com/office/drawing/2014/main" id="{4510F33D-8884-9E4C-81DD-994C773DC4E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absoluteAnchor>
  <xdr:absoluteAnchor>
    <xdr:pos x="8816340" y="7802033"/>
    <xdr:ext cx="1965960" cy="2286000"/>
    <xdr:graphicFrame macro="">
      <xdr:nvGraphicFramePr>
        <xdr:cNvPr id="8" name="Chart 15">
          <a:extLst>
            <a:ext uri="{FF2B5EF4-FFF2-40B4-BE49-F238E27FC236}">
              <a16:creationId xmlns:a16="http://schemas.microsoft.com/office/drawing/2014/main" id="{B1D74B16-552A-FA43-B87F-459C223FE0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absoluteAnchor>
  <xdr:absoluteAnchor>
    <xdr:pos x="10509674" y="7827433"/>
    <xdr:ext cx="1965960" cy="2286000"/>
    <xdr:graphicFrame macro="">
      <xdr:nvGraphicFramePr>
        <xdr:cNvPr id="9" name="Chart 16">
          <a:extLst>
            <a:ext uri="{FF2B5EF4-FFF2-40B4-BE49-F238E27FC236}">
              <a16:creationId xmlns:a16="http://schemas.microsoft.com/office/drawing/2014/main" id="{7EF86D1B-360F-8E44-97BE-CDEA203D76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absoluteAnchor>
  <xdr:absoluteAnchor>
    <xdr:pos x="3787140" y="7814733"/>
    <xdr:ext cx="1965960" cy="2286000"/>
    <xdr:graphicFrame macro="">
      <xdr:nvGraphicFramePr>
        <xdr:cNvPr id="10" name="Chart 17">
          <a:extLst>
            <a:ext uri="{FF2B5EF4-FFF2-40B4-BE49-F238E27FC236}">
              <a16:creationId xmlns:a16="http://schemas.microsoft.com/office/drawing/2014/main" id="{15DBEBCA-2F3A-7A48-AA24-D7F65532FE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absoluteAnchor>
  <xdr:absoluteAnchor>
    <xdr:pos x="2015067" y="7802033"/>
    <xdr:ext cx="1965960" cy="2286000"/>
    <xdr:graphicFrame macro="">
      <xdr:nvGraphicFramePr>
        <xdr:cNvPr id="11" name="Chart 21">
          <a:extLst>
            <a:ext uri="{FF2B5EF4-FFF2-40B4-BE49-F238E27FC236}">
              <a16:creationId xmlns:a16="http://schemas.microsoft.com/office/drawing/2014/main" id="{9A450150-558D-0748-A93A-EE04711660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absoluteAnchor>
  <xdr:twoCellAnchor>
    <xdr:from>
      <xdr:col>22</xdr:col>
      <xdr:colOff>345015</xdr:colOff>
      <xdr:row>46</xdr:row>
      <xdr:rowOff>0</xdr:rowOff>
    </xdr:from>
    <xdr:to>
      <xdr:col>24</xdr:col>
      <xdr:colOff>143932</xdr:colOff>
      <xdr:row>46</xdr:row>
      <xdr:rowOff>0</xdr:rowOff>
    </xdr:to>
    <xdr:sp macro="" textlink="">
      <xdr:nvSpPr>
        <xdr:cNvPr id="12" name="Line 24">
          <a:extLst>
            <a:ext uri="{FF2B5EF4-FFF2-40B4-BE49-F238E27FC236}">
              <a16:creationId xmlns:a16="http://schemas.microsoft.com/office/drawing/2014/main" id="{2534CD14-81EB-F349-B5B5-0CB7D8F7A882}"/>
            </a:ext>
          </a:extLst>
        </xdr:cNvPr>
        <xdr:cNvSpPr>
          <a:spLocks noChangeShapeType="1"/>
        </xdr:cNvSpPr>
      </xdr:nvSpPr>
      <xdr:spPr bwMode="auto">
        <a:xfrm>
          <a:off x="9565215" y="7594600"/>
          <a:ext cx="63711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6</xdr:col>
      <xdr:colOff>389467</xdr:colOff>
      <xdr:row>46</xdr:row>
      <xdr:rowOff>0</xdr:rowOff>
    </xdr:from>
    <xdr:to>
      <xdr:col>8</xdr:col>
      <xdr:colOff>42333</xdr:colOff>
      <xdr:row>46</xdr:row>
      <xdr:rowOff>0</xdr:rowOff>
    </xdr:to>
    <xdr:sp macro="" textlink="">
      <xdr:nvSpPr>
        <xdr:cNvPr id="13" name="Line 26">
          <a:extLst>
            <a:ext uri="{FF2B5EF4-FFF2-40B4-BE49-F238E27FC236}">
              <a16:creationId xmlns:a16="http://schemas.microsoft.com/office/drawing/2014/main" id="{858BFF0E-1F4B-C346-80D9-698AB8834646}"/>
            </a:ext>
          </a:extLst>
        </xdr:cNvPr>
        <xdr:cNvSpPr>
          <a:spLocks noChangeShapeType="1"/>
        </xdr:cNvSpPr>
      </xdr:nvSpPr>
      <xdr:spPr bwMode="auto">
        <a:xfrm flipV="1">
          <a:off x="2904067" y="7594600"/>
          <a:ext cx="491066"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absoluteAnchor>
    <xdr:pos x="8769774" y="4614332"/>
    <xdr:ext cx="1965960" cy="2286000"/>
    <xdr:graphicFrame macro="">
      <xdr:nvGraphicFramePr>
        <xdr:cNvPr id="14" name="Chart 28">
          <a:extLst>
            <a:ext uri="{FF2B5EF4-FFF2-40B4-BE49-F238E27FC236}">
              <a16:creationId xmlns:a16="http://schemas.microsoft.com/office/drawing/2014/main" id="{7A8961FF-B622-0A46-90BC-64516F2A73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absoluteAnchor>
  <xdr:absoluteAnchor>
    <xdr:pos x="10522374" y="4669365"/>
    <xdr:ext cx="1965960" cy="2286000"/>
    <xdr:graphicFrame macro="">
      <xdr:nvGraphicFramePr>
        <xdr:cNvPr id="15" name="Chart 29">
          <a:extLst>
            <a:ext uri="{FF2B5EF4-FFF2-40B4-BE49-F238E27FC236}">
              <a16:creationId xmlns:a16="http://schemas.microsoft.com/office/drawing/2014/main" id="{D8D5DE37-966C-1A40-9717-9D748294B4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absoluteAnchor>
  <xdr:absoluteAnchor>
    <xdr:pos x="3672839" y="4656665"/>
    <xdr:ext cx="1965960" cy="2252133"/>
    <xdr:graphicFrame macro="">
      <xdr:nvGraphicFramePr>
        <xdr:cNvPr id="16" name="Chart 30">
          <a:extLst>
            <a:ext uri="{FF2B5EF4-FFF2-40B4-BE49-F238E27FC236}">
              <a16:creationId xmlns:a16="http://schemas.microsoft.com/office/drawing/2014/main" id="{252BD35A-AD42-364B-A75F-79306F1B2D9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absoluteAnchor>
  <xdr:absoluteAnchor>
    <xdr:pos x="5350933" y="4643965"/>
    <xdr:ext cx="1965960" cy="2260599"/>
    <xdr:graphicFrame macro="">
      <xdr:nvGraphicFramePr>
        <xdr:cNvPr id="17" name="Chart 35">
          <a:extLst>
            <a:ext uri="{FF2B5EF4-FFF2-40B4-BE49-F238E27FC236}">
              <a16:creationId xmlns:a16="http://schemas.microsoft.com/office/drawing/2014/main" id="{B400AFBF-8B7C-794F-981E-3F983C4CB8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absoluteAnchor>
  <xdr:oneCellAnchor>
    <xdr:from>
      <xdr:col>0</xdr:col>
      <xdr:colOff>414866</xdr:colOff>
      <xdr:row>26</xdr:row>
      <xdr:rowOff>93133</xdr:rowOff>
    </xdr:from>
    <xdr:ext cx="3813993" cy="263662"/>
    <xdr:sp macro="" textlink="">
      <xdr:nvSpPr>
        <xdr:cNvPr id="19" name="Text Box 37">
          <a:extLst>
            <a:ext uri="{FF2B5EF4-FFF2-40B4-BE49-F238E27FC236}">
              <a16:creationId xmlns:a16="http://schemas.microsoft.com/office/drawing/2014/main" id="{9130A360-4BB6-904B-8B70-FEBB468B2B0B}"/>
            </a:ext>
          </a:extLst>
        </xdr:cNvPr>
        <xdr:cNvSpPr txBox="1">
          <a:spLocks noChangeArrowheads="1"/>
        </xdr:cNvSpPr>
      </xdr:nvSpPr>
      <xdr:spPr bwMode="auto">
        <a:xfrm>
          <a:off x="414866" y="4385733"/>
          <a:ext cx="3813993" cy="263662"/>
        </a:xfrm>
        <a:prstGeom prst="rect">
          <a:avLst/>
        </a:prstGeom>
        <a:noFill/>
        <a:ln>
          <a:noFill/>
        </a:ln>
        <a:extLst>
          <a:ext uri="{909E8E84-426E-40dd-AFC4-6F175D3DCCD1}">
            <a14:hiddenFill xmlns=""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27432" tIns="27432" rIns="0" bIns="0" anchor="t" upright="1">
          <a:spAutoFit/>
        </a:bodyPr>
        <a:lstStyle/>
        <a:p>
          <a:pPr algn="l" rtl="0">
            <a:defRPr sz="1000"/>
          </a:pPr>
          <a:r>
            <a:rPr lang="en-US" sz="1600" b="1" i="0" u="none" strike="noStrike" baseline="0">
              <a:solidFill>
                <a:srgbClr val="000000"/>
              </a:solidFill>
              <a:latin typeface="Arial"/>
              <a:ea typeface="Arial"/>
              <a:cs typeface="Arial"/>
            </a:rPr>
            <a:t>Energy Sector Factors Indexed to 2010</a:t>
          </a:r>
        </a:p>
      </xdr:txBody>
    </xdr:sp>
    <xdr:clientData/>
  </xdr:oneCellAnchor>
  <xdr:twoCellAnchor>
    <xdr:from>
      <xdr:col>27</xdr:col>
      <xdr:colOff>12701</xdr:colOff>
      <xdr:row>46</xdr:row>
      <xdr:rowOff>0</xdr:rowOff>
    </xdr:from>
    <xdr:to>
      <xdr:col>27</xdr:col>
      <xdr:colOff>381001</xdr:colOff>
      <xdr:row>46</xdr:row>
      <xdr:rowOff>0</xdr:rowOff>
    </xdr:to>
    <xdr:sp macro="" textlink="">
      <xdr:nvSpPr>
        <xdr:cNvPr id="21" name="Line 56">
          <a:extLst>
            <a:ext uri="{FF2B5EF4-FFF2-40B4-BE49-F238E27FC236}">
              <a16:creationId xmlns:a16="http://schemas.microsoft.com/office/drawing/2014/main" id="{0D65887F-028F-124C-AC68-9B538B8C4859}"/>
            </a:ext>
          </a:extLst>
        </xdr:cNvPr>
        <xdr:cNvSpPr>
          <a:spLocks noChangeShapeType="1"/>
        </xdr:cNvSpPr>
      </xdr:nvSpPr>
      <xdr:spPr bwMode="auto">
        <a:xfrm>
          <a:off x="11353801" y="7645400"/>
          <a:ext cx="3683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absoluteAnchor>
    <xdr:pos x="317500" y="1638300"/>
    <xdr:ext cx="1965960" cy="2286000"/>
    <xdr:graphicFrame macro="">
      <xdr:nvGraphicFramePr>
        <xdr:cNvPr id="22" name="Chart 14">
          <a:extLst>
            <a:ext uri="{FF2B5EF4-FFF2-40B4-BE49-F238E27FC236}">
              <a16:creationId xmlns:a16="http://schemas.microsoft.com/office/drawing/2014/main" id="{3FF1C791-48E3-AE40-9CA2-768982B06A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absoluteAnchor>
  <xdr:absoluteAnchor>
    <xdr:pos x="406400" y="4656665"/>
    <xdr:ext cx="1965960" cy="2286000"/>
    <xdr:graphicFrame macro="">
      <xdr:nvGraphicFramePr>
        <xdr:cNvPr id="23" name="Chart 14">
          <a:extLst>
            <a:ext uri="{FF2B5EF4-FFF2-40B4-BE49-F238E27FC236}">
              <a16:creationId xmlns:a16="http://schemas.microsoft.com/office/drawing/2014/main" id="{A010966E-27E6-E34D-AFE0-2EC5308108B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absoluteAnchor>
  <xdr:absoluteAnchor>
    <xdr:pos x="406400" y="7814733"/>
    <xdr:ext cx="1965960" cy="2286000"/>
    <xdr:graphicFrame macro="">
      <xdr:nvGraphicFramePr>
        <xdr:cNvPr id="24" name="Chart 21">
          <a:extLst>
            <a:ext uri="{FF2B5EF4-FFF2-40B4-BE49-F238E27FC236}">
              <a16:creationId xmlns:a16="http://schemas.microsoft.com/office/drawing/2014/main" id="{CA609469-A735-1642-B7E3-20E3097BDF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absoluteAnchor>
  <xdr:twoCellAnchor>
    <xdr:from>
      <xdr:col>3</xdr:col>
      <xdr:colOff>67733</xdr:colOff>
      <xdr:row>46</xdr:row>
      <xdr:rowOff>8467</xdr:rowOff>
    </xdr:from>
    <xdr:to>
      <xdr:col>3</xdr:col>
      <xdr:colOff>359833</xdr:colOff>
      <xdr:row>46</xdr:row>
      <xdr:rowOff>8467</xdr:rowOff>
    </xdr:to>
    <xdr:sp macro="" textlink="">
      <xdr:nvSpPr>
        <xdr:cNvPr id="25" name="Line 26">
          <a:extLst>
            <a:ext uri="{FF2B5EF4-FFF2-40B4-BE49-F238E27FC236}">
              <a16:creationId xmlns:a16="http://schemas.microsoft.com/office/drawing/2014/main" id="{88A97A96-48BB-DF4A-842C-137CA3CD083C}"/>
            </a:ext>
          </a:extLst>
        </xdr:cNvPr>
        <xdr:cNvSpPr>
          <a:spLocks noChangeShapeType="1"/>
        </xdr:cNvSpPr>
      </xdr:nvSpPr>
      <xdr:spPr bwMode="auto">
        <a:xfrm flipV="1">
          <a:off x="1325033" y="7679267"/>
          <a:ext cx="2921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oneCellAnchor>
    <xdr:from>
      <xdr:col>4</xdr:col>
      <xdr:colOff>342900</xdr:colOff>
      <xdr:row>8</xdr:row>
      <xdr:rowOff>165100</xdr:rowOff>
    </xdr:from>
    <xdr:ext cx="27700" cy="269305"/>
    <xdr:sp macro="" textlink="">
      <xdr:nvSpPr>
        <xdr:cNvPr id="26" name="Text Box 50">
          <a:extLst>
            <a:ext uri="{FF2B5EF4-FFF2-40B4-BE49-F238E27FC236}">
              <a16:creationId xmlns:a16="http://schemas.microsoft.com/office/drawing/2014/main" id="{AEBF7986-A770-5643-A6B3-CEA3247E8941}"/>
            </a:ext>
          </a:extLst>
        </xdr:cNvPr>
        <xdr:cNvSpPr txBox="1">
          <a:spLocks noChangeArrowheads="1"/>
        </xdr:cNvSpPr>
      </xdr:nvSpPr>
      <xdr:spPr bwMode="auto">
        <a:xfrm>
          <a:off x="2019300" y="1485900"/>
          <a:ext cx="27700" cy="269305"/>
        </a:xfrm>
        <a:prstGeom prst="rect">
          <a:avLst/>
        </a:prstGeom>
        <a:noFill/>
        <a:ln>
          <a:noFill/>
        </a:ln>
        <a:extLst>
          <a:ext uri="{909E8E84-426E-40dd-AFC4-6F175D3DCCD1}">
            <a14:hiddenFill xmlns=""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27432" tIns="22860" rIns="0" bIns="0" anchor="t" upright="1">
          <a:spAutoFit/>
        </a:bodyPr>
        <a:lstStyle/>
        <a:p>
          <a:pPr algn="l" rtl="0">
            <a:defRPr sz="1000"/>
          </a:pPr>
          <a:endParaRPr lang="en-US" sz="1600" b="0" i="0" u="none" strike="noStrike" baseline="0">
            <a:solidFill>
              <a:srgbClr val="000000"/>
            </a:solidFill>
            <a:latin typeface="Arial"/>
            <a:ea typeface="Arial"/>
            <a:cs typeface="Arial"/>
          </a:endParaRPr>
        </a:p>
      </xdr:txBody>
    </xdr:sp>
    <xdr:clientData/>
  </xdr:oneCellAnchor>
  <xdr:twoCellAnchor>
    <xdr:from>
      <xdr:col>14</xdr:col>
      <xdr:colOff>410633</xdr:colOff>
      <xdr:row>46</xdr:row>
      <xdr:rowOff>0</xdr:rowOff>
    </xdr:from>
    <xdr:to>
      <xdr:col>16</xdr:col>
      <xdr:colOff>0</xdr:colOff>
      <xdr:row>46</xdr:row>
      <xdr:rowOff>0</xdr:rowOff>
    </xdr:to>
    <xdr:sp macro="" textlink="">
      <xdr:nvSpPr>
        <xdr:cNvPr id="27" name="Line 23">
          <a:extLst>
            <a:ext uri="{FF2B5EF4-FFF2-40B4-BE49-F238E27FC236}">
              <a16:creationId xmlns:a16="http://schemas.microsoft.com/office/drawing/2014/main" id="{9AAC6AF4-AA96-804D-8472-02C3D1F4E9F4}"/>
            </a:ext>
          </a:extLst>
        </xdr:cNvPr>
        <xdr:cNvSpPr>
          <a:spLocks noChangeShapeType="1"/>
        </xdr:cNvSpPr>
      </xdr:nvSpPr>
      <xdr:spPr bwMode="auto">
        <a:xfrm>
          <a:off x="6278033" y="7594600"/>
          <a:ext cx="42756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11</xdr:col>
      <xdr:colOff>76200</xdr:colOff>
      <xdr:row>46</xdr:row>
      <xdr:rowOff>0</xdr:rowOff>
    </xdr:from>
    <xdr:to>
      <xdr:col>11</xdr:col>
      <xdr:colOff>368299</xdr:colOff>
      <xdr:row>46</xdr:row>
      <xdr:rowOff>0</xdr:rowOff>
    </xdr:to>
    <xdr:sp macro="" textlink="">
      <xdr:nvSpPr>
        <xdr:cNvPr id="28" name="Line 22">
          <a:extLst>
            <a:ext uri="{FF2B5EF4-FFF2-40B4-BE49-F238E27FC236}">
              <a16:creationId xmlns:a16="http://schemas.microsoft.com/office/drawing/2014/main" id="{95F1A5DE-8279-2F40-933B-4128E9E130EA}"/>
            </a:ext>
          </a:extLst>
        </xdr:cNvPr>
        <xdr:cNvSpPr>
          <a:spLocks noChangeShapeType="1"/>
        </xdr:cNvSpPr>
      </xdr:nvSpPr>
      <xdr:spPr bwMode="auto">
        <a:xfrm flipV="1">
          <a:off x="4686300" y="7670800"/>
          <a:ext cx="292099"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oneCellAnchor>
    <xdr:from>
      <xdr:col>0</xdr:col>
      <xdr:colOff>406400</xdr:colOff>
      <xdr:row>6</xdr:row>
      <xdr:rowOff>97367</xdr:rowOff>
    </xdr:from>
    <xdr:ext cx="2217101" cy="273921"/>
    <xdr:sp macro="" textlink="">
      <xdr:nvSpPr>
        <xdr:cNvPr id="29" name="Text Box 37">
          <a:extLst>
            <a:ext uri="{FF2B5EF4-FFF2-40B4-BE49-F238E27FC236}">
              <a16:creationId xmlns:a16="http://schemas.microsoft.com/office/drawing/2014/main" id="{5E82B899-249D-2E4C-9A51-A428A98481F6}"/>
            </a:ext>
          </a:extLst>
        </xdr:cNvPr>
        <xdr:cNvSpPr txBox="1">
          <a:spLocks noChangeArrowheads="1"/>
        </xdr:cNvSpPr>
      </xdr:nvSpPr>
      <xdr:spPr bwMode="auto">
        <a:xfrm>
          <a:off x="406400" y="1087967"/>
          <a:ext cx="2217101" cy="273921"/>
        </a:xfrm>
        <a:prstGeom prst="rect">
          <a:avLst/>
        </a:prstGeom>
        <a:noFill/>
        <a:ln>
          <a:noFill/>
        </a:ln>
        <a:extLst>
          <a:ext uri="{909E8E84-426E-40dd-AFC4-6F175D3DCCD1}">
            <a14:hiddenFill xmlns=""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27432" tIns="27432" rIns="0" bIns="0" anchor="t" upright="1">
          <a:spAutoFit/>
        </a:bodyPr>
        <a:lstStyle/>
        <a:p>
          <a:pPr algn="l" rtl="0">
            <a:defRPr sz="1000"/>
          </a:pPr>
          <a:r>
            <a:rPr lang="en-US" sz="1600" b="1" i="0" u="none" strike="noStrike" baseline="0">
              <a:solidFill>
                <a:srgbClr val="000000"/>
              </a:solidFill>
              <a:latin typeface="Arial"/>
              <a:ea typeface="Arial"/>
              <a:cs typeface="Arial"/>
            </a:rPr>
            <a:t>Energy Sector Factors</a:t>
          </a:r>
        </a:p>
      </xdr:txBody>
    </xdr:sp>
    <xdr:clientData/>
  </xdr:oneCellAnchor>
  <xdr:absoluteAnchor>
    <xdr:pos x="7162800" y="1638300"/>
    <xdr:ext cx="1965960" cy="2286000"/>
    <xdr:graphicFrame macro="">
      <xdr:nvGraphicFramePr>
        <xdr:cNvPr id="30" name="Chart 8">
          <a:extLst>
            <a:ext uri="{FF2B5EF4-FFF2-40B4-BE49-F238E27FC236}">
              <a16:creationId xmlns:a16="http://schemas.microsoft.com/office/drawing/2014/main" id="{DA054BBD-4728-E44F-8B1E-44EF5184E3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absoluteAnchor>
  <xdr:absoluteAnchor>
    <xdr:pos x="7150100" y="7797800"/>
    <xdr:ext cx="1965960" cy="2286000"/>
    <xdr:graphicFrame macro="">
      <xdr:nvGraphicFramePr>
        <xdr:cNvPr id="32" name="Chart 20">
          <a:extLst>
            <a:ext uri="{FF2B5EF4-FFF2-40B4-BE49-F238E27FC236}">
              <a16:creationId xmlns:a16="http://schemas.microsoft.com/office/drawing/2014/main" id="{B61F2BDF-A42C-6742-A0F8-6E69C857BB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absoluteAnchor>
  <xdr:twoCellAnchor>
    <xdr:from>
      <xdr:col>18</xdr:col>
      <xdr:colOff>410633</xdr:colOff>
      <xdr:row>46</xdr:row>
      <xdr:rowOff>0</xdr:rowOff>
    </xdr:from>
    <xdr:to>
      <xdr:col>20</xdr:col>
      <xdr:colOff>0</xdr:colOff>
      <xdr:row>46</xdr:row>
      <xdr:rowOff>0</xdr:rowOff>
    </xdr:to>
    <xdr:sp macro="" textlink="">
      <xdr:nvSpPr>
        <xdr:cNvPr id="33" name="Line 23">
          <a:extLst>
            <a:ext uri="{FF2B5EF4-FFF2-40B4-BE49-F238E27FC236}">
              <a16:creationId xmlns:a16="http://schemas.microsoft.com/office/drawing/2014/main" id="{655CC481-3178-4B49-BE4E-F6AB540DABB2}"/>
            </a:ext>
          </a:extLst>
        </xdr:cNvPr>
        <xdr:cNvSpPr>
          <a:spLocks noChangeShapeType="1"/>
        </xdr:cNvSpPr>
      </xdr:nvSpPr>
      <xdr:spPr bwMode="auto">
        <a:xfrm>
          <a:off x="7954433" y="7594600"/>
          <a:ext cx="42756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absoluteAnchor>
    <xdr:pos x="2062480" y="4656665"/>
    <xdr:ext cx="1965960" cy="2286000"/>
    <xdr:graphicFrame macro="">
      <xdr:nvGraphicFramePr>
        <xdr:cNvPr id="34" name="Chart 12">
          <a:extLst>
            <a:ext uri="{FF2B5EF4-FFF2-40B4-BE49-F238E27FC236}">
              <a16:creationId xmlns:a16="http://schemas.microsoft.com/office/drawing/2014/main" id="{E77C0C2B-085D-1E4A-975E-93183EABA5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absoluteAnchor>
  <xdr:absoluteAnchor>
    <xdr:pos x="7124700" y="4614333"/>
    <xdr:ext cx="1965960" cy="2286000"/>
    <xdr:graphicFrame macro="">
      <xdr:nvGraphicFramePr>
        <xdr:cNvPr id="35" name="Chart 8">
          <a:extLst>
            <a:ext uri="{FF2B5EF4-FFF2-40B4-BE49-F238E27FC236}">
              <a16:creationId xmlns:a16="http://schemas.microsoft.com/office/drawing/2014/main" id="{F3F09909-9735-5648-BF3E-E68FDE3EC3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absoluteAnchor>
  <xdr:oneCellAnchor>
    <xdr:from>
      <xdr:col>1</xdr:col>
      <xdr:colOff>0</xdr:colOff>
      <xdr:row>43</xdr:row>
      <xdr:rowOff>0</xdr:rowOff>
    </xdr:from>
    <xdr:ext cx="5490029" cy="263662"/>
    <xdr:sp macro="" textlink="">
      <xdr:nvSpPr>
        <xdr:cNvPr id="36" name="Text Box 45">
          <a:extLst>
            <a:ext uri="{FF2B5EF4-FFF2-40B4-BE49-F238E27FC236}">
              <a16:creationId xmlns:a16="http://schemas.microsoft.com/office/drawing/2014/main" id="{A0EB2D61-48AA-D24B-AAFA-3ECB5F3943F0}"/>
            </a:ext>
          </a:extLst>
        </xdr:cNvPr>
        <xdr:cNvSpPr txBox="1">
          <a:spLocks noChangeArrowheads="1"/>
        </xdr:cNvSpPr>
      </xdr:nvSpPr>
      <xdr:spPr bwMode="auto">
        <a:xfrm>
          <a:off x="419100" y="7099300"/>
          <a:ext cx="5490029" cy="263662"/>
        </a:xfrm>
        <a:prstGeom prst="rect">
          <a:avLst/>
        </a:prstGeom>
        <a:noFill/>
        <a:ln>
          <a:noFill/>
        </a:ln>
        <a:extLst>
          <a:ext uri="{909E8E84-426E-40dd-AFC4-6F175D3DCCD1}">
            <a14:hiddenFill xmlns:a14="http://schemas.microsoft.com/office/drawing/2010/main" xmlns="">
              <a:solidFill>
                <a:srgbClr xmlns:mc="http://schemas.openxmlformats.org/markup-compatibility/2006" val="FFFFFF" mc:Ignorable="a14" a14:legacySpreadsheetColorIndex="65"/>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wrap="none" lIns="27432" tIns="27432" rIns="0" bIns="0" anchor="t" upright="1">
          <a:spAutoFit/>
        </a:bodyPr>
        <a:lstStyle/>
        <a:p>
          <a:pPr algn="l" rtl="0">
            <a:defRPr sz="1000"/>
          </a:pPr>
          <a:r>
            <a:rPr lang="en-US" sz="1600" b="1" i="0" u="none" strike="noStrike" baseline="0">
              <a:solidFill>
                <a:srgbClr val="000000"/>
              </a:solidFill>
              <a:latin typeface="Arial"/>
              <a:ea typeface="Arial"/>
              <a:cs typeface="Arial"/>
            </a:rPr>
            <a:t>Rate of Change as % of Base Year (decadal, annualized)</a:t>
          </a:r>
        </a:p>
      </xdr:txBody>
    </xdr:sp>
    <xdr:clientData/>
  </xdr:oneCellAnchor>
</xdr:wsDr>
</file>

<file path=xl/drawings/drawing29.xml><?xml version="1.0" encoding="utf-8"?>
<c:userShapes xmlns:c="http://schemas.openxmlformats.org/drawingml/2006/chart">
  <cdr:relSizeAnchor xmlns:cdr="http://schemas.openxmlformats.org/drawingml/2006/chartDrawing">
    <cdr:from>
      <cdr:x>0.44795</cdr:x>
      <cdr:y>0.43731</cdr:y>
    </cdr:from>
    <cdr:to>
      <cdr:x>0.88896</cdr:x>
      <cdr:y>0.53993</cdr:y>
    </cdr:to>
    <cdr:sp macro="" textlink="">
      <cdr:nvSpPr>
        <cdr:cNvPr id="990209" name="Text Box 1"/>
        <cdr:cNvSpPr txBox="1">
          <a:spLocks xmlns:a="http://schemas.openxmlformats.org/drawingml/2006/main" noChangeArrowheads="1"/>
        </cdr:cNvSpPr>
      </cdr:nvSpPr>
      <cdr:spPr bwMode="auto">
        <a:xfrm xmlns:a="http://schemas.openxmlformats.org/drawingml/2006/main">
          <a:off x="880652" y="999686"/>
          <a:ext cx="867008" cy="234589"/>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0.40073</cdr:x>
      <cdr:y>0.59814</cdr:y>
    </cdr:from>
    <cdr:to>
      <cdr:x>0.88933</cdr:x>
      <cdr:y>0.71626</cdr:y>
    </cdr:to>
    <cdr:sp macro="" textlink="">
      <cdr:nvSpPr>
        <cdr:cNvPr id="990210" name="Text Box 2"/>
        <cdr:cNvSpPr txBox="1">
          <a:spLocks xmlns:a="http://schemas.openxmlformats.org/drawingml/2006/main" noChangeArrowheads="1"/>
        </cdr:cNvSpPr>
      </cdr:nvSpPr>
      <cdr:spPr bwMode="auto">
        <a:xfrm xmlns:a="http://schemas.openxmlformats.org/drawingml/2006/main">
          <a:off x="768471" y="1329357"/>
          <a:ext cx="936988" cy="262521"/>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FF0000"/>
              </a:solidFill>
              <a:latin typeface="Arial"/>
              <a:ea typeface="Arial"/>
              <a:cs typeface="Arial"/>
            </a:rPr>
            <a:t>Intervention</a:t>
          </a:r>
        </a:p>
      </cdr:txBody>
    </cdr:sp>
  </cdr:relSizeAnchor>
</c:userShapes>
</file>

<file path=xl/drawings/drawing30.xml><?xml version="1.0" encoding="utf-8"?>
<c:userShapes xmlns:c="http://schemas.openxmlformats.org/drawingml/2006/chart">
  <cdr:relSizeAnchor xmlns:cdr="http://schemas.openxmlformats.org/drawingml/2006/chartDrawing">
    <cdr:from>
      <cdr:x>0.38061</cdr:x>
      <cdr:y>0.73148</cdr:y>
    </cdr:from>
    <cdr:to>
      <cdr:x>0.84512</cdr:x>
      <cdr:y>0.85445</cdr:y>
    </cdr:to>
    <cdr:sp macro="" textlink="">
      <cdr:nvSpPr>
        <cdr:cNvPr id="3" name="TextBox 2"/>
        <cdr:cNvSpPr txBox="1"/>
      </cdr:nvSpPr>
      <cdr:spPr>
        <a:xfrm xmlns:a="http://schemas.openxmlformats.org/drawingml/2006/main">
          <a:off x="748264" y="1672153"/>
          <a:ext cx="913209" cy="28111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a:solidFill>
                <a:srgbClr val="FF0000"/>
              </a:solidFill>
            </a:rPr>
            <a:t>Intervention</a:t>
          </a:r>
        </a:p>
      </cdr:txBody>
    </cdr:sp>
  </cdr:relSizeAnchor>
  <cdr:relSizeAnchor xmlns:cdr="http://schemas.openxmlformats.org/drawingml/2006/chartDrawing">
    <cdr:from>
      <cdr:x>0.43235</cdr:x>
      <cdr:y>0.49073</cdr:y>
    </cdr:from>
    <cdr:to>
      <cdr:x>0.89686</cdr:x>
      <cdr:y>0.60555</cdr:y>
    </cdr:to>
    <cdr:sp macro="" textlink="">
      <cdr:nvSpPr>
        <cdr:cNvPr id="5" name="TextBox 1"/>
        <cdr:cNvSpPr txBox="1"/>
      </cdr:nvSpPr>
      <cdr:spPr>
        <a:xfrm xmlns:a="http://schemas.openxmlformats.org/drawingml/2006/main">
          <a:off x="849982" y="1121819"/>
          <a:ext cx="913208" cy="26247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000">
              <a:latin typeface="Arial"/>
              <a:cs typeface="Arial"/>
            </a:rPr>
            <a:t>Reference</a:t>
          </a:r>
        </a:p>
      </cdr:txBody>
    </cdr:sp>
  </cdr:relSizeAnchor>
</c:userShapes>
</file>

<file path=xl/drawings/drawing31.xml><?xml version="1.0" encoding="utf-8"?>
<c:userShapes xmlns:c="http://schemas.openxmlformats.org/drawingml/2006/chart">
  <cdr:relSizeAnchor xmlns:cdr="http://schemas.openxmlformats.org/drawingml/2006/chartDrawing">
    <cdr:from>
      <cdr:x>0.4865</cdr:x>
      <cdr:y>0.5389</cdr:y>
    </cdr:from>
    <cdr:to>
      <cdr:x>0.95101</cdr:x>
      <cdr:y>0.65002</cdr:y>
    </cdr:to>
    <cdr:sp macro="" textlink="">
      <cdr:nvSpPr>
        <cdr:cNvPr id="2" name="TextBox 1"/>
        <cdr:cNvSpPr txBox="1"/>
      </cdr:nvSpPr>
      <cdr:spPr>
        <a:xfrm xmlns:a="http://schemas.openxmlformats.org/drawingml/2006/main">
          <a:off x="956439" y="1231915"/>
          <a:ext cx="913208" cy="254021"/>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000">
              <a:latin typeface="Arial"/>
              <a:cs typeface="Arial"/>
            </a:rPr>
            <a:t>Reference</a:t>
          </a:r>
        </a:p>
      </cdr:txBody>
    </cdr:sp>
  </cdr:relSizeAnchor>
  <cdr:relSizeAnchor xmlns:cdr="http://schemas.openxmlformats.org/drawingml/2006/chartDrawing">
    <cdr:from>
      <cdr:x>0.38812</cdr:x>
      <cdr:y>0.7337</cdr:y>
    </cdr:from>
    <cdr:to>
      <cdr:x>0.85263</cdr:x>
      <cdr:y>0.85556</cdr:y>
    </cdr:to>
    <cdr:sp macro="" textlink="">
      <cdr:nvSpPr>
        <cdr:cNvPr id="3" name="TextBox 2"/>
        <cdr:cNvSpPr txBox="1"/>
      </cdr:nvSpPr>
      <cdr:spPr>
        <a:xfrm xmlns:a="http://schemas.openxmlformats.org/drawingml/2006/main">
          <a:off x="763029" y="1677231"/>
          <a:ext cx="913208" cy="278569"/>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a:solidFill>
                <a:srgbClr val="FF0000"/>
              </a:solidFill>
            </a:rPr>
            <a:t>Intervention</a:t>
          </a:r>
        </a:p>
      </cdr:txBody>
    </cdr:sp>
  </cdr:relSizeAnchor>
</c:userShapes>
</file>

<file path=xl/drawings/drawing32.xml><?xml version="1.0" encoding="utf-8"?>
<c:userShapes xmlns:c="http://schemas.openxmlformats.org/drawingml/2006/chart">
  <cdr:relSizeAnchor xmlns:cdr="http://schemas.openxmlformats.org/drawingml/2006/chartDrawing">
    <cdr:from>
      <cdr:x>0.33883</cdr:x>
      <cdr:y>0.75209</cdr:y>
    </cdr:from>
    <cdr:to>
      <cdr:x>0.75187</cdr:x>
      <cdr:y>0.83105</cdr:y>
    </cdr:to>
    <cdr:sp macro="" textlink="">
      <cdr:nvSpPr>
        <cdr:cNvPr id="984065" name="Text Box 1"/>
        <cdr:cNvSpPr txBox="1">
          <a:spLocks xmlns:a="http://schemas.openxmlformats.org/drawingml/2006/main" noChangeArrowheads="1"/>
        </cdr:cNvSpPr>
      </cdr:nvSpPr>
      <cdr:spPr bwMode="auto">
        <a:xfrm xmlns:a="http://schemas.openxmlformats.org/drawingml/2006/main">
          <a:off x="666126" y="1719288"/>
          <a:ext cx="812020" cy="180502"/>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FF0000"/>
              </a:solidFill>
              <a:latin typeface="Arial"/>
              <a:ea typeface="Arial"/>
              <a:cs typeface="Arial"/>
            </a:rPr>
            <a:t>Intervention</a:t>
          </a:r>
        </a:p>
      </cdr:txBody>
    </cdr:sp>
  </cdr:relSizeAnchor>
  <cdr:relSizeAnchor xmlns:cdr="http://schemas.openxmlformats.org/drawingml/2006/chartDrawing">
    <cdr:from>
      <cdr:x>0.51325</cdr:x>
      <cdr:y>0.48704</cdr:y>
    </cdr:from>
    <cdr:to>
      <cdr:x>0.88423</cdr:x>
      <cdr:y>0.58032</cdr:y>
    </cdr:to>
    <cdr:sp macro="" textlink="">
      <cdr:nvSpPr>
        <cdr:cNvPr id="984066" name="Text Box 2"/>
        <cdr:cNvSpPr txBox="1">
          <a:spLocks xmlns:a="http://schemas.openxmlformats.org/drawingml/2006/main" noChangeArrowheads="1"/>
        </cdr:cNvSpPr>
      </cdr:nvSpPr>
      <cdr:spPr bwMode="auto">
        <a:xfrm xmlns:a="http://schemas.openxmlformats.org/drawingml/2006/main">
          <a:off x="1009025" y="1113371"/>
          <a:ext cx="729331" cy="213238"/>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userShapes>
</file>

<file path=xl/drawings/drawing33.xml><?xml version="1.0" encoding="utf-8"?>
<c:userShapes xmlns:c="http://schemas.openxmlformats.org/drawingml/2006/chart">
  <cdr:relSizeAnchor xmlns:cdr="http://schemas.openxmlformats.org/drawingml/2006/chartDrawing">
    <cdr:from>
      <cdr:x>0.3391</cdr:x>
      <cdr:y>0.73015</cdr:y>
    </cdr:from>
    <cdr:to>
      <cdr:x>0.75214</cdr:x>
      <cdr:y>0.80911</cdr:y>
    </cdr:to>
    <cdr:sp macro="" textlink="">
      <cdr:nvSpPr>
        <cdr:cNvPr id="2" name="Text Box 1">
          <a:extLst xmlns:a="http://schemas.openxmlformats.org/drawingml/2006/main">
            <a:ext uri="{FF2B5EF4-FFF2-40B4-BE49-F238E27FC236}">
              <a16:creationId xmlns:a16="http://schemas.microsoft.com/office/drawing/2014/main" id="{802B88D9-7055-D347-A8F5-86158E934C3A}"/>
            </a:ext>
          </a:extLst>
        </cdr:cNvPr>
        <cdr:cNvSpPr txBox="1">
          <a:spLocks xmlns:a="http://schemas.openxmlformats.org/drawingml/2006/main" noChangeArrowheads="1"/>
        </cdr:cNvSpPr>
      </cdr:nvSpPr>
      <cdr:spPr bwMode="auto">
        <a:xfrm xmlns:a="http://schemas.openxmlformats.org/drawingml/2006/main">
          <a:off x="676135" y="1659848"/>
          <a:ext cx="823560" cy="17950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FF0000"/>
              </a:solidFill>
              <a:latin typeface="Arial"/>
              <a:ea typeface="Arial"/>
              <a:cs typeface="Arial"/>
            </a:rPr>
            <a:t>Intervention</a:t>
          </a:r>
        </a:p>
      </cdr:txBody>
    </cdr:sp>
  </cdr:relSizeAnchor>
  <cdr:relSizeAnchor xmlns:cdr="http://schemas.openxmlformats.org/drawingml/2006/chartDrawing">
    <cdr:from>
      <cdr:x>0.50661</cdr:x>
      <cdr:y>0.3867</cdr:y>
    </cdr:from>
    <cdr:to>
      <cdr:x>0.87759</cdr:x>
      <cdr:y>0.47998</cdr:y>
    </cdr:to>
    <cdr:sp macro="" textlink="">
      <cdr:nvSpPr>
        <cdr:cNvPr id="3" name="Text Box 2">
          <a:extLst xmlns:a="http://schemas.openxmlformats.org/drawingml/2006/main">
            <a:ext uri="{FF2B5EF4-FFF2-40B4-BE49-F238E27FC236}">
              <a16:creationId xmlns:a16="http://schemas.microsoft.com/office/drawing/2014/main" id="{913A2E05-C1C2-874D-8383-94C7AB36FA09}"/>
            </a:ext>
          </a:extLst>
        </cdr:cNvPr>
        <cdr:cNvSpPr txBox="1">
          <a:spLocks xmlns:a="http://schemas.openxmlformats.org/drawingml/2006/main" noChangeArrowheads="1"/>
        </cdr:cNvSpPr>
      </cdr:nvSpPr>
      <cdr:spPr bwMode="auto">
        <a:xfrm xmlns:a="http://schemas.openxmlformats.org/drawingml/2006/main">
          <a:off x="1010127" y="879079"/>
          <a:ext cx="739697" cy="212054"/>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userShapes>
</file>

<file path=xl/drawings/drawing34.xml><?xml version="1.0" encoding="utf-8"?>
<c:userShapes xmlns:c="http://schemas.openxmlformats.org/drawingml/2006/chart">
  <cdr:relSizeAnchor xmlns:cdr="http://schemas.openxmlformats.org/drawingml/2006/chartDrawing">
    <cdr:from>
      <cdr:x>0.44972</cdr:x>
      <cdr:y>0.59639</cdr:y>
    </cdr:from>
    <cdr:to>
      <cdr:x>0.80903</cdr:x>
      <cdr:y>0.68168</cdr:y>
    </cdr:to>
    <cdr:sp macro="" textlink="">
      <cdr:nvSpPr>
        <cdr:cNvPr id="986113" name="Text Box 1"/>
        <cdr:cNvSpPr txBox="1">
          <a:spLocks xmlns:a="http://schemas.openxmlformats.org/drawingml/2006/main" noChangeArrowheads="1"/>
        </cdr:cNvSpPr>
      </cdr:nvSpPr>
      <cdr:spPr bwMode="auto">
        <a:xfrm xmlns:a="http://schemas.openxmlformats.org/drawingml/2006/main">
          <a:off x="884131" y="1363348"/>
          <a:ext cx="706389" cy="194972"/>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FF0000"/>
              </a:solidFill>
              <a:latin typeface="Arial"/>
              <a:ea typeface="Arial"/>
              <a:cs typeface="Arial"/>
            </a:rPr>
            <a:t>Intervention</a:t>
          </a:r>
        </a:p>
      </cdr:txBody>
    </cdr:sp>
  </cdr:relSizeAnchor>
  <cdr:relSizeAnchor xmlns:cdr="http://schemas.openxmlformats.org/drawingml/2006/chartDrawing">
    <cdr:from>
      <cdr:x>0.22297</cdr:x>
      <cdr:y>0.20808</cdr:y>
    </cdr:from>
    <cdr:to>
      <cdr:x>0.68821</cdr:x>
      <cdr:y>0.29336</cdr:y>
    </cdr:to>
    <cdr:sp macro="" textlink="">
      <cdr:nvSpPr>
        <cdr:cNvPr id="986114" name="Text Box 2"/>
        <cdr:cNvSpPr txBox="1">
          <a:spLocks xmlns:a="http://schemas.openxmlformats.org/drawingml/2006/main" noChangeArrowheads="1"/>
        </cdr:cNvSpPr>
      </cdr:nvSpPr>
      <cdr:spPr bwMode="auto">
        <a:xfrm xmlns:a="http://schemas.openxmlformats.org/drawingml/2006/main">
          <a:off x="438350" y="475681"/>
          <a:ext cx="914643" cy="19495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userShapes>
</file>

<file path=xl/drawings/drawing35.xml><?xml version="1.0" encoding="utf-8"?>
<c:userShapes xmlns:c="http://schemas.openxmlformats.org/drawingml/2006/chart">
  <cdr:relSizeAnchor xmlns:cdr="http://schemas.openxmlformats.org/drawingml/2006/chartDrawing">
    <cdr:from>
      <cdr:x>0.47468</cdr:x>
      <cdr:y>0.4069</cdr:y>
    </cdr:from>
    <cdr:to>
      <cdr:x>0.93328</cdr:x>
      <cdr:y>0.53022</cdr:y>
    </cdr:to>
    <cdr:sp macro="" textlink="">
      <cdr:nvSpPr>
        <cdr:cNvPr id="2" name="TextBox 1"/>
        <cdr:cNvSpPr txBox="1"/>
      </cdr:nvSpPr>
      <cdr:spPr>
        <a:xfrm xmlns:a="http://schemas.openxmlformats.org/drawingml/2006/main">
          <a:off x="933201" y="930178"/>
          <a:ext cx="901590" cy="28191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pPr marL="0" marR="0" indent="0" defTabSz="914400" rtl="0" eaLnBrk="1" fontAlgn="auto" latinLnBrk="0" hangingPunct="1">
            <a:lnSpc>
              <a:spcPct val="100000"/>
            </a:lnSpc>
            <a:spcBef>
              <a:spcPts val="0"/>
            </a:spcBef>
            <a:spcAft>
              <a:spcPts val="0"/>
            </a:spcAft>
            <a:buClrTx/>
            <a:buSzTx/>
            <a:buFontTx/>
            <a:buNone/>
            <a:tabLst/>
            <a:defRPr/>
          </a:pPr>
          <a:r>
            <a:rPr lang="en-US" sz="1000" b="0" i="0" baseline="0">
              <a:effectLst/>
              <a:latin typeface="Arial"/>
              <a:ea typeface="+mn-ea"/>
              <a:cs typeface="Arial"/>
            </a:rPr>
            <a:t>Reference</a:t>
          </a:r>
          <a:endParaRPr lang="en-US" sz="1000">
            <a:effectLst/>
            <a:latin typeface="Arial"/>
            <a:cs typeface="Arial"/>
          </a:endParaRPr>
        </a:p>
      </cdr:txBody>
    </cdr:sp>
  </cdr:relSizeAnchor>
  <cdr:relSizeAnchor xmlns:cdr="http://schemas.openxmlformats.org/drawingml/2006/chartDrawing">
    <cdr:from>
      <cdr:x>0.28703</cdr:x>
      <cdr:y>0.60366</cdr:y>
    </cdr:from>
    <cdr:to>
      <cdr:x>0.74563</cdr:x>
      <cdr:y>0.75009</cdr:y>
    </cdr:to>
    <cdr:sp macro="" textlink="">
      <cdr:nvSpPr>
        <cdr:cNvPr id="3" name="TextBox 2"/>
        <cdr:cNvSpPr txBox="1"/>
      </cdr:nvSpPr>
      <cdr:spPr>
        <a:xfrm xmlns:a="http://schemas.openxmlformats.org/drawingml/2006/main">
          <a:off x="564291" y="1379974"/>
          <a:ext cx="901590" cy="334739"/>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000">
              <a:solidFill>
                <a:srgbClr val="FF0000"/>
              </a:solidFill>
              <a:latin typeface="Arial"/>
              <a:cs typeface="Arial"/>
            </a:rPr>
            <a:t>Intervention</a:t>
          </a:r>
        </a:p>
      </cdr:txBody>
    </cdr:sp>
  </cdr:relSizeAnchor>
</c:userShapes>
</file>

<file path=xl/drawings/drawing36.xml><?xml version="1.0" encoding="utf-8"?>
<c:userShapes xmlns:c="http://schemas.openxmlformats.org/drawingml/2006/chart">
  <cdr:relSizeAnchor xmlns:cdr="http://schemas.openxmlformats.org/drawingml/2006/chartDrawing">
    <cdr:from>
      <cdr:x>0.41551</cdr:x>
      <cdr:y>0.7854</cdr:y>
    </cdr:from>
    <cdr:to>
      <cdr:x>0.41551</cdr:x>
      <cdr:y>0.7854</cdr:y>
    </cdr:to>
    <cdr:sp macro="" textlink="">
      <cdr:nvSpPr>
        <cdr:cNvPr id="988161" name="Text Box 1"/>
        <cdr:cNvSpPr txBox="1">
          <a:spLocks xmlns:a="http://schemas.openxmlformats.org/drawingml/2006/main" noChangeArrowheads="1"/>
        </cdr:cNvSpPr>
      </cdr:nvSpPr>
      <cdr:spPr bwMode="auto">
        <a:xfrm xmlns:a="http://schemas.openxmlformats.org/drawingml/2006/main">
          <a:off x="833755" y="1695691"/>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0.40977</cdr:x>
      <cdr:y>0.29191</cdr:y>
    </cdr:from>
    <cdr:to>
      <cdr:x>0.86837</cdr:x>
      <cdr:y>0.43392</cdr:y>
    </cdr:to>
    <cdr:sp macro="" textlink="">
      <cdr:nvSpPr>
        <cdr:cNvPr id="2" name="TextBox 1"/>
        <cdr:cNvSpPr txBox="1"/>
      </cdr:nvSpPr>
      <cdr:spPr>
        <a:xfrm xmlns:a="http://schemas.openxmlformats.org/drawingml/2006/main">
          <a:off x="817032" y="626523"/>
          <a:ext cx="914403" cy="30479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pPr marL="0" marR="0" indent="0" defTabSz="914400" rtl="0" eaLnBrk="1" fontAlgn="auto" latinLnBrk="0" hangingPunct="1">
            <a:lnSpc>
              <a:spcPct val="100000"/>
            </a:lnSpc>
            <a:spcBef>
              <a:spcPts val="0"/>
            </a:spcBef>
            <a:spcAft>
              <a:spcPts val="0"/>
            </a:spcAft>
            <a:buClrTx/>
            <a:buSzTx/>
            <a:buFontTx/>
            <a:buNone/>
            <a:tabLst/>
            <a:defRPr/>
          </a:pPr>
          <a:r>
            <a:rPr lang="en-US" sz="1000" b="0" i="0" baseline="0">
              <a:effectLst/>
              <a:latin typeface="Arial"/>
              <a:ea typeface="+mn-ea"/>
              <a:cs typeface="Arial"/>
            </a:rPr>
            <a:t>Reference</a:t>
          </a:r>
          <a:endParaRPr lang="en-US" sz="1000">
            <a:effectLst/>
            <a:latin typeface="Arial"/>
            <a:cs typeface="Arial"/>
          </a:endParaRPr>
        </a:p>
      </cdr:txBody>
    </cdr:sp>
  </cdr:relSizeAnchor>
  <cdr:relSizeAnchor xmlns:cdr="http://schemas.openxmlformats.org/drawingml/2006/chartDrawing">
    <cdr:from>
      <cdr:x>0.40073</cdr:x>
      <cdr:y>0.59814</cdr:y>
    </cdr:from>
    <cdr:to>
      <cdr:x>0.88933</cdr:x>
      <cdr:y>0.71626</cdr:y>
    </cdr:to>
    <cdr:sp macro="" textlink="">
      <cdr:nvSpPr>
        <cdr:cNvPr id="990210" name="Text Box 2"/>
        <cdr:cNvSpPr txBox="1">
          <a:spLocks xmlns:a="http://schemas.openxmlformats.org/drawingml/2006/main" noChangeArrowheads="1"/>
        </cdr:cNvSpPr>
      </cdr:nvSpPr>
      <cdr:spPr bwMode="auto">
        <a:xfrm xmlns:a="http://schemas.openxmlformats.org/drawingml/2006/main">
          <a:off x="768471" y="1329357"/>
          <a:ext cx="936988" cy="262521"/>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FF0000"/>
              </a:solidFill>
              <a:latin typeface="Arial"/>
              <a:ea typeface="Arial"/>
              <a:cs typeface="Arial"/>
            </a:rPr>
            <a:t>Intervention</a:t>
          </a:r>
        </a:p>
      </cdr:txBody>
    </cdr:sp>
  </cdr:relSizeAnchor>
</c:userShapes>
</file>

<file path=xl/drawings/drawing37.xml><?xml version="1.0" encoding="utf-8"?>
<c:userShapes xmlns:c="http://schemas.openxmlformats.org/drawingml/2006/chart">
  <cdr:relSizeAnchor xmlns:cdr="http://schemas.openxmlformats.org/drawingml/2006/chartDrawing">
    <cdr:from>
      <cdr:x>0.39689</cdr:x>
      <cdr:y>0.65713</cdr:y>
    </cdr:from>
    <cdr:to>
      <cdr:x>0.39689</cdr:x>
      <cdr:y>0.65713</cdr:y>
    </cdr:to>
    <cdr:sp macro="" textlink="">
      <cdr:nvSpPr>
        <cdr:cNvPr id="989185" name="Text Box 1"/>
        <cdr:cNvSpPr txBox="1">
          <a:spLocks xmlns:a="http://schemas.openxmlformats.org/drawingml/2006/main" noChangeArrowheads="1"/>
        </cdr:cNvSpPr>
      </cdr:nvSpPr>
      <cdr:spPr bwMode="auto">
        <a:xfrm xmlns:a="http://schemas.openxmlformats.org/drawingml/2006/main">
          <a:off x="745998" y="1443784"/>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0.4877</cdr:x>
      <cdr:y>0.52122</cdr:y>
    </cdr:from>
    <cdr:to>
      <cdr:x>0.4877</cdr:x>
      <cdr:y>0.52122</cdr:y>
    </cdr:to>
    <cdr:sp macro="" textlink="">
      <cdr:nvSpPr>
        <cdr:cNvPr id="989186" name="Text Box 2"/>
        <cdr:cNvSpPr txBox="1">
          <a:spLocks xmlns:a="http://schemas.openxmlformats.org/drawingml/2006/main" noChangeArrowheads="1"/>
        </cdr:cNvSpPr>
      </cdr:nvSpPr>
      <cdr:spPr bwMode="auto">
        <a:xfrm xmlns:a="http://schemas.openxmlformats.org/drawingml/2006/main">
          <a:off x="916686" y="1145175"/>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0.47379</cdr:x>
      <cdr:y>0.30953</cdr:y>
    </cdr:from>
    <cdr:to>
      <cdr:x>0.9148</cdr:x>
      <cdr:y>0.41215</cdr:y>
    </cdr:to>
    <cdr:sp macro="" textlink="">
      <cdr:nvSpPr>
        <cdr:cNvPr id="2" name="Text Box 1">
          <a:extLst xmlns:a="http://schemas.openxmlformats.org/drawingml/2006/main">
            <a:ext uri="{FF2B5EF4-FFF2-40B4-BE49-F238E27FC236}">
              <a16:creationId xmlns:a16="http://schemas.microsoft.com/office/drawing/2014/main" id="{D90CE6BE-ED0A-AB4C-A0A0-B3F296A2899F}"/>
            </a:ext>
          </a:extLst>
        </cdr:cNvPr>
        <cdr:cNvSpPr txBox="1">
          <a:spLocks xmlns:a="http://schemas.openxmlformats.org/drawingml/2006/main" noChangeArrowheads="1"/>
        </cdr:cNvSpPr>
      </cdr:nvSpPr>
      <cdr:spPr bwMode="auto">
        <a:xfrm xmlns:a="http://schemas.openxmlformats.org/drawingml/2006/main">
          <a:off x="931453" y="707575"/>
          <a:ext cx="867008" cy="23459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0.42657</cdr:x>
      <cdr:y>0.56481</cdr:y>
    </cdr:from>
    <cdr:to>
      <cdr:x>0.91517</cdr:x>
      <cdr:y>0.68293</cdr:y>
    </cdr:to>
    <cdr:sp macro="" textlink="">
      <cdr:nvSpPr>
        <cdr:cNvPr id="3" name="Text Box 2">
          <a:extLst xmlns:a="http://schemas.openxmlformats.org/drawingml/2006/main">
            <a:ext uri="{FF2B5EF4-FFF2-40B4-BE49-F238E27FC236}">
              <a16:creationId xmlns:a16="http://schemas.microsoft.com/office/drawing/2014/main" id="{6780DBFE-B99E-C546-B93D-DE6703DD4A18}"/>
            </a:ext>
          </a:extLst>
        </cdr:cNvPr>
        <cdr:cNvSpPr txBox="1">
          <a:spLocks xmlns:a="http://schemas.openxmlformats.org/drawingml/2006/main" noChangeArrowheads="1"/>
        </cdr:cNvSpPr>
      </cdr:nvSpPr>
      <cdr:spPr bwMode="auto">
        <a:xfrm xmlns:a="http://schemas.openxmlformats.org/drawingml/2006/main">
          <a:off x="838619" y="1291148"/>
          <a:ext cx="960568" cy="270022"/>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FF0000"/>
              </a:solidFill>
              <a:latin typeface="Arial"/>
              <a:ea typeface="Arial"/>
              <a:cs typeface="Arial"/>
            </a:rPr>
            <a:t>Intervention</a:t>
          </a:r>
        </a:p>
      </cdr:txBody>
    </cdr:sp>
  </cdr:relSizeAnchor>
</c:userShapes>
</file>

<file path=xl/drawings/drawing38.xml><?xml version="1.0" encoding="utf-8"?>
<c:userShapes xmlns:c="http://schemas.openxmlformats.org/drawingml/2006/chart">
  <cdr:relSizeAnchor xmlns:cdr="http://schemas.openxmlformats.org/drawingml/2006/chartDrawing">
    <cdr:from>
      <cdr:x>0.44868</cdr:x>
      <cdr:y>0.45782</cdr:y>
    </cdr:from>
    <cdr:to>
      <cdr:x>0.44868</cdr:x>
      <cdr:y>0.45782</cdr:y>
    </cdr:to>
    <cdr:sp macro="" textlink="">
      <cdr:nvSpPr>
        <cdr:cNvPr id="991233" name="Text Box 1"/>
        <cdr:cNvSpPr txBox="1">
          <a:spLocks xmlns:a="http://schemas.openxmlformats.org/drawingml/2006/main" noChangeArrowheads="1"/>
        </cdr:cNvSpPr>
      </cdr:nvSpPr>
      <cdr:spPr bwMode="auto">
        <a:xfrm xmlns:a="http://schemas.openxmlformats.org/drawingml/2006/main">
          <a:off x="843344" y="994248"/>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0.58135</cdr:x>
      <cdr:y>0.30769</cdr:y>
    </cdr:from>
    <cdr:to>
      <cdr:x>0.58135</cdr:x>
      <cdr:y>0.30769</cdr:y>
    </cdr:to>
    <cdr:sp macro="" textlink="">
      <cdr:nvSpPr>
        <cdr:cNvPr id="991234" name="Text Box 2"/>
        <cdr:cNvSpPr txBox="1">
          <a:spLocks xmlns:a="http://schemas.openxmlformats.org/drawingml/2006/main" noChangeArrowheads="1"/>
        </cdr:cNvSpPr>
      </cdr:nvSpPr>
      <cdr:spPr bwMode="auto">
        <a:xfrm xmlns:a="http://schemas.openxmlformats.org/drawingml/2006/main">
          <a:off x="1092708" y="668207"/>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0.40186</cdr:x>
      <cdr:y>0.36155</cdr:y>
    </cdr:from>
    <cdr:to>
      <cdr:x>0.81074</cdr:x>
      <cdr:y>0.56815</cdr:y>
    </cdr:to>
    <cdr:sp macro="" textlink="">
      <cdr:nvSpPr>
        <cdr:cNvPr id="991235" name="Text Box 3"/>
        <cdr:cNvSpPr txBox="1">
          <a:spLocks xmlns:a="http://schemas.openxmlformats.org/drawingml/2006/main" noChangeArrowheads="1"/>
        </cdr:cNvSpPr>
      </cdr:nvSpPr>
      <cdr:spPr bwMode="auto">
        <a:xfrm xmlns:a="http://schemas.openxmlformats.org/drawingml/2006/main">
          <a:off x="755333" y="785168"/>
          <a:ext cx="768540" cy="448694"/>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endParaRPr lang="en-US" sz="1000" b="0" i="0" u="none" strike="noStrike" baseline="0">
            <a:solidFill>
              <a:srgbClr val="FF0000"/>
            </a:solidFill>
            <a:latin typeface="Arial"/>
            <a:ea typeface="Arial"/>
            <a:cs typeface="Arial"/>
          </a:endParaRPr>
        </a:p>
      </cdr:txBody>
    </cdr:sp>
  </cdr:relSizeAnchor>
  <cdr:relSizeAnchor xmlns:cdr="http://schemas.openxmlformats.org/drawingml/2006/chartDrawing">
    <cdr:from>
      <cdr:x>0.5289</cdr:x>
      <cdr:y>0.29477</cdr:y>
    </cdr:from>
    <cdr:to>
      <cdr:x>0.91818</cdr:x>
      <cdr:y>0.38532</cdr:y>
    </cdr:to>
    <cdr:sp macro="" textlink="">
      <cdr:nvSpPr>
        <cdr:cNvPr id="5" name="Text Box 3"/>
        <cdr:cNvSpPr txBox="1">
          <a:spLocks xmlns:a="http://schemas.openxmlformats.org/drawingml/2006/main" noChangeArrowheads="1"/>
        </cdr:cNvSpPr>
      </cdr:nvSpPr>
      <cdr:spPr bwMode="auto">
        <a:xfrm xmlns:a="http://schemas.openxmlformats.org/drawingml/2006/main">
          <a:off x="1039796" y="673842"/>
          <a:ext cx="765309" cy="206997"/>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wrap="none" lIns="18288" tIns="18288" rIns="0" bIns="0" anchor="t" upright="1">
          <a:sp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0.38435</cdr:x>
      <cdr:y>0.44412</cdr:y>
    </cdr:from>
    <cdr:to>
      <cdr:x>0.78766</cdr:x>
      <cdr:y>0.53442</cdr:y>
    </cdr:to>
    <cdr:sp macro="" textlink="">
      <cdr:nvSpPr>
        <cdr:cNvPr id="6" name="Text Box 1"/>
        <cdr:cNvSpPr txBox="1">
          <a:spLocks xmlns:a="http://schemas.openxmlformats.org/drawingml/2006/main" noChangeArrowheads="1"/>
        </cdr:cNvSpPr>
      </cdr:nvSpPr>
      <cdr:spPr bwMode="auto">
        <a:xfrm xmlns:a="http://schemas.openxmlformats.org/drawingml/2006/main">
          <a:off x="717550" y="958850"/>
          <a:ext cx="752934" cy="194973"/>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wrap="square" lIns="27432" tIns="18288" rIns="0" bIns="0" anchor="t" upright="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rtl="0">
            <a:defRPr sz="1000"/>
          </a:pPr>
          <a:r>
            <a:rPr lang="en-US" sz="1000" b="0" i="0" u="none" strike="noStrike" baseline="0">
              <a:solidFill>
                <a:srgbClr val="FF0000"/>
              </a:solidFill>
              <a:latin typeface="Arial"/>
              <a:ea typeface="Arial"/>
              <a:cs typeface="Arial"/>
            </a:rPr>
            <a:t>Intervention</a:t>
          </a:r>
        </a:p>
      </cdr:txBody>
    </cdr:sp>
  </cdr:relSizeAnchor>
  <cdr:relSizeAnchor xmlns:cdr="http://schemas.openxmlformats.org/drawingml/2006/chartDrawing">
    <cdr:from>
      <cdr:x>0.44868</cdr:x>
      <cdr:y>0.45782</cdr:y>
    </cdr:from>
    <cdr:to>
      <cdr:x>0.44868</cdr:x>
      <cdr:y>0.45782</cdr:y>
    </cdr:to>
    <cdr:sp macro="" textlink="">
      <cdr:nvSpPr>
        <cdr:cNvPr id="2" name="Text Box 1">
          <a:extLst xmlns:a="http://schemas.openxmlformats.org/drawingml/2006/main">
            <a:ext uri="{FF2B5EF4-FFF2-40B4-BE49-F238E27FC236}">
              <a16:creationId xmlns:a16="http://schemas.microsoft.com/office/drawing/2014/main" id="{369315F4-1CB3-7348-AC2E-B860256043FB}"/>
            </a:ext>
          </a:extLst>
        </cdr:cNvPr>
        <cdr:cNvSpPr txBox="1">
          <a:spLocks xmlns:a="http://schemas.openxmlformats.org/drawingml/2006/main" noChangeArrowheads="1"/>
        </cdr:cNvSpPr>
      </cdr:nvSpPr>
      <cdr:spPr bwMode="auto">
        <a:xfrm xmlns:a="http://schemas.openxmlformats.org/drawingml/2006/main">
          <a:off x="843344" y="994248"/>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0.58135</cdr:x>
      <cdr:y>0.30769</cdr:y>
    </cdr:from>
    <cdr:to>
      <cdr:x>0.58135</cdr:x>
      <cdr:y>0.30769</cdr:y>
    </cdr:to>
    <cdr:sp macro="" textlink="">
      <cdr:nvSpPr>
        <cdr:cNvPr id="3" name="Text Box 2">
          <a:extLst xmlns:a="http://schemas.openxmlformats.org/drawingml/2006/main">
            <a:ext uri="{FF2B5EF4-FFF2-40B4-BE49-F238E27FC236}">
              <a16:creationId xmlns:a16="http://schemas.microsoft.com/office/drawing/2014/main" id="{A3EDD801-3AE7-124C-8E4E-BF5D2DB21655}"/>
            </a:ext>
          </a:extLst>
        </cdr:cNvPr>
        <cdr:cNvSpPr txBox="1">
          <a:spLocks xmlns:a="http://schemas.openxmlformats.org/drawingml/2006/main" noChangeArrowheads="1"/>
        </cdr:cNvSpPr>
      </cdr:nvSpPr>
      <cdr:spPr bwMode="auto">
        <a:xfrm xmlns:a="http://schemas.openxmlformats.org/drawingml/2006/main">
          <a:off x="1092708" y="668207"/>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0.40186</cdr:x>
      <cdr:y>0.36155</cdr:y>
    </cdr:from>
    <cdr:to>
      <cdr:x>0.81074</cdr:x>
      <cdr:y>0.56815</cdr:y>
    </cdr:to>
    <cdr:sp macro="" textlink="">
      <cdr:nvSpPr>
        <cdr:cNvPr id="4" name="Text Box 3">
          <a:extLst xmlns:a="http://schemas.openxmlformats.org/drawingml/2006/main">
            <a:ext uri="{FF2B5EF4-FFF2-40B4-BE49-F238E27FC236}">
              <a16:creationId xmlns:a16="http://schemas.microsoft.com/office/drawing/2014/main" id="{2B43395B-3576-8A40-BD93-3EE76C97170A}"/>
            </a:ext>
          </a:extLst>
        </cdr:cNvPr>
        <cdr:cNvSpPr txBox="1">
          <a:spLocks xmlns:a="http://schemas.openxmlformats.org/drawingml/2006/main" noChangeArrowheads="1"/>
        </cdr:cNvSpPr>
      </cdr:nvSpPr>
      <cdr:spPr bwMode="auto">
        <a:xfrm xmlns:a="http://schemas.openxmlformats.org/drawingml/2006/main">
          <a:off x="755333" y="785168"/>
          <a:ext cx="768540" cy="448694"/>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endParaRPr lang="en-US" sz="1000" b="0" i="0" u="none" strike="noStrike" baseline="0">
            <a:solidFill>
              <a:srgbClr val="FF0000"/>
            </a:solidFill>
            <a:latin typeface="Arial"/>
            <a:ea typeface="Arial"/>
            <a:cs typeface="Arial"/>
          </a:endParaRPr>
        </a:p>
      </cdr:txBody>
    </cdr:sp>
  </cdr:relSizeAnchor>
</c:userShapes>
</file>

<file path=xl/drawings/drawing39.xml><?xml version="1.0" encoding="utf-8"?>
<c:userShapes xmlns:c="http://schemas.openxmlformats.org/drawingml/2006/chart">
  <cdr:relSizeAnchor xmlns:cdr="http://schemas.openxmlformats.org/drawingml/2006/chartDrawing">
    <cdr:from>
      <cdr:x>0.50969</cdr:x>
      <cdr:y>0.68889</cdr:y>
    </cdr:from>
    <cdr:to>
      <cdr:x>0.8528</cdr:x>
      <cdr:y>0.77677</cdr:y>
    </cdr:to>
    <cdr:sp macro="" textlink="">
      <cdr:nvSpPr>
        <cdr:cNvPr id="2" name="Text Box 4"/>
        <cdr:cNvSpPr txBox="1">
          <a:spLocks xmlns:a="http://schemas.openxmlformats.org/drawingml/2006/main" noChangeArrowheads="1"/>
        </cdr:cNvSpPr>
      </cdr:nvSpPr>
      <cdr:spPr bwMode="auto">
        <a:xfrm xmlns:a="http://schemas.openxmlformats.org/drawingml/2006/main">
          <a:off x="1002026" y="1574795"/>
          <a:ext cx="674541" cy="200894"/>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wrap="none" lIns="18288" tIns="18288" rIns="0" bIns="0" anchor="t" upright="1">
          <a:sp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0.36122</cdr:x>
      <cdr:y>0.76667</cdr:y>
    </cdr:from>
    <cdr:to>
      <cdr:x>0.82573</cdr:x>
      <cdr:y>0.91852</cdr:y>
    </cdr:to>
    <cdr:sp macro="" textlink="">
      <cdr:nvSpPr>
        <cdr:cNvPr id="3" name="TextBox 2"/>
        <cdr:cNvSpPr txBox="1"/>
      </cdr:nvSpPr>
      <cdr:spPr>
        <a:xfrm xmlns:a="http://schemas.openxmlformats.org/drawingml/2006/main">
          <a:off x="710144" y="1752603"/>
          <a:ext cx="913209" cy="347129"/>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a:solidFill>
                <a:srgbClr val="FF0000"/>
              </a:solidFill>
            </a:rPr>
            <a:t>Intervention</a:t>
          </a:r>
        </a:p>
      </cdr:txBody>
    </cdr:sp>
  </cdr:relSizeAnchor>
  <cdr:relSizeAnchor xmlns:cdr="http://schemas.openxmlformats.org/drawingml/2006/chartDrawing">
    <cdr:from>
      <cdr:x>0.534</cdr:x>
      <cdr:y>0.59471</cdr:y>
    </cdr:from>
    <cdr:to>
      <cdr:x>0.534</cdr:x>
      <cdr:y>0.59471</cdr:y>
    </cdr:to>
    <cdr:sp macro="" textlink="">
      <cdr:nvSpPr>
        <cdr:cNvPr id="4" name="Text Box 1">
          <a:extLst xmlns:a="http://schemas.openxmlformats.org/drawingml/2006/main">
            <a:ext uri="{FF2B5EF4-FFF2-40B4-BE49-F238E27FC236}">
              <a16:creationId xmlns:a16="http://schemas.microsoft.com/office/drawing/2014/main" id="{CF225389-39BD-E641-8D6D-88BB661161D6}"/>
            </a:ext>
          </a:extLst>
        </cdr:cNvPr>
        <cdr:cNvSpPr txBox="1">
          <a:spLocks xmlns:a="http://schemas.openxmlformats.org/drawingml/2006/main" noChangeArrowheads="1"/>
        </cdr:cNvSpPr>
      </cdr:nvSpPr>
      <cdr:spPr bwMode="auto">
        <a:xfrm xmlns:a="http://schemas.openxmlformats.org/drawingml/2006/main">
          <a:off x="976579" y="1321749"/>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0.65276</cdr:x>
      <cdr:y>0.80561</cdr:y>
    </cdr:from>
    <cdr:to>
      <cdr:x>0.65276</cdr:x>
      <cdr:y>0.80561</cdr:y>
    </cdr:to>
    <cdr:sp macro="" textlink="">
      <cdr:nvSpPr>
        <cdr:cNvPr id="5" name="Text Box 2">
          <a:extLst xmlns:a="http://schemas.openxmlformats.org/drawingml/2006/main">
            <a:ext uri="{FF2B5EF4-FFF2-40B4-BE49-F238E27FC236}">
              <a16:creationId xmlns:a16="http://schemas.microsoft.com/office/drawing/2014/main" id="{94B9A5A3-6969-2B43-AC1B-64DEE0F8F153}"/>
            </a:ext>
          </a:extLst>
        </cdr:cNvPr>
        <cdr:cNvSpPr txBox="1">
          <a:spLocks xmlns:a="http://schemas.openxmlformats.org/drawingml/2006/main" noChangeArrowheads="1"/>
        </cdr:cNvSpPr>
      </cdr:nvSpPr>
      <cdr:spPr bwMode="auto">
        <a:xfrm xmlns:a="http://schemas.openxmlformats.org/drawingml/2006/main">
          <a:off x="1193775" y="1790468"/>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-1.4%</a:t>
          </a:r>
        </a:p>
      </cdr:txBody>
    </cdr:sp>
  </cdr:relSizeAnchor>
  <cdr:relSizeAnchor xmlns:cdr="http://schemas.openxmlformats.org/drawingml/2006/chartDrawing">
    <cdr:from>
      <cdr:x>0.76704</cdr:x>
      <cdr:y>0.74883</cdr:y>
    </cdr:from>
    <cdr:to>
      <cdr:x>0.76704</cdr:x>
      <cdr:y>0.74883</cdr:y>
    </cdr:to>
    <cdr:sp macro="" textlink="">
      <cdr:nvSpPr>
        <cdr:cNvPr id="6" name="Text Box 3">
          <a:extLst xmlns:a="http://schemas.openxmlformats.org/drawingml/2006/main">
            <a:ext uri="{FF2B5EF4-FFF2-40B4-BE49-F238E27FC236}">
              <a16:creationId xmlns:a16="http://schemas.microsoft.com/office/drawing/2014/main" id="{743FD2C7-821D-4541-A347-0C821D55654B}"/>
            </a:ext>
          </a:extLst>
        </cdr:cNvPr>
        <cdr:cNvSpPr txBox="1">
          <a:spLocks xmlns:a="http://schemas.openxmlformats.org/drawingml/2006/main" noChangeArrowheads="1"/>
        </cdr:cNvSpPr>
      </cdr:nvSpPr>
      <cdr:spPr bwMode="auto">
        <a:xfrm xmlns:a="http://schemas.openxmlformats.org/drawingml/2006/main">
          <a:off x="1402766" y="1664275"/>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a:t>
          </a:r>
        </a:p>
      </cdr:txBody>
    </cdr:sp>
  </cdr:relSizeAnchor>
  <cdr:relSizeAnchor xmlns:cdr="http://schemas.openxmlformats.org/drawingml/2006/chartDrawing">
    <cdr:from>
      <cdr:x>0.26436</cdr:x>
      <cdr:y>0.70827</cdr:y>
    </cdr:from>
    <cdr:to>
      <cdr:x>0.26436</cdr:x>
      <cdr:y>0.70827</cdr:y>
    </cdr:to>
    <cdr:sp macro="" textlink="">
      <cdr:nvSpPr>
        <cdr:cNvPr id="7" name="Text Box 4">
          <a:extLst xmlns:a="http://schemas.openxmlformats.org/drawingml/2006/main">
            <a:ext uri="{FF2B5EF4-FFF2-40B4-BE49-F238E27FC236}">
              <a16:creationId xmlns:a16="http://schemas.microsoft.com/office/drawing/2014/main" id="{F72E4C2B-9CD6-A34E-8667-8ADEB477766E}"/>
            </a:ext>
          </a:extLst>
        </cdr:cNvPr>
        <cdr:cNvSpPr txBox="1">
          <a:spLocks xmlns:a="http://schemas.openxmlformats.org/drawingml/2006/main" noChangeArrowheads="1"/>
        </cdr:cNvSpPr>
      </cdr:nvSpPr>
      <cdr:spPr bwMode="auto">
        <a:xfrm xmlns:a="http://schemas.openxmlformats.org/drawingml/2006/main">
          <a:off x="483464" y="1574136"/>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userShapes>
</file>

<file path=xl/drawings/drawing40.xml><?xml version="1.0" encoding="utf-8"?>
<c:userShapes xmlns:c="http://schemas.openxmlformats.org/drawingml/2006/chart">
  <cdr:relSizeAnchor xmlns:cdr="http://schemas.openxmlformats.org/drawingml/2006/chartDrawing">
    <cdr:from>
      <cdr:x>0.40006</cdr:x>
      <cdr:y>0.48333</cdr:y>
    </cdr:from>
    <cdr:to>
      <cdr:x>0.86458</cdr:x>
      <cdr:y>0.62036</cdr:y>
    </cdr:to>
    <cdr:sp macro="" textlink="">
      <cdr:nvSpPr>
        <cdr:cNvPr id="3" name="TextBox 2"/>
        <cdr:cNvSpPr txBox="1"/>
      </cdr:nvSpPr>
      <cdr:spPr>
        <a:xfrm xmlns:a="http://schemas.openxmlformats.org/drawingml/2006/main">
          <a:off x="786502" y="1104895"/>
          <a:ext cx="913228" cy="313251"/>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000">
              <a:latin typeface="Arial"/>
              <a:cs typeface="Arial"/>
            </a:rPr>
            <a:t>Reference</a:t>
          </a:r>
        </a:p>
      </cdr:txBody>
    </cdr:sp>
  </cdr:relSizeAnchor>
  <cdr:relSizeAnchor xmlns:cdr="http://schemas.openxmlformats.org/drawingml/2006/chartDrawing">
    <cdr:from>
      <cdr:x>0.43227</cdr:x>
      <cdr:y>0.61111</cdr:y>
    </cdr:from>
    <cdr:to>
      <cdr:x>0.89678</cdr:x>
      <cdr:y>0.72407</cdr:y>
    </cdr:to>
    <cdr:sp macro="" textlink="">
      <cdr:nvSpPr>
        <cdr:cNvPr id="4" name="TextBox 3"/>
        <cdr:cNvSpPr txBox="1"/>
      </cdr:nvSpPr>
      <cdr:spPr>
        <a:xfrm xmlns:a="http://schemas.openxmlformats.org/drawingml/2006/main">
          <a:off x="849825" y="1396990"/>
          <a:ext cx="913209" cy="258245"/>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a:solidFill>
                <a:srgbClr val="FF0000"/>
              </a:solidFill>
            </a:rPr>
            <a:t>Intervention</a:t>
          </a:r>
        </a:p>
      </cdr:txBody>
    </cdr:sp>
  </cdr:relSizeAnchor>
  <cdr:relSizeAnchor xmlns:cdr="http://schemas.openxmlformats.org/drawingml/2006/chartDrawing">
    <cdr:from>
      <cdr:x>0.26456</cdr:x>
      <cdr:y>0.75556</cdr:y>
    </cdr:from>
    <cdr:to>
      <cdr:x>0.76348</cdr:x>
      <cdr:y>0.8926</cdr:y>
    </cdr:to>
    <cdr:sp macro="" textlink="">
      <cdr:nvSpPr>
        <cdr:cNvPr id="5" name="TextBox 4"/>
        <cdr:cNvSpPr txBox="1"/>
      </cdr:nvSpPr>
      <cdr:spPr>
        <a:xfrm xmlns:a="http://schemas.openxmlformats.org/drawingml/2006/main">
          <a:off x="520114" y="1727200"/>
          <a:ext cx="980857" cy="31327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a:solidFill>
                <a:srgbClr val="008000"/>
              </a:solidFill>
            </a:rPr>
            <a:t>Biomass</a:t>
          </a:r>
          <a:r>
            <a:rPr lang="en-US" sz="1100" baseline="0">
              <a:solidFill>
                <a:srgbClr val="008000"/>
              </a:solidFill>
            </a:rPr>
            <a:t> CCS (int)</a:t>
          </a:r>
          <a:r>
            <a:rPr lang="en-US" sz="1100" baseline="30000">
              <a:solidFill>
                <a:srgbClr val="008000"/>
              </a:solidFill>
              <a:effectLst/>
              <a:latin typeface="+mn-lt"/>
              <a:ea typeface="+mn-ea"/>
              <a:cs typeface="+mn-cs"/>
            </a:rPr>
            <a:t>1</a:t>
          </a:r>
          <a:r>
            <a:rPr lang="en-US">
              <a:solidFill>
                <a:srgbClr val="008000"/>
              </a:solidFill>
              <a:effectLst/>
            </a:rPr>
            <a:t> </a:t>
          </a:r>
          <a:endParaRPr lang="en-US" sz="1100" baseline="0">
            <a:solidFill>
              <a:srgbClr val="008000"/>
            </a:solidFill>
          </a:endParaRPr>
        </a:p>
        <a:p xmlns:a="http://schemas.openxmlformats.org/drawingml/2006/main">
          <a:endParaRPr lang="en-US" sz="1100">
            <a:solidFill>
              <a:srgbClr val="008000"/>
            </a:solidFill>
          </a:endParaRPr>
        </a:p>
      </cdr:txBody>
    </cdr:sp>
  </cdr:relSizeAnchor>
</c:userShapes>
</file>

<file path=xl/drawings/drawing41.xml><?xml version="1.0" encoding="utf-8"?>
<c:userShapes xmlns:c="http://schemas.openxmlformats.org/drawingml/2006/chart">
  <cdr:relSizeAnchor xmlns:cdr="http://schemas.openxmlformats.org/drawingml/2006/chartDrawing">
    <cdr:from>
      <cdr:x>0.534</cdr:x>
      <cdr:y>0.59471</cdr:y>
    </cdr:from>
    <cdr:to>
      <cdr:x>0.534</cdr:x>
      <cdr:y>0.59471</cdr:y>
    </cdr:to>
    <cdr:sp macro="" textlink="">
      <cdr:nvSpPr>
        <cdr:cNvPr id="994305" name="Text Box 1"/>
        <cdr:cNvSpPr txBox="1">
          <a:spLocks xmlns:a="http://schemas.openxmlformats.org/drawingml/2006/main" noChangeArrowheads="1"/>
        </cdr:cNvSpPr>
      </cdr:nvSpPr>
      <cdr:spPr bwMode="auto">
        <a:xfrm xmlns:a="http://schemas.openxmlformats.org/drawingml/2006/main">
          <a:off x="976579" y="1321749"/>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0.65276</cdr:x>
      <cdr:y>0.80561</cdr:y>
    </cdr:from>
    <cdr:to>
      <cdr:x>0.65276</cdr:x>
      <cdr:y>0.80561</cdr:y>
    </cdr:to>
    <cdr:sp macro="" textlink="">
      <cdr:nvSpPr>
        <cdr:cNvPr id="994306" name="Text Box 2"/>
        <cdr:cNvSpPr txBox="1">
          <a:spLocks xmlns:a="http://schemas.openxmlformats.org/drawingml/2006/main" noChangeArrowheads="1"/>
        </cdr:cNvSpPr>
      </cdr:nvSpPr>
      <cdr:spPr bwMode="auto">
        <a:xfrm xmlns:a="http://schemas.openxmlformats.org/drawingml/2006/main">
          <a:off x="1193775" y="1790468"/>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-1.4%</a:t>
          </a:r>
        </a:p>
      </cdr:txBody>
    </cdr:sp>
  </cdr:relSizeAnchor>
  <cdr:relSizeAnchor xmlns:cdr="http://schemas.openxmlformats.org/drawingml/2006/chartDrawing">
    <cdr:from>
      <cdr:x>0.76704</cdr:x>
      <cdr:y>0.74883</cdr:y>
    </cdr:from>
    <cdr:to>
      <cdr:x>0.76704</cdr:x>
      <cdr:y>0.74883</cdr:y>
    </cdr:to>
    <cdr:sp macro="" textlink="">
      <cdr:nvSpPr>
        <cdr:cNvPr id="994307" name="Text Box 3"/>
        <cdr:cNvSpPr txBox="1">
          <a:spLocks xmlns:a="http://schemas.openxmlformats.org/drawingml/2006/main" noChangeArrowheads="1"/>
        </cdr:cNvSpPr>
      </cdr:nvSpPr>
      <cdr:spPr bwMode="auto">
        <a:xfrm xmlns:a="http://schemas.openxmlformats.org/drawingml/2006/main">
          <a:off x="1402766" y="1664275"/>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a:t>
          </a:r>
        </a:p>
      </cdr:txBody>
    </cdr:sp>
  </cdr:relSizeAnchor>
  <cdr:relSizeAnchor xmlns:cdr="http://schemas.openxmlformats.org/drawingml/2006/chartDrawing">
    <cdr:from>
      <cdr:x>0.26436</cdr:x>
      <cdr:y>0.70827</cdr:y>
    </cdr:from>
    <cdr:to>
      <cdr:x>0.26436</cdr:x>
      <cdr:y>0.70827</cdr:y>
    </cdr:to>
    <cdr:sp macro="" textlink="">
      <cdr:nvSpPr>
        <cdr:cNvPr id="994308" name="Text Box 4"/>
        <cdr:cNvSpPr txBox="1">
          <a:spLocks xmlns:a="http://schemas.openxmlformats.org/drawingml/2006/main" noChangeArrowheads="1"/>
        </cdr:cNvSpPr>
      </cdr:nvSpPr>
      <cdr:spPr bwMode="auto">
        <a:xfrm xmlns:a="http://schemas.openxmlformats.org/drawingml/2006/main">
          <a:off x="483464" y="1574136"/>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0.42225</cdr:x>
      <cdr:y>0.70422</cdr:y>
    </cdr:from>
    <cdr:to>
      <cdr:x>0.8217</cdr:x>
      <cdr:y>0.76608</cdr:y>
    </cdr:to>
    <cdr:sp macro="" textlink="">
      <cdr:nvSpPr>
        <cdr:cNvPr id="994310" name="Text Box 6"/>
        <cdr:cNvSpPr txBox="1">
          <a:spLocks xmlns:a="http://schemas.openxmlformats.org/drawingml/2006/main" noChangeArrowheads="1"/>
        </cdr:cNvSpPr>
      </cdr:nvSpPr>
      <cdr:spPr bwMode="auto">
        <a:xfrm xmlns:a="http://schemas.openxmlformats.org/drawingml/2006/main">
          <a:off x="830127" y="1586007"/>
          <a:ext cx="785302" cy="139317"/>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FF0000"/>
              </a:solidFill>
              <a:latin typeface="Arial"/>
              <a:ea typeface="Arial"/>
              <a:cs typeface="Arial"/>
            </a:rPr>
            <a:t>Intervention</a:t>
          </a:r>
        </a:p>
      </cdr:txBody>
    </cdr:sp>
  </cdr:relSizeAnchor>
  <cdr:relSizeAnchor xmlns:cdr="http://schemas.openxmlformats.org/drawingml/2006/chartDrawing">
    <cdr:from>
      <cdr:x>0.26861</cdr:x>
      <cdr:y>0.46687</cdr:y>
    </cdr:from>
    <cdr:to>
      <cdr:x>0.64002</cdr:x>
      <cdr:y>0.55443</cdr:y>
    </cdr:to>
    <cdr:sp macro="" textlink="">
      <cdr:nvSpPr>
        <cdr:cNvPr id="994311" name="Text Box 7"/>
        <cdr:cNvSpPr txBox="1">
          <a:spLocks xmlns:a="http://schemas.openxmlformats.org/drawingml/2006/main" noChangeArrowheads="1"/>
        </cdr:cNvSpPr>
      </cdr:nvSpPr>
      <cdr:spPr bwMode="auto">
        <a:xfrm xmlns:a="http://schemas.openxmlformats.org/drawingml/2006/main">
          <a:off x="528080" y="1051453"/>
          <a:ext cx="730177" cy="197197"/>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wrap="none" lIns="18288" tIns="18288" rIns="0" bIns="0" anchor="t" upright="1">
          <a:spAutoFit/>
        </a:bodyPr>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0.534</cdr:x>
      <cdr:y>0.59471</cdr:y>
    </cdr:from>
    <cdr:to>
      <cdr:x>0.534</cdr:x>
      <cdr:y>0.59471</cdr:y>
    </cdr:to>
    <cdr:sp macro="" textlink="">
      <cdr:nvSpPr>
        <cdr:cNvPr id="2" name="Text Box 1">
          <a:extLst xmlns:a="http://schemas.openxmlformats.org/drawingml/2006/main">
            <a:ext uri="{FF2B5EF4-FFF2-40B4-BE49-F238E27FC236}">
              <a16:creationId xmlns:a16="http://schemas.microsoft.com/office/drawing/2014/main" id="{D82BAD52-C122-E14F-B3BB-3718C0599EA6}"/>
            </a:ext>
          </a:extLst>
        </cdr:cNvPr>
        <cdr:cNvSpPr txBox="1">
          <a:spLocks xmlns:a="http://schemas.openxmlformats.org/drawingml/2006/main" noChangeArrowheads="1"/>
        </cdr:cNvSpPr>
      </cdr:nvSpPr>
      <cdr:spPr bwMode="auto">
        <a:xfrm xmlns:a="http://schemas.openxmlformats.org/drawingml/2006/main">
          <a:off x="976579" y="1321749"/>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0.65276</cdr:x>
      <cdr:y>0.80561</cdr:y>
    </cdr:from>
    <cdr:to>
      <cdr:x>0.65276</cdr:x>
      <cdr:y>0.80561</cdr:y>
    </cdr:to>
    <cdr:sp macro="" textlink="">
      <cdr:nvSpPr>
        <cdr:cNvPr id="3" name="Text Box 2">
          <a:extLst xmlns:a="http://schemas.openxmlformats.org/drawingml/2006/main">
            <a:ext uri="{FF2B5EF4-FFF2-40B4-BE49-F238E27FC236}">
              <a16:creationId xmlns:a16="http://schemas.microsoft.com/office/drawing/2014/main" id="{87261BCC-3DFC-BF48-B185-4D7286057536}"/>
            </a:ext>
          </a:extLst>
        </cdr:cNvPr>
        <cdr:cNvSpPr txBox="1">
          <a:spLocks xmlns:a="http://schemas.openxmlformats.org/drawingml/2006/main" noChangeArrowheads="1"/>
        </cdr:cNvSpPr>
      </cdr:nvSpPr>
      <cdr:spPr bwMode="auto">
        <a:xfrm xmlns:a="http://schemas.openxmlformats.org/drawingml/2006/main">
          <a:off x="1193775" y="1790468"/>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-1.4%</a:t>
          </a:r>
        </a:p>
      </cdr:txBody>
    </cdr:sp>
  </cdr:relSizeAnchor>
  <cdr:relSizeAnchor xmlns:cdr="http://schemas.openxmlformats.org/drawingml/2006/chartDrawing">
    <cdr:from>
      <cdr:x>0.76704</cdr:x>
      <cdr:y>0.74883</cdr:y>
    </cdr:from>
    <cdr:to>
      <cdr:x>0.76704</cdr:x>
      <cdr:y>0.74883</cdr:y>
    </cdr:to>
    <cdr:sp macro="" textlink="">
      <cdr:nvSpPr>
        <cdr:cNvPr id="4" name="Text Box 3">
          <a:extLst xmlns:a="http://schemas.openxmlformats.org/drawingml/2006/main">
            <a:ext uri="{FF2B5EF4-FFF2-40B4-BE49-F238E27FC236}">
              <a16:creationId xmlns:a16="http://schemas.microsoft.com/office/drawing/2014/main" id="{DFCA9CF7-0007-0C45-8B99-E3640A596F61}"/>
            </a:ext>
          </a:extLst>
        </cdr:cNvPr>
        <cdr:cNvSpPr txBox="1">
          <a:spLocks xmlns:a="http://schemas.openxmlformats.org/drawingml/2006/main" noChangeArrowheads="1"/>
        </cdr:cNvSpPr>
      </cdr:nvSpPr>
      <cdr:spPr bwMode="auto">
        <a:xfrm xmlns:a="http://schemas.openxmlformats.org/drawingml/2006/main">
          <a:off x="1402766" y="1664275"/>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a:t>
          </a:r>
        </a:p>
      </cdr:txBody>
    </cdr:sp>
  </cdr:relSizeAnchor>
  <cdr:relSizeAnchor xmlns:cdr="http://schemas.openxmlformats.org/drawingml/2006/chartDrawing">
    <cdr:from>
      <cdr:x>0.26436</cdr:x>
      <cdr:y>0.70827</cdr:y>
    </cdr:from>
    <cdr:to>
      <cdr:x>0.26436</cdr:x>
      <cdr:y>0.70827</cdr:y>
    </cdr:to>
    <cdr:sp macro="" textlink="">
      <cdr:nvSpPr>
        <cdr:cNvPr id="5" name="Text Box 4">
          <a:extLst xmlns:a="http://schemas.openxmlformats.org/drawingml/2006/main">
            <a:ext uri="{FF2B5EF4-FFF2-40B4-BE49-F238E27FC236}">
              <a16:creationId xmlns:a16="http://schemas.microsoft.com/office/drawing/2014/main" id="{1CF88F20-2EAB-DF46-91A6-8578C43D4992}"/>
            </a:ext>
          </a:extLst>
        </cdr:cNvPr>
        <cdr:cNvSpPr txBox="1">
          <a:spLocks xmlns:a="http://schemas.openxmlformats.org/drawingml/2006/main" noChangeArrowheads="1"/>
        </cdr:cNvSpPr>
      </cdr:nvSpPr>
      <cdr:spPr bwMode="auto">
        <a:xfrm xmlns:a="http://schemas.openxmlformats.org/drawingml/2006/main">
          <a:off x="483464" y="1574136"/>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userShapes>
</file>

<file path=xl/drawings/drawing42.xml><?xml version="1.0" encoding="utf-8"?>
<c:userShapes xmlns:c="http://schemas.openxmlformats.org/drawingml/2006/chart">
  <cdr:relSizeAnchor xmlns:cdr="http://schemas.openxmlformats.org/drawingml/2006/chartDrawing">
    <cdr:from>
      <cdr:x>0.51099</cdr:x>
      <cdr:y>0.49026</cdr:y>
    </cdr:from>
    <cdr:to>
      <cdr:x>0.87092</cdr:x>
      <cdr:y>0.57579</cdr:y>
    </cdr:to>
    <cdr:sp macro="" textlink="">
      <cdr:nvSpPr>
        <cdr:cNvPr id="995329" name="Text Box 1"/>
        <cdr:cNvSpPr txBox="1">
          <a:spLocks xmlns:a="http://schemas.openxmlformats.org/drawingml/2006/main" noChangeArrowheads="1"/>
        </cdr:cNvSpPr>
      </cdr:nvSpPr>
      <cdr:spPr bwMode="auto">
        <a:xfrm xmlns:a="http://schemas.openxmlformats.org/drawingml/2006/main">
          <a:off x="1004585" y="1108277"/>
          <a:ext cx="707608" cy="193349"/>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wrap="none" lIns="18288" tIns="18288" rIns="0" bIns="0" anchor="t" upright="1">
          <a:spAutoFit/>
        </a:bodyPr>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0.27936</cdr:x>
      <cdr:y>0.44458</cdr:y>
    </cdr:from>
    <cdr:to>
      <cdr:x>0.27936</cdr:x>
      <cdr:y>0.44458</cdr:y>
    </cdr:to>
    <cdr:sp macro="" textlink="">
      <cdr:nvSpPr>
        <cdr:cNvPr id="995330" name="Text Box 2"/>
        <cdr:cNvSpPr txBox="1">
          <a:spLocks xmlns:a="http://schemas.openxmlformats.org/drawingml/2006/main" noChangeArrowheads="1"/>
        </cdr:cNvSpPr>
      </cdr:nvSpPr>
      <cdr:spPr bwMode="auto">
        <a:xfrm xmlns:a="http://schemas.openxmlformats.org/drawingml/2006/main">
          <a:off x="525082" y="1016305"/>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0.73743</cdr:x>
      <cdr:y>0.37363</cdr:y>
    </cdr:from>
    <cdr:to>
      <cdr:x>0.73743</cdr:x>
      <cdr:y>0.37363</cdr:y>
    </cdr:to>
    <cdr:sp macro="" textlink="">
      <cdr:nvSpPr>
        <cdr:cNvPr id="995331" name="Text Box 3"/>
        <cdr:cNvSpPr txBox="1">
          <a:spLocks xmlns:a="http://schemas.openxmlformats.org/drawingml/2006/main" noChangeArrowheads="1"/>
        </cdr:cNvSpPr>
      </cdr:nvSpPr>
      <cdr:spPr bwMode="auto">
        <a:xfrm xmlns:a="http://schemas.openxmlformats.org/drawingml/2006/main">
          <a:off x="1386078" y="854113"/>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0.3%</a:t>
          </a:r>
        </a:p>
      </cdr:txBody>
    </cdr:sp>
  </cdr:relSizeAnchor>
  <cdr:relSizeAnchor xmlns:cdr="http://schemas.openxmlformats.org/drawingml/2006/chartDrawing">
    <cdr:from>
      <cdr:x>0.73743</cdr:x>
      <cdr:y>0.44458</cdr:y>
    </cdr:from>
    <cdr:to>
      <cdr:x>0.73743</cdr:x>
      <cdr:y>0.44458</cdr:y>
    </cdr:to>
    <cdr:sp macro="" textlink="">
      <cdr:nvSpPr>
        <cdr:cNvPr id="995332" name="Text Box 4"/>
        <cdr:cNvSpPr txBox="1">
          <a:spLocks xmlns:a="http://schemas.openxmlformats.org/drawingml/2006/main" noChangeArrowheads="1"/>
        </cdr:cNvSpPr>
      </cdr:nvSpPr>
      <cdr:spPr bwMode="auto">
        <a:xfrm xmlns:a="http://schemas.openxmlformats.org/drawingml/2006/main">
          <a:off x="1386078" y="1016305"/>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0.1%</a:t>
          </a:r>
        </a:p>
      </cdr:txBody>
    </cdr:sp>
  </cdr:relSizeAnchor>
  <cdr:relSizeAnchor xmlns:cdr="http://schemas.openxmlformats.org/drawingml/2006/chartDrawing">
    <cdr:from>
      <cdr:x>0.41096</cdr:x>
      <cdr:y>0.67517</cdr:y>
    </cdr:from>
    <cdr:to>
      <cdr:x>0.77027</cdr:x>
      <cdr:y>0.76046</cdr:y>
    </cdr:to>
    <cdr:sp macro="" textlink="">
      <cdr:nvSpPr>
        <cdr:cNvPr id="986113" name="Text Box 1"/>
        <cdr:cNvSpPr txBox="1">
          <a:spLocks xmlns:a="http://schemas.openxmlformats.org/drawingml/2006/main" noChangeArrowheads="1"/>
        </cdr:cNvSpPr>
      </cdr:nvSpPr>
      <cdr:spPr bwMode="auto">
        <a:xfrm xmlns:a="http://schemas.openxmlformats.org/drawingml/2006/main">
          <a:off x="807931" y="1526289"/>
          <a:ext cx="706389" cy="192807"/>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FF0000"/>
              </a:solidFill>
              <a:latin typeface="Arial"/>
              <a:ea typeface="Arial"/>
              <a:cs typeface="Arial"/>
            </a:rPr>
            <a:t>Intervention</a:t>
          </a:r>
        </a:p>
      </cdr:txBody>
    </cdr:sp>
  </cdr:relSizeAnchor>
</c:userShapes>
</file>

<file path=xl/drawings/drawing43.xml><?xml version="1.0" encoding="utf-8"?>
<c:userShapes xmlns:c="http://schemas.openxmlformats.org/drawingml/2006/chart">
  <cdr:relSizeAnchor xmlns:cdr="http://schemas.openxmlformats.org/drawingml/2006/chartDrawing">
    <cdr:from>
      <cdr:x>0.32706</cdr:x>
      <cdr:y>0.5888</cdr:y>
    </cdr:from>
    <cdr:to>
      <cdr:x>0.85691</cdr:x>
      <cdr:y>0.77333</cdr:y>
    </cdr:to>
    <cdr:sp macro="" textlink="">
      <cdr:nvSpPr>
        <cdr:cNvPr id="1640449" name="Text Box 1"/>
        <cdr:cNvSpPr txBox="1">
          <a:spLocks xmlns:a="http://schemas.openxmlformats.org/drawingml/2006/main" noChangeArrowheads="1"/>
        </cdr:cNvSpPr>
      </cdr:nvSpPr>
      <cdr:spPr bwMode="auto">
        <a:xfrm xmlns:a="http://schemas.openxmlformats.org/drawingml/2006/main">
          <a:off x="643827" y="1346004"/>
          <a:ext cx="1043010" cy="421836"/>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 &amp;</a:t>
          </a:r>
        </a:p>
        <a:p xmlns:a="http://schemas.openxmlformats.org/drawingml/2006/main">
          <a:pPr algn="l" rtl="0">
            <a:defRPr sz="1000"/>
          </a:pPr>
          <a:r>
            <a:rPr lang="en-US" sz="1000" b="0" i="0" u="none" strike="noStrike" baseline="0">
              <a:solidFill>
                <a:srgbClr val="FF0000"/>
              </a:solidFill>
              <a:latin typeface="Arial"/>
              <a:ea typeface="Arial"/>
              <a:cs typeface="Arial"/>
            </a:rPr>
            <a:t>Intervention</a:t>
          </a:r>
        </a:p>
      </cdr:txBody>
    </cdr:sp>
  </cdr:relSizeAnchor>
</c:userShapes>
</file>

<file path=xl/drawings/drawing44.xml><?xml version="1.0" encoding="utf-8"?>
<c:userShapes xmlns:c="http://schemas.openxmlformats.org/drawingml/2006/chart">
  <cdr:relSizeAnchor xmlns:cdr="http://schemas.openxmlformats.org/drawingml/2006/chartDrawing">
    <cdr:from>
      <cdr:x>0.43873</cdr:x>
      <cdr:y>0.6888</cdr:y>
    </cdr:from>
    <cdr:to>
      <cdr:x>0.96859</cdr:x>
      <cdr:y>0.87333</cdr:y>
    </cdr:to>
    <cdr:sp macro="" textlink="">
      <cdr:nvSpPr>
        <cdr:cNvPr id="1640449" name="Text Box 1"/>
        <cdr:cNvSpPr txBox="1">
          <a:spLocks xmlns:a="http://schemas.openxmlformats.org/drawingml/2006/main" noChangeArrowheads="1"/>
        </cdr:cNvSpPr>
      </cdr:nvSpPr>
      <cdr:spPr bwMode="auto">
        <a:xfrm xmlns:a="http://schemas.openxmlformats.org/drawingml/2006/main">
          <a:off x="862525" y="1574592"/>
          <a:ext cx="1041683" cy="421835"/>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 &amp;</a:t>
          </a:r>
        </a:p>
        <a:p xmlns:a="http://schemas.openxmlformats.org/drawingml/2006/main">
          <a:pPr algn="l" rtl="0">
            <a:defRPr sz="1000"/>
          </a:pPr>
          <a:r>
            <a:rPr lang="en-US" sz="1000" b="0" i="0" u="none" strike="noStrike" baseline="0">
              <a:solidFill>
                <a:srgbClr val="FF0000"/>
              </a:solidFill>
              <a:latin typeface="Arial"/>
              <a:ea typeface="Arial"/>
              <a:cs typeface="Arial"/>
            </a:rPr>
            <a:t>Intervention</a:t>
          </a:r>
        </a:p>
      </cdr:txBody>
    </cdr:sp>
  </cdr:relSizeAnchor>
</c:userShapes>
</file>

<file path=xl/drawings/drawing45.xml><?xml version="1.0" encoding="utf-8"?>
<c:userShapes xmlns:c="http://schemas.openxmlformats.org/drawingml/2006/chart">
  <cdr:relSizeAnchor xmlns:cdr="http://schemas.openxmlformats.org/drawingml/2006/chartDrawing">
    <cdr:from>
      <cdr:x>0.44868</cdr:x>
      <cdr:y>0.45782</cdr:y>
    </cdr:from>
    <cdr:to>
      <cdr:x>0.44868</cdr:x>
      <cdr:y>0.45782</cdr:y>
    </cdr:to>
    <cdr:sp macro="" textlink="">
      <cdr:nvSpPr>
        <cdr:cNvPr id="991233" name="Text Box 1"/>
        <cdr:cNvSpPr txBox="1">
          <a:spLocks xmlns:a="http://schemas.openxmlformats.org/drawingml/2006/main" noChangeArrowheads="1"/>
        </cdr:cNvSpPr>
      </cdr:nvSpPr>
      <cdr:spPr bwMode="auto">
        <a:xfrm xmlns:a="http://schemas.openxmlformats.org/drawingml/2006/main">
          <a:off x="843344" y="994248"/>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0.58135</cdr:x>
      <cdr:y>0.30769</cdr:y>
    </cdr:from>
    <cdr:to>
      <cdr:x>0.58135</cdr:x>
      <cdr:y>0.30769</cdr:y>
    </cdr:to>
    <cdr:sp macro="" textlink="">
      <cdr:nvSpPr>
        <cdr:cNvPr id="991234" name="Text Box 2"/>
        <cdr:cNvSpPr txBox="1">
          <a:spLocks xmlns:a="http://schemas.openxmlformats.org/drawingml/2006/main" noChangeArrowheads="1"/>
        </cdr:cNvSpPr>
      </cdr:nvSpPr>
      <cdr:spPr bwMode="auto">
        <a:xfrm xmlns:a="http://schemas.openxmlformats.org/drawingml/2006/main">
          <a:off x="1092708" y="668207"/>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0.36104</cdr:x>
      <cdr:y>0.58235</cdr:y>
    </cdr:from>
    <cdr:to>
      <cdr:x>0.77551</cdr:x>
      <cdr:y>0.81176</cdr:y>
    </cdr:to>
    <cdr:sp macro="" textlink="">
      <cdr:nvSpPr>
        <cdr:cNvPr id="991235" name="Text Box 3"/>
        <cdr:cNvSpPr txBox="1">
          <a:spLocks xmlns:a="http://schemas.openxmlformats.org/drawingml/2006/main" noChangeArrowheads="1"/>
        </cdr:cNvSpPr>
      </cdr:nvSpPr>
      <cdr:spPr bwMode="auto">
        <a:xfrm xmlns:a="http://schemas.openxmlformats.org/drawingml/2006/main">
          <a:off x="674032" y="1257300"/>
          <a:ext cx="773768" cy="495299"/>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 &amp; </a:t>
          </a:r>
          <a:r>
            <a:rPr lang="en-US" sz="1000" b="0" i="0" u="none" strike="noStrike" baseline="0">
              <a:solidFill>
                <a:srgbClr val="FF0000"/>
              </a:solidFill>
              <a:latin typeface="Arial"/>
              <a:ea typeface="Arial"/>
              <a:cs typeface="Arial"/>
            </a:rPr>
            <a:t>Intervention</a:t>
          </a:r>
        </a:p>
      </cdr:txBody>
    </cdr:sp>
  </cdr:relSizeAnchor>
  <cdr:relSizeAnchor xmlns:cdr="http://schemas.openxmlformats.org/drawingml/2006/chartDrawing">
    <cdr:from>
      <cdr:x>0.44868</cdr:x>
      <cdr:y>0.45782</cdr:y>
    </cdr:from>
    <cdr:to>
      <cdr:x>0.44868</cdr:x>
      <cdr:y>0.45782</cdr:y>
    </cdr:to>
    <cdr:sp macro="" textlink="">
      <cdr:nvSpPr>
        <cdr:cNvPr id="2" name="Text Box 1">
          <a:extLst xmlns:a="http://schemas.openxmlformats.org/drawingml/2006/main">
            <a:ext uri="{FF2B5EF4-FFF2-40B4-BE49-F238E27FC236}">
              <a16:creationId xmlns:a16="http://schemas.microsoft.com/office/drawing/2014/main" id="{533CA417-F5F7-EC41-9597-F6F7EF1C5678}"/>
            </a:ext>
          </a:extLst>
        </cdr:cNvPr>
        <cdr:cNvSpPr txBox="1">
          <a:spLocks xmlns:a="http://schemas.openxmlformats.org/drawingml/2006/main" noChangeArrowheads="1"/>
        </cdr:cNvSpPr>
      </cdr:nvSpPr>
      <cdr:spPr bwMode="auto">
        <a:xfrm xmlns:a="http://schemas.openxmlformats.org/drawingml/2006/main">
          <a:off x="843344" y="994248"/>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0.58135</cdr:x>
      <cdr:y>0.30769</cdr:y>
    </cdr:from>
    <cdr:to>
      <cdr:x>0.58135</cdr:x>
      <cdr:y>0.30769</cdr:y>
    </cdr:to>
    <cdr:sp macro="" textlink="">
      <cdr:nvSpPr>
        <cdr:cNvPr id="3" name="Text Box 2">
          <a:extLst xmlns:a="http://schemas.openxmlformats.org/drawingml/2006/main">
            <a:ext uri="{FF2B5EF4-FFF2-40B4-BE49-F238E27FC236}">
              <a16:creationId xmlns:a16="http://schemas.microsoft.com/office/drawing/2014/main" id="{D2701912-8BB2-8049-BFAB-7D103B4D98D2}"/>
            </a:ext>
          </a:extLst>
        </cdr:cNvPr>
        <cdr:cNvSpPr txBox="1">
          <a:spLocks xmlns:a="http://schemas.openxmlformats.org/drawingml/2006/main" noChangeArrowheads="1"/>
        </cdr:cNvSpPr>
      </cdr:nvSpPr>
      <cdr:spPr bwMode="auto">
        <a:xfrm xmlns:a="http://schemas.openxmlformats.org/drawingml/2006/main">
          <a:off x="1092708" y="668207"/>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userShapes>
</file>

<file path=xl/drawings/drawing46.xml><?xml version="1.0" encoding="utf-8"?>
<c:userShapes xmlns:c="http://schemas.openxmlformats.org/drawingml/2006/chart">
  <cdr:relSizeAnchor xmlns:cdr="http://schemas.openxmlformats.org/drawingml/2006/chartDrawing">
    <cdr:from>
      <cdr:x>0.51138</cdr:x>
      <cdr:y>0.4606</cdr:y>
    </cdr:from>
    <cdr:to>
      <cdr:x>0.88057</cdr:x>
      <cdr:y>0.55113</cdr:y>
    </cdr:to>
    <cdr:sp macro="" textlink="">
      <cdr:nvSpPr>
        <cdr:cNvPr id="985089" name="Text Box 1"/>
        <cdr:cNvSpPr txBox="1">
          <a:spLocks xmlns:a="http://schemas.openxmlformats.org/drawingml/2006/main" noChangeArrowheads="1"/>
        </cdr:cNvSpPr>
      </cdr:nvSpPr>
      <cdr:spPr bwMode="auto">
        <a:xfrm xmlns:a="http://schemas.openxmlformats.org/drawingml/2006/main">
          <a:off x="1005352" y="1052929"/>
          <a:ext cx="725813" cy="206952"/>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wrap="none" lIns="18288" tIns="18288" rIns="0" bIns="0" anchor="t" upright="1">
          <a:spAutoFit/>
        </a:bodyPr>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0.31816</cdr:x>
      <cdr:y>0.78431</cdr:y>
    </cdr:from>
    <cdr:to>
      <cdr:x>0.7312</cdr:x>
      <cdr:y>0.86327</cdr:y>
    </cdr:to>
    <cdr:sp macro="" textlink="">
      <cdr:nvSpPr>
        <cdr:cNvPr id="984065" name="Text Box 1"/>
        <cdr:cNvSpPr txBox="1">
          <a:spLocks xmlns:a="http://schemas.openxmlformats.org/drawingml/2006/main" noChangeArrowheads="1"/>
        </cdr:cNvSpPr>
      </cdr:nvSpPr>
      <cdr:spPr bwMode="auto">
        <a:xfrm xmlns:a="http://schemas.openxmlformats.org/drawingml/2006/main">
          <a:off x="625491" y="1792938"/>
          <a:ext cx="812020" cy="180502"/>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FF0000"/>
              </a:solidFill>
              <a:latin typeface="Arial"/>
              <a:ea typeface="Arial"/>
              <a:cs typeface="Arial"/>
            </a:rPr>
            <a:t>Intervention</a:t>
          </a:r>
        </a:p>
      </cdr:txBody>
    </cdr:sp>
  </cdr:relSizeAnchor>
</c:userShapes>
</file>

<file path=xl/drawings/drawing47.xml><?xml version="1.0" encoding="utf-8"?>
<c:userShapes xmlns:c="http://schemas.openxmlformats.org/drawingml/2006/chart">
  <cdr:relSizeAnchor xmlns:cdr="http://schemas.openxmlformats.org/drawingml/2006/chartDrawing">
    <cdr:from>
      <cdr:x>0.51901</cdr:x>
      <cdr:y>0.42064</cdr:y>
    </cdr:from>
    <cdr:to>
      <cdr:x>0.96002</cdr:x>
      <cdr:y>0.52326</cdr:y>
    </cdr:to>
    <cdr:sp macro="" textlink="">
      <cdr:nvSpPr>
        <cdr:cNvPr id="990209" name="Text Box 1"/>
        <cdr:cNvSpPr txBox="1">
          <a:spLocks xmlns:a="http://schemas.openxmlformats.org/drawingml/2006/main" noChangeArrowheads="1"/>
        </cdr:cNvSpPr>
      </cdr:nvSpPr>
      <cdr:spPr bwMode="auto">
        <a:xfrm xmlns:a="http://schemas.openxmlformats.org/drawingml/2006/main">
          <a:off x="1020352" y="961586"/>
          <a:ext cx="867008" cy="234589"/>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0.45241</cdr:x>
      <cdr:y>0.75925</cdr:y>
    </cdr:from>
    <cdr:to>
      <cdr:x>0.94101</cdr:x>
      <cdr:y>0.87737</cdr:y>
    </cdr:to>
    <cdr:sp macro="" textlink="">
      <cdr:nvSpPr>
        <cdr:cNvPr id="3" name="Text Box 2">
          <a:extLst xmlns:a="http://schemas.openxmlformats.org/drawingml/2006/main">
            <a:ext uri="{FF2B5EF4-FFF2-40B4-BE49-F238E27FC236}">
              <a16:creationId xmlns:a16="http://schemas.microsoft.com/office/drawing/2014/main" id="{227688DE-4E38-814A-94AA-3D6C442DAEE2}"/>
            </a:ext>
          </a:extLst>
        </cdr:cNvPr>
        <cdr:cNvSpPr txBox="1">
          <a:spLocks xmlns:a="http://schemas.openxmlformats.org/drawingml/2006/main" noChangeArrowheads="1"/>
        </cdr:cNvSpPr>
      </cdr:nvSpPr>
      <cdr:spPr bwMode="auto">
        <a:xfrm xmlns:a="http://schemas.openxmlformats.org/drawingml/2006/main">
          <a:off x="889418" y="1735643"/>
          <a:ext cx="960568" cy="270022"/>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FF0000"/>
              </a:solidFill>
              <a:latin typeface="Arial"/>
              <a:ea typeface="Arial"/>
              <a:cs typeface="Arial"/>
            </a:rPr>
            <a:t>Intervention</a:t>
          </a:r>
        </a:p>
      </cdr:txBody>
    </cdr:sp>
  </cdr:relSizeAnchor>
</c:userShapes>
</file>

<file path=xl/drawings/drawing48.xml><?xml version="1.0" encoding="utf-8"?>
<c:userShapes xmlns:c="http://schemas.openxmlformats.org/drawingml/2006/chart">
  <cdr:relSizeAnchor xmlns:cdr="http://schemas.openxmlformats.org/drawingml/2006/chartDrawing">
    <cdr:from>
      <cdr:x>0.43551</cdr:x>
      <cdr:y>0.68417</cdr:y>
    </cdr:from>
    <cdr:to>
      <cdr:x>0.79482</cdr:x>
      <cdr:y>0.76946</cdr:y>
    </cdr:to>
    <cdr:sp macro="" textlink="">
      <cdr:nvSpPr>
        <cdr:cNvPr id="986113" name="Text Box 1"/>
        <cdr:cNvSpPr txBox="1">
          <a:spLocks xmlns:a="http://schemas.openxmlformats.org/drawingml/2006/main" noChangeArrowheads="1"/>
        </cdr:cNvSpPr>
      </cdr:nvSpPr>
      <cdr:spPr bwMode="auto">
        <a:xfrm xmlns:a="http://schemas.openxmlformats.org/drawingml/2006/main">
          <a:off x="856195" y="1564008"/>
          <a:ext cx="706389" cy="194972"/>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FF0000"/>
              </a:solidFill>
              <a:latin typeface="Arial"/>
              <a:ea typeface="Arial"/>
              <a:cs typeface="Arial"/>
            </a:rPr>
            <a:t>Intervention</a:t>
          </a:r>
        </a:p>
      </cdr:txBody>
    </cdr:sp>
  </cdr:relSizeAnchor>
  <cdr:relSizeAnchor xmlns:cdr="http://schemas.openxmlformats.org/drawingml/2006/chartDrawing">
    <cdr:from>
      <cdr:x>0.23589</cdr:x>
      <cdr:y>0.50586</cdr:y>
    </cdr:from>
    <cdr:to>
      <cdr:x>0.70113</cdr:x>
      <cdr:y>0.59114</cdr:y>
    </cdr:to>
    <cdr:sp macro="" textlink="">
      <cdr:nvSpPr>
        <cdr:cNvPr id="986114" name="Text Box 2"/>
        <cdr:cNvSpPr txBox="1">
          <a:spLocks xmlns:a="http://schemas.openxmlformats.org/drawingml/2006/main" noChangeArrowheads="1"/>
        </cdr:cNvSpPr>
      </cdr:nvSpPr>
      <cdr:spPr bwMode="auto">
        <a:xfrm xmlns:a="http://schemas.openxmlformats.org/drawingml/2006/main">
          <a:off x="463751" y="1156396"/>
          <a:ext cx="914643" cy="19495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userShapes>
</file>

<file path=xl/drawings/drawing49.xml><?xml version="1.0" encoding="utf-8"?>
<c:userShapes xmlns:c="http://schemas.openxmlformats.org/drawingml/2006/chart">
  <cdr:relSizeAnchor xmlns:cdr="http://schemas.openxmlformats.org/drawingml/2006/chartDrawing">
    <cdr:from>
      <cdr:x>0.48554</cdr:x>
      <cdr:y>0.59393</cdr:y>
    </cdr:from>
    <cdr:to>
      <cdr:x>0.85473</cdr:x>
      <cdr:y>0.68446</cdr:y>
    </cdr:to>
    <cdr:sp macro="" textlink="">
      <cdr:nvSpPr>
        <cdr:cNvPr id="985089" name="Text Box 1"/>
        <cdr:cNvSpPr txBox="1">
          <a:spLocks xmlns:a="http://schemas.openxmlformats.org/drawingml/2006/main" noChangeArrowheads="1"/>
        </cdr:cNvSpPr>
      </cdr:nvSpPr>
      <cdr:spPr bwMode="auto">
        <a:xfrm xmlns:a="http://schemas.openxmlformats.org/drawingml/2006/main">
          <a:off x="954552" y="1357719"/>
          <a:ext cx="725813" cy="206951"/>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wrap="none" lIns="18288" tIns="18288" rIns="0" bIns="0" anchor="t" upright="1">
          <a:spAutoFit/>
        </a:bodyPr>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0.36338</cdr:x>
      <cdr:y>0.76209</cdr:y>
    </cdr:from>
    <cdr:to>
      <cdr:x>0.77642</cdr:x>
      <cdr:y>0.84105</cdr:y>
    </cdr:to>
    <cdr:sp macro="" textlink="">
      <cdr:nvSpPr>
        <cdr:cNvPr id="984065" name="Text Box 1"/>
        <cdr:cNvSpPr txBox="1">
          <a:spLocks xmlns:a="http://schemas.openxmlformats.org/drawingml/2006/main" noChangeArrowheads="1"/>
        </cdr:cNvSpPr>
      </cdr:nvSpPr>
      <cdr:spPr bwMode="auto">
        <a:xfrm xmlns:a="http://schemas.openxmlformats.org/drawingml/2006/main">
          <a:off x="714391" y="1742143"/>
          <a:ext cx="812020" cy="180502"/>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FF0000"/>
              </a:solidFill>
              <a:latin typeface="Arial"/>
              <a:ea typeface="Arial"/>
              <a:cs typeface="Arial"/>
            </a:rPr>
            <a:t>Intervention</a:t>
          </a:r>
        </a:p>
      </cdr:txBody>
    </cdr:sp>
  </cdr:relSizeAnchor>
  <cdr:relSizeAnchor xmlns:cdr="http://schemas.openxmlformats.org/drawingml/2006/chartDrawing">
    <cdr:from>
      <cdr:x>0.534</cdr:x>
      <cdr:y>0.59471</cdr:y>
    </cdr:from>
    <cdr:to>
      <cdr:x>0.534</cdr:x>
      <cdr:y>0.59471</cdr:y>
    </cdr:to>
    <cdr:sp macro="" textlink="">
      <cdr:nvSpPr>
        <cdr:cNvPr id="994305" name="Text Box 1"/>
        <cdr:cNvSpPr txBox="1">
          <a:spLocks xmlns:a="http://schemas.openxmlformats.org/drawingml/2006/main" noChangeArrowheads="1"/>
        </cdr:cNvSpPr>
      </cdr:nvSpPr>
      <cdr:spPr bwMode="auto">
        <a:xfrm xmlns:a="http://schemas.openxmlformats.org/drawingml/2006/main">
          <a:off x="976579" y="1321749"/>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0.65276</cdr:x>
      <cdr:y>0.80561</cdr:y>
    </cdr:from>
    <cdr:to>
      <cdr:x>0.65276</cdr:x>
      <cdr:y>0.80561</cdr:y>
    </cdr:to>
    <cdr:sp macro="" textlink="">
      <cdr:nvSpPr>
        <cdr:cNvPr id="994306" name="Text Box 2"/>
        <cdr:cNvSpPr txBox="1">
          <a:spLocks xmlns:a="http://schemas.openxmlformats.org/drawingml/2006/main" noChangeArrowheads="1"/>
        </cdr:cNvSpPr>
      </cdr:nvSpPr>
      <cdr:spPr bwMode="auto">
        <a:xfrm xmlns:a="http://schemas.openxmlformats.org/drawingml/2006/main">
          <a:off x="1193775" y="1790468"/>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-1.4%</a:t>
          </a:r>
        </a:p>
      </cdr:txBody>
    </cdr:sp>
  </cdr:relSizeAnchor>
  <cdr:relSizeAnchor xmlns:cdr="http://schemas.openxmlformats.org/drawingml/2006/chartDrawing">
    <cdr:from>
      <cdr:x>0.76704</cdr:x>
      <cdr:y>0.74883</cdr:y>
    </cdr:from>
    <cdr:to>
      <cdr:x>0.76704</cdr:x>
      <cdr:y>0.74883</cdr:y>
    </cdr:to>
    <cdr:sp macro="" textlink="">
      <cdr:nvSpPr>
        <cdr:cNvPr id="994307" name="Text Box 3"/>
        <cdr:cNvSpPr txBox="1">
          <a:spLocks xmlns:a="http://schemas.openxmlformats.org/drawingml/2006/main" noChangeArrowheads="1"/>
        </cdr:cNvSpPr>
      </cdr:nvSpPr>
      <cdr:spPr bwMode="auto">
        <a:xfrm xmlns:a="http://schemas.openxmlformats.org/drawingml/2006/main">
          <a:off x="1402766" y="1664275"/>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a:t>
          </a:r>
        </a:p>
      </cdr:txBody>
    </cdr:sp>
  </cdr:relSizeAnchor>
  <cdr:relSizeAnchor xmlns:cdr="http://schemas.openxmlformats.org/drawingml/2006/chartDrawing">
    <cdr:from>
      <cdr:x>0.26436</cdr:x>
      <cdr:y>0.70827</cdr:y>
    </cdr:from>
    <cdr:to>
      <cdr:x>0.26436</cdr:x>
      <cdr:y>0.70827</cdr:y>
    </cdr:to>
    <cdr:sp macro="" textlink="">
      <cdr:nvSpPr>
        <cdr:cNvPr id="994308" name="Text Box 4"/>
        <cdr:cNvSpPr txBox="1">
          <a:spLocks xmlns:a="http://schemas.openxmlformats.org/drawingml/2006/main" noChangeArrowheads="1"/>
        </cdr:cNvSpPr>
      </cdr:nvSpPr>
      <cdr:spPr bwMode="auto">
        <a:xfrm xmlns:a="http://schemas.openxmlformats.org/drawingml/2006/main">
          <a:off x="483464" y="1574136"/>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userShapes>
</file>

<file path=xl/drawings/drawing50.xml><?xml version="1.0" encoding="utf-8"?>
<xdr:wsDr xmlns:xdr="http://schemas.openxmlformats.org/drawingml/2006/spreadsheetDrawing" xmlns:a="http://schemas.openxmlformats.org/drawingml/2006/main">
  <xdr:absoluteAnchor>
    <xdr:pos x="5630333" y="7772399"/>
    <xdr:ext cx="1965960" cy="2370668"/>
    <xdr:graphicFrame macro="">
      <xdr:nvGraphicFramePr>
        <xdr:cNvPr id="2" name="Chart 20">
          <a:extLst>
            <a:ext uri="{FF2B5EF4-FFF2-40B4-BE49-F238E27FC236}">
              <a16:creationId xmlns:a16="http://schemas.microsoft.com/office/drawing/2014/main" id="{BD01F9AD-9D98-9A47-9E1E-030DD07BD24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absoluteAnchor>
    <xdr:pos x="10701867" y="1684866"/>
    <xdr:ext cx="1965960" cy="2286000"/>
    <xdr:graphicFrame macro="">
      <xdr:nvGraphicFramePr>
        <xdr:cNvPr id="3" name="Chart 1">
          <a:extLst>
            <a:ext uri="{FF2B5EF4-FFF2-40B4-BE49-F238E27FC236}">
              <a16:creationId xmlns:a16="http://schemas.microsoft.com/office/drawing/2014/main" id="{F6C1F13E-EBD9-1542-A73A-81122C9D91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xdr:absoluteAnchor>
    <xdr:pos x="9059333" y="1672166"/>
    <xdr:ext cx="1965960" cy="2286000"/>
    <xdr:graphicFrame macro="">
      <xdr:nvGraphicFramePr>
        <xdr:cNvPr id="4" name="Chart 2">
          <a:extLst>
            <a:ext uri="{FF2B5EF4-FFF2-40B4-BE49-F238E27FC236}">
              <a16:creationId xmlns:a16="http://schemas.microsoft.com/office/drawing/2014/main" id="{0A1D4011-408F-284C-B2F7-918B17C30F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absoluteAnchor>
  <xdr:absoluteAnchor>
    <xdr:pos x="3968328" y="1656925"/>
    <xdr:ext cx="1965960" cy="2286000"/>
    <xdr:graphicFrame macro="">
      <xdr:nvGraphicFramePr>
        <xdr:cNvPr id="5" name="Chart 3">
          <a:extLst>
            <a:ext uri="{FF2B5EF4-FFF2-40B4-BE49-F238E27FC236}">
              <a16:creationId xmlns:a16="http://schemas.microsoft.com/office/drawing/2014/main" id="{22EED7F2-CA4F-C945-8D09-B1DA907EFF8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absoluteAnchor>
  <xdr:absoluteAnchor>
    <xdr:pos x="5651499" y="1642532"/>
    <xdr:ext cx="1981201" cy="2286000"/>
    <xdr:graphicFrame macro="">
      <xdr:nvGraphicFramePr>
        <xdr:cNvPr id="6" name="Chart 8">
          <a:extLst>
            <a:ext uri="{FF2B5EF4-FFF2-40B4-BE49-F238E27FC236}">
              <a16:creationId xmlns:a16="http://schemas.microsoft.com/office/drawing/2014/main" id="{CFDD4CA9-FD3F-5D43-97CC-5BDE31D3FA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absoluteAnchor>
  <xdr:absoluteAnchor>
    <xdr:pos x="2170007" y="1648458"/>
    <xdr:ext cx="1985433" cy="2286000"/>
    <xdr:graphicFrame macro="">
      <xdr:nvGraphicFramePr>
        <xdr:cNvPr id="7" name="Chart 12">
          <a:extLst>
            <a:ext uri="{FF2B5EF4-FFF2-40B4-BE49-F238E27FC236}">
              <a16:creationId xmlns:a16="http://schemas.microsoft.com/office/drawing/2014/main" id="{3C446620-4432-8A4B-BC6A-4F40E6FC47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absoluteAnchor>
  <xdr:twoCellAnchor>
    <xdr:from>
      <xdr:col>7</xdr:col>
      <xdr:colOff>50800</xdr:colOff>
      <xdr:row>9</xdr:row>
      <xdr:rowOff>0</xdr:rowOff>
    </xdr:from>
    <xdr:to>
      <xdr:col>7</xdr:col>
      <xdr:colOff>469900</xdr:colOff>
      <xdr:row>9</xdr:row>
      <xdr:rowOff>0</xdr:rowOff>
    </xdr:to>
    <xdr:sp macro="" textlink="">
      <xdr:nvSpPr>
        <xdr:cNvPr id="8" name="Line 13">
          <a:extLst>
            <a:ext uri="{FF2B5EF4-FFF2-40B4-BE49-F238E27FC236}">
              <a16:creationId xmlns:a16="http://schemas.microsoft.com/office/drawing/2014/main" id="{8CF25AD2-716E-4E44-9655-76ACFD6FF46D}"/>
            </a:ext>
          </a:extLst>
        </xdr:cNvPr>
        <xdr:cNvSpPr>
          <a:spLocks noChangeShapeType="1"/>
        </xdr:cNvSpPr>
      </xdr:nvSpPr>
      <xdr:spPr bwMode="auto">
        <a:xfrm>
          <a:off x="2984500" y="1485900"/>
          <a:ext cx="3683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absoluteAnchor>
    <xdr:pos x="9033933" y="7768165"/>
    <xdr:ext cx="1965960" cy="2353735"/>
    <xdr:graphicFrame macro="">
      <xdr:nvGraphicFramePr>
        <xdr:cNvPr id="9" name="Chart 15">
          <a:extLst>
            <a:ext uri="{FF2B5EF4-FFF2-40B4-BE49-F238E27FC236}">
              <a16:creationId xmlns:a16="http://schemas.microsoft.com/office/drawing/2014/main" id="{6B3348BA-5C8C-094B-A25B-7182D04B02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absoluteAnchor>
  <xdr:absoluteAnchor>
    <xdr:pos x="10765366" y="7776632"/>
    <xdr:ext cx="1965960" cy="2345268"/>
    <xdr:graphicFrame macro="">
      <xdr:nvGraphicFramePr>
        <xdr:cNvPr id="10" name="Chart 16">
          <a:extLst>
            <a:ext uri="{FF2B5EF4-FFF2-40B4-BE49-F238E27FC236}">
              <a16:creationId xmlns:a16="http://schemas.microsoft.com/office/drawing/2014/main" id="{461D6263-BA8A-FF44-A72C-2796D040A1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absoluteAnchor>
  <xdr:absoluteAnchor>
    <xdr:pos x="3941234" y="7823200"/>
    <xdr:ext cx="1934634" cy="2319868"/>
    <xdr:graphicFrame macro="">
      <xdr:nvGraphicFramePr>
        <xdr:cNvPr id="11" name="Chart 17">
          <a:extLst>
            <a:ext uri="{FF2B5EF4-FFF2-40B4-BE49-F238E27FC236}">
              <a16:creationId xmlns:a16="http://schemas.microsoft.com/office/drawing/2014/main" id="{2C5FF13B-0C72-8543-A14A-0D8CC24853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absoluteAnchor>
  <xdr:absoluteAnchor>
    <xdr:pos x="2201335" y="7882467"/>
    <xdr:ext cx="1926166" cy="2286000"/>
    <xdr:graphicFrame macro="">
      <xdr:nvGraphicFramePr>
        <xdr:cNvPr id="12" name="Chart 21">
          <a:extLst>
            <a:ext uri="{FF2B5EF4-FFF2-40B4-BE49-F238E27FC236}">
              <a16:creationId xmlns:a16="http://schemas.microsoft.com/office/drawing/2014/main" id="{55B53A47-FF6C-DA4C-BD25-C9F683D84E2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absoluteAnchor>
  <xdr:twoCellAnchor>
    <xdr:from>
      <xdr:col>22</xdr:col>
      <xdr:colOff>218017</xdr:colOff>
      <xdr:row>46</xdr:row>
      <xdr:rowOff>0</xdr:rowOff>
    </xdr:from>
    <xdr:to>
      <xdr:col>24</xdr:col>
      <xdr:colOff>203200</xdr:colOff>
      <xdr:row>46</xdr:row>
      <xdr:rowOff>0</xdr:rowOff>
    </xdr:to>
    <xdr:sp macro="" textlink="">
      <xdr:nvSpPr>
        <xdr:cNvPr id="13" name="Line 24">
          <a:extLst>
            <a:ext uri="{FF2B5EF4-FFF2-40B4-BE49-F238E27FC236}">
              <a16:creationId xmlns:a16="http://schemas.microsoft.com/office/drawing/2014/main" id="{AD725EE0-194F-AF44-8636-94600FC0D510}"/>
            </a:ext>
          </a:extLst>
        </xdr:cNvPr>
        <xdr:cNvSpPr>
          <a:spLocks noChangeShapeType="1"/>
        </xdr:cNvSpPr>
      </xdr:nvSpPr>
      <xdr:spPr bwMode="auto">
        <a:xfrm>
          <a:off x="9438217" y="7594600"/>
          <a:ext cx="823383"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6</xdr:col>
      <xdr:colOff>279400</xdr:colOff>
      <xdr:row>46</xdr:row>
      <xdr:rowOff>12700</xdr:rowOff>
    </xdr:from>
    <xdr:to>
      <xdr:col>8</xdr:col>
      <xdr:colOff>101600</xdr:colOff>
      <xdr:row>46</xdr:row>
      <xdr:rowOff>12700</xdr:rowOff>
    </xdr:to>
    <xdr:sp macro="" textlink="">
      <xdr:nvSpPr>
        <xdr:cNvPr id="14" name="Line 26">
          <a:extLst>
            <a:ext uri="{FF2B5EF4-FFF2-40B4-BE49-F238E27FC236}">
              <a16:creationId xmlns:a16="http://schemas.microsoft.com/office/drawing/2014/main" id="{FE52669F-3AFF-0A43-8941-AC6C78A84905}"/>
            </a:ext>
          </a:extLst>
        </xdr:cNvPr>
        <xdr:cNvSpPr>
          <a:spLocks noChangeShapeType="1"/>
        </xdr:cNvSpPr>
      </xdr:nvSpPr>
      <xdr:spPr bwMode="auto">
        <a:xfrm>
          <a:off x="2806700" y="7670800"/>
          <a:ext cx="6731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oneCellAnchor>
    <xdr:from>
      <xdr:col>0</xdr:col>
      <xdr:colOff>414867</xdr:colOff>
      <xdr:row>26</xdr:row>
      <xdr:rowOff>101600</xdr:rowOff>
    </xdr:from>
    <xdr:ext cx="3699859" cy="263662"/>
    <xdr:sp macro="" textlink="">
      <xdr:nvSpPr>
        <xdr:cNvPr id="20" name="Text Box 37">
          <a:extLst>
            <a:ext uri="{FF2B5EF4-FFF2-40B4-BE49-F238E27FC236}">
              <a16:creationId xmlns:a16="http://schemas.microsoft.com/office/drawing/2014/main" id="{BCAF9867-BC1D-E048-AAFC-AE6A8F29E768}"/>
            </a:ext>
          </a:extLst>
        </xdr:cNvPr>
        <xdr:cNvSpPr txBox="1">
          <a:spLocks noChangeArrowheads="1"/>
        </xdr:cNvSpPr>
      </xdr:nvSpPr>
      <xdr:spPr bwMode="auto">
        <a:xfrm>
          <a:off x="414867" y="4394200"/>
          <a:ext cx="3699859" cy="263662"/>
        </a:xfrm>
        <a:prstGeom prst="rect">
          <a:avLst/>
        </a:prstGeom>
        <a:noFill/>
        <a:ln>
          <a:noFill/>
        </a:ln>
        <a:extLst>
          <a:ext uri="{909E8E84-426E-40dd-AFC4-6F175D3DCCD1}">
            <a14:hiddenFill xmlns=""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27432" tIns="27432" rIns="0" bIns="0" anchor="t" upright="1">
          <a:spAutoFit/>
        </a:bodyPr>
        <a:lstStyle/>
        <a:p>
          <a:pPr algn="l" rtl="0">
            <a:defRPr sz="1000"/>
          </a:pPr>
          <a:r>
            <a:rPr lang="en-US" sz="1600" b="1" i="0" u="none" strike="noStrike" baseline="0">
              <a:solidFill>
                <a:srgbClr val="000000"/>
              </a:solidFill>
              <a:latin typeface="Arial"/>
              <a:ea typeface="Arial"/>
              <a:cs typeface="Arial"/>
            </a:rPr>
            <a:t>Energy Sector Ratios Indexed to 2010</a:t>
          </a:r>
        </a:p>
      </xdr:txBody>
    </xdr:sp>
    <xdr:clientData/>
  </xdr:oneCellAnchor>
  <xdr:oneCellAnchor>
    <xdr:from>
      <xdr:col>0</xdr:col>
      <xdr:colOff>419099</xdr:colOff>
      <xdr:row>42</xdr:row>
      <xdr:rowOff>101600</xdr:rowOff>
    </xdr:from>
    <xdr:ext cx="5490029" cy="263662"/>
    <xdr:sp macro="" textlink="">
      <xdr:nvSpPr>
        <xdr:cNvPr id="21" name="Text Box 45">
          <a:extLst>
            <a:ext uri="{FF2B5EF4-FFF2-40B4-BE49-F238E27FC236}">
              <a16:creationId xmlns:a16="http://schemas.microsoft.com/office/drawing/2014/main" id="{F1B0CD3F-B088-BA4B-8086-8F3E77C507DD}"/>
            </a:ext>
          </a:extLst>
        </xdr:cNvPr>
        <xdr:cNvSpPr txBox="1">
          <a:spLocks noChangeArrowheads="1"/>
        </xdr:cNvSpPr>
      </xdr:nvSpPr>
      <xdr:spPr bwMode="auto">
        <a:xfrm>
          <a:off x="419099" y="7035800"/>
          <a:ext cx="5490029" cy="263662"/>
        </a:xfrm>
        <a:prstGeom prst="rect">
          <a:avLst/>
        </a:prstGeom>
        <a:noFill/>
        <a:ln>
          <a:noFill/>
        </a:ln>
        <a:extLst>
          <a:ext uri="{909E8E84-426E-40dd-AFC4-6F175D3DCCD1}">
            <a14:hiddenFill xmlns=""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27432" tIns="27432" rIns="0" bIns="0" anchor="t" upright="1">
          <a:spAutoFit/>
        </a:bodyPr>
        <a:lstStyle/>
        <a:p>
          <a:pPr algn="l" rtl="0">
            <a:defRPr sz="1000"/>
          </a:pPr>
          <a:r>
            <a:rPr lang="en-US" sz="1600" b="1" i="0" u="none" strike="noStrike" baseline="0">
              <a:solidFill>
                <a:srgbClr val="000000"/>
              </a:solidFill>
              <a:latin typeface="Arial"/>
              <a:ea typeface="Arial"/>
              <a:cs typeface="Arial"/>
            </a:rPr>
            <a:t>Rate of Change as % of Base Year (decadal, annualized)</a:t>
          </a:r>
        </a:p>
      </xdr:txBody>
    </xdr:sp>
    <xdr:clientData/>
  </xdr:oneCellAnchor>
  <xdr:oneCellAnchor>
    <xdr:from>
      <xdr:col>21</xdr:col>
      <xdr:colOff>160865</xdr:colOff>
      <xdr:row>8</xdr:row>
      <xdr:rowOff>63500</xdr:rowOff>
    </xdr:from>
    <xdr:ext cx="215900" cy="272473"/>
    <xdr:sp macro="" textlink="">
      <xdr:nvSpPr>
        <xdr:cNvPr id="22" name="Text Box 47">
          <a:extLst>
            <a:ext uri="{FF2B5EF4-FFF2-40B4-BE49-F238E27FC236}">
              <a16:creationId xmlns:a16="http://schemas.microsoft.com/office/drawing/2014/main" id="{BCCB51C3-7DBF-B14F-9E95-69E98222A97F}"/>
            </a:ext>
          </a:extLst>
        </xdr:cNvPr>
        <xdr:cNvSpPr txBox="1">
          <a:spLocks noChangeArrowheads="1"/>
        </xdr:cNvSpPr>
      </xdr:nvSpPr>
      <xdr:spPr bwMode="auto">
        <a:xfrm>
          <a:off x="8961965" y="1384300"/>
          <a:ext cx="215900" cy="272473"/>
        </a:xfrm>
        <a:prstGeom prst="rect">
          <a:avLst/>
        </a:prstGeom>
        <a:noFill/>
        <a:ln>
          <a:noFill/>
        </a:ln>
        <a:extLst>
          <a:ext uri="{909E8E84-426E-40dd-AFC4-6F175D3DCCD1}">
            <a14:hiddenFill xmlns=""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27432" tIns="22860" rIns="0" bIns="0" anchor="t" upright="1">
          <a:spAutoFit/>
        </a:bodyPr>
        <a:lstStyle/>
        <a:p>
          <a:pPr algn="l" rtl="0">
            <a:defRPr sz="1000"/>
          </a:pPr>
          <a:r>
            <a:rPr lang="en-US" sz="1600" b="0" i="0" u="none" strike="noStrike" baseline="0">
              <a:solidFill>
                <a:srgbClr val="000000"/>
              </a:solidFill>
              <a:latin typeface="Arial"/>
              <a:ea typeface="Arial"/>
              <a:cs typeface="Arial"/>
            </a:rPr>
            <a:t>x</a:t>
          </a:r>
        </a:p>
      </xdr:txBody>
    </xdr:sp>
    <xdr:clientData/>
  </xdr:oneCellAnchor>
  <xdr:oneCellAnchor>
    <xdr:from>
      <xdr:col>13</xdr:col>
      <xdr:colOff>97368</xdr:colOff>
      <xdr:row>8</xdr:row>
      <xdr:rowOff>71967</xdr:rowOff>
    </xdr:from>
    <xdr:ext cx="228600" cy="272473"/>
    <xdr:sp macro="" textlink="">
      <xdr:nvSpPr>
        <xdr:cNvPr id="23" name="Text Box 48">
          <a:extLst>
            <a:ext uri="{FF2B5EF4-FFF2-40B4-BE49-F238E27FC236}">
              <a16:creationId xmlns:a16="http://schemas.microsoft.com/office/drawing/2014/main" id="{96779198-5613-044E-BA6B-6785E117B61F}"/>
            </a:ext>
          </a:extLst>
        </xdr:cNvPr>
        <xdr:cNvSpPr txBox="1">
          <a:spLocks noChangeArrowheads="1"/>
        </xdr:cNvSpPr>
      </xdr:nvSpPr>
      <xdr:spPr bwMode="auto">
        <a:xfrm>
          <a:off x="5545668" y="1392767"/>
          <a:ext cx="228600" cy="272473"/>
        </a:xfrm>
        <a:prstGeom prst="rect">
          <a:avLst/>
        </a:prstGeom>
        <a:noFill/>
        <a:ln>
          <a:noFill/>
        </a:ln>
        <a:extLst>
          <a:ext uri="{909E8E84-426E-40dd-AFC4-6F175D3DCCD1}">
            <a14:hiddenFill xmlns=""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27432" tIns="22860" rIns="0" bIns="0" anchor="t" upright="1">
          <a:spAutoFit/>
        </a:bodyPr>
        <a:lstStyle/>
        <a:p>
          <a:pPr algn="l" rtl="0">
            <a:defRPr sz="1000"/>
          </a:pPr>
          <a:r>
            <a:rPr lang="en-US" sz="1600" b="0" i="0" u="none" strike="noStrike" baseline="0">
              <a:solidFill>
                <a:srgbClr val="000000"/>
              </a:solidFill>
              <a:latin typeface="Arial"/>
              <a:ea typeface="Arial"/>
              <a:cs typeface="Arial"/>
            </a:rPr>
            <a:t>x</a:t>
          </a:r>
        </a:p>
      </xdr:txBody>
    </xdr:sp>
    <xdr:clientData/>
  </xdr:oneCellAnchor>
  <xdr:oneCellAnchor>
    <xdr:from>
      <xdr:col>17</xdr:col>
      <xdr:colOff>214553</xdr:colOff>
      <xdr:row>8</xdr:row>
      <xdr:rowOff>55033</xdr:rowOff>
    </xdr:from>
    <xdr:ext cx="212436" cy="272473"/>
    <xdr:sp macro="" textlink="">
      <xdr:nvSpPr>
        <xdr:cNvPr id="24" name="Text Box 49">
          <a:extLst>
            <a:ext uri="{FF2B5EF4-FFF2-40B4-BE49-F238E27FC236}">
              <a16:creationId xmlns:a16="http://schemas.microsoft.com/office/drawing/2014/main" id="{B5F44CFF-4C58-5340-9B01-4BE706D11C9F}"/>
            </a:ext>
          </a:extLst>
        </xdr:cNvPr>
        <xdr:cNvSpPr txBox="1">
          <a:spLocks noChangeArrowheads="1"/>
        </xdr:cNvSpPr>
      </xdr:nvSpPr>
      <xdr:spPr bwMode="auto">
        <a:xfrm>
          <a:off x="7339253" y="1375833"/>
          <a:ext cx="212436" cy="272473"/>
        </a:xfrm>
        <a:prstGeom prst="rect">
          <a:avLst/>
        </a:prstGeom>
        <a:noFill/>
        <a:ln>
          <a:noFill/>
        </a:ln>
        <a:extLst>
          <a:ext uri="{909E8E84-426E-40dd-AFC4-6F175D3DCCD1}">
            <a14:hiddenFill xmlns=""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27432" tIns="22860" rIns="0" bIns="0" anchor="t" upright="1">
          <a:spAutoFit/>
        </a:bodyPr>
        <a:lstStyle/>
        <a:p>
          <a:pPr algn="l" rtl="0">
            <a:defRPr sz="1000"/>
          </a:pPr>
          <a:r>
            <a:rPr lang="en-US" sz="1600" b="0" i="0" u="none" strike="noStrike" baseline="0">
              <a:solidFill>
                <a:srgbClr val="000000"/>
              </a:solidFill>
              <a:latin typeface="Arial"/>
              <a:ea typeface="Arial"/>
              <a:cs typeface="Arial"/>
            </a:rPr>
            <a:t>x</a:t>
          </a:r>
        </a:p>
      </xdr:txBody>
    </xdr:sp>
    <xdr:clientData/>
  </xdr:oneCellAnchor>
  <xdr:oneCellAnchor>
    <xdr:from>
      <xdr:col>9</xdr:col>
      <xdr:colOff>122769</xdr:colOff>
      <xdr:row>8</xdr:row>
      <xdr:rowOff>71967</xdr:rowOff>
    </xdr:from>
    <xdr:ext cx="215900" cy="272473"/>
    <xdr:sp macro="" textlink="">
      <xdr:nvSpPr>
        <xdr:cNvPr id="25" name="Text Box 50">
          <a:extLst>
            <a:ext uri="{FF2B5EF4-FFF2-40B4-BE49-F238E27FC236}">
              <a16:creationId xmlns:a16="http://schemas.microsoft.com/office/drawing/2014/main" id="{A472F8FF-7D25-204C-91BC-78C561FBC7D2}"/>
            </a:ext>
          </a:extLst>
        </xdr:cNvPr>
        <xdr:cNvSpPr txBox="1">
          <a:spLocks noChangeArrowheads="1"/>
        </xdr:cNvSpPr>
      </xdr:nvSpPr>
      <xdr:spPr bwMode="auto">
        <a:xfrm>
          <a:off x="3894669" y="1392767"/>
          <a:ext cx="215900" cy="272473"/>
        </a:xfrm>
        <a:prstGeom prst="rect">
          <a:avLst/>
        </a:prstGeom>
        <a:noFill/>
        <a:ln>
          <a:noFill/>
        </a:ln>
        <a:extLst>
          <a:ext uri="{909E8E84-426E-40dd-AFC4-6F175D3DCCD1}">
            <a14:hiddenFill xmlns=""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27432" tIns="22860" rIns="0" bIns="0" anchor="t" upright="1">
          <a:spAutoFit/>
        </a:bodyPr>
        <a:lstStyle/>
        <a:p>
          <a:pPr algn="l" rtl="0">
            <a:defRPr sz="1000"/>
          </a:pPr>
          <a:r>
            <a:rPr lang="en-US" sz="1600" b="0" i="0" u="none" strike="noStrike" baseline="0">
              <a:solidFill>
                <a:srgbClr val="000000"/>
              </a:solidFill>
              <a:latin typeface="Arial"/>
              <a:ea typeface="Arial"/>
              <a:cs typeface="Arial"/>
            </a:rPr>
            <a:t>x</a:t>
          </a:r>
        </a:p>
      </xdr:txBody>
    </xdr:sp>
    <xdr:clientData/>
  </xdr:oneCellAnchor>
  <xdr:oneCellAnchor>
    <xdr:from>
      <xdr:col>9</xdr:col>
      <xdr:colOff>135467</xdr:colOff>
      <xdr:row>45</xdr:row>
      <xdr:rowOff>33867</xdr:rowOff>
    </xdr:from>
    <xdr:ext cx="237066" cy="283055"/>
    <xdr:sp macro="" textlink="">
      <xdr:nvSpPr>
        <xdr:cNvPr id="26" name="Text Box 51">
          <a:extLst>
            <a:ext uri="{FF2B5EF4-FFF2-40B4-BE49-F238E27FC236}">
              <a16:creationId xmlns:a16="http://schemas.microsoft.com/office/drawing/2014/main" id="{406A4594-6293-6442-8853-E9A2A68F72F8}"/>
            </a:ext>
          </a:extLst>
        </xdr:cNvPr>
        <xdr:cNvSpPr txBox="1">
          <a:spLocks noChangeArrowheads="1"/>
        </xdr:cNvSpPr>
      </xdr:nvSpPr>
      <xdr:spPr bwMode="auto">
        <a:xfrm>
          <a:off x="3907367" y="7463367"/>
          <a:ext cx="237066" cy="283055"/>
        </a:xfrm>
        <a:prstGeom prst="rect">
          <a:avLst/>
        </a:prstGeom>
        <a:noFill/>
        <a:ln>
          <a:noFill/>
        </a:ln>
        <a:extLst>
          <a:ext uri="{909E8E84-426E-40dd-AFC4-6F175D3DCCD1}">
            <a14:hiddenFill xmlns=""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27432" tIns="22860" rIns="0" bIns="0" anchor="t" upright="1">
          <a:noAutofit/>
        </a:bodyPr>
        <a:lstStyle/>
        <a:p>
          <a:pPr algn="l" rtl="0">
            <a:defRPr sz="1000"/>
          </a:pPr>
          <a:r>
            <a:rPr lang="en-US" sz="1600" b="0" i="0" u="none" strike="noStrike" baseline="0">
              <a:solidFill>
                <a:srgbClr val="000000"/>
              </a:solidFill>
              <a:latin typeface="Arial"/>
              <a:ea typeface="Arial"/>
              <a:cs typeface="Arial"/>
            </a:rPr>
            <a:t>+</a:t>
          </a:r>
        </a:p>
      </xdr:txBody>
    </xdr:sp>
    <xdr:clientData/>
  </xdr:oneCellAnchor>
  <xdr:oneCellAnchor>
    <xdr:from>
      <xdr:col>13</xdr:col>
      <xdr:colOff>139700</xdr:colOff>
      <xdr:row>45</xdr:row>
      <xdr:rowOff>19050</xdr:rowOff>
    </xdr:from>
    <xdr:ext cx="237836" cy="272472"/>
    <xdr:sp macro="" textlink="">
      <xdr:nvSpPr>
        <xdr:cNvPr id="27" name="Text Box 52">
          <a:extLst>
            <a:ext uri="{FF2B5EF4-FFF2-40B4-BE49-F238E27FC236}">
              <a16:creationId xmlns:a16="http://schemas.microsoft.com/office/drawing/2014/main" id="{1F020CA8-0E2D-CB40-94CF-84237CFFE6FA}"/>
            </a:ext>
          </a:extLst>
        </xdr:cNvPr>
        <xdr:cNvSpPr txBox="1">
          <a:spLocks noChangeArrowheads="1"/>
        </xdr:cNvSpPr>
      </xdr:nvSpPr>
      <xdr:spPr bwMode="auto">
        <a:xfrm>
          <a:off x="5588000" y="7448550"/>
          <a:ext cx="237836" cy="272472"/>
        </a:xfrm>
        <a:prstGeom prst="rect">
          <a:avLst/>
        </a:prstGeom>
        <a:noFill/>
        <a:ln>
          <a:noFill/>
        </a:ln>
        <a:extLst>
          <a:ext uri="{909E8E84-426E-40dd-AFC4-6F175D3DCCD1}">
            <a14:hiddenFill xmlns=""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27432" tIns="22860" rIns="0" bIns="0" anchor="t" upright="1">
          <a:spAutoFit/>
        </a:bodyPr>
        <a:lstStyle/>
        <a:p>
          <a:pPr algn="l" rtl="0">
            <a:defRPr sz="1000"/>
          </a:pPr>
          <a:r>
            <a:rPr lang="en-US" sz="1600" b="0" i="0" u="none" strike="noStrike" baseline="0">
              <a:solidFill>
                <a:srgbClr val="000000"/>
              </a:solidFill>
              <a:latin typeface="Arial"/>
              <a:ea typeface="Arial"/>
              <a:cs typeface="Arial"/>
            </a:rPr>
            <a:t>+</a:t>
          </a:r>
        </a:p>
      </xdr:txBody>
    </xdr:sp>
    <xdr:clientData/>
  </xdr:oneCellAnchor>
  <xdr:oneCellAnchor>
    <xdr:from>
      <xdr:col>17</xdr:col>
      <xdr:colOff>117186</xdr:colOff>
      <xdr:row>45</xdr:row>
      <xdr:rowOff>31750</xdr:rowOff>
    </xdr:from>
    <xdr:ext cx="241300" cy="272472"/>
    <xdr:sp macro="" textlink="">
      <xdr:nvSpPr>
        <xdr:cNvPr id="28" name="Text Box 54">
          <a:extLst>
            <a:ext uri="{FF2B5EF4-FFF2-40B4-BE49-F238E27FC236}">
              <a16:creationId xmlns:a16="http://schemas.microsoft.com/office/drawing/2014/main" id="{D1F8D2D1-98E5-6F4B-94F4-1759E8C2B131}"/>
            </a:ext>
          </a:extLst>
        </xdr:cNvPr>
        <xdr:cNvSpPr txBox="1">
          <a:spLocks noChangeArrowheads="1"/>
        </xdr:cNvSpPr>
      </xdr:nvSpPr>
      <xdr:spPr bwMode="auto">
        <a:xfrm>
          <a:off x="7241886" y="7461250"/>
          <a:ext cx="241300" cy="272472"/>
        </a:xfrm>
        <a:prstGeom prst="rect">
          <a:avLst/>
        </a:prstGeom>
        <a:noFill/>
        <a:ln>
          <a:noFill/>
        </a:ln>
        <a:extLst>
          <a:ext uri="{909E8E84-426E-40dd-AFC4-6F175D3DCCD1}">
            <a14:hiddenFill xmlns=""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27432" tIns="22860" rIns="0" bIns="0" anchor="t" upright="1">
          <a:spAutoFit/>
        </a:bodyPr>
        <a:lstStyle/>
        <a:p>
          <a:pPr algn="l" rtl="0">
            <a:defRPr sz="1000"/>
          </a:pPr>
          <a:r>
            <a:rPr lang="en-US" sz="1600" b="0" i="0" u="none" strike="noStrike" baseline="0">
              <a:solidFill>
                <a:srgbClr val="000000"/>
              </a:solidFill>
              <a:latin typeface="Arial"/>
              <a:ea typeface="Arial"/>
              <a:cs typeface="Arial"/>
            </a:rPr>
            <a:t>+</a:t>
          </a:r>
        </a:p>
      </xdr:txBody>
    </xdr:sp>
    <xdr:clientData/>
  </xdr:oneCellAnchor>
  <xdr:twoCellAnchor>
    <xdr:from>
      <xdr:col>26</xdr:col>
      <xdr:colOff>228600</xdr:colOff>
      <xdr:row>46</xdr:row>
      <xdr:rowOff>0</xdr:rowOff>
    </xdr:from>
    <xdr:to>
      <xdr:col>28</xdr:col>
      <xdr:colOff>190500</xdr:colOff>
      <xdr:row>46</xdr:row>
      <xdr:rowOff>0</xdr:rowOff>
    </xdr:to>
    <xdr:sp macro="" textlink="">
      <xdr:nvSpPr>
        <xdr:cNvPr id="29" name="Line 56">
          <a:extLst>
            <a:ext uri="{FF2B5EF4-FFF2-40B4-BE49-F238E27FC236}">
              <a16:creationId xmlns:a16="http://schemas.microsoft.com/office/drawing/2014/main" id="{F9F1D505-53D8-444A-A4D6-F1CA3452A94D}"/>
            </a:ext>
          </a:extLst>
        </xdr:cNvPr>
        <xdr:cNvSpPr>
          <a:spLocks noChangeShapeType="1"/>
        </xdr:cNvSpPr>
      </xdr:nvSpPr>
      <xdr:spPr bwMode="auto">
        <a:xfrm flipV="1">
          <a:off x="11417300" y="7683500"/>
          <a:ext cx="8001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absoluteAnchor>
    <xdr:pos x="548640" y="1604433"/>
    <xdr:ext cx="1965960" cy="2286000"/>
    <xdr:graphicFrame macro="">
      <xdr:nvGraphicFramePr>
        <xdr:cNvPr id="30" name="Chart 14">
          <a:extLst>
            <a:ext uri="{FF2B5EF4-FFF2-40B4-BE49-F238E27FC236}">
              <a16:creationId xmlns:a16="http://schemas.microsoft.com/office/drawing/2014/main" id="{1412EFD5-B741-4543-9876-5CB6E6AFEC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absoluteAnchor>
  <xdr:absoluteAnchor>
    <xdr:pos x="529166" y="4635500"/>
    <xdr:ext cx="1981202" cy="2286000"/>
    <xdr:graphicFrame macro="">
      <xdr:nvGraphicFramePr>
        <xdr:cNvPr id="31" name="Chart 14">
          <a:extLst>
            <a:ext uri="{FF2B5EF4-FFF2-40B4-BE49-F238E27FC236}">
              <a16:creationId xmlns:a16="http://schemas.microsoft.com/office/drawing/2014/main" id="{3366876F-02F0-7849-9823-736AE9B2CD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absoluteAnchor>
  <xdr:absoluteAnchor>
    <xdr:pos x="537634" y="7865532"/>
    <xdr:ext cx="1896533" cy="2328334"/>
    <xdr:graphicFrame macro="">
      <xdr:nvGraphicFramePr>
        <xdr:cNvPr id="32" name="Chart 21">
          <a:extLst>
            <a:ext uri="{FF2B5EF4-FFF2-40B4-BE49-F238E27FC236}">
              <a16:creationId xmlns:a16="http://schemas.microsoft.com/office/drawing/2014/main" id="{50E9B325-76C9-7A47-8915-B65A24B01B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absoluteAnchor>
  <xdr:twoCellAnchor>
    <xdr:from>
      <xdr:col>3</xdr:col>
      <xdr:colOff>59265</xdr:colOff>
      <xdr:row>46</xdr:row>
      <xdr:rowOff>0</xdr:rowOff>
    </xdr:from>
    <xdr:to>
      <xdr:col>3</xdr:col>
      <xdr:colOff>351365</xdr:colOff>
      <xdr:row>46</xdr:row>
      <xdr:rowOff>0</xdr:rowOff>
    </xdr:to>
    <xdr:sp macro="" textlink="">
      <xdr:nvSpPr>
        <xdr:cNvPr id="33" name="Line 26">
          <a:extLst>
            <a:ext uri="{FF2B5EF4-FFF2-40B4-BE49-F238E27FC236}">
              <a16:creationId xmlns:a16="http://schemas.microsoft.com/office/drawing/2014/main" id="{1434E967-3561-B542-AA6B-4B6A85017E4F}"/>
            </a:ext>
          </a:extLst>
        </xdr:cNvPr>
        <xdr:cNvSpPr>
          <a:spLocks noChangeShapeType="1"/>
        </xdr:cNvSpPr>
      </xdr:nvSpPr>
      <xdr:spPr bwMode="auto">
        <a:xfrm flipV="1">
          <a:off x="1316565" y="7594600"/>
          <a:ext cx="2921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oneCellAnchor>
    <xdr:from>
      <xdr:col>5</xdr:col>
      <xdr:colOff>127000</xdr:colOff>
      <xdr:row>8</xdr:row>
      <xdr:rowOff>88900</xdr:rowOff>
    </xdr:from>
    <xdr:ext cx="215900" cy="272473"/>
    <xdr:sp macro="" textlink="">
      <xdr:nvSpPr>
        <xdr:cNvPr id="34" name="Text Box 50">
          <a:extLst>
            <a:ext uri="{FF2B5EF4-FFF2-40B4-BE49-F238E27FC236}">
              <a16:creationId xmlns:a16="http://schemas.microsoft.com/office/drawing/2014/main" id="{E561045F-14AC-334D-8582-5049E3CFBA80}"/>
            </a:ext>
          </a:extLst>
        </xdr:cNvPr>
        <xdr:cNvSpPr txBox="1">
          <a:spLocks noChangeArrowheads="1"/>
        </xdr:cNvSpPr>
      </xdr:nvSpPr>
      <xdr:spPr bwMode="auto">
        <a:xfrm>
          <a:off x="2222500" y="1409700"/>
          <a:ext cx="215900" cy="272473"/>
        </a:xfrm>
        <a:prstGeom prst="rect">
          <a:avLst/>
        </a:prstGeom>
        <a:noFill/>
        <a:ln>
          <a:noFill/>
        </a:ln>
        <a:extLst>
          <a:ext uri="{909E8E84-426E-40dd-AFC4-6F175D3DCCD1}">
            <a14:hiddenFill xmlns=""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27432" tIns="22860" rIns="0" bIns="0" anchor="t" upright="1">
          <a:spAutoFit/>
        </a:bodyPr>
        <a:lstStyle/>
        <a:p>
          <a:pPr algn="l" rtl="0">
            <a:defRPr sz="1000"/>
          </a:pPr>
          <a:r>
            <a:rPr lang="en-US" sz="1600" b="0" i="0" u="none" strike="noStrike" baseline="0">
              <a:solidFill>
                <a:srgbClr val="000000"/>
              </a:solidFill>
              <a:latin typeface="Arial"/>
              <a:ea typeface="Arial"/>
              <a:cs typeface="Arial"/>
            </a:rPr>
            <a:t>x</a:t>
          </a:r>
        </a:p>
      </xdr:txBody>
    </xdr:sp>
    <xdr:clientData/>
  </xdr:oneCellAnchor>
  <xdr:oneCellAnchor>
    <xdr:from>
      <xdr:col>5</xdr:col>
      <xdr:colOff>114300</xdr:colOff>
      <xdr:row>45</xdr:row>
      <xdr:rowOff>6350</xdr:rowOff>
    </xdr:from>
    <xdr:ext cx="241300" cy="272472"/>
    <xdr:sp macro="" textlink="">
      <xdr:nvSpPr>
        <xdr:cNvPr id="35" name="Text Box 51">
          <a:extLst>
            <a:ext uri="{FF2B5EF4-FFF2-40B4-BE49-F238E27FC236}">
              <a16:creationId xmlns:a16="http://schemas.microsoft.com/office/drawing/2014/main" id="{82AFD608-EFAE-8845-8999-F4D013EA9673}"/>
            </a:ext>
          </a:extLst>
        </xdr:cNvPr>
        <xdr:cNvSpPr txBox="1">
          <a:spLocks noChangeArrowheads="1"/>
        </xdr:cNvSpPr>
      </xdr:nvSpPr>
      <xdr:spPr bwMode="auto">
        <a:xfrm>
          <a:off x="2209800" y="7435850"/>
          <a:ext cx="241300" cy="272472"/>
        </a:xfrm>
        <a:prstGeom prst="rect">
          <a:avLst/>
        </a:prstGeom>
        <a:noFill/>
        <a:ln>
          <a:noFill/>
        </a:ln>
        <a:extLst>
          <a:ext uri="{909E8E84-426E-40dd-AFC4-6F175D3DCCD1}">
            <a14:hiddenFill xmlns=""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27432" tIns="22860" rIns="0" bIns="0" anchor="t" upright="1">
          <a:spAutoFit/>
        </a:bodyPr>
        <a:lstStyle/>
        <a:p>
          <a:pPr algn="l" rtl="0">
            <a:defRPr sz="1000"/>
          </a:pPr>
          <a:r>
            <a:rPr lang="en-US" sz="1600" b="0" i="0" u="none" strike="noStrike" baseline="0">
              <a:solidFill>
                <a:srgbClr val="000000"/>
              </a:solidFill>
              <a:latin typeface="Arial"/>
              <a:ea typeface="Arial"/>
              <a:cs typeface="Arial"/>
            </a:rPr>
            <a:t>+</a:t>
          </a:r>
        </a:p>
      </xdr:txBody>
    </xdr:sp>
    <xdr:clientData/>
  </xdr:oneCellAnchor>
  <xdr:oneCellAnchor>
    <xdr:from>
      <xdr:col>21</xdr:col>
      <xdr:colOff>139700</xdr:colOff>
      <xdr:row>45</xdr:row>
      <xdr:rowOff>31750</xdr:rowOff>
    </xdr:from>
    <xdr:ext cx="237836" cy="272472"/>
    <xdr:sp macro="" textlink="">
      <xdr:nvSpPr>
        <xdr:cNvPr id="36" name="Text Box 52">
          <a:extLst>
            <a:ext uri="{FF2B5EF4-FFF2-40B4-BE49-F238E27FC236}">
              <a16:creationId xmlns:a16="http://schemas.microsoft.com/office/drawing/2014/main" id="{B3844B22-1504-3743-8247-334A3CB62F68}"/>
            </a:ext>
          </a:extLst>
        </xdr:cNvPr>
        <xdr:cNvSpPr txBox="1">
          <a:spLocks noChangeArrowheads="1"/>
        </xdr:cNvSpPr>
      </xdr:nvSpPr>
      <xdr:spPr bwMode="auto">
        <a:xfrm>
          <a:off x="8940800" y="7461250"/>
          <a:ext cx="237836" cy="272472"/>
        </a:xfrm>
        <a:prstGeom prst="rect">
          <a:avLst/>
        </a:prstGeom>
        <a:noFill/>
        <a:ln>
          <a:noFill/>
        </a:ln>
        <a:extLst>
          <a:ext uri="{909E8E84-426E-40dd-AFC4-6F175D3DCCD1}">
            <a14:hiddenFill xmlns=""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27432" tIns="22860" rIns="0" bIns="0" anchor="t" upright="1">
          <a:spAutoFit/>
        </a:bodyPr>
        <a:lstStyle/>
        <a:p>
          <a:pPr algn="l" rtl="0">
            <a:defRPr sz="1000"/>
          </a:pPr>
          <a:r>
            <a:rPr lang="en-US" sz="1600" b="0" i="0" u="none" strike="noStrike" baseline="0">
              <a:solidFill>
                <a:srgbClr val="000000"/>
              </a:solidFill>
              <a:latin typeface="Arial"/>
              <a:ea typeface="Arial"/>
              <a:cs typeface="Arial"/>
            </a:rPr>
            <a:t>+</a:t>
          </a:r>
        </a:p>
      </xdr:txBody>
    </xdr:sp>
    <xdr:clientData/>
  </xdr:oneCellAnchor>
  <xdr:twoCellAnchor>
    <xdr:from>
      <xdr:col>14</xdr:col>
      <xdr:colOff>279400</xdr:colOff>
      <xdr:row>46</xdr:row>
      <xdr:rowOff>0</xdr:rowOff>
    </xdr:from>
    <xdr:to>
      <xdr:col>16</xdr:col>
      <xdr:colOff>165100</xdr:colOff>
      <xdr:row>46</xdr:row>
      <xdr:rowOff>0</xdr:rowOff>
    </xdr:to>
    <xdr:sp macro="" textlink="">
      <xdr:nvSpPr>
        <xdr:cNvPr id="37" name="Line 23">
          <a:extLst>
            <a:ext uri="{FF2B5EF4-FFF2-40B4-BE49-F238E27FC236}">
              <a16:creationId xmlns:a16="http://schemas.microsoft.com/office/drawing/2014/main" id="{7692FA8A-79D8-3A4C-8028-7100352DB0C0}"/>
            </a:ext>
          </a:extLst>
        </xdr:cNvPr>
        <xdr:cNvSpPr>
          <a:spLocks noChangeShapeType="1"/>
        </xdr:cNvSpPr>
      </xdr:nvSpPr>
      <xdr:spPr bwMode="auto">
        <a:xfrm>
          <a:off x="6146800" y="7594600"/>
          <a:ext cx="7239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10</xdr:col>
      <xdr:colOff>330200</xdr:colOff>
      <xdr:row>46</xdr:row>
      <xdr:rowOff>12700</xdr:rowOff>
    </xdr:from>
    <xdr:to>
      <xdr:col>12</xdr:col>
      <xdr:colOff>88900</xdr:colOff>
      <xdr:row>46</xdr:row>
      <xdr:rowOff>12700</xdr:rowOff>
    </xdr:to>
    <xdr:sp macro="" textlink="">
      <xdr:nvSpPr>
        <xdr:cNvPr id="38" name="Line 22">
          <a:extLst>
            <a:ext uri="{FF2B5EF4-FFF2-40B4-BE49-F238E27FC236}">
              <a16:creationId xmlns:a16="http://schemas.microsoft.com/office/drawing/2014/main" id="{C288FF7B-EFFD-3340-B886-A094E714DE30}"/>
            </a:ext>
          </a:extLst>
        </xdr:cNvPr>
        <xdr:cNvSpPr>
          <a:spLocks noChangeShapeType="1"/>
        </xdr:cNvSpPr>
      </xdr:nvSpPr>
      <xdr:spPr bwMode="auto">
        <a:xfrm>
          <a:off x="4521200" y="7607300"/>
          <a:ext cx="5969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oneCellAnchor>
    <xdr:from>
      <xdr:col>0</xdr:col>
      <xdr:colOff>414866</xdr:colOff>
      <xdr:row>6</xdr:row>
      <xdr:rowOff>97367</xdr:rowOff>
    </xdr:from>
    <xdr:ext cx="2102988" cy="273921"/>
    <xdr:sp macro="" textlink="">
      <xdr:nvSpPr>
        <xdr:cNvPr id="39" name="Text Box 37">
          <a:extLst>
            <a:ext uri="{FF2B5EF4-FFF2-40B4-BE49-F238E27FC236}">
              <a16:creationId xmlns:a16="http://schemas.microsoft.com/office/drawing/2014/main" id="{F47ABB76-6C8D-9142-83A7-94E7C1C842E8}"/>
            </a:ext>
          </a:extLst>
        </xdr:cNvPr>
        <xdr:cNvSpPr txBox="1">
          <a:spLocks noChangeArrowheads="1"/>
        </xdr:cNvSpPr>
      </xdr:nvSpPr>
      <xdr:spPr bwMode="auto">
        <a:xfrm>
          <a:off x="414866" y="1087967"/>
          <a:ext cx="2102988" cy="273921"/>
        </a:xfrm>
        <a:prstGeom prst="rect">
          <a:avLst/>
        </a:prstGeom>
        <a:noFill/>
        <a:ln>
          <a:noFill/>
        </a:ln>
        <a:extLst>
          <a:ext uri="{909E8E84-426E-40dd-AFC4-6F175D3DCCD1}">
            <a14:hiddenFill xmlns=""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27432" tIns="27432" rIns="0" bIns="0" anchor="t" upright="1">
          <a:spAutoFit/>
        </a:bodyPr>
        <a:lstStyle/>
        <a:p>
          <a:pPr algn="l" rtl="0">
            <a:defRPr sz="1000"/>
          </a:pPr>
          <a:r>
            <a:rPr lang="en-US" sz="1600" b="1" i="0" u="none" strike="noStrike" baseline="0">
              <a:solidFill>
                <a:srgbClr val="000000"/>
              </a:solidFill>
              <a:latin typeface="Arial"/>
              <a:ea typeface="Arial"/>
              <a:cs typeface="Arial"/>
            </a:rPr>
            <a:t>Energy Sector Ratios</a:t>
          </a:r>
        </a:p>
      </xdr:txBody>
    </xdr:sp>
    <xdr:clientData/>
  </xdr:oneCellAnchor>
  <xdr:twoCellAnchor>
    <xdr:from>
      <xdr:col>11</xdr:col>
      <xdr:colOff>25401</xdr:colOff>
      <xdr:row>9</xdr:row>
      <xdr:rowOff>8467</xdr:rowOff>
    </xdr:from>
    <xdr:to>
      <xdr:col>11</xdr:col>
      <xdr:colOff>393700</xdr:colOff>
      <xdr:row>9</xdr:row>
      <xdr:rowOff>8467</xdr:rowOff>
    </xdr:to>
    <xdr:sp macro="" textlink="">
      <xdr:nvSpPr>
        <xdr:cNvPr id="40" name="Line 13">
          <a:extLst>
            <a:ext uri="{FF2B5EF4-FFF2-40B4-BE49-F238E27FC236}">
              <a16:creationId xmlns:a16="http://schemas.microsoft.com/office/drawing/2014/main" id="{EC3395E9-879A-5A4C-99AD-CBB3FF8E3EBC}"/>
            </a:ext>
          </a:extLst>
        </xdr:cNvPr>
        <xdr:cNvSpPr>
          <a:spLocks noChangeShapeType="1"/>
        </xdr:cNvSpPr>
      </xdr:nvSpPr>
      <xdr:spPr bwMode="auto">
        <a:xfrm>
          <a:off x="4635501" y="1494367"/>
          <a:ext cx="368299"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15</xdr:col>
      <xdr:colOff>55037</xdr:colOff>
      <xdr:row>9</xdr:row>
      <xdr:rowOff>0</xdr:rowOff>
    </xdr:from>
    <xdr:to>
      <xdr:col>16</xdr:col>
      <xdr:colOff>4236</xdr:colOff>
      <xdr:row>9</xdr:row>
      <xdr:rowOff>0</xdr:rowOff>
    </xdr:to>
    <xdr:sp macro="" textlink="">
      <xdr:nvSpPr>
        <xdr:cNvPr id="41" name="Line 13">
          <a:extLst>
            <a:ext uri="{FF2B5EF4-FFF2-40B4-BE49-F238E27FC236}">
              <a16:creationId xmlns:a16="http://schemas.microsoft.com/office/drawing/2014/main" id="{D5DDF956-34DE-2A42-B27F-2C3EC8D64766}"/>
            </a:ext>
          </a:extLst>
        </xdr:cNvPr>
        <xdr:cNvSpPr>
          <a:spLocks noChangeShapeType="1"/>
        </xdr:cNvSpPr>
      </xdr:nvSpPr>
      <xdr:spPr bwMode="auto">
        <a:xfrm>
          <a:off x="6341537" y="1485900"/>
          <a:ext cx="368299"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19</xdr:col>
      <xdr:colOff>59267</xdr:colOff>
      <xdr:row>8</xdr:row>
      <xdr:rowOff>160866</xdr:rowOff>
    </xdr:from>
    <xdr:to>
      <xdr:col>20</xdr:col>
      <xdr:colOff>4232</xdr:colOff>
      <xdr:row>8</xdr:row>
      <xdr:rowOff>160866</xdr:rowOff>
    </xdr:to>
    <xdr:sp macro="" textlink="">
      <xdr:nvSpPr>
        <xdr:cNvPr id="42" name="Line 13">
          <a:extLst>
            <a:ext uri="{FF2B5EF4-FFF2-40B4-BE49-F238E27FC236}">
              <a16:creationId xmlns:a16="http://schemas.microsoft.com/office/drawing/2014/main" id="{A34C3C91-C327-6C41-9899-CBDEA9B39CA0}"/>
            </a:ext>
          </a:extLst>
        </xdr:cNvPr>
        <xdr:cNvSpPr>
          <a:spLocks noChangeShapeType="1"/>
        </xdr:cNvSpPr>
      </xdr:nvSpPr>
      <xdr:spPr bwMode="auto">
        <a:xfrm>
          <a:off x="8022167" y="1481666"/>
          <a:ext cx="36406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27</xdr:col>
      <xdr:colOff>25401</xdr:colOff>
      <xdr:row>8</xdr:row>
      <xdr:rowOff>148167</xdr:rowOff>
    </xdr:from>
    <xdr:to>
      <xdr:col>27</xdr:col>
      <xdr:colOff>393700</xdr:colOff>
      <xdr:row>8</xdr:row>
      <xdr:rowOff>148167</xdr:rowOff>
    </xdr:to>
    <xdr:sp macro="" textlink="">
      <xdr:nvSpPr>
        <xdr:cNvPr id="43" name="Line 13">
          <a:extLst>
            <a:ext uri="{FF2B5EF4-FFF2-40B4-BE49-F238E27FC236}">
              <a16:creationId xmlns:a16="http://schemas.microsoft.com/office/drawing/2014/main" id="{4FF74B3D-AB44-E743-867D-4A76DADCBD7B}"/>
            </a:ext>
          </a:extLst>
        </xdr:cNvPr>
        <xdr:cNvSpPr>
          <a:spLocks noChangeShapeType="1"/>
        </xdr:cNvSpPr>
      </xdr:nvSpPr>
      <xdr:spPr bwMode="auto">
        <a:xfrm>
          <a:off x="11341101" y="1468967"/>
          <a:ext cx="368299"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absoluteAnchor>
    <xdr:pos x="7289800" y="1638300"/>
    <xdr:ext cx="1981201" cy="2286000"/>
    <xdr:graphicFrame macro="">
      <xdr:nvGraphicFramePr>
        <xdr:cNvPr id="44" name="Chart 8">
          <a:extLst>
            <a:ext uri="{FF2B5EF4-FFF2-40B4-BE49-F238E27FC236}">
              <a16:creationId xmlns:a16="http://schemas.microsoft.com/office/drawing/2014/main" id="{F7A68C64-C248-614A-85E2-2870FC9312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absoluteAnchor>
  <xdr:absoluteAnchor>
    <xdr:pos x="7327900" y="7772400"/>
    <xdr:ext cx="1965960" cy="2370668"/>
    <xdr:graphicFrame macro="">
      <xdr:nvGraphicFramePr>
        <xdr:cNvPr id="46" name="Chart 20">
          <a:extLst>
            <a:ext uri="{FF2B5EF4-FFF2-40B4-BE49-F238E27FC236}">
              <a16:creationId xmlns:a16="http://schemas.microsoft.com/office/drawing/2014/main" id="{24FE5B5F-6398-C54B-9A91-33BA946811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absoluteAnchor>
  <xdr:twoCellAnchor>
    <xdr:from>
      <xdr:col>23</xdr:col>
      <xdr:colOff>25401</xdr:colOff>
      <xdr:row>8</xdr:row>
      <xdr:rowOff>148167</xdr:rowOff>
    </xdr:from>
    <xdr:to>
      <xdr:col>23</xdr:col>
      <xdr:colOff>393700</xdr:colOff>
      <xdr:row>8</xdr:row>
      <xdr:rowOff>148167</xdr:rowOff>
    </xdr:to>
    <xdr:sp macro="" textlink="">
      <xdr:nvSpPr>
        <xdr:cNvPr id="47" name="Line 13">
          <a:extLst>
            <a:ext uri="{FF2B5EF4-FFF2-40B4-BE49-F238E27FC236}">
              <a16:creationId xmlns:a16="http://schemas.microsoft.com/office/drawing/2014/main" id="{D857FCAA-BE33-7E4D-843B-62813EF4F44E}"/>
            </a:ext>
          </a:extLst>
        </xdr:cNvPr>
        <xdr:cNvSpPr>
          <a:spLocks noChangeShapeType="1"/>
        </xdr:cNvSpPr>
      </xdr:nvSpPr>
      <xdr:spPr bwMode="auto">
        <a:xfrm>
          <a:off x="9664701" y="1468967"/>
          <a:ext cx="368299"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oneCellAnchor>
    <xdr:from>
      <xdr:col>25</xdr:col>
      <xdr:colOff>152400</xdr:colOff>
      <xdr:row>8</xdr:row>
      <xdr:rowOff>76200</xdr:rowOff>
    </xdr:from>
    <xdr:ext cx="215900" cy="272473"/>
    <xdr:sp macro="" textlink="">
      <xdr:nvSpPr>
        <xdr:cNvPr id="48" name="Text Box 47">
          <a:extLst>
            <a:ext uri="{FF2B5EF4-FFF2-40B4-BE49-F238E27FC236}">
              <a16:creationId xmlns:a16="http://schemas.microsoft.com/office/drawing/2014/main" id="{18F39BE9-F954-1344-80C6-0EEA5F39AA7D}"/>
            </a:ext>
          </a:extLst>
        </xdr:cNvPr>
        <xdr:cNvSpPr txBox="1">
          <a:spLocks noChangeArrowheads="1"/>
        </xdr:cNvSpPr>
      </xdr:nvSpPr>
      <xdr:spPr bwMode="auto">
        <a:xfrm>
          <a:off x="10629900" y="1397000"/>
          <a:ext cx="215900" cy="272473"/>
        </a:xfrm>
        <a:prstGeom prst="rect">
          <a:avLst/>
        </a:prstGeom>
        <a:noFill/>
        <a:ln>
          <a:noFill/>
        </a:ln>
        <a:extLst>
          <a:ext uri="{909E8E84-426E-40dd-AFC4-6F175D3DCCD1}">
            <a14:hiddenFill xmlns=""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27432" tIns="22860" rIns="0" bIns="0" anchor="t" upright="1">
          <a:spAutoFit/>
        </a:bodyPr>
        <a:lstStyle/>
        <a:p>
          <a:pPr algn="l" rtl="0">
            <a:defRPr sz="1000"/>
          </a:pPr>
          <a:r>
            <a:rPr lang="en-US" sz="1600" b="0" i="0" u="none" strike="noStrike" baseline="0">
              <a:solidFill>
                <a:srgbClr val="000000"/>
              </a:solidFill>
              <a:latin typeface="Arial"/>
              <a:ea typeface="Arial"/>
              <a:cs typeface="Arial"/>
            </a:rPr>
            <a:t>x</a:t>
          </a:r>
        </a:p>
      </xdr:txBody>
    </xdr:sp>
    <xdr:clientData/>
  </xdr:oneCellAnchor>
  <xdr:twoCellAnchor>
    <xdr:from>
      <xdr:col>18</xdr:col>
      <xdr:colOff>279400</xdr:colOff>
      <xdr:row>46</xdr:row>
      <xdr:rowOff>0</xdr:rowOff>
    </xdr:from>
    <xdr:to>
      <xdr:col>20</xdr:col>
      <xdr:colOff>165100</xdr:colOff>
      <xdr:row>46</xdr:row>
      <xdr:rowOff>0</xdr:rowOff>
    </xdr:to>
    <xdr:sp macro="" textlink="">
      <xdr:nvSpPr>
        <xdr:cNvPr id="49" name="Line 23">
          <a:extLst>
            <a:ext uri="{FF2B5EF4-FFF2-40B4-BE49-F238E27FC236}">
              <a16:creationId xmlns:a16="http://schemas.microsoft.com/office/drawing/2014/main" id="{FABBF3DF-00A2-0C47-85A1-34B63009444C}"/>
            </a:ext>
          </a:extLst>
        </xdr:cNvPr>
        <xdr:cNvSpPr>
          <a:spLocks noChangeShapeType="1"/>
        </xdr:cNvSpPr>
      </xdr:nvSpPr>
      <xdr:spPr bwMode="auto">
        <a:xfrm>
          <a:off x="7823200" y="7594600"/>
          <a:ext cx="7239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oneCellAnchor>
    <xdr:from>
      <xdr:col>25</xdr:col>
      <xdr:colOff>101600</xdr:colOff>
      <xdr:row>45</xdr:row>
      <xdr:rowOff>38100</xdr:rowOff>
    </xdr:from>
    <xdr:ext cx="237836" cy="272472"/>
    <xdr:sp macro="" textlink="">
      <xdr:nvSpPr>
        <xdr:cNvPr id="50" name="Text Box 52">
          <a:extLst>
            <a:ext uri="{FF2B5EF4-FFF2-40B4-BE49-F238E27FC236}">
              <a16:creationId xmlns:a16="http://schemas.microsoft.com/office/drawing/2014/main" id="{10758F60-93E3-9840-AD21-C779CE436AD1}"/>
            </a:ext>
          </a:extLst>
        </xdr:cNvPr>
        <xdr:cNvSpPr txBox="1">
          <a:spLocks noChangeArrowheads="1"/>
        </xdr:cNvSpPr>
      </xdr:nvSpPr>
      <xdr:spPr bwMode="auto">
        <a:xfrm>
          <a:off x="10579100" y="7467600"/>
          <a:ext cx="237836" cy="272472"/>
        </a:xfrm>
        <a:prstGeom prst="rect">
          <a:avLst/>
        </a:prstGeom>
        <a:noFill/>
        <a:ln>
          <a:noFill/>
        </a:ln>
        <a:extLst>
          <a:ext uri="{909E8E84-426E-40dd-AFC4-6F175D3DCCD1}">
            <a14:hiddenFill xmlns=""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27432" tIns="22860" rIns="0" bIns="0" anchor="t" upright="1">
          <a:spAutoFit/>
        </a:bodyPr>
        <a:lstStyle/>
        <a:p>
          <a:pPr algn="l" rtl="0">
            <a:defRPr sz="1000"/>
          </a:pPr>
          <a:r>
            <a:rPr lang="en-US" sz="1600" b="0" i="0" u="none" strike="noStrike" baseline="0">
              <a:solidFill>
                <a:srgbClr val="000000"/>
              </a:solidFill>
              <a:latin typeface="Arial"/>
              <a:ea typeface="Arial"/>
              <a:cs typeface="Arial"/>
            </a:rPr>
            <a:t>+</a:t>
          </a:r>
        </a:p>
      </xdr:txBody>
    </xdr:sp>
    <xdr:clientData/>
  </xdr:oneCellAnchor>
  <xdr:absoluteAnchor>
    <xdr:pos x="3928533" y="4660899"/>
    <xdr:ext cx="1965960" cy="2252133"/>
    <xdr:graphicFrame macro="">
      <xdr:nvGraphicFramePr>
        <xdr:cNvPr id="60" name="Chart 30">
          <a:extLst>
            <a:ext uri="{FF2B5EF4-FFF2-40B4-BE49-F238E27FC236}">
              <a16:creationId xmlns:a16="http://schemas.microsoft.com/office/drawing/2014/main" id="{FAC2AB05-6744-D348-BF67-F4530CD3A8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absoluteAnchor>
  <xdr:absoluteAnchor>
    <xdr:pos x="2209800" y="4648200"/>
    <xdr:ext cx="1965960" cy="2252133"/>
    <xdr:graphicFrame macro="">
      <xdr:nvGraphicFramePr>
        <xdr:cNvPr id="61" name="Chart 30">
          <a:extLst>
            <a:ext uri="{FF2B5EF4-FFF2-40B4-BE49-F238E27FC236}">
              <a16:creationId xmlns:a16="http://schemas.microsoft.com/office/drawing/2014/main" id="{DC8B6CC5-F843-304C-B91D-87EB636E36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absoluteAnchor>
  <xdr:absoluteAnchor>
    <xdr:pos x="5664200" y="4673600"/>
    <xdr:ext cx="1965960" cy="2252133"/>
    <xdr:graphicFrame macro="">
      <xdr:nvGraphicFramePr>
        <xdr:cNvPr id="62" name="Chart 30">
          <a:extLst>
            <a:ext uri="{FF2B5EF4-FFF2-40B4-BE49-F238E27FC236}">
              <a16:creationId xmlns:a16="http://schemas.microsoft.com/office/drawing/2014/main" id="{C5E89694-E91E-A44E-850A-B61202806B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absoluteAnchor>
  <xdr:absoluteAnchor>
    <xdr:pos x="7251700" y="4660900"/>
    <xdr:ext cx="1965960" cy="2252133"/>
    <xdr:graphicFrame macro="">
      <xdr:nvGraphicFramePr>
        <xdr:cNvPr id="63" name="Chart 30">
          <a:extLst>
            <a:ext uri="{FF2B5EF4-FFF2-40B4-BE49-F238E27FC236}">
              <a16:creationId xmlns:a16="http://schemas.microsoft.com/office/drawing/2014/main" id="{8BA64EDA-C038-B54D-82DD-C4DD11E23C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absoluteAnchor>
  <xdr:absoluteAnchor>
    <xdr:pos x="9029700" y="4673600"/>
    <xdr:ext cx="1965960" cy="2252133"/>
    <xdr:graphicFrame macro="">
      <xdr:nvGraphicFramePr>
        <xdr:cNvPr id="64" name="Chart 30">
          <a:extLst>
            <a:ext uri="{FF2B5EF4-FFF2-40B4-BE49-F238E27FC236}">
              <a16:creationId xmlns:a16="http://schemas.microsoft.com/office/drawing/2014/main" id="{2A0FF956-082E-9B46-BDB1-2AD858B868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absoluteAnchor>
  <xdr:absoluteAnchor>
    <xdr:pos x="10642600" y="4648200"/>
    <xdr:ext cx="1965960" cy="2286000"/>
    <xdr:graphicFrame macro="">
      <xdr:nvGraphicFramePr>
        <xdr:cNvPr id="65" name="Chart 1">
          <a:extLst>
            <a:ext uri="{FF2B5EF4-FFF2-40B4-BE49-F238E27FC236}">
              <a16:creationId xmlns:a16="http://schemas.microsoft.com/office/drawing/2014/main" id="{8F765577-A636-884B-ABE2-105B57DB93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absoluteAnchor>
  <xdr:oneCellAnchor>
    <xdr:from>
      <xdr:col>9</xdr:col>
      <xdr:colOff>135467</xdr:colOff>
      <xdr:row>45</xdr:row>
      <xdr:rowOff>33867</xdr:rowOff>
    </xdr:from>
    <xdr:ext cx="237066" cy="283055"/>
    <xdr:sp macro="" textlink="">
      <xdr:nvSpPr>
        <xdr:cNvPr id="52" name="Text Box 51">
          <a:extLst>
            <a:ext uri="{FF2B5EF4-FFF2-40B4-BE49-F238E27FC236}">
              <a16:creationId xmlns:a16="http://schemas.microsoft.com/office/drawing/2014/main" id="{3D49F3CF-D8FE-E644-8A70-45BD086642F8}"/>
            </a:ext>
          </a:extLst>
        </xdr:cNvPr>
        <xdr:cNvSpPr txBox="1">
          <a:spLocks noChangeArrowheads="1"/>
        </xdr:cNvSpPr>
      </xdr:nvSpPr>
      <xdr:spPr bwMode="auto">
        <a:xfrm>
          <a:off x="3932767" y="7463367"/>
          <a:ext cx="237066" cy="283055"/>
        </a:xfrm>
        <a:prstGeom prst="rect">
          <a:avLst/>
        </a:prstGeom>
        <a:noFill/>
        <a:ln>
          <a:noFill/>
        </a:ln>
        <a:extLst>
          <a:ext uri="{909E8E84-426E-40dd-AFC4-6F175D3DCCD1}">
            <a14:hiddenFill xmlns:a14="http://schemas.microsoft.com/office/drawing/2010/main" xmlns="">
              <a:solidFill>
                <a:srgbClr xmlns:mc="http://schemas.openxmlformats.org/markup-compatibility/2006" val="FFFFFF" mc:Ignorable="a14" a14:legacySpreadsheetColorIndex="65"/>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wrap="none" lIns="27432" tIns="22860" rIns="0" bIns="0" anchor="t" upright="1">
          <a:noAutofit/>
        </a:bodyPr>
        <a:lstStyle/>
        <a:p>
          <a:pPr algn="l" rtl="0">
            <a:defRPr sz="1000"/>
          </a:pPr>
          <a:r>
            <a:rPr lang="en-US" sz="1600" b="0" i="0" u="none" strike="noStrike" baseline="0">
              <a:solidFill>
                <a:srgbClr val="000000"/>
              </a:solidFill>
              <a:latin typeface="Arial"/>
              <a:ea typeface="Arial"/>
              <a:cs typeface="Arial"/>
            </a:rPr>
            <a:t>+</a:t>
          </a:r>
        </a:p>
      </xdr:txBody>
    </xdr:sp>
    <xdr:clientData/>
  </xdr:oneCellAnchor>
  <xdr:oneCellAnchor>
    <xdr:from>
      <xdr:col>13</xdr:col>
      <xdr:colOff>139700</xdr:colOff>
      <xdr:row>45</xdr:row>
      <xdr:rowOff>19050</xdr:rowOff>
    </xdr:from>
    <xdr:ext cx="237836" cy="272472"/>
    <xdr:sp macro="" textlink="">
      <xdr:nvSpPr>
        <xdr:cNvPr id="53" name="Text Box 52">
          <a:extLst>
            <a:ext uri="{FF2B5EF4-FFF2-40B4-BE49-F238E27FC236}">
              <a16:creationId xmlns:a16="http://schemas.microsoft.com/office/drawing/2014/main" id="{EEE199ED-88E5-FD47-B259-F0116460BEB1}"/>
            </a:ext>
          </a:extLst>
        </xdr:cNvPr>
        <xdr:cNvSpPr txBox="1">
          <a:spLocks noChangeArrowheads="1"/>
        </xdr:cNvSpPr>
      </xdr:nvSpPr>
      <xdr:spPr bwMode="auto">
        <a:xfrm>
          <a:off x="5664200" y="7448550"/>
          <a:ext cx="237836" cy="272472"/>
        </a:xfrm>
        <a:prstGeom prst="rect">
          <a:avLst/>
        </a:prstGeom>
        <a:noFill/>
        <a:ln>
          <a:noFill/>
        </a:ln>
        <a:extLst>
          <a:ext uri="{909E8E84-426E-40dd-AFC4-6F175D3DCCD1}">
            <a14:hiddenFill xmlns:a14="http://schemas.microsoft.com/office/drawing/2010/main" xmlns="">
              <a:solidFill>
                <a:srgbClr xmlns:mc="http://schemas.openxmlformats.org/markup-compatibility/2006" val="FFFFFF" mc:Ignorable="a14" a14:legacySpreadsheetColorIndex="65"/>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wrap="none" lIns="27432" tIns="22860" rIns="0" bIns="0" anchor="t" upright="1">
          <a:spAutoFit/>
        </a:bodyPr>
        <a:lstStyle/>
        <a:p>
          <a:pPr algn="l" rtl="0">
            <a:defRPr sz="1000"/>
          </a:pPr>
          <a:r>
            <a:rPr lang="en-US" sz="1600" b="0" i="0" u="none" strike="noStrike" baseline="0">
              <a:solidFill>
                <a:srgbClr val="000000"/>
              </a:solidFill>
              <a:latin typeface="Arial"/>
              <a:ea typeface="Arial"/>
              <a:cs typeface="Arial"/>
            </a:rPr>
            <a:t>+</a:t>
          </a:r>
        </a:p>
      </xdr:txBody>
    </xdr:sp>
    <xdr:clientData/>
  </xdr:oneCellAnchor>
  <xdr:oneCellAnchor>
    <xdr:from>
      <xdr:col>17</xdr:col>
      <xdr:colOff>117186</xdr:colOff>
      <xdr:row>45</xdr:row>
      <xdr:rowOff>31750</xdr:rowOff>
    </xdr:from>
    <xdr:ext cx="241300" cy="272472"/>
    <xdr:sp macro="" textlink="">
      <xdr:nvSpPr>
        <xdr:cNvPr id="54" name="Text Box 54">
          <a:extLst>
            <a:ext uri="{FF2B5EF4-FFF2-40B4-BE49-F238E27FC236}">
              <a16:creationId xmlns:a16="http://schemas.microsoft.com/office/drawing/2014/main" id="{B866798B-30DE-A947-BB5C-78812F697966}"/>
            </a:ext>
          </a:extLst>
        </xdr:cNvPr>
        <xdr:cNvSpPr txBox="1">
          <a:spLocks noChangeArrowheads="1"/>
        </xdr:cNvSpPr>
      </xdr:nvSpPr>
      <xdr:spPr bwMode="auto">
        <a:xfrm>
          <a:off x="7330786" y="7461250"/>
          <a:ext cx="241300" cy="272472"/>
        </a:xfrm>
        <a:prstGeom prst="rect">
          <a:avLst/>
        </a:prstGeom>
        <a:noFill/>
        <a:ln>
          <a:noFill/>
        </a:ln>
        <a:extLst>
          <a:ext uri="{909E8E84-426E-40dd-AFC4-6F175D3DCCD1}">
            <a14:hiddenFill xmlns:a14="http://schemas.microsoft.com/office/drawing/2010/main" xmlns="">
              <a:solidFill>
                <a:srgbClr xmlns:mc="http://schemas.openxmlformats.org/markup-compatibility/2006" val="FFFFFF" mc:Ignorable="a14" a14:legacySpreadsheetColorIndex="65"/>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wrap="none" lIns="27432" tIns="22860" rIns="0" bIns="0" anchor="t" upright="1">
          <a:spAutoFit/>
        </a:bodyPr>
        <a:lstStyle/>
        <a:p>
          <a:pPr algn="l" rtl="0">
            <a:defRPr sz="1000"/>
          </a:pPr>
          <a:r>
            <a:rPr lang="en-US" sz="1600" b="0" i="0" u="none" strike="noStrike" baseline="0">
              <a:solidFill>
                <a:srgbClr val="000000"/>
              </a:solidFill>
              <a:latin typeface="Arial"/>
              <a:ea typeface="Arial"/>
              <a:cs typeface="Arial"/>
            </a:rPr>
            <a:t>+</a:t>
          </a:r>
        </a:p>
      </xdr:txBody>
    </xdr:sp>
    <xdr:clientData/>
  </xdr:oneCellAnchor>
  <xdr:oneCellAnchor>
    <xdr:from>
      <xdr:col>5</xdr:col>
      <xdr:colOff>114300</xdr:colOff>
      <xdr:row>45</xdr:row>
      <xdr:rowOff>6350</xdr:rowOff>
    </xdr:from>
    <xdr:ext cx="241300" cy="272472"/>
    <xdr:sp macro="" textlink="">
      <xdr:nvSpPr>
        <xdr:cNvPr id="55" name="Text Box 51">
          <a:extLst>
            <a:ext uri="{FF2B5EF4-FFF2-40B4-BE49-F238E27FC236}">
              <a16:creationId xmlns:a16="http://schemas.microsoft.com/office/drawing/2014/main" id="{21E19D36-AA32-5949-93E7-0E5EFEF4EECA}"/>
            </a:ext>
          </a:extLst>
        </xdr:cNvPr>
        <xdr:cNvSpPr txBox="1">
          <a:spLocks noChangeArrowheads="1"/>
        </xdr:cNvSpPr>
      </xdr:nvSpPr>
      <xdr:spPr bwMode="auto">
        <a:xfrm>
          <a:off x="2222500" y="7435850"/>
          <a:ext cx="241300" cy="272472"/>
        </a:xfrm>
        <a:prstGeom prst="rect">
          <a:avLst/>
        </a:prstGeom>
        <a:noFill/>
        <a:ln>
          <a:noFill/>
        </a:ln>
        <a:extLst>
          <a:ext uri="{909E8E84-426E-40dd-AFC4-6F175D3DCCD1}">
            <a14:hiddenFill xmlns:a14="http://schemas.microsoft.com/office/drawing/2010/main" xmlns="">
              <a:solidFill>
                <a:srgbClr xmlns:mc="http://schemas.openxmlformats.org/markup-compatibility/2006" val="FFFFFF" mc:Ignorable="a14" a14:legacySpreadsheetColorIndex="65"/>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wrap="none" lIns="27432" tIns="22860" rIns="0" bIns="0" anchor="t" upright="1">
          <a:spAutoFit/>
        </a:bodyPr>
        <a:lstStyle/>
        <a:p>
          <a:pPr algn="l" rtl="0">
            <a:defRPr sz="1000"/>
          </a:pPr>
          <a:r>
            <a:rPr lang="en-US" sz="1600" b="0" i="0" u="none" strike="noStrike" baseline="0">
              <a:solidFill>
                <a:srgbClr val="000000"/>
              </a:solidFill>
              <a:latin typeface="Arial"/>
              <a:ea typeface="Arial"/>
              <a:cs typeface="Arial"/>
            </a:rPr>
            <a:t>+</a:t>
          </a:r>
        </a:p>
      </xdr:txBody>
    </xdr:sp>
    <xdr:clientData/>
  </xdr:oneCellAnchor>
  <xdr:oneCellAnchor>
    <xdr:from>
      <xdr:col>21</xdr:col>
      <xdr:colOff>139700</xdr:colOff>
      <xdr:row>45</xdr:row>
      <xdr:rowOff>31750</xdr:rowOff>
    </xdr:from>
    <xdr:ext cx="237836" cy="272472"/>
    <xdr:sp macro="" textlink="">
      <xdr:nvSpPr>
        <xdr:cNvPr id="56" name="Text Box 52">
          <a:extLst>
            <a:ext uri="{FF2B5EF4-FFF2-40B4-BE49-F238E27FC236}">
              <a16:creationId xmlns:a16="http://schemas.microsoft.com/office/drawing/2014/main" id="{4AE16B3A-0C14-BD48-AE2F-F98838CACDB9}"/>
            </a:ext>
          </a:extLst>
        </xdr:cNvPr>
        <xdr:cNvSpPr txBox="1">
          <a:spLocks noChangeArrowheads="1"/>
        </xdr:cNvSpPr>
      </xdr:nvSpPr>
      <xdr:spPr bwMode="auto">
        <a:xfrm>
          <a:off x="9080500" y="7461250"/>
          <a:ext cx="237836" cy="272472"/>
        </a:xfrm>
        <a:prstGeom prst="rect">
          <a:avLst/>
        </a:prstGeom>
        <a:noFill/>
        <a:ln>
          <a:noFill/>
        </a:ln>
        <a:extLst>
          <a:ext uri="{909E8E84-426E-40dd-AFC4-6F175D3DCCD1}">
            <a14:hiddenFill xmlns:a14="http://schemas.microsoft.com/office/drawing/2010/main" xmlns="">
              <a:solidFill>
                <a:srgbClr xmlns:mc="http://schemas.openxmlformats.org/markup-compatibility/2006" val="FFFFFF" mc:Ignorable="a14" a14:legacySpreadsheetColorIndex="65"/>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wrap="none" lIns="27432" tIns="22860" rIns="0" bIns="0" anchor="t" upright="1">
          <a:spAutoFit/>
        </a:bodyPr>
        <a:lstStyle/>
        <a:p>
          <a:pPr algn="l" rtl="0">
            <a:defRPr sz="1000"/>
          </a:pPr>
          <a:r>
            <a:rPr lang="en-US" sz="1600" b="0" i="0" u="none" strike="noStrike" baseline="0">
              <a:solidFill>
                <a:srgbClr val="000000"/>
              </a:solidFill>
              <a:latin typeface="Arial"/>
              <a:ea typeface="Arial"/>
              <a:cs typeface="Arial"/>
            </a:rPr>
            <a:t>+</a:t>
          </a:r>
        </a:p>
      </xdr:txBody>
    </xdr:sp>
    <xdr:clientData/>
  </xdr:oneCellAnchor>
  <xdr:oneCellAnchor>
    <xdr:from>
      <xdr:col>25</xdr:col>
      <xdr:colOff>101600</xdr:colOff>
      <xdr:row>45</xdr:row>
      <xdr:rowOff>38100</xdr:rowOff>
    </xdr:from>
    <xdr:ext cx="237836" cy="272472"/>
    <xdr:sp macro="" textlink="">
      <xdr:nvSpPr>
        <xdr:cNvPr id="59" name="Text Box 52">
          <a:extLst>
            <a:ext uri="{FF2B5EF4-FFF2-40B4-BE49-F238E27FC236}">
              <a16:creationId xmlns:a16="http://schemas.microsoft.com/office/drawing/2014/main" id="{10E69979-E9E6-5F40-A280-A0ABF61BC26D}"/>
            </a:ext>
          </a:extLst>
        </xdr:cNvPr>
        <xdr:cNvSpPr txBox="1">
          <a:spLocks noChangeArrowheads="1"/>
        </xdr:cNvSpPr>
      </xdr:nvSpPr>
      <xdr:spPr bwMode="auto">
        <a:xfrm>
          <a:off x="10744200" y="7467600"/>
          <a:ext cx="237836" cy="272472"/>
        </a:xfrm>
        <a:prstGeom prst="rect">
          <a:avLst/>
        </a:prstGeom>
        <a:noFill/>
        <a:ln>
          <a:noFill/>
        </a:ln>
        <a:extLst>
          <a:ext uri="{909E8E84-426E-40dd-AFC4-6F175D3DCCD1}">
            <a14:hiddenFill xmlns:a14="http://schemas.microsoft.com/office/drawing/2010/main" xmlns="">
              <a:solidFill>
                <a:srgbClr xmlns:mc="http://schemas.openxmlformats.org/markup-compatibility/2006" val="FFFFFF" mc:Ignorable="a14" a14:legacySpreadsheetColorIndex="65"/>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wrap="none" lIns="27432" tIns="22860" rIns="0" bIns="0" anchor="t" upright="1">
          <a:spAutoFit/>
        </a:bodyPr>
        <a:lstStyle/>
        <a:p>
          <a:pPr algn="l" rtl="0">
            <a:defRPr sz="1000"/>
          </a:pPr>
          <a:r>
            <a:rPr lang="en-US" sz="1600" b="0" i="0" u="none" strike="noStrike" baseline="0">
              <a:solidFill>
                <a:srgbClr val="000000"/>
              </a:solidFill>
              <a:latin typeface="Arial"/>
              <a:ea typeface="Arial"/>
              <a:cs typeface="Arial"/>
            </a:rPr>
            <a:t>+</a:t>
          </a:r>
        </a:p>
      </xdr:txBody>
    </xdr:sp>
    <xdr:clientData/>
  </xdr:oneCellAnchor>
  <xdr:oneCellAnchor>
    <xdr:from>
      <xdr:col>9</xdr:col>
      <xdr:colOff>135467</xdr:colOff>
      <xdr:row>45</xdr:row>
      <xdr:rowOff>33867</xdr:rowOff>
    </xdr:from>
    <xdr:ext cx="237066" cy="283055"/>
    <xdr:sp macro="" textlink="">
      <xdr:nvSpPr>
        <xdr:cNvPr id="66" name="Text Box 51">
          <a:extLst>
            <a:ext uri="{FF2B5EF4-FFF2-40B4-BE49-F238E27FC236}">
              <a16:creationId xmlns:a16="http://schemas.microsoft.com/office/drawing/2014/main" id="{57A5CD0D-5ED0-5645-A43E-CBD3F42018C3}"/>
            </a:ext>
          </a:extLst>
        </xdr:cNvPr>
        <xdr:cNvSpPr txBox="1">
          <a:spLocks noChangeArrowheads="1"/>
        </xdr:cNvSpPr>
      </xdr:nvSpPr>
      <xdr:spPr bwMode="auto">
        <a:xfrm>
          <a:off x="3932767" y="7463367"/>
          <a:ext cx="237066" cy="283055"/>
        </a:xfrm>
        <a:prstGeom prst="rect">
          <a:avLst/>
        </a:prstGeom>
        <a:noFill/>
        <a:ln>
          <a:noFill/>
        </a:ln>
        <a:extLst>
          <a:ext uri="{909E8E84-426E-40dd-AFC4-6F175D3DCCD1}">
            <a14:hiddenFill xmlns:a14="http://schemas.microsoft.com/office/drawing/2010/main" xmlns="">
              <a:solidFill>
                <a:srgbClr xmlns:mc="http://schemas.openxmlformats.org/markup-compatibility/2006" val="FFFFFF" mc:Ignorable="a14" a14:legacySpreadsheetColorIndex="65"/>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wrap="none" lIns="27432" tIns="22860" rIns="0" bIns="0" anchor="t" upright="1">
          <a:noAutofit/>
        </a:bodyPr>
        <a:lstStyle/>
        <a:p>
          <a:pPr algn="l" rtl="0">
            <a:defRPr sz="1000"/>
          </a:pPr>
          <a:r>
            <a:rPr lang="en-US" sz="1600" b="0" i="0" u="none" strike="noStrike" baseline="0">
              <a:solidFill>
                <a:srgbClr val="000000"/>
              </a:solidFill>
              <a:latin typeface="Arial"/>
              <a:ea typeface="Arial"/>
              <a:cs typeface="Arial"/>
            </a:rPr>
            <a:t>+</a:t>
          </a:r>
        </a:p>
      </xdr:txBody>
    </xdr:sp>
    <xdr:clientData/>
  </xdr:oneCellAnchor>
  <xdr:oneCellAnchor>
    <xdr:from>
      <xdr:col>13</xdr:col>
      <xdr:colOff>139700</xdr:colOff>
      <xdr:row>45</xdr:row>
      <xdr:rowOff>19050</xdr:rowOff>
    </xdr:from>
    <xdr:ext cx="237836" cy="272472"/>
    <xdr:sp macro="" textlink="">
      <xdr:nvSpPr>
        <xdr:cNvPr id="67" name="Text Box 52">
          <a:extLst>
            <a:ext uri="{FF2B5EF4-FFF2-40B4-BE49-F238E27FC236}">
              <a16:creationId xmlns:a16="http://schemas.microsoft.com/office/drawing/2014/main" id="{97144E86-92A4-9F4A-88BB-8A2043033971}"/>
            </a:ext>
          </a:extLst>
        </xdr:cNvPr>
        <xdr:cNvSpPr txBox="1">
          <a:spLocks noChangeArrowheads="1"/>
        </xdr:cNvSpPr>
      </xdr:nvSpPr>
      <xdr:spPr bwMode="auto">
        <a:xfrm>
          <a:off x="5664200" y="7448550"/>
          <a:ext cx="237836" cy="272472"/>
        </a:xfrm>
        <a:prstGeom prst="rect">
          <a:avLst/>
        </a:prstGeom>
        <a:noFill/>
        <a:ln>
          <a:noFill/>
        </a:ln>
        <a:extLst>
          <a:ext uri="{909E8E84-426E-40dd-AFC4-6F175D3DCCD1}">
            <a14:hiddenFill xmlns:a14="http://schemas.microsoft.com/office/drawing/2010/main" xmlns="">
              <a:solidFill>
                <a:srgbClr xmlns:mc="http://schemas.openxmlformats.org/markup-compatibility/2006" val="FFFFFF" mc:Ignorable="a14" a14:legacySpreadsheetColorIndex="65"/>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wrap="none" lIns="27432" tIns="22860" rIns="0" bIns="0" anchor="t" upright="1">
          <a:spAutoFit/>
        </a:bodyPr>
        <a:lstStyle/>
        <a:p>
          <a:pPr algn="l" rtl="0">
            <a:defRPr sz="1000"/>
          </a:pPr>
          <a:r>
            <a:rPr lang="en-US" sz="1600" b="0" i="0" u="none" strike="noStrike" baseline="0">
              <a:solidFill>
                <a:srgbClr val="000000"/>
              </a:solidFill>
              <a:latin typeface="Arial"/>
              <a:ea typeface="Arial"/>
              <a:cs typeface="Arial"/>
            </a:rPr>
            <a:t>+</a:t>
          </a:r>
        </a:p>
      </xdr:txBody>
    </xdr:sp>
    <xdr:clientData/>
  </xdr:oneCellAnchor>
  <xdr:oneCellAnchor>
    <xdr:from>
      <xdr:col>17</xdr:col>
      <xdr:colOff>117186</xdr:colOff>
      <xdr:row>45</xdr:row>
      <xdr:rowOff>31750</xdr:rowOff>
    </xdr:from>
    <xdr:ext cx="241300" cy="272472"/>
    <xdr:sp macro="" textlink="">
      <xdr:nvSpPr>
        <xdr:cNvPr id="68" name="Text Box 54">
          <a:extLst>
            <a:ext uri="{FF2B5EF4-FFF2-40B4-BE49-F238E27FC236}">
              <a16:creationId xmlns:a16="http://schemas.microsoft.com/office/drawing/2014/main" id="{CCC5D555-BA9B-F644-9231-B94D3F9A1572}"/>
            </a:ext>
          </a:extLst>
        </xdr:cNvPr>
        <xdr:cNvSpPr txBox="1">
          <a:spLocks noChangeArrowheads="1"/>
        </xdr:cNvSpPr>
      </xdr:nvSpPr>
      <xdr:spPr bwMode="auto">
        <a:xfrm>
          <a:off x="7330786" y="7461250"/>
          <a:ext cx="241300" cy="272472"/>
        </a:xfrm>
        <a:prstGeom prst="rect">
          <a:avLst/>
        </a:prstGeom>
        <a:noFill/>
        <a:ln>
          <a:noFill/>
        </a:ln>
        <a:extLst>
          <a:ext uri="{909E8E84-426E-40dd-AFC4-6F175D3DCCD1}">
            <a14:hiddenFill xmlns:a14="http://schemas.microsoft.com/office/drawing/2010/main" xmlns="">
              <a:solidFill>
                <a:srgbClr xmlns:mc="http://schemas.openxmlformats.org/markup-compatibility/2006" val="FFFFFF" mc:Ignorable="a14" a14:legacySpreadsheetColorIndex="65"/>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wrap="none" lIns="27432" tIns="22860" rIns="0" bIns="0" anchor="t" upright="1">
          <a:spAutoFit/>
        </a:bodyPr>
        <a:lstStyle/>
        <a:p>
          <a:pPr algn="l" rtl="0">
            <a:defRPr sz="1000"/>
          </a:pPr>
          <a:r>
            <a:rPr lang="en-US" sz="1600" b="0" i="0" u="none" strike="noStrike" baseline="0">
              <a:solidFill>
                <a:srgbClr val="000000"/>
              </a:solidFill>
              <a:latin typeface="Arial"/>
              <a:ea typeface="Arial"/>
              <a:cs typeface="Arial"/>
            </a:rPr>
            <a:t>+</a:t>
          </a:r>
        </a:p>
      </xdr:txBody>
    </xdr:sp>
    <xdr:clientData/>
  </xdr:oneCellAnchor>
  <xdr:oneCellAnchor>
    <xdr:from>
      <xdr:col>5</xdr:col>
      <xdr:colOff>114300</xdr:colOff>
      <xdr:row>45</xdr:row>
      <xdr:rowOff>6350</xdr:rowOff>
    </xdr:from>
    <xdr:ext cx="241300" cy="272472"/>
    <xdr:sp macro="" textlink="">
      <xdr:nvSpPr>
        <xdr:cNvPr id="69" name="Text Box 51">
          <a:extLst>
            <a:ext uri="{FF2B5EF4-FFF2-40B4-BE49-F238E27FC236}">
              <a16:creationId xmlns:a16="http://schemas.microsoft.com/office/drawing/2014/main" id="{A251AA34-9B6D-E24A-84E2-91E6C1B1055A}"/>
            </a:ext>
          </a:extLst>
        </xdr:cNvPr>
        <xdr:cNvSpPr txBox="1">
          <a:spLocks noChangeArrowheads="1"/>
        </xdr:cNvSpPr>
      </xdr:nvSpPr>
      <xdr:spPr bwMode="auto">
        <a:xfrm>
          <a:off x="2222500" y="7435850"/>
          <a:ext cx="241300" cy="272472"/>
        </a:xfrm>
        <a:prstGeom prst="rect">
          <a:avLst/>
        </a:prstGeom>
        <a:noFill/>
        <a:ln>
          <a:noFill/>
        </a:ln>
        <a:extLst>
          <a:ext uri="{909E8E84-426E-40dd-AFC4-6F175D3DCCD1}">
            <a14:hiddenFill xmlns:a14="http://schemas.microsoft.com/office/drawing/2010/main" xmlns="">
              <a:solidFill>
                <a:srgbClr xmlns:mc="http://schemas.openxmlformats.org/markup-compatibility/2006" val="FFFFFF" mc:Ignorable="a14" a14:legacySpreadsheetColorIndex="65"/>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wrap="none" lIns="27432" tIns="22860" rIns="0" bIns="0" anchor="t" upright="1">
          <a:spAutoFit/>
        </a:bodyPr>
        <a:lstStyle/>
        <a:p>
          <a:pPr algn="l" rtl="0">
            <a:defRPr sz="1000"/>
          </a:pPr>
          <a:r>
            <a:rPr lang="en-US" sz="1600" b="0" i="0" u="none" strike="noStrike" baseline="0">
              <a:solidFill>
                <a:srgbClr val="000000"/>
              </a:solidFill>
              <a:latin typeface="Arial"/>
              <a:ea typeface="Arial"/>
              <a:cs typeface="Arial"/>
            </a:rPr>
            <a:t>+</a:t>
          </a:r>
        </a:p>
      </xdr:txBody>
    </xdr:sp>
    <xdr:clientData/>
  </xdr:oneCellAnchor>
  <xdr:oneCellAnchor>
    <xdr:from>
      <xdr:col>21</xdr:col>
      <xdr:colOff>139700</xdr:colOff>
      <xdr:row>45</xdr:row>
      <xdr:rowOff>31750</xdr:rowOff>
    </xdr:from>
    <xdr:ext cx="237836" cy="272472"/>
    <xdr:sp macro="" textlink="">
      <xdr:nvSpPr>
        <xdr:cNvPr id="70" name="Text Box 52">
          <a:extLst>
            <a:ext uri="{FF2B5EF4-FFF2-40B4-BE49-F238E27FC236}">
              <a16:creationId xmlns:a16="http://schemas.microsoft.com/office/drawing/2014/main" id="{1D5026D9-38C9-944A-8631-FCE928AE4202}"/>
            </a:ext>
          </a:extLst>
        </xdr:cNvPr>
        <xdr:cNvSpPr txBox="1">
          <a:spLocks noChangeArrowheads="1"/>
        </xdr:cNvSpPr>
      </xdr:nvSpPr>
      <xdr:spPr bwMode="auto">
        <a:xfrm>
          <a:off x="9080500" y="7461250"/>
          <a:ext cx="237836" cy="272472"/>
        </a:xfrm>
        <a:prstGeom prst="rect">
          <a:avLst/>
        </a:prstGeom>
        <a:noFill/>
        <a:ln>
          <a:noFill/>
        </a:ln>
        <a:extLst>
          <a:ext uri="{909E8E84-426E-40dd-AFC4-6F175D3DCCD1}">
            <a14:hiddenFill xmlns:a14="http://schemas.microsoft.com/office/drawing/2010/main" xmlns="">
              <a:solidFill>
                <a:srgbClr xmlns:mc="http://schemas.openxmlformats.org/markup-compatibility/2006" val="FFFFFF" mc:Ignorable="a14" a14:legacySpreadsheetColorIndex="65"/>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wrap="none" lIns="27432" tIns="22860" rIns="0" bIns="0" anchor="t" upright="1">
          <a:spAutoFit/>
        </a:bodyPr>
        <a:lstStyle/>
        <a:p>
          <a:pPr algn="l" rtl="0">
            <a:defRPr sz="1000"/>
          </a:pPr>
          <a:r>
            <a:rPr lang="en-US" sz="1600" b="0" i="0" u="none" strike="noStrike" baseline="0">
              <a:solidFill>
                <a:srgbClr val="000000"/>
              </a:solidFill>
              <a:latin typeface="Arial"/>
              <a:ea typeface="Arial"/>
              <a:cs typeface="Arial"/>
            </a:rPr>
            <a:t>+</a:t>
          </a:r>
        </a:p>
      </xdr:txBody>
    </xdr:sp>
    <xdr:clientData/>
  </xdr:oneCellAnchor>
  <xdr:oneCellAnchor>
    <xdr:from>
      <xdr:col>25</xdr:col>
      <xdr:colOff>101600</xdr:colOff>
      <xdr:row>45</xdr:row>
      <xdr:rowOff>38100</xdr:rowOff>
    </xdr:from>
    <xdr:ext cx="237836" cy="272472"/>
    <xdr:sp macro="" textlink="">
      <xdr:nvSpPr>
        <xdr:cNvPr id="71" name="Text Box 52">
          <a:extLst>
            <a:ext uri="{FF2B5EF4-FFF2-40B4-BE49-F238E27FC236}">
              <a16:creationId xmlns:a16="http://schemas.microsoft.com/office/drawing/2014/main" id="{6CA4CEC1-757F-7942-983F-1BBC106D68D5}"/>
            </a:ext>
          </a:extLst>
        </xdr:cNvPr>
        <xdr:cNvSpPr txBox="1">
          <a:spLocks noChangeArrowheads="1"/>
        </xdr:cNvSpPr>
      </xdr:nvSpPr>
      <xdr:spPr bwMode="auto">
        <a:xfrm>
          <a:off x="10744200" y="7467600"/>
          <a:ext cx="237836" cy="272472"/>
        </a:xfrm>
        <a:prstGeom prst="rect">
          <a:avLst/>
        </a:prstGeom>
        <a:noFill/>
        <a:ln>
          <a:noFill/>
        </a:ln>
        <a:extLst>
          <a:ext uri="{909E8E84-426E-40dd-AFC4-6F175D3DCCD1}">
            <a14:hiddenFill xmlns:a14="http://schemas.microsoft.com/office/drawing/2010/main" xmlns="">
              <a:solidFill>
                <a:srgbClr xmlns:mc="http://schemas.openxmlformats.org/markup-compatibility/2006" val="FFFFFF" mc:Ignorable="a14" a14:legacySpreadsheetColorIndex="65"/>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wrap="none" lIns="27432" tIns="22860" rIns="0" bIns="0" anchor="t" upright="1">
          <a:spAutoFit/>
        </a:bodyPr>
        <a:lstStyle/>
        <a:p>
          <a:pPr algn="l" rtl="0">
            <a:defRPr sz="1000"/>
          </a:pPr>
          <a:r>
            <a:rPr lang="en-US" sz="1600" b="0" i="0" u="none" strike="noStrike" baseline="0">
              <a:solidFill>
                <a:srgbClr val="000000"/>
              </a:solidFill>
              <a:latin typeface="Arial"/>
              <a:ea typeface="Arial"/>
              <a:cs typeface="Arial"/>
            </a:rPr>
            <a:t>+</a:t>
          </a:r>
        </a:p>
      </xdr:txBody>
    </xdr:sp>
    <xdr:clientData/>
  </xdr:oneCellAnchor>
  <xdr:twoCellAnchor>
    <xdr:from>
      <xdr:col>23</xdr:col>
      <xdr:colOff>25401</xdr:colOff>
      <xdr:row>8</xdr:row>
      <xdr:rowOff>148167</xdr:rowOff>
    </xdr:from>
    <xdr:to>
      <xdr:col>23</xdr:col>
      <xdr:colOff>393700</xdr:colOff>
      <xdr:row>8</xdr:row>
      <xdr:rowOff>148167</xdr:rowOff>
    </xdr:to>
    <xdr:sp macro="" textlink="">
      <xdr:nvSpPr>
        <xdr:cNvPr id="72" name="Line 13">
          <a:extLst>
            <a:ext uri="{FF2B5EF4-FFF2-40B4-BE49-F238E27FC236}">
              <a16:creationId xmlns:a16="http://schemas.microsoft.com/office/drawing/2014/main" id="{84172CDA-34C6-2B45-B2E1-DAB6DF76A2DD}"/>
            </a:ext>
          </a:extLst>
        </xdr:cNvPr>
        <xdr:cNvSpPr>
          <a:spLocks noChangeShapeType="1"/>
        </xdr:cNvSpPr>
      </xdr:nvSpPr>
      <xdr:spPr bwMode="auto">
        <a:xfrm>
          <a:off x="9944101" y="1468967"/>
          <a:ext cx="368299"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xmlns="">
              <a:noFill/>
            </a14:hiddenFill>
          </a:ext>
        </a:extLst>
      </xdr:spPr>
      <xdr:txBody>
        <a:bodyPr rtlCol="0"/>
        <a:lstStyle/>
        <a:p>
          <a:pPr algn="ctr"/>
          <a:endParaRPr lang="en-US"/>
        </a:p>
      </xdr:txBody>
    </xdr:sp>
    <xdr:clientData/>
  </xdr:twoCellAnchor>
  <xdr:twoCellAnchor>
    <xdr:from>
      <xdr:col>27</xdr:col>
      <xdr:colOff>25401</xdr:colOff>
      <xdr:row>8</xdr:row>
      <xdr:rowOff>148167</xdr:rowOff>
    </xdr:from>
    <xdr:to>
      <xdr:col>27</xdr:col>
      <xdr:colOff>393700</xdr:colOff>
      <xdr:row>8</xdr:row>
      <xdr:rowOff>148167</xdr:rowOff>
    </xdr:to>
    <xdr:sp macro="" textlink="">
      <xdr:nvSpPr>
        <xdr:cNvPr id="73" name="Line 13">
          <a:extLst>
            <a:ext uri="{FF2B5EF4-FFF2-40B4-BE49-F238E27FC236}">
              <a16:creationId xmlns:a16="http://schemas.microsoft.com/office/drawing/2014/main" id="{708A5FC0-2556-6B4E-B10D-E515E8963E5D}"/>
            </a:ext>
          </a:extLst>
        </xdr:cNvPr>
        <xdr:cNvSpPr>
          <a:spLocks noChangeShapeType="1"/>
        </xdr:cNvSpPr>
      </xdr:nvSpPr>
      <xdr:spPr bwMode="auto">
        <a:xfrm>
          <a:off x="11633201" y="1468967"/>
          <a:ext cx="368299"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xmlns="">
              <a:noFill/>
            </a14:hiddenFill>
          </a:ext>
        </a:extLst>
      </xdr:spPr>
      <xdr:txBody>
        <a:bodyPr rtlCol="0"/>
        <a:lstStyle/>
        <a:p>
          <a:pPr algn="ctr"/>
          <a:endParaRPr lang="en-US"/>
        </a:p>
      </xdr:txBody>
    </xdr:sp>
    <xdr:clientData/>
  </xdr:twoCellAnchor>
  <xdr:twoCellAnchor>
    <xdr:from>
      <xdr:col>34</xdr:col>
      <xdr:colOff>59267</xdr:colOff>
      <xdr:row>8</xdr:row>
      <xdr:rowOff>160866</xdr:rowOff>
    </xdr:from>
    <xdr:to>
      <xdr:col>35</xdr:col>
      <xdr:colOff>4232</xdr:colOff>
      <xdr:row>8</xdr:row>
      <xdr:rowOff>160866</xdr:rowOff>
    </xdr:to>
    <xdr:sp macro="" textlink="">
      <xdr:nvSpPr>
        <xdr:cNvPr id="80" name="Line 13">
          <a:extLst>
            <a:ext uri="{FF2B5EF4-FFF2-40B4-BE49-F238E27FC236}">
              <a16:creationId xmlns:a16="http://schemas.microsoft.com/office/drawing/2014/main" id="{A421D762-0754-2244-8B7A-D8ED06DE68FB}"/>
            </a:ext>
          </a:extLst>
        </xdr:cNvPr>
        <xdr:cNvSpPr>
          <a:spLocks noChangeShapeType="1"/>
        </xdr:cNvSpPr>
      </xdr:nvSpPr>
      <xdr:spPr bwMode="auto">
        <a:xfrm>
          <a:off x="8288867" y="1481666"/>
          <a:ext cx="36406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39</xdr:col>
      <xdr:colOff>25401</xdr:colOff>
      <xdr:row>8</xdr:row>
      <xdr:rowOff>148167</xdr:rowOff>
    </xdr:from>
    <xdr:to>
      <xdr:col>39</xdr:col>
      <xdr:colOff>393700</xdr:colOff>
      <xdr:row>8</xdr:row>
      <xdr:rowOff>148167</xdr:rowOff>
    </xdr:to>
    <xdr:sp macro="" textlink="">
      <xdr:nvSpPr>
        <xdr:cNvPr id="81" name="Line 13">
          <a:extLst>
            <a:ext uri="{FF2B5EF4-FFF2-40B4-BE49-F238E27FC236}">
              <a16:creationId xmlns:a16="http://schemas.microsoft.com/office/drawing/2014/main" id="{31A7C922-CFE4-304A-B7BA-71B67EA55046}"/>
            </a:ext>
          </a:extLst>
        </xdr:cNvPr>
        <xdr:cNvSpPr>
          <a:spLocks noChangeShapeType="1"/>
        </xdr:cNvSpPr>
      </xdr:nvSpPr>
      <xdr:spPr bwMode="auto">
        <a:xfrm>
          <a:off x="9944101" y="1468967"/>
          <a:ext cx="368299"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39</xdr:col>
      <xdr:colOff>25401</xdr:colOff>
      <xdr:row>8</xdr:row>
      <xdr:rowOff>148167</xdr:rowOff>
    </xdr:from>
    <xdr:to>
      <xdr:col>39</xdr:col>
      <xdr:colOff>393700</xdr:colOff>
      <xdr:row>8</xdr:row>
      <xdr:rowOff>148167</xdr:rowOff>
    </xdr:to>
    <xdr:sp macro="" textlink="">
      <xdr:nvSpPr>
        <xdr:cNvPr id="82" name="Line 13">
          <a:extLst>
            <a:ext uri="{FF2B5EF4-FFF2-40B4-BE49-F238E27FC236}">
              <a16:creationId xmlns:a16="http://schemas.microsoft.com/office/drawing/2014/main" id="{06B76548-1FA5-FD45-BDB6-AC289867C595}"/>
            </a:ext>
          </a:extLst>
        </xdr:cNvPr>
        <xdr:cNvSpPr>
          <a:spLocks noChangeShapeType="1"/>
        </xdr:cNvSpPr>
      </xdr:nvSpPr>
      <xdr:spPr bwMode="auto">
        <a:xfrm>
          <a:off x="9944101" y="1468967"/>
          <a:ext cx="368299"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xmlns="">
              <a:noFill/>
            </a14:hiddenFill>
          </a:ext>
        </a:extLst>
      </xdr:spPr>
      <xdr:txBody>
        <a:bodyPr rtlCol="0"/>
        <a:lstStyle/>
        <a:p>
          <a:pPr algn="ctr"/>
          <a:endParaRPr lang="en-US"/>
        </a:p>
      </xdr:txBody>
    </xdr:sp>
    <xdr:clientData/>
  </xdr:twoCellAnchor>
  <xdr:absoluteAnchor>
    <xdr:pos x="13766800" y="1714500"/>
    <xdr:ext cx="1981201" cy="2286000"/>
    <xdr:graphicFrame macro="">
      <xdr:nvGraphicFramePr>
        <xdr:cNvPr id="83" name="Chart 8">
          <a:extLst>
            <a:ext uri="{FF2B5EF4-FFF2-40B4-BE49-F238E27FC236}">
              <a16:creationId xmlns:a16="http://schemas.microsoft.com/office/drawing/2014/main" id="{6DD90EC6-2A07-6B40-8972-120163647A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absoluteAnchor>
  <xdr:absoluteAnchor>
    <xdr:pos x="15976600" y="1701800"/>
    <xdr:ext cx="1965960" cy="2286000"/>
    <xdr:graphicFrame macro="">
      <xdr:nvGraphicFramePr>
        <xdr:cNvPr id="84" name="Chart 2">
          <a:extLst>
            <a:ext uri="{FF2B5EF4-FFF2-40B4-BE49-F238E27FC236}">
              <a16:creationId xmlns:a16="http://schemas.microsoft.com/office/drawing/2014/main" id="{8E5C7B96-4037-F749-9693-3892FC8DA7E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absoluteAnchor>
  <xdr:twoCellAnchor>
    <xdr:from>
      <xdr:col>45</xdr:col>
      <xdr:colOff>25401</xdr:colOff>
      <xdr:row>9</xdr:row>
      <xdr:rowOff>8467</xdr:rowOff>
    </xdr:from>
    <xdr:to>
      <xdr:col>45</xdr:col>
      <xdr:colOff>393700</xdr:colOff>
      <xdr:row>9</xdr:row>
      <xdr:rowOff>8467</xdr:rowOff>
    </xdr:to>
    <xdr:sp macro="" textlink="">
      <xdr:nvSpPr>
        <xdr:cNvPr id="87" name="Line 13">
          <a:extLst>
            <a:ext uri="{FF2B5EF4-FFF2-40B4-BE49-F238E27FC236}">
              <a16:creationId xmlns:a16="http://schemas.microsoft.com/office/drawing/2014/main" id="{3934E633-19FD-174E-B0F5-4FCF4997E50F}"/>
            </a:ext>
          </a:extLst>
        </xdr:cNvPr>
        <xdr:cNvSpPr>
          <a:spLocks noChangeShapeType="1"/>
        </xdr:cNvSpPr>
      </xdr:nvSpPr>
      <xdr:spPr bwMode="auto">
        <a:xfrm>
          <a:off x="4838701" y="1494367"/>
          <a:ext cx="368299"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absoluteAnchor>
    <xdr:pos x="17757140" y="1602740"/>
    <xdr:ext cx="1965960" cy="2286000"/>
    <xdr:graphicFrame macro="">
      <xdr:nvGraphicFramePr>
        <xdr:cNvPr id="88" name="Chart 3">
          <a:extLst>
            <a:ext uri="{FF2B5EF4-FFF2-40B4-BE49-F238E27FC236}">
              <a16:creationId xmlns:a16="http://schemas.microsoft.com/office/drawing/2014/main" id="{205EDF3A-DA80-C041-A6BF-3C0C6C61D1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absoluteAnchor>
  <xdr:absoluteAnchor>
    <xdr:pos x="14897101" y="4813300"/>
    <xdr:ext cx="4686299" cy="4368800"/>
    <xdr:graphicFrame macro="">
      <xdr:nvGraphicFramePr>
        <xdr:cNvPr id="89" name="Chart 8">
          <a:extLst>
            <a:ext uri="{FF2B5EF4-FFF2-40B4-BE49-F238E27FC236}">
              <a16:creationId xmlns:a16="http://schemas.microsoft.com/office/drawing/2014/main" id="{6DCED59F-2F5E-A742-BFA7-B5FD185858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absoluteAnchor>
</xdr:wsDr>
</file>

<file path=xl/drawings/drawing51.xml><?xml version="1.0" encoding="utf-8"?>
<c:userShapes xmlns:c="http://schemas.openxmlformats.org/drawingml/2006/chart">
  <cdr:relSizeAnchor xmlns:cdr="http://schemas.openxmlformats.org/drawingml/2006/chartDrawing">
    <cdr:from>
      <cdr:x>0.42775</cdr:x>
      <cdr:y>0.41218</cdr:y>
    </cdr:from>
    <cdr:to>
      <cdr:x>0.86876</cdr:x>
      <cdr:y>0.5148</cdr:y>
    </cdr:to>
    <cdr:sp macro="" textlink="">
      <cdr:nvSpPr>
        <cdr:cNvPr id="990209" name="Text Box 1"/>
        <cdr:cNvSpPr txBox="1">
          <a:spLocks xmlns:a="http://schemas.openxmlformats.org/drawingml/2006/main" noChangeArrowheads="1"/>
        </cdr:cNvSpPr>
      </cdr:nvSpPr>
      <cdr:spPr bwMode="auto">
        <a:xfrm xmlns:a="http://schemas.openxmlformats.org/drawingml/2006/main">
          <a:off x="840941" y="977149"/>
          <a:ext cx="867008" cy="243278"/>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0.44868</cdr:x>
      <cdr:y>0.45782</cdr:y>
    </cdr:from>
    <cdr:to>
      <cdr:x>0.44868</cdr:x>
      <cdr:y>0.45782</cdr:y>
    </cdr:to>
    <cdr:sp macro="" textlink="">
      <cdr:nvSpPr>
        <cdr:cNvPr id="2" name="Text Box 1">
          <a:extLst xmlns:a="http://schemas.openxmlformats.org/drawingml/2006/main">
            <a:ext uri="{FF2B5EF4-FFF2-40B4-BE49-F238E27FC236}">
              <a16:creationId xmlns:a16="http://schemas.microsoft.com/office/drawing/2014/main" id="{ADA8CB62-FCE9-764F-980B-B8052FCC5C5E}"/>
            </a:ext>
          </a:extLst>
        </cdr:cNvPr>
        <cdr:cNvSpPr txBox="1">
          <a:spLocks xmlns:a="http://schemas.openxmlformats.org/drawingml/2006/main" noChangeArrowheads="1"/>
        </cdr:cNvSpPr>
      </cdr:nvSpPr>
      <cdr:spPr bwMode="auto">
        <a:xfrm xmlns:a="http://schemas.openxmlformats.org/drawingml/2006/main">
          <a:off x="843344" y="994248"/>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0.58135</cdr:x>
      <cdr:y>0.30769</cdr:y>
    </cdr:from>
    <cdr:to>
      <cdr:x>0.58135</cdr:x>
      <cdr:y>0.30769</cdr:y>
    </cdr:to>
    <cdr:sp macro="" textlink="">
      <cdr:nvSpPr>
        <cdr:cNvPr id="3" name="Text Box 2">
          <a:extLst xmlns:a="http://schemas.openxmlformats.org/drawingml/2006/main">
            <a:ext uri="{FF2B5EF4-FFF2-40B4-BE49-F238E27FC236}">
              <a16:creationId xmlns:a16="http://schemas.microsoft.com/office/drawing/2014/main" id="{7291A361-3C35-054B-A65A-95EBE80E3869}"/>
            </a:ext>
          </a:extLst>
        </cdr:cNvPr>
        <cdr:cNvSpPr txBox="1">
          <a:spLocks xmlns:a="http://schemas.openxmlformats.org/drawingml/2006/main" noChangeArrowheads="1"/>
        </cdr:cNvSpPr>
      </cdr:nvSpPr>
      <cdr:spPr bwMode="auto">
        <a:xfrm xmlns:a="http://schemas.openxmlformats.org/drawingml/2006/main">
          <a:off x="1092708" y="668207"/>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0.44868</cdr:x>
      <cdr:y>0.45782</cdr:y>
    </cdr:from>
    <cdr:to>
      <cdr:x>0.44868</cdr:x>
      <cdr:y>0.45782</cdr:y>
    </cdr:to>
    <cdr:sp macro="" textlink="">
      <cdr:nvSpPr>
        <cdr:cNvPr id="13" name="Text Box 1">
          <a:extLst xmlns:a="http://schemas.openxmlformats.org/drawingml/2006/main">
            <a:ext uri="{FF2B5EF4-FFF2-40B4-BE49-F238E27FC236}">
              <a16:creationId xmlns:a16="http://schemas.microsoft.com/office/drawing/2014/main" id="{8048C809-DB8E-404E-91B2-7EF471B2797B}"/>
            </a:ext>
          </a:extLst>
        </cdr:cNvPr>
        <cdr:cNvSpPr txBox="1">
          <a:spLocks xmlns:a="http://schemas.openxmlformats.org/drawingml/2006/main" noChangeArrowheads="1"/>
        </cdr:cNvSpPr>
      </cdr:nvSpPr>
      <cdr:spPr bwMode="auto">
        <a:xfrm xmlns:a="http://schemas.openxmlformats.org/drawingml/2006/main">
          <a:off x="843344" y="994248"/>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0.58135</cdr:x>
      <cdr:y>0.30769</cdr:y>
    </cdr:from>
    <cdr:to>
      <cdr:x>0.58135</cdr:x>
      <cdr:y>0.30769</cdr:y>
    </cdr:to>
    <cdr:sp macro="" textlink="">
      <cdr:nvSpPr>
        <cdr:cNvPr id="14" name="Text Box 2">
          <a:extLst xmlns:a="http://schemas.openxmlformats.org/drawingml/2006/main">
            <a:ext uri="{FF2B5EF4-FFF2-40B4-BE49-F238E27FC236}">
              <a16:creationId xmlns:a16="http://schemas.microsoft.com/office/drawing/2014/main" id="{111AE6B3-C088-584A-98B0-E5F6D35DB54D}"/>
            </a:ext>
          </a:extLst>
        </cdr:cNvPr>
        <cdr:cNvSpPr txBox="1">
          <a:spLocks xmlns:a="http://schemas.openxmlformats.org/drawingml/2006/main" noChangeArrowheads="1"/>
        </cdr:cNvSpPr>
      </cdr:nvSpPr>
      <cdr:spPr bwMode="auto">
        <a:xfrm xmlns:a="http://schemas.openxmlformats.org/drawingml/2006/main">
          <a:off x="1092708" y="668207"/>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0.44868</cdr:x>
      <cdr:y>0.45782</cdr:y>
    </cdr:from>
    <cdr:to>
      <cdr:x>0.44868</cdr:x>
      <cdr:y>0.45782</cdr:y>
    </cdr:to>
    <cdr:sp macro="" textlink="">
      <cdr:nvSpPr>
        <cdr:cNvPr id="15" name="Text Box 1">
          <a:extLst xmlns:a="http://schemas.openxmlformats.org/drawingml/2006/main">
            <a:ext uri="{FF2B5EF4-FFF2-40B4-BE49-F238E27FC236}">
              <a16:creationId xmlns:a16="http://schemas.microsoft.com/office/drawing/2014/main" id="{9852A8B9-494B-5F43-9CE2-DDEB6DDE4211}"/>
            </a:ext>
          </a:extLst>
        </cdr:cNvPr>
        <cdr:cNvSpPr txBox="1">
          <a:spLocks xmlns:a="http://schemas.openxmlformats.org/drawingml/2006/main" noChangeArrowheads="1"/>
        </cdr:cNvSpPr>
      </cdr:nvSpPr>
      <cdr:spPr bwMode="auto">
        <a:xfrm xmlns:a="http://schemas.openxmlformats.org/drawingml/2006/main">
          <a:off x="843344" y="994248"/>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0.58135</cdr:x>
      <cdr:y>0.30769</cdr:y>
    </cdr:from>
    <cdr:to>
      <cdr:x>0.58135</cdr:x>
      <cdr:y>0.30769</cdr:y>
    </cdr:to>
    <cdr:sp macro="" textlink="">
      <cdr:nvSpPr>
        <cdr:cNvPr id="16" name="Text Box 2">
          <a:extLst xmlns:a="http://schemas.openxmlformats.org/drawingml/2006/main">
            <a:ext uri="{FF2B5EF4-FFF2-40B4-BE49-F238E27FC236}">
              <a16:creationId xmlns:a16="http://schemas.microsoft.com/office/drawing/2014/main" id="{2FB25BBE-A057-D842-9023-10CA2B6DF43E}"/>
            </a:ext>
          </a:extLst>
        </cdr:cNvPr>
        <cdr:cNvSpPr txBox="1">
          <a:spLocks xmlns:a="http://schemas.openxmlformats.org/drawingml/2006/main" noChangeArrowheads="1"/>
        </cdr:cNvSpPr>
      </cdr:nvSpPr>
      <cdr:spPr bwMode="auto">
        <a:xfrm xmlns:a="http://schemas.openxmlformats.org/drawingml/2006/main">
          <a:off x="1092708" y="668207"/>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0.44868</cdr:x>
      <cdr:y>0.45782</cdr:y>
    </cdr:from>
    <cdr:to>
      <cdr:x>0.44868</cdr:x>
      <cdr:y>0.45782</cdr:y>
    </cdr:to>
    <cdr:sp macro="" textlink="">
      <cdr:nvSpPr>
        <cdr:cNvPr id="17" name="Text Box 1">
          <a:extLst xmlns:a="http://schemas.openxmlformats.org/drawingml/2006/main">
            <a:ext uri="{FF2B5EF4-FFF2-40B4-BE49-F238E27FC236}">
              <a16:creationId xmlns:a16="http://schemas.microsoft.com/office/drawing/2014/main" id="{36E8E6DC-35CC-5E4B-823A-3A8613414BC0}"/>
            </a:ext>
          </a:extLst>
        </cdr:cNvPr>
        <cdr:cNvSpPr txBox="1">
          <a:spLocks xmlns:a="http://schemas.openxmlformats.org/drawingml/2006/main" noChangeArrowheads="1"/>
        </cdr:cNvSpPr>
      </cdr:nvSpPr>
      <cdr:spPr bwMode="auto">
        <a:xfrm xmlns:a="http://schemas.openxmlformats.org/drawingml/2006/main">
          <a:off x="843344" y="994248"/>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0.58135</cdr:x>
      <cdr:y>0.30769</cdr:y>
    </cdr:from>
    <cdr:to>
      <cdr:x>0.58135</cdr:x>
      <cdr:y>0.30769</cdr:y>
    </cdr:to>
    <cdr:sp macro="" textlink="">
      <cdr:nvSpPr>
        <cdr:cNvPr id="18" name="Text Box 2">
          <a:extLst xmlns:a="http://schemas.openxmlformats.org/drawingml/2006/main">
            <a:ext uri="{FF2B5EF4-FFF2-40B4-BE49-F238E27FC236}">
              <a16:creationId xmlns:a16="http://schemas.microsoft.com/office/drawing/2014/main" id="{856ECEC2-45D0-8447-BD08-187203FFB8BA}"/>
            </a:ext>
          </a:extLst>
        </cdr:cNvPr>
        <cdr:cNvSpPr txBox="1">
          <a:spLocks xmlns:a="http://schemas.openxmlformats.org/drawingml/2006/main" noChangeArrowheads="1"/>
        </cdr:cNvSpPr>
      </cdr:nvSpPr>
      <cdr:spPr bwMode="auto">
        <a:xfrm xmlns:a="http://schemas.openxmlformats.org/drawingml/2006/main">
          <a:off x="1092708" y="668207"/>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0.41019</cdr:x>
      <cdr:y>0.62209</cdr:y>
    </cdr:from>
    <cdr:to>
      <cdr:x>0.8135</cdr:x>
      <cdr:y>0.71239</cdr:y>
    </cdr:to>
    <cdr:sp macro="" textlink="">
      <cdr:nvSpPr>
        <cdr:cNvPr id="21" name="Text Box 1">
          <a:extLst xmlns:a="http://schemas.openxmlformats.org/drawingml/2006/main">
            <a:ext uri="{FF2B5EF4-FFF2-40B4-BE49-F238E27FC236}">
              <a16:creationId xmlns:a16="http://schemas.microsoft.com/office/drawing/2014/main" id="{856FCE98-DBBB-D44B-BDD1-EDF565AC085E}"/>
            </a:ext>
          </a:extLst>
        </cdr:cNvPr>
        <cdr:cNvSpPr txBox="1">
          <a:spLocks xmlns:a="http://schemas.openxmlformats.org/drawingml/2006/main" noChangeArrowheads="1"/>
        </cdr:cNvSpPr>
      </cdr:nvSpPr>
      <cdr:spPr bwMode="auto">
        <a:xfrm xmlns:a="http://schemas.openxmlformats.org/drawingml/2006/main">
          <a:off x="806417" y="1474775"/>
          <a:ext cx="792891" cy="214072"/>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wrap="square" lIns="27432" tIns="18288" rIns="0" bIns="0" anchor="t" upright="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rtl="0">
            <a:defRPr sz="1000"/>
          </a:pPr>
          <a:r>
            <a:rPr lang="en-US" sz="1000" b="0" i="0" u="none" strike="noStrike" baseline="0">
              <a:solidFill>
                <a:srgbClr val="FF0000"/>
              </a:solidFill>
              <a:latin typeface="Arial"/>
              <a:ea typeface="Arial"/>
              <a:cs typeface="Arial"/>
            </a:rPr>
            <a:t>Intervention</a:t>
          </a:r>
        </a:p>
      </cdr:txBody>
    </cdr:sp>
  </cdr:relSizeAnchor>
  <cdr:relSizeAnchor xmlns:cdr="http://schemas.openxmlformats.org/drawingml/2006/chartDrawing">
    <cdr:from>
      <cdr:x>0.44868</cdr:x>
      <cdr:y>0.45782</cdr:y>
    </cdr:from>
    <cdr:to>
      <cdr:x>0.44868</cdr:x>
      <cdr:y>0.45782</cdr:y>
    </cdr:to>
    <cdr:sp macro="" textlink="">
      <cdr:nvSpPr>
        <cdr:cNvPr id="22" name="Text Box 1">
          <a:extLst xmlns:a="http://schemas.openxmlformats.org/drawingml/2006/main">
            <a:ext uri="{FF2B5EF4-FFF2-40B4-BE49-F238E27FC236}">
              <a16:creationId xmlns:a16="http://schemas.microsoft.com/office/drawing/2014/main" id="{8048C809-DB8E-404E-91B2-7EF471B2797B}"/>
            </a:ext>
          </a:extLst>
        </cdr:cNvPr>
        <cdr:cNvSpPr txBox="1">
          <a:spLocks xmlns:a="http://schemas.openxmlformats.org/drawingml/2006/main" noChangeArrowheads="1"/>
        </cdr:cNvSpPr>
      </cdr:nvSpPr>
      <cdr:spPr bwMode="auto">
        <a:xfrm xmlns:a="http://schemas.openxmlformats.org/drawingml/2006/main">
          <a:off x="843344" y="994248"/>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0.58135</cdr:x>
      <cdr:y>0.30769</cdr:y>
    </cdr:from>
    <cdr:to>
      <cdr:x>0.58135</cdr:x>
      <cdr:y>0.30769</cdr:y>
    </cdr:to>
    <cdr:sp macro="" textlink="">
      <cdr:nvSpPr>
        <cdr:cNvPr id="23" name="Text Box 2">
          <a:extLst xmlns:a="http://schemas.openxmlformats.org/drawingml/2006/main">
            <a:ext uri="{FF2B5EF4-FFF2-40B4-BE49-F238E27FC236}">
              <a16:creationId xmlns:a16="http://schemas.microsoft.com/office/drawing/2014/main" id="{111AE6B3-C088-584A-98B0-E5F6D35DB54D}"/>
            </a:ext>
          </a:extLst>
        </cdr:cNvPr>
        <cdr:cNvSpPr txBox="1">
          <a:spLocks xmlns:a="http://schemas.openxmlformats.org/drawingml/2006/main" noChangeArrowheads="1"/>
        </cdr:cNvSpPr>
      </cdr:nvSpPr>
      <cdr:spPr bwMode="auto">
        <a:xfrm xmlns:a="http://schemas.openxmlformats.org/drawingml/2006/main">
          <a:off x="1092708" y="668207"/>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0.44868</cdr:x>
      <cdr:y>0.45782</cdr:y>
    </cdr:from>
    <cdr:to>
      <cdr:x>0.44868</cdr:x>
      <cdr:y>0.45782</cdr:y>
    </cdr:to>
    <cdr:sp macro="" textlink="">
      <cdr:nvSpPr>
        <cdr:cNvPr id="24" name="Text Box 1">
          <a:extLst xmlns:a="http://schemas.openxmlformats.org/drawingml/2006/main">
            <a:ext uri="{FF2B5EF4-FFF2-40B4-BE49-F238E27FC236}">
              <a16:creationId xmlns:a16="http://schemas.microsoft.com/office/drawing/2014/main" id="{9852A8B9-494B-5F43-9CE2-DDEB6DDE4211}"/>
            </a:ext>
          </a:extLst>
        </cdr:cNvPr>
        <cdr:cNvSpPr txBox="1">
          <a:spLocks xmlns:a="http://schemas.openxmlformats.org/drawingml/2006/main" noChangeArrowheads="1"/>
        </cdr:cNvSpPr>
      </cdr:nvSpPr>
      <cdr:spPr bwMode="auto">
        <a:xfrm xmlns:a="http://schemas.openxmlformats.org/drawingml/2006/main">
          <a:off x="843344" y="994248"/>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0.58135</cdr:x>
      <cdr:y>0.30769</cdr:y>
    </cdr:from>
    <cdr:to>
      <cdr:x>0.58135</cdr:x>
      <cdr:y>0.30769</cdr:y>
    </cdr:to>
    <cdr:sp macro="" textlink="">
      <cdr:nvSpPr>
        <cdr:cNvPr id="25" name="Text Box 2">
          <a:extLst xmlns:a="http://schemas.openxmlformats.org/drawingml/2006/main">
            <a:ext uri="{FF2B5EF4-FFF2-40B4-BE49-F238E27FC236}">
              <a16:creationId xmlns:a16="http://schemas.microsoft.com/office/drawing/2014/main" id="{2FB25BBE-A057-D842-9023-10CA2B6DF43E}"/>
            </a:ext>
          </a:extLst>
        </cdr:cNvPr>
        <cdr:cNvSpPr txBox="1">
          <a:spLocks xmlns:a="http://schemas.openxmlformats.org/drawingml/2006/main" noChangeArrowheads="1"/>
        </cdr:cNvSpPr>
      </cdr:nvSpPr>
      <cdr:spPr bwMode="auto">
        <a:xfrm xmlns:a="http://schemas.openxmlformats.org/drawingml/2006/main">
          <a:off x="1092708" y="668207"/>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userShapes>
</file>

<file path=xl/drawings/drawing52.xml><?xml version="1.0" encoding="utf-8"?>
<c:userShapes xmlns:c="http://schemas.openxmlformats.org/drawingml/2006/chart">
  <cdr:relSizeAnchor xmlns:cdr="http://schemas.openxmlformats.org/drawingml/2006/chartDrawing">
    <cdr:from>
      <cdr:x>0.41723</cdr:x>
      <cdr:y>0.15926</cdr:y>
    </cdr:from>
    <cdr:to>
      <cdr:x>0.88175</cdr:x>
      <cdr:y>0.29629</cdr:y>
    </cdr:to>
    <cdr:sp macro="" textlink="">
      <cdr:nvSpPr>
        <cdr:cNvPr id="2" name="TextBox 1"/>
        <cdr:cNvSpPr txBox="1"/>
      </cdr:nvSpPr>
      <cdr:spPr>
        <a:xfrm xmlns:a="http://schemas.openxmlformats.org/drawingml/2006/main">
          <a:off x="820257" y="364073"/>
          <a:ext cx="913228" cy="313251"/>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000">
              <a:latin typeface="Arial"/>
              <a:cs typeface="Arial"/>
            </a:rPr>
            <a:t>Reference</a:t>
          </a:r>
        </a:p>
      </cdr:txBody>
    </cdr:sp>
  </cdr:relSizeAnchor>
  <cdr:relSizeAnchor xmlns:cdr="http://schemas.openxmlformats.org/drawingml/2006/chartDrawing">
    <cdr:from>
      <cdr:x>0.20616</cdr:x>
      <cdr:y>0.55926</cdr:y>
    </cdr:from>
    <cdr:to>
      <cdr:x>0.67067</cdr:x>
      <cdr:y>0.6963</cdr:y>
    </cdr:to>
    <cdr:sp macro="" textlink="">
      <cdr:nvSpPr>
        <cdr:cNvPr id="3" name="TextBox 2"/>
        <cdr:cNvSpPr txBox="1"/>
      </cdr:nvSpPr>
      <cdr:spPr>
        <a:xfrm xmlns:a="http://schemas.openxmlformats.org/drawingml/2006/main">
          <a:off x="405306" y="1278461"/>
          <a:ext cx="913208" cy="31327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a:solidFill>
                <a:srgbClr val="FF0000"/>
              </a:solidFill>
            </a:rPr>
            <a:t>Intervention</a:t>
          </a:r>
        </a:p>
      </cdr:txBody>
    </cdr:sp>
  </cdr:relSizeAnchor>
</c:userShapes>
</file>

<file path=xl/drawings/drawing53.xml><?xml version="1.0" encoding="utf-8"?>
<c:userShapes xmlns:c="http://schemas.openxmlformats.org/drawingml/2006/chart">
  <cdr:relSizeAnchor xmlns:cdr="http://schemas.openxmlformats.org/drawingml/2006/chartDrawing">
    <cdr:from>
      <cdr:x>0.21925</cdr:x>
      <cdr:y>0.17407</cdr:y>
    </cdr:from>
    <cdr:to>
      <cdr:x>0.68376</cdr:x>
      <cdr:y>0.28889</cdr:y>
    </cdr:to>
    <cdr:sp macro="" textlink="">
      <cdr:nvSpPr>
        <cdr:cNvPr id="2" name="TextBox 1"/>
        <cdr:cNvSpPr txBox="1"/>
      </cdr:nvSpPr>
      <cdr:spPr>
        <a:xfrm xmlns:a="http://schemas.openxmlformats.org/drawingml/2006/main">
          <a:off x="431038" y="397932"/>
          <a:ext cx="913208" cy="26247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000">
              <a:latin typeface="Arial"/>
              <a:cs typeface="Arial"/>
            </a:rPr>
            <a:t>Reference</a:t>
          </a:r>
        </a:p>
      </cdr:txBody>
    </cdr:sp>
  </cdr:relSizeAnchor>
  <cdr:relSizeAnchor xmlns:cdr="http://schemas.openxmlformats.org/drawingml/2006/chartDrawing">
    <cdr:from>
      <cdr:x>0.3571</cdr:x>
      <cdr:y>0.4537</cdr:y>
    </cdr:from>
    <cdr:to>
      <cdr:x>0.82161</cdr:x>
      <cdr:y>0.57963</cdr:y>
    </cdr:to>
    <cdr:sp macro="" textlink="">
      <cdr:nvSpPr>
        <cdr:cNvPr id="3" name="TextBox 2"/>
        <cdr:cNvSpPr txBox="1"/>
      </cdr:nvSpPr>
      <cdr:spPr>
        <a:xfrm xmlns:a="http://schemas.openxmlformats.org/drawingml/2006/main">
          <a:off x="702044" y="1037163"/>
          <a:ext cx="913208" cy="28787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a:solidFill>
                <a:srgbClr val="FF0000"/>
              </a:solidFill>
            </a:rPr>
            <a:t>Intervention</a:t>
          </a:r>
        </a:p>
      </cdr:txBody>
    </cdr:sp>
  </cdr:relSizeAnchor>
</c:userShapes>
</file>

<file path=xl/drawings/drawing54.xml><?xml version="1.0" encoding="utf-8"?>
<c:userShapes xmlns:c="http://schemas.openxmlformats.org/drawingml/2006/chart">
  <cdr:relSizeAnchor xmlns:cdr="http://schemas.openxmlformats.org/drawingml/2006/chartDrawing">
    <cdr:from>
      <cdr:x>0.27437</cdr:x>
      <cdr:y>0.73265</cdr:y>
    </cdr:from>
    <cdr:to>
      <cdr:x>0.68741</cdr:x>
      <cdr:y>0.81161</cdr:y>
    </cdr:to>
    <cdr:sp macro="" textlink="">
      <cdr:nvSpPr>
        <cdr:cNvPr id="984065" name="Text Box 1"/>
        <cdr:cNvSpPr txBox="1">
          <a:spLocks xmlns:a="http://schemas.openxmlformats.org/drawingml/2006/main" noChangeArrowheads="1"/>
        </cdr:cNvSpPr>
      </cdr:nvSpPr>
      <cdr:spPr bwMode="auto">
        <a:xfrm xmlns:a="http://schemas.openxmlformats.org/drawingml/2006/main">
          <a:off x="539401" y="1674835"/>
          <a:ext cx="812020" cy="180503"/>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FF0000"/>
              </a:solidFill>
              <a:latin typeface="Arial"/>
              <a:ea typeface="Arial"/>
              <a:cs typeface="Arial"/>
            </a:rPr>
            <a:t>Intervention</a:t>
          </a:r>
        </a:p>
      </cdr:txBody>
    </cdr:sp>
  </cdr:relSizeAnchor>
  <cdr:relSizeAnchor xmlns:cdr="http://schemas.openxmlformats.org/drawingml/2006/chartDrawing">
    <cdr:from>
      <cdr:x>0.51614</cdr:x>
      <cdr:y>0.53302</cdr:y>
    </cdr:from>
    <cdr:to>
      <cdr:x>0.84216</cdr:x>
      <cdr:y>0.6113</cdr:y>
    </cdr:to>
    <cdr:sp macro="" textlink="">
      <cdr:nvSpPr>
        <cdr:cNvPr id="984066" name="Text Box 2"/>
        <cdr:cNvSpPr txBox="1">
          <a:spLocks xmlns:a="http://schemas.openxmlformats.org/drawingml/2006/main" noChangeArrowheads="1"/>
        </cdr:cNvSpPr>
      </cdr:nvSpPr>
      <cdr:spPr bwMode="auto">
        <a:xfrm xmlns:a="http://schemas.openxmlformats.org/drawingml/2006/main">
          <a:off x="1014710" y="1218486"/>
          <a:ext cx="640946" cy="178939"/>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userShapes>
</file>

<file path=xl/drawings/drawing55.xml><?xml version="1.0" encoding="utf-8"?>
<c:userShapes xmlns:c="http://schemas.openxmlformats.org/drawingml/2006/chart">
  <cdr:relSizeAnchor xmlns:cdr="http://schemas.openxmlformats.org/drawingml/2006/chartDrawing">
    <cdr:from>
      <cdr:x>0.28289</cdr:x>
      <cdr:y>0.41893</cdr:y>
    </cdr:from>
    <cdr:to>
      <cdr:x>0.65208</cdr:x>
      <cdr:y>0.50946</cdr:y>
    </cdr:to>
    <cdr:sp macro="" textlink="">
      <cdr:nvSpPr>
        <cdr:cNvPr id="985089" name="Text Box 1"/>
        <cdr:cNvSpPr txBox="1">
          <a:spLocks xmlns:a="http://schemas.openxmlformats.org/drawingml/2006/main" noChangeArrowheads="1"/>
        </cdr:cNvSpPr>
      </cdr:nvSpPr>
      <cdr:spPr bwMode="auto">
        <a:xfrm xmlns:a="http://schemas.openxmlformats.org/drawingml/2006/main">
          <a:off x="560456" y="957682"/>
          <a:ext cx="731439" cy="206951"/>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wrap="none" lIns="18288" tIns="18288" rIns="0" bIns="0" anchor="t" upright="1">
          <a:spAutoFit/>
        </a:bodyPr>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0.35318</cdr:x>
      <cdr:y>0.575</cdr:y>
    </cdr:from>
    <cdr:to>
      <cdr:x>0.76166</cdr:x>
      <cdr:y>0.64608</cdr:y>
    </cdr:to>
    <cdr:sp macro="" textlink="">
      <cdr:nvSpPr>
        <cdr:cNvPr id="985090" name="Text Box 2"/>
        <cdr:cNvSpPr txBox="1">
          <a:spLocks xmlns:a="http://schemas.openxmlformats.org/drawingml/2006/main" noChangeArrowheads="1"/>
        </cdr:cNvSpPr>
      </cdr:nvSpPr>
      <cdr:spPr bwMode="auto">
        <a:xfrm xmlns:a="http://schemas.openxmlformats.org/drawingml/2006/main">
          <a:off x="699723" y="1314445"/>
          <a:ext cx="809281" cy="162489"/>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45720" tIns="0" rIns="0" bIns="0" anchor="t" upright="1"/>
        <a:lstStyle xmlns:a="http://schemas.openxmlformats.org/drawingml/2006/main"/>
        <a:p xmlns:a="http://schemas.openxmlformats.org/drawingml/2006/main">
          <a:pPr algn="l" rtl="0">
            <a:defRPr sz="1000"/>
          </a:pPr>
          <a:r>
            <a:rPr lang="en-US" sz="1000" b="0" i="0" u="none" strike="noStrike" baseline="0">
              <a:solidFill>
                <a:srgbClr val="FF0000"/>
              </a:solidFill>
              <a:latin typeface="Arial"/>
              <a:ea typeface="Arial"/>
              <a:cs typeface="Arial"/>
            </a:rPr>
            <a:t>Intervention</a:t>
          </a:r>
        </a:p>
      </cdr:txBody>
    </cdr:sp>
  </cdr:relSizeAnchor>
</c:userShapes>
</file>

<file path=xl/drawings/drawing56.xml><?xml version="1.0" encoding="utf-8"?>
<c:userShapes xmlns:c="http://schemas.openxmlformats.org/drawingml/2006/chart">
  <cdr:relSizeAnchor xmlns:cdr="http://schemas.openxmlformats.org/drawingml/2006/chartDrawing">
    <cdr:from>
      <cdr:x>0.28386</cdr:x>
      <cdr:y>0.17139</cdr:y>
    </cdr:from>
    <cdr:to>
      <cdr:x>0.64317</cdr:x>
      <cdr:y>0.25668</cdr:y>
    </cdr:to>
    <cdr:sp macro="" textlink="">
      <cdr:nvSpPr>
        <cdr:cNvPr id="986113" name="Text Box 1"/>
        <cdr:cNvSpPr txBox="1">
          <a:spLocks xmlns:a="http://schemas.openxmlformats.org/drawingml/2006/main" noChangeArrowheads="1"/>
        </cdr:cNvSpPr>
      </cdr:nvSpPr>
      <cdr:spPr bwMode="auto">
        <a:xfrm xmlns:a="http://schemas.openxmlformats.org/drawingml/2006/main">
          <a:off x="563577" y="391790"/>
          <a:ext cx="713386" cy="194973"/>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FF0000"/>
              </a:solidFill>
              <a:latin typeface="Arial"/>
              <a:ea typeface="Arial"/>
              <a:cs typeface="Arial"/>
            </a:rPr>
            <a:t>Intervention</a:t>
          </a:r>
        </a:p>
      </cdr:txBody>
    </cdr:sp>
  </cdr:relSizeAnchor>
  <cdr:relSizeAnchor xmlns:cdr="http://schemas.openxmlformats.org/drawingml/2006/chartDrawing">
    <cdr:from>
      <cdr:x>0.56355</cdr:x>
      <cdr:y>0.5442</cdr:y>
    </cdr:from>
    <cdr:to>
      <cdr:x>0.88785</cdr:x>
      <cdr:y>0.61963</cdr:y>
    </cdr:to>
    <cdr:sp macro="" textlink="">
      <cdr:nvSpPr>
        <cdr:cNvPr id="986114" name="Text Box 2"/>
        <cdr:cNvSpPr txBox="1">
          <a:spLocks xmlns:a="http://schemas.openxmlformats.org/drawingml/2006/main" noChangeArrowheads="1"/>
        </cdr:cNvSpPr>
      </cdr:nvSpPr>
      <cdr:spPr bwMode="auto">
        <a:xfrm xmlns:a="http://schemas.openxmlformats.org/drawingml/2006/main">
          <a:off x="1118889" y="1244031"/>
          <a:ext cx="643872" cy="172444"/>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userShapes>
</file>

<file path=xl/drawings/drawing57.xml><?xml version="1.0" encoding="utf-8"?>
<c:userShapes xmlns:c="http://schemas.openxmlformats.org/drawingml/2006/chart">
  <cdr:relSizeAnchor xmlns:cdr="http://schemas.openxmlformats.org/drawingml/2006/chartDrawing">
    <cdr:from>
      <cdr:x>0.38487</cdr:x>
      <cdr:y>0.41234</cdr:y>
    </cdr:from>
    <cdr:to>
      <cdr:x>0.84347</cdr:x>
      <cdr:y>0.53566</cdr:y>
    </cdr:to>
    <cdr:sp macro="" textlink="">
      <cdr:nvSpPr>
        <cdr:cNvPr id="2" name="TextBox 1"/>
        <cdr:cNvSpPr txBox="1"/>
      </cdr:nvSpPr>
      <cdr:spPr>
        <a:xfrm xmlns:a="http://schemas.openxmlformats.org/drawingml/2006/main">
          <a:off x="756641" y="970548"/>
          <a:ext cx="901589" cy="290262"/>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pPr marL="0" marR="0" indent="0" defTabSz="914400" rtl="0" eaLnBrk="1" fontAlgn="auto" latinLnBrk="0" hangingPunct="1">
            <a:lnSpc>
              <a:spcPct val="100000"/>
            </a:lnSpc>
            <a:spcBef>
              <a:spcPts val="0"/>
            </a:spcBef>
            <a:spcAft>
              <a:spcPts val="0"/>
            </a:spcAft>
            <a:buClrTx/>
            <a:buSzTx/>
            <a:buFontTx/>
            <a:buNone/>
            <a:tabLst/>
            <a:defRPr/>
          </a:pPr>
          <a:r>
            <a:rPr lang="en-US" sz="1000" b="0" i="0" baseline="0">
              <a:effectLst/>
              <a:latin typeface="Arial"/>
              <a:ea typeface="+mn-ea"/>
              <a:cs typeface="Arial"/>
            </a:rPr>
            <a:t>Reference</a:t>
          </a:r>
          <a:endParaRPr lang="en-US" sz="1000">
            <a:effectLst/>
            <a:latin typeface="Arial"/>
            <a:cs typeface="Arial"/>
          </a:endParaRPr>
        </a:p>
      </cdr:txBody>
    </cdr:sp>
  </cdr:relSizeAnchor>
  <cdr:relSizeAnchor xmlns:cdr="http://schemas.openxmlformats.org/drawingml/2006/chartDrawing">
    <cdr:from>
      <cdr:x>0.40977</cdr:x>
      <cdr:y>0.57033</cdr:y>
    </cdr:from>
    <cdr:to>
      <cdr:x>0.86837</cdr:x>
      <cdr:y>0.71676</cdr:y>
    </cdr:to>
    <cdr:sp macro="" textlink="">
      <cdr:nvSpPr>
        <cdr:cNvPr id="3" name="TextBox 2"/>
        <cdr:cNvSpPr txBox="1"/>
      </cdr:nvSpPr>
      <cdr:spPr>
        <a:xfrm xmlns:a="http://schemas.openxmlformats.org/drawingml/2006/main">
          <a:off x="817034" y="1253066"/>
          <a:ext cx="914400" cy="32173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000">
              <a:solidFill>
                <a:srgbClr val="FF0000"/>
              </a:solidFill>
              <a:latin typeface="Arial"/>
              <a:cs typeface="Arial"/>
            </a:rPr>
            <a:t>Intervention</a:t>
          </a:r>
        </a:p>
      </cdr:txBody>
    </cdr:sp>
  </cdr:relSizeAnchor>
  <cdr:relSizeAnchor xmlns:cdr="http://schemas.openxmlformats.org/drawingml/2006/chartDrawing">
    <cdr:from>
      <cdr:x>0.44868</cdr:x>
      <cdr:y>0.45782</cdr:y>
    </cdr:from>
    <cdr:to>
      <cdr:x>0.44868</cdr:x>
      <cdr:y>0.45782</cdr:y>
    </cdr:to>
    <cdr:sp macro="" textlink="">
      <cdr:nvSpPr>
        <cdr:cNvPr id="991233" name="Text Box 1"/>
        <cdr:cNvSpPr txBox="1">
          <a:spLocks xmlns:a="http://schemas.openxmlformats.org/drawingml/2006/main" noChangeArrowheads="1"/>
        </cdr:cNvSpPr>
      </cdr:nvSpPr>
      <cdr:spPr bwMode="auto">
        <a:xfrm xmlns:a="http://schemas.openxmlformats.org/drawingml/2006/main">
          <a:off x="843344" y="994248"/>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0.58135</cdr:x>
      <cdr:y>0.30769</cdr:y>
    </cdr:from>
    <cdr:to>
      <cdr:x>0.58135</cdr:x>
      <cdr:y>0.30769</cdr:y>
    </cdr:to>
    <cdr:sp macro="" textlink="">
      <cdr:nvSpPr>
        <cdr:cNvPr id="991234" name="Text Box 2"/>
        <cdr:cNvSpPr txBox="1">
          <a:spLocks xmlns:a="http://schemas.openxmlformats.org/drawingml/2006/main" noChangeArrowheads="1"/>
        </cdr:cNvSpPr>
      </cdr:nvSpPr>
      <cdr:spPr bwMode="auto">
        <a:xfrm xmlns:a="http://schemas.openxmlformats.org/drawingml/2006/main">
          <a:off x="1092708" y="668207"/>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0.44868</cdr:x>
      <cdr:y>0.45782</cdr:y>
    </cdr:from>
    <cdr:to>
      <cdr:x>0.44868</cdr:x>
      <cdr:y>0.45782</cdr:y>
    </cdr:to>
    <cdr:sp macro="" textlink="">
      <cdr:nvSpPr>
        <cdr:cNvPr id="7" name="Text Box 1">
          <a:extLst xmlns:a="http://schemas.openxmlformats.org/drawingml/2006/main">
            <a:ext uri="{FF2B5EF4-FFF2-40B4-BE49-F238E27FC236}">
              <a16:creationId xmlns:a16="http://schemas.microsoft.com/office/drawing/2014/main" id="{8048C809-DB8E-404E-91B2-7EF471B2797B}"/>
            </a:ext>
          </a:extLst>
        </cdr:cNvPr>
        <cdr:cNvSpPr txBox="1">
          <a:spLocks xmlns:a="http://schemas.openxmlformats.org/drawingml/2006/main" noChangeArrowheads="1"/>
        </cdr:cNvSpPr>
      </cdr:nvSpPr>
      <cdr:spPr bwMode="auto">
        <a:xfrm xmlns:a="http://schemas.openxmlformats.org/drawingml/2006/main">
          <a:off x="843344" y="994248"/>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0.58135</cdr:x>
      <cdr:y>0.30769</cdr:y>
    </cdr:from>
    <cdr:to>
      <cdr:x>0.58135</cdr:x>
      <cdr:y>0.30769</cdr:y>
    </cdr:to>
    <cdr:sp macro="" textlink="">
      <cdr:nvSpPr>
        <cdr:cNvPr id="8" name="Text Box 2">
          <a:extLst xmlns:a="http://schemas.openxmlformats.org/drawingml/2006/main">
            <a:ext uri="{FF2B5EF4-FFF2-40B4-BE49-F238E27FC236}">
              <a16:creationId xmlns:a16="http://schemas.microsoft.com/office/drawing/2014/main" id="{111AE6B3-C088-584A-98B0-E5F6D35DB54D}"/>
            </a:ext>
          </a:extLst>
        </cdr:cNvPr>
        <cdr:cNvSpPr txBox="1">
          <a:spLocks xmlns:a="http://schemas.openxmlformats.org/drawingml/2006/main" noChangeArrowheads="1"/>
        </cdr:cNvSpPr>
      </cdr:nvSpPr>
      <cdr:spPr bwMode="auto">
        <a:xfrm xmlns:a="http://schemas.openxmlformats.org/drawingml/2006/main">
          <a:off x="1092708" y="668207"/>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0.44868</cdr:x>
      <cdr:y>0.45782</cdr:y>
    </cdr:from>
    <cdr:to>
      <cdr:x>0.44868</cdr:x>
      <cdr:y>0.45782</cdr:y>
    </cdr:to>
    <cdr:sp macro="" textlink="">
      <cdr:nvSpPr>
        <cdr:cNvPr id="10" name="Text Box 1">
          <a:extLst xmlns:a="http://schemas.openxmlformats.org/drawingml/2006/main">
            <a:ext uri="{FF2B5EF4-FFF2-40B4-BE49-F238E27FC236}">
              <a16:creationId xmlns:a16="http://schemas.microsoft.com/office/drawing/2014/main" id="{9852A8B9-494B-5F43-9CE2-DDEB6DDE4211}"/>
            </a:ext>
          </a:extLst>
        </cdr:cNvPr>
        <cdr:cNvSpPr txBox="1">
          <a:spLocks xmlns:a="http://schemas.openxmlformats.org/drawingml/2006/main" noChangeArrowheads="1"/>
        </cdr:cNvSpPr>
      </cdr:nvSpPr>
      <cdr:spPr bwMode="auto">
        <a:xfrm xmlns:a="http://schemas.openxmlformats.org/drawingml/2006/main">
          <a:off x="843344" y="994248"/>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0.58135</cdr:x>
      <cdr:y>0.30769</cdr:y>
    </cdr:from>
    <cdr:to>
      <cdr:x>0.58135</cdr:x>
      <cdr:y>0.30769</cdr:y>
    </cdr:to>
    <cdr:sp macro="" textlink="">
      <cdr:nvSpPr>
        <cdr:cNvPr id="11" name="Text Box 2">
          <a:extLst xmlns:a="http://schemas.openxmlformats.org/drawingml/2006/main">
            <a:ext uri="{FF2B5EF4-FFF2-40B4-BE49-F238E27FC236}">
              <a16:creationId xmlns:a16="http://schemas.microsoft.com/office/drawing/2014/main" id="{2FB25BBE-A057-D842-9023-10CA2B6DF43E}"/>
            </a:ext>
          </a:extLst>
        </cdr:cNvPr>
        <cdr:cNvSpPr txBox="1">
          <a:spLocks xmlns:a="http://schemas.openxmlformats.org/drawingml/2006/main" noChangeArrowheads="1"/>
        </cdr:cNvSpPr>
      </cdr:nvSpPr>
      <cdr:spPr bwMode="auto">
        <a:xfrm xmlns:a="http://schemas.openxmlformats.org/drawingml/2006/main">
          <a:off x="1092708" y="668207"/>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userShapes>
</file>

<file path=xl/drawings/drawing58.xml><?xml version="1.0" encoding="utf-8"?>
<c:userShapes xmlns:c="http://schemas.openxmlformats.org/drawingml/2006/chart">
  <cdr:relSizeAnchor xmlns:cdr="http://schemas.openxmlformats.org/drawingml/2006/chartDrawing">
    <cdr:from>
      <cdr:x>0.41551</cdr:x>
      <cdr:y>0.7854</cdr:y>
    </cdr:from>
    <cdr:to>
      <cdr:x>0.41551</cdr:x>
      <cdr:y>0.7854</cdr:y>
    </cdr:to>
    <cdr:sp macro="" textlink="">
      <cdr:nvSpPr>
        <cdr:cNvPr id="988161" name="Text Box 1"/>
        <cdr:cNvSpPr txBox="1">
          <a:spLocks xmlns:a="http://schemas.openxmlformats.org/drawingml/2006/main" noChangeArrowheads="1"/>
        </cdr:cNvSpPr>
      </cdr:nvSpPr>
      <cdr:spPr bwMode="auto">
        <a:xfrm xmlns:a="http://schemas.openxmlformats.org/drawingml/2006/main">
          <a:off x="833755" y="1695691"/>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0.45522</cdr:x>
      <cdr:y>0.75187</cdr:y>
    </cdr:from>
    <cdr:to>
      <cdr:x>0.80057</cdr:x>
      <cdr:y>0.83218</cdr:y>
    </cdr:to>
    <cdr:sp macro="" textlink="">
      <cdr:nvSpPr>
        <cdr:cNvPr id="988162" name="Text Box 2"/>
        <cdr:cNvSpPr txBox="1">
          <a:spLocks xmlns:a="http://schemas.openxmlformats.org/drawingml/2006/main" noChangeArrowheads="1"/>
        </cdr:cNvSpPr>
      </cdr:nvSpPr>
      <cdr:spPr bwMode="auto">
        <a:xfrm xmlns:a="http://schemas.openxmlformats.org/drawingml/2006/main">
          <a:off x="894944" y="1763329"/>
          <a:ext cx="678944" cy="188349"/>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wrap="none" lIns="18288" tIns="18288" rIns="0" bIns="0" anchor="t" upright="1">
          <a:spAutoFit/>
        </a:bodyPr>
        <a:lstStyle xmlns:a="http://schemas.openxmlformats.org/drawingml/2006/main"/>
        <a:p xmlns:a="http://schemas.openxmlformats.org/drawingml/2006/main">
          <a:pPr algn="l" rtl="0">
            <a:defRPr sz="1000"/>
          </a:pPr>
          <a:r>
            <a:rPr lang="en-US" sz="1000" b="0" i="0" u="none" strike="noStrike" baseline="0">
              <a:solidFill>
                <a:srgbClr val="FF0000"/>
              </a:solidFill>
              <a:latin typeface="Arial"/>
              <a:ea typeface="Arial"/>
              <a:cs typeface="Arial"/>
            </a:rPr>
            <a:t>Intervention</a:t>
          </a:r>
        </a:p>
      </cdr:txBody>
    </cdr:sp>
  </cdr:relSizeAnchor>
  <cdr:relSizeAnchor xmlns:cdr="http://schemas.openxmlformats.org/drawingml/2006/chartDrawing">
    <cdr:from>
      <cdr:x>0.36518</cdr:x>
      <cdr:y>0.3925</cdr:y>
    </cdr:from>
    <cdr:to>
      <cdr:x>0.82378</cdr:x>
      <cdr:y>0.53451</cdr:y>
    </cdr:to>
    <cdr:sp macro="" textlink="">
      <cdr:nvSpPr>
        <cdr:cNvPr id="2" name="TextBox 1"/>
        <cdr:cNvSpPr txBox="1"/>
      </cdr:nvSpPr>
      <cdr:spPr>
        <a:xfrm xmlns:a="http://schemas.openxmlformats.org/drawingml/2006/main">
          <a:off x="728132" y="842432"/>
          <a:ext cx="914403" cy="30479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pPr marL="0" marR="0" indent="0" defTabSz="914400" rtl="0" eaLnBrk="1" fontAlgn="auto" latinLnBrk="0" hangingPunct="1">
            <a:lnSpc>
              <a:spcPct val="100000"/>
            </a:lnSpc>
            <a:spcBef>
              <a:spcPts val="0"/>
            </a:spcBef>
            <a:spcAft>
              <a:spcPts val="0"/>
            </a:spcAft>
            <a:buClrTx/>
            <a:buSzTx/>
            <a:buFontTx/>
            <a:buNone/>
            <a:tabLst/>
            <a:defRPr/>
          </a:pPr>
          <a:r>
            <a:rPr lang="en-US" sz="1000" b="0" i="0" baseline="0">
              <a:effectLst/>
              <a:latin typeface="Arial"/>
              <a:ea typeface="+mn-ea"/>
              <a:cs typeface="Arial"/>
            </a:rPr>
            <a:t>Reference</a:t>
          </a:r>
          <a:endParaRPr lang="en-US" sz="1000">
            <a:effectLst/>
            <a:latin typeface="Arial"/>
            <a:cs typeface="Arial"/>
          </a:endParaRPr>
        </a:p>
      </cdr:txBody>
    </cdr:sp>
  </cdr:relSizeAnchor>
  <cdr:relSizeAnchor xmlns:cdr="http://schemas.openxmlformats.org/drawingml/2006/chartDrawing">
    <cdr:from>
      <cdr:x>0.44868</cdr:x>
      <cdr:y>0.45782</cdr:y>
    </cdr:from>
    <cdr:to>
      <cdr:x>0.44868</cdr:x>
      <cdr:y>0.45782</cdr:y>
    </cdr:to>
    <cdr:sp macro="" textlink="">
      <cdr:nvSpPr>
        <cdr:cNvPr id="991233" name="Text Box 1"/>
        <cdr:cNvSpPr txBox="1">
          <a:spLocks xmlns:a="http://schemas.openxmlformats.org/drawingml/2006/main" noChangeArrowheads="1"/>
        </cdr:cNvSpPr>
      </cdr:nvSpPr>
      <cdr:spPr bwMode="auto">
        <a:xfrm xmlns:a="http://schemas.openxmlformats.org/drawingml/2006/main">
          <a:off x="843344" y="994248"/>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0.58135</cdr:x>
      <cdr:y>0.30769</cdr:y>
    </cdr:from>
    <cdr:to>
      <cdr:x>0.58135</cdr:x>
      <cdr:y>0.30769</cdr:y>
    </cdr:to>
    <cdr:sp macro="" textlink="">
      <cdr:nvSpPr>
        <cdr:cNvPr id="991234" name="Text Box 2"/>
        <cdr:cNvSpPr txBox="1">
          <a:spLocks xmlns:a="http://schemas.openxmlformats.org/drawingml/2006/main" noChangeArrowheads="1"/>
        </cdr:cNvSpPr>
      </cdr:nvSpPr>
      <cdr:spPr bwMode="auto">
        <a:xfrm xmlns:a="http://schemas.openxmlformats.org/drawingml/2006/main">
          <a:off x="1092708" y="668207"/>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0.40186</cdr:x>
      <cdr:y>0.36155</cdr:y>
    </cdr:from>
    <cdr:to>
      <cdr:x>0.81074</cdr:x>
      <cdr:y>0.56815</cdr:y>
    </cdr:to>
    <cdr:sp macro="" textlink="">
      <cdr:nvSpPr>
        <cdr:cNvPr id="991235" name="Text Box 3"/>
        <cdr:cNvSpPr txBox="1">
          <a:spLocks xmlns:a="http://schemas.openxmlformats.org/drawingml/2006/main" noChangeArrowheads="1"/>
        </cdr:cNvSpPr>
      </cdr:nvSpPr>
      <cdr:spPr bwMode="auto">
        <a:xfrm xmlns:a="http://schemas.openxmlformats.org/drawingml/2006/main">
          <a:off x="755333" y="785168"/>
          <a:ext cx="768540" cy="448694"/>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endParaRPr lang="en-US" sz="1000" b="0" i="0" u="none" strike="noStrike" baseline="0">
            <a:solidFill>
              <a:srgbClr val="FF0000"/>
            </a:solidFill>
            <a:latin typeface="Arial"/>
            <a:ea typeface="Arial"/>
            <a:cs typeface="Arial"/>
          </a:endParaRPr>
        </a:p>
      </cdr:txBody>
    </cdr:sp>
  </cdr:relSizeAnchor>
  <cdr:relSizeAnchor xmlns:cdr="http://schemas.openxmlformats.org/drawingml/2006/chartDrawing">
    <cdr:from>
      <cdr:x>0.44868</cdr:x>
      <cdr:y>0.45782</cdr:y>
    </cdr:from>
    <cdr:to>
      <cdr:x>0.44868</cdr:x>
      <cdr:y>0.45782</cdr:y>
    </cdr:to>
    <cdr:sp macro="" textlink="">
      <cdr:nvSpPr>
        <cdr:cNvPr id="7" name="Text Box 1">
          <a:extLst xmlns:a="http://schemas.openxmlformats.org/drawingml/2006/main">
            <a:ext uri="{FF2B5EF4-FFF2-40B4-BE49-F238E27FC236}">
              <a16:creationId xmlns:a16="http://schemas.microsoft.com/office/drawing/2014/main" id="{8048C809-DB8E-404E-91B2-7EF471B2797B}"/>
            </a:ext>
          </a:extLst>
        </cdr:cNvPr>
        <cdr:cNvSpPr txBox="1">
          <a:spLocks xmlns:a="http://schemas.openxmlformats.org/drawingml/2006/main" noChangeArrowheads="1"/>
        </cdr:cNvSpPr>
      </cdr:nvSpPr>
      <cdr:spPr bwMode="auto">
        <a:xfrm xmlns:a="http://schemas.openxmlformats.org/drawingml/2006/main">
          <a:off x="843344" y="994248"/>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0.58135</cdr:x>
      <cdr:y>0.30769</cdr:y>
    </cdr:from>
    <cdr:to>
      <cdr:x>0.58135</cdr:x>
      <cdr:y>0.30769</cdr:y>
    </cdr:to>
    <cdr:sp macro="" textlink="">
      <cdr:nvSpPr>
        <cdr:cNvPr id="8" name="Text Box 2">
          <a:extLst xmlns:a="http://schemas.openxmlformats.org/drawingml/2006/main">
            <a:ext uri="{FF2B5EF4-FFF2-40B4-BE49-F238E27FC236}">
              <a16:creationId xmlns:a16="http://schemas.microsoft.com/office/drawing/2014/main" id="{111AE6B3-C088-584A-98B0-E5F6D35DB54D}"/>
            </a:ext>
          </a:extLst>
        </cdr:cNvPr>
        <cdr:cNvSpPr txBox="1">
          <a:spLocks xmlns:a="http://schemas.openxmlformats.org/drawingml/2006/main" noChangeArrowheads="1"/>
        </cdr:cNvSpPr>
      </cdr:nvSpPr>
      <cdr:spPr bwMode="auto">
        <a:xfrm xmlns:a="http://schemas.openxmlformats.org/drawingml/2006/main">
          <a:off x="1092708" y="668207"/>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0.44868</cdr:x>
      <cdr:y>0.45782</cdr:y>
    </cdr:from>
    <cdr:to>
      <cdr:x>0.44868</cdr:x>
      <cdr:y>0.45782</cdr:y>
    </cdr:to>
    <cdr:sp macro="" textlink="">
      <cdr:nvSpPr>
        <cdr:cNvPr id="10" name="Text Box 1">
          <a:extLst xmlns:a="http://schemas.openxmlformats.org/drawingml/2006/main">
            <a:ext uri="{FF2B5EF4-FFF2-40B4-BE49-F238E27FC236}">
              <a16:creationId xmlns:a16="http://schemas.microsoft.com/office/drawing/2014/main" id="{9852A8B9-494B-5F43-9CE2-DDEB6DDE4211}"/>
            </a:ext>
          </a:extLst>
        </cdr:cNvPr>
        <cdr:cNvSpPr txBox="1">
          <a:spLocks xmlns:a="http://schemas.openxmlformats.org/drawingml/2006/main" noChangeArrowheads="1"/>
        </cdr:cNvSpPr>
      </cdr:nvSpPr>
      <cdr:spPr bwMode="auto">
        <a:xfrm xmlns:a="http://schemas.openxmlformats.org/drawingml/2006/main">
          <a:off x="843344" y="994248"/>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0.58135</cdr:x>
      <cdr:y>0.30769</cdr:y>
    </cdr:from>
    <cdr:to>
      <cdr:x>0.58135</cdr:x>
      <cdr:y>0.30769</cdr:y>
    </cdr:to>
    <cdr:sp macro="" textlink="">
      <cdr:nvSpPr>
        <cdr:cNvPr id="11" name="Text Box 2">
          <a:extLst xmlns:a="http://schemas.openxmlformats.org/drawingml/2006/main">
            <a:ext uri="{FF2B5EF4-FFF2-40B4-BE49-F238E27FC236}">
              <a16:creationId xmlns:a16="http://schemas.microsoft.com/office/drawing/2014/main" id="{2FB25BBE-A057-D842-9023-10CA2B6DF43E}"/>
            </a:ext>
          </a:extLst>
        </cdr:cNvPr>
        <cdr:cNvSpPr txBox="1">
          <a:spLocks xmlns:a="http://schemas.openxmlformats.org/drawingml/2006/main" noChangeArrowheads="1"/>
        </cdr:cNvSpPr>
      </cdr:nvSpPr>
      <cdr:spPr bwMode="auto">
        <a:xfrm xmlns:a="http://schemas.openxmlformats.org/drawingml/2006/main">
          <a:off x="1092708" y="668207"/>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userShapes>
</file>

<file path=xl/drawings/drawing59.xml><?xml version="1.0" encoding="utf-8"?>
<c:userShapes xmlns:c="http://schemas.openxmlformats.org/drawingml/2006/chart">
  <cdr:relSizeAnchor xmlns:cdr="http://schemas.openxmlformats.org/drawingml/2006/chartDrawing">
    <cdr:from>
      <cdr:x>0.39689</cdr:x>
      <cdr:y>0.65713</cdr:y>
    </cdr:from>
    <cdr:to>
      <cdr:x>0.39689</cdr:x>
      <cdr:y>0.65713</cdr:y>
    </cdr:to>
    <cdr:sp macro="" textlink="">
      <cdr:nvSpPr>
        <cdr:cNvPr id="989185" name="Text Box 1"/>
        <cdr:cNvSpPr txBox="1">
          <a:spLocks xmlns:a="http://schemas.openxmlformats.org/drawingml/2006/main" noChangeArrowheads="1"/>
        </cdr:cNvSpPr>
      </cdr:nvSpPr>
      <cdr:spPr bwMode="auto">
        <a:xfrm xmlns:a="http://schemas.openxmlformats.org/drawingml/2006/main">
          <a:off x="745998" y="1443784"/>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0.4877</cdr:x>
      <cdr:y>0.52122</cdr:y>
    </cdr:from>
    <cdr:to>
      <cdr:x>0.4877</cdr:x>
      <cdr:y>0.52122</cdr:y>
    </cdr:to>
    <cdr:sp macro="" textlink="">
      <cdr:nvSpPr>
        <cdr:cNvPr id="989186" name="Text Box 2"/>
        <cdr:cNvSpPr txBox="1">
          <a:spLocks xmlns:a="http://schemas.openxmlformats.org/drawingml/2006/main" noChangeArrowheads="1"/>
        </cdr:cNvSpPr>
      </cdr:nvSpPr>
      <cdr:spPr bwMode="auto">
        <a:xfrm xmlns:a="http://schemas.openxmlformats.org/drawingml/2006/main">
          <a:off x="916686" y="1145175"/>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0.34247</cdr:x>
      <cdr:y>0.53369</cdr:y>
    </cdr:from>
    <cdr:to>
      <cdr:x>0.74521</cdr:x>
      <cdr:y>0.63861</cdr:y>
    </cdr:to>
    <cdr:sp macro="" textlink="">
      <cdr:nvSpPr>
        <cdr:cNvPr id="989187" name="Text Box 3"/>
        <cdr:cNvSpPr txBox="1">
          <a:spLocks xmlns:a="http://schemas.openxmlformats.org/drawingml/2006/main" noChangeArrowheads="1"/>
        </cdr:cNvSpPr>
      </cdr:nvSpPr>
      <cdr:spPr bwMode="auto">
        <a:xfrm xmlns:a="http://schemas.openxmlformats.org/drawingml/2006/main">
          <a:off x="639349" y="1165794"/>
          <a:ext cx="751875" cy="229187"/>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0.47876</cdr:x>
      <cdr:y>0.71158</cdr:y>
    </cdr:from>
    <cdr:to>
      <cdr:x>0.8815</cdr:x>
      <cdr:y>0.80076</cdr:y>
    </cdr:to>
    <cdr:sp macro="" textlink="">
      <cdr:nvSpPr>
        <cdr:cNvPr id="989188" name="Text Box 4"/>
        <cdr:cNvSpPr txBox="1">
          <a:spLocks xmlns:a="http://schemas.openxmlformats.org/drawingml/2006/main" noChangeArrowheads="1"/>
        </cdr:cNvSpPr>
      </cdr:nvSpPr>
      <cdr:spPr bwMode="auto">
        <a:xfrm xmlns:a="http://schemas.openxmlformats.org/drawingml/2006/main">
          <a:off x="926217" y="1650761"/>
          <a:ext cx="779154" cy="206886"/>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FF0000"/>
              </a:solidFill>
              <a:latin typeface="Arial"/>
              <a:ea typeface="Arial"/>
              <a:cs typeface="Arial"/>
            </a:rPr>
            <a:t>Intervention</a:t>
          </a:r>
        </a:p>
      </cdr:txBody>
    </cdr:sp>
  </cdr:relSizeAnchor>
  <cdr:relSizeAnchor xmlns:cdr="http://schemas.openxmlformats.org/drawingml/2006/chartDrawing">
    <cdr:from>
      <cdr:x>0.44868</cdr:x>
      <cdr:y>0.45782</cdr:y>
    </cdr:from>
    <cdr:to>
      <cdr:x>0.44868</cdr:x>
      <cdr:y>0.45782</cdr:y>
    </cdr:to>
    <cdr:sp macro="" textlink="">
      <cdr:nvSpPr>
        <cdr:cNvPr id="991233" name="Text Box 1"/>
        <cdr:cNvSpPr txBox="1">
          <a:spLocks xmlns:a="http://schemas.openxmlformats.org/drawingml/2006/main" noChangeArrowheads="1"/>
        </cdr:cNvSpPr>
      </cdr:nvSpPr>
      <cdr:spPr bwMode="auto">
        <a:xfrm xmlns:a="http://schemas.openxmlformats.org/drawingml/2006/main">
          <a:off x="843344" y="994248"/>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0.58135</cdr:x>
      <cdr:y>0.30769</cdr:y>
    </cdr:from>
    <cdr:to>
      <cdr:x>0.58135</cdr:x>
      <cdr:y>0.30769</cdr:y>
    </cdr:to>
    <cdr:sp macro="" textlink="">
      <cdr:nvSpPr>
        <cdr:cNvPr id="991234" name="Text Box 2"/>
        <cdr:cNvSpPr txBox="1">
          <a:spLocks xmlns:a="http://schemas.openxmlformats.org/drawingml/2006/main" noChangeArrowheads="1"/>
        </cdr:cNvSpPr>
      </cdr:nvSpPr>
      <cdr:spPr bwMode="auto">
        <a:xfrm xmlns:a="http://schemas.openxmlformats.org/drawingml/2006/main">
          <a:off x="1092708" y="668207"/>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0.44868</cdr:x>
      <cdr:y>0.45782</cdr:y>
    </cdr:from>
    <cdr:to>
      <cdr:x>0.44868</cdr:x>
      <cdr:y>0.45782</cdr:y>
    </cdr:to>
    <cdr:sp macro="" textlink="">
      <cdr:nvSpPr>
        <cdr:cNvPr id="7" name="Text Box 1">
          <a:extLst xmlns:a="http://schemas.openxmlformats.org/drawingml/2006/main">
            <a:ext uri="{FF2B5EF4-FFF2-40B4-BE49-F238E27FC236}">
              <a16:creationId xmlns:a16="http://schemas.microsoft.com/office/drawing/2014/main" id="{8048C809-DB8E-404E-91B2-7EF471B2797B}"/>
            </a:ext>
          </a:extLst>
        </cdr:cNvPr>
        <cdr:cNvSpPr txBox="1">
          <a:spLocks xmlns:a="http://schemas.openxmlformats.org/drawingml/2006/main" noChangeArrowheads="1"/>
        </cdr:cNvSpPr>
      </cdr:nvSpPr>
      <cdr:spPr bwMode="auto">
        <a:xfrm xmlns:a="http://schemas.openxmlformats.org/drawingml/2006/main">
          <a:off x="843344" y="994248"/>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0.58135</cdr:x>
      <cdr:y>0.30769</cdr:y>
    </cdr:from>
    <cdr:to>
      <cdr:x>0.58135</cdr:x>
      <cdr:y>0.30769</cdr:y>
    </cdr:to>
    <cdr:sp macro="" textlink="">
      <cdr:nvSpPr>
        <cdr:cNvPr id="8" name="Text Box 2">
          <a:extLst xmlns:a="http://schemas.openxmlformats.org/drawingml/2006/main">
            <a:ext uri="{FF2B5EF4-FFF2-40B4-BE49-F238E27FC236}">
              <a16:creationId xmlns:a16="http://schemas.microsoft.com/office/drawing/2014/main" id="{111AE6B3-C088-584A-98B0-E5F6D35DB54D}"/>
            </a:ext>
          </a:extLst>
        </cdr:cNvPr>
        <cdr:cNvSpPr txBox="1">
          <a:spLocks xmlns:a="http://schemas.openxmlformats.org/drawingml/2006/main" noChangeArrowheads="1"/>
        </cdr:cNvSpPr>
      </cdr:nvSpPr>
      <cdr:spPr bwMode="auto">
        <a:xfrm xmlns:a="http://schemas.openxmlformats.org/drawingml/2006/main">
          <a:off x="1092708" y="668207"/>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0.44868</cdr:x>
      <cdr:y>0.45782</cdr:y>
    </cdr:from>
    <cdr:to>
      <cdr:x>0.44868</cdr:x>
      <cdr:y>0.45782</cdr:y>
    </cdr:to>
    <cdr:sp macro="" textlink="">
      <cdr:nvSpPr>
        <cdr:cNvPr id="10" name="Text Box 1">
          <a:extLst xmlns:a="http://schemas.openxmlformats.org/drawingml/2006/main">
            <a:ext uri="{FF2B5EF4-FFF2-40B4-BE49-F238E27FC236}">
              <a16:creationId xmlns:a16="http://schemas.microsoft.com/office/drawing/2014/main" id="{9852A8B9-494B-5F43-9CE2-DDEB6DDE4211}"/>
            </a:ext>
          </a:extLst>
        </cdr:cNvPr>
        <cdr:cNvSpPr txBox="1">
          <a:spLocks xmlns:a="http://schemas.openxmlformats.org/drawingml/2006/main" noChangeArrowheads="1"/>
        </cdr:cNvSpPr>
      </cdr:nvSpPr>
      <cdr:spPr bwMode="auto">
        <a:xfrm xmlns:a="http://schemas.openxmlformats.org/drawingml/2006/main">
          <a:off x="843344" y="994248"/>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0.58135</cdr:x>
      <cdr:y>0.30769</cdr:y>
    </cdr:from>
    <cdr:to>
      <cdr:x>0.58135</cdr:x>
      <cdr:y>0.30769</cdr:y>
    </cdr:to>
    <cdr:sp macro="" textlink="">
      <cdr:nvSpPr>
        <cdr:cNvPr id="11" name="Text Box 2">
          <a:extLst xmlns:a="http://schemas.openxmlformats.org/drawingml/2006/main">
            <a:ext uri="{FF2B5EF4-FFF2-40B4-BE49-F238E27FC236}">
              <a16:creationId xmlns:a16="http://schemas.microsoft.com/office/drawing/2014/main" id="{2FB25BBE-A057-D842-9023-10CA2B6DF43E}"/>
            </a:ext>
          </a:extLst>
        </cdr:cNvPr>
        <cdr:cNvSpPr txBox="1">
          <a:spLocks xmlns:a="http://schemas.openxmlformats.org/drawingml/2006/main" noChangeArrowheads="1"/>
        </cdr:cNvSpPr>
      </cdr:nvSpPr>
      <cdr:spPr bwMode="auto">
        <a:xfrm xmlns:a="http://schemas.openxmlformats.org/drawingml/2006/main">
          <a:off x="1092708" y="668207"/>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userShapes>
</file>

<file path=xl/drawings/drawing60.xml><?xml version="1.0" encoding="utf-8"?>
<c:userShapes xmlns:c="http://schemas.openxmlformats.org/drawingml/2006/chart">
  <cdr:relSizeAnchor xmlns:cdr="http://schemas.openxmlformats.org/drawingml/2006/chartDrawing">
    <cdr:from>
      <cdr:x>0.44868</cdr:x>
      <cdr:y>0.45782</cdr:y>
    </cdr:from>
    <cdr:to>
      <cdr:x>0.44868</cdr:x>
      <cdr:y>0.45782</cdr:y>
    </cdr:to>
    <cdr:sp macro="" textlink="">
      <cdr:nvSpPr>
        <cdr:cNvPr id="991233" name="Text Box 1"/>
        <cdr:cNvSpPr txBox="1">
          <a:spLocks xmlns:a="http://schemas.openxmlformats.org/drawingml/2006/main" noChangeArrowheads="1"/>
        </cdr:cNvSpPr>
      </cdr:nvSpPr>
      <cdr:spPr bwMode="auto">
        <a:xfrm xmlns:a="http://schemas.openxmlformats.org/drawingml/2006/main">
          <a:off x="843344" y="994248"/>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0.58135</cdr:x>
      <cdr:y>0.30769</cdr:y>
    </cdr:from>
    <cdr:to>
      <cdr:x>0.58135</cdr:x>
      <cdr:y>0.30769</cdr:y>
    </cdr:to>
    <cdr:sp macro="" textlink="">
      <cdr:nvSpPr>
        <cdr:cNvPr id="991234" name="Text Box 2"/>
        <cdr:cNvSpPr txBox="1">
          <a:spLocks xmlns:a="http://schemas.openxmlformats.org/drawingml/2006/main" noChangeArrowheads="1"/>
        </cdr:cNvSpPr>
      </cdr:nvSpPr>
      <cdr:spPr bwMode="auto">
        <a:xfrm xmlns:a="http://schemas.openxmlformats.org/drawingml/2006/main">
          <a:off x="1092708" y="668207"/>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0.40186</cdr:x>
      <cdr:y>0.36155</cdr:y>
    </cdr:from>
    <cdr:to>
      <cdr:x>0.81074</cdr:x>
      <cdr:y>0.56815</cdr:y>
    </cdr:to>
    <cdr:sp macro="" textlink="">
      <cdr:nvSpPr>
        <cdr:cNvPr id="991235" name="Text Box 3"/>
        <cdr:cNvSpPr txBox="1">
          <a:spLocks xmlns:a="http://schemas.openxmlformats.org/drawingml/2006/main" noChangeArrowheads="1"/>
        </cdr:cNvSpPr>
      </cdr:nvSpPr>
      <cdr:spPr bwMode="auto">
        <a:xfrm xmlns:a="http://schemas.openxmlformats.org/drawingml/2006/main">
          <a:off x="755333" y="785168"/>
          <a:ext cx="768540" cy="448694"/>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endParaRPr lang="en-US" sz="1000" b="0" i="0" u="none" strike="noStrike" baseline="0">
            <a:solidFill>
              <a:srgbClr val="FF0000"/>
            </a:solidFill>
            <a:latin typeface="Arial"/>
            <a:ea typeface="Arial"/>
            <a:cs typeface="Arial"/>
          </a:endParaRPr>
        </a:p>
      </cdr:txBody>
    </cdr:sp>
  </cdr:relSizeAnchor>
  <cdr:relSizeAnchor xmlns:cdr="http://schemas.openxmlformats.org/drawingml/2006/chartDrawing">
    <cdr:from>
      <cdr:x>0.39791</cdr:x>
      <cdr:y>0.2745</cdr:y>
    </cdr:from>
    <cdr:to>
      <cdr:x>0.78719</cdr:x>
      <cdr:y>0.36505</cdr:y>
    </cdr:to>
    <cdr:sp macro="" textlink="">
      <cdr:nvSpPr>
        <cdr:cNvPr id="5" name="Text Box 3"/>
        <cdr:cNvSpPr txBox="1">
          <a:spLocks xmlns:a="http://schemas.openxmlformats.org/drawingml/2006/main" noChangeArrowheads="1"/>
        </cdr:cNvSpPr>
      </cdr:nvSpPr>
      <cdr:spPr bwMode="auto">
        <a:xfrm xmlns:a="http://schemas.openxmlformats.org/drawingml/2006/main">
          <a:off x="766432" y="627515"/>
          <a:ext cx="749818" cy="206997"/>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wrap="none" lIns="18288" tIns="18288" rIns="0" bIns="0" anchor="t" upright="1">
          <a:sp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0.38435</cdr:x>
      <cdr:y>0.47745</cdr:y>
    </cdr:from>
    <cdr:to>
      <cdr:x>0.78766</cdr:x>
      <cdr:y>0.56775</cdr:y>
    </cdr:to>
    <cdr:sp macro="" textlink="">
      <cdr:nvSpPr>
        <cdr:cNvPr id="6" name="Text Box 1"/>
        <cdr:cNvSpPr txBox="1">
          <a:spLocks xmlns:a="http://schemas.openxmlformats.org/drawingml/2006/main" noChangeArrowheads="1"/>
        </cdr:cNvSpPr>
      </cdr:nvSpPr>
      <cdr:spPr bwMode="auto">
        <a:xfrm xmlns:a="http://schemas.openxmlformats.org/drawingml/2006/main">
          <a:off x="740322" y="1091458"/>
          <a:ext cx="776842" cy="206426"/>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wrap="square" lIns="27432" tIns="18288" rIns="0" bIns="0" anchor="t" upright="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rtl="0">
            <a:defRPr sz="1000"/>
          </a:pPr>
          <a:r>
            <a:rPr lang="en-US" sz="1000" b="0" i="0" u="none" strike="noStrike" baseline="0">
              <a:solidFill>
                <a:srgbClr val="FF0000"/>
              </a:solidFill>
              <a:latin typeface="Arial"/>
              <a:ea typeface="Arial"/>
              <a:cs typeface="Arial"/>
            </a:rPr>
            <a:t>Intervention</a:t>
          </a:r>
        </a:p>
      </cdr:txBody>
    </cdr:sp>
  </cdr:relSizeAnchor>
  <cdr:relSizeAnchor xmlns:cdr="http://schemas.openxmlformats.org/drawingml/2006/chartDrawing">
    <cdr:from>
      <cdr:x>0.44868</cdr:x>
      <cdr:y>0.45782</cdr:y>
    </cdr:from>
    <cdr:to>
      <cdr:x>0.44868</cdr:x>
      <cdr:y>0.45782</cdr:y>
    </cdr:to>
    <cdr:sp macro="" textlink="">
      <cdr:nvSpPr>
        <cdr:cNvPr id="7" name="Text Box 1">
          <a:extLst xmlns:a="http://schemas.openxmlformats.org/drawingml/2006/main">
            <a:ext uri="{FF2B5EF4-FFF2-40B4-BE49-F238E27FC236}">
              <a16:creationId xmlns:a16="http://schemas.microsoft.com/office/drawing/2014/main" id="{8048C809-DB8E-404E-91B2-7EF471B2797B}"/>
            </a:ext>
          </a:extLst>
        </cdr:cNvPr>
        <cdr:cNvSpPr txBox="1">
          <a:spLocks xmlns:a="http://schemas.openxmlformats.org/drawingml/2006/main" noChangeArrowheads="1"/>
        </cdr:cNvSpPr>
      </cdr:nvSpPr>
      <cdr:spPr bwMode="auto">
        <a:xfrm xmlns:a="http://schemas.openxmlformats.org/drawingml/2006/main">
          <a:off x="843344" y="994248"/>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0.58135</cdr:x>
      <cdr:y>0.30769</cdr:y>
    </cdr:from>
    <cdr:to>
      <cdr:x>0.58135</cdr:x>
      <cdr:y>0.30769</cdr:y>
    </cdr:to>
    <cdr:sp macro="" textlink="">
      <cdr:nvSpPr>
        <cdr:cNvPr id="8" name="Text Box 2">
          <a:extLst xmlns:a="http://schemas.openxmlformats.org/drawingml/2006/main">
            <a:ext uri="{FF2B5EF4-FFF2-40B4-BE49-F238E27FC236}">
              <a16:creationId xmlns:a16="http://schemas.microsoft.com/office/drawing/2014/main" id="{111AE6B3-C088-584A-98B0-E5F6D35DB54D}"/>
            </a:ext>
          </a:extLst>
        </cdr:cNvPr>
        <cdr:cNvSpPr txBox="1">
          <a:spLocks xmlns:a="http://schemas.openxmlformats.org/drawingml/2006/main" noChangeArrowheads="1"/>
        </cdr:cNvSpPr>
      </cdr:nvSpPr>
      <cdr:spPr bwMode="auto">
        <a:xfrm xmlns:a="http://schemas.openxmlformats.org/drawingml/2006/main">
          <a:off x="1092708" y="668207"/>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0.44868</cdr:x>
      <cdr:y>0.45782</cdr:y>
    </cdr:from>
    <cdr:to>
      <cdr:x>0.44868</cdr:x>
      <cdr:y>0.45782</cdr:y>
    </cdr:to>
    <cdr:sp macro="" textlink="">
      <cdr:nvSpPr>
        <cdr:cNvPr id="10" name="Text Box 1">
          <a:extLst xmlns:a="http://schemas.openxmlformats.org/drawingml/2006/main">
            <a:ext uri="{FF2B5EF4-FFF2-40B4-BE49-F238E27FC236}">
              <a16:creationId xmlns:a16="http://schemas.microsoft.com/office/drawing/2014/main" id="{9852A8B9-494B-5F43-9CE2-DDEB6DDE4211}"/>
            </a:ext>
          </a:extLst>
        </cdr:cNvPr>
        <cdr:cNvSpPr txBox="1">
          <a:spLocks xmlns:a="http://schemas.openxmlformats.org/drawingml/2006/main" noChangeArrowheads="1"/>
        </cdr:cNvSpPr>
      </cdr:nvSpPr>
      <cdr:spPr bwMode="auto">
        <a:xfrm xmlns:a="http://schemas.openxmlformats.org/drawingml/2006/main">
          <a:off x="843344" y="994248"/>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0.58135</cdr:x>
      <cdr:y>0.30769</cdr:y>
    </cdr:from>
    <cdr:to>
      <cdr:x>0.58135</cdr:x>
      <cdr:y>0.30769</cdr:y>
    </cdr:to>
    <cdr:sp macro="" textlink="">
      <cdr:nvSpPr>
        <cdr:cNvPr id="11" name="Text Box 2">
          <a:extLst xmlns:a="http://schemas.openxmlformats.org/drawingml/2006/main">
            <a:ext uri="{FF2B5EF4-FFF2-40B4-BE49-F238E27FC236}">
              <a16:creationId xmlns:a16="http://schemas.microsoft.com/office/drawing/2014/main" id="{2FB25BBE-A057-D842-9023-10CA2B6DF43E}"/>
            </a:ext>
          </a:extLst>
        </cdr:cNvPr>
        <cdr:cNvSpPr txBox="1">
          <a:spLocks xmlns:a="http://schemas.openxmlformats.org/drawingml/2006/main" noChangeArrowheads="1"/>
        </cdr:cNvSpPr>
      </cdr:nvSpPr>
      <cdr:spPr bwMode="auto">
        <a:xfrm xmlns:a="http://schemas.openxmlformats.org/drawingml/2006/main">
          <a:off x="1092708" y="668207"/>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userShapes>
</file>

<file path=xl/drawings/drawing61.xml><?xml version="1.0" encoding="utf-8"?>
<c:userShapes xmlns:c="http://schemas.openxmlformats.org/drawingml/2006/chart">
  <cdr:relSizeAnchor xmlns:cdr="http://schemas.openxmlformats.org/drawingml/2006/chartDrawing">
    <cdr:from>
      <cdr:x>0.32706</cdr:x>
      <cdr:y>0.5888</cdr:y>
    </cdr:from>
    <cdr:to>
      <cdr:x>0.70284</cdr:x>
      <cdr:y>0.68982</cdr:y>
    </cdr:to>
    <cdr:sp macro="" textlink="">
      <cdr:nvSpPr>
        <cdr:cNvPr id="1640449" name="Text Box 1"/>
        <cdr:cNvSpPr txBox="1">
          <a:spLocks xmlns:a="http://schemas.openxmlformats.org/drawingml/2006/main" noChangeArrowheads="1"/>
        </cdr:cNvSpPr>
      </cdr:nvSpPr>
      <cdr:spPr bwMode="auto">
        <a:xfrm xmlns:a="http://schemas.openxmlformats.org/drawingml/2006/main">
          <a:off x="642987" y="1345998"/>
          <a:ext cx="738773" cy="23092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FF0000"/>
              </a:solidFill>
              <a:latin typeface="Arial"/>
              <a:ea typeface="Arial"/>
              <a:cs typeface="Arial"/>
            </a:rPr>
            <a:t>Intervention</a:t>
          </a:r>
        </a:p>
      </cdr:txBody>
    </cdr:sp>
  </cdr:relSizeAnchor>
  <cdr:relSizeAnchor xmlns:cdr="http://schemas.openxmlformats.org/drawingml/2006/chartDrawing">
    <cdr:from>
      <cdr:x>0.51034</cdr:x>
      <cdr:y>0.44444</cdr:y>
    </cdr:from>
    <cdr:to>
      <cdr:x>0.83785</cdr:x>
      <cdr:y>0.51988</cdr:y>
    </cdr:to>
    <cdr:sp macro="" textlink="">
      <cdr:nvSpPr>
        <cdr:cNvPr id="3" name="Text Box 2">
          <a:extLst xmlns:a="http://schemas.openxmlformats.org/drawingml/2006/main">
            <a:ext uri="{FF2B5EF4-FFF2-40B4-BE49-F238E27FC236}">
              <a16:creationId xmlns:a16="http://schemas.microsoft.com/office/drawing/2014/main" id="{63649092-DB9F-7742-8A09-CAD6B71A9AE0}"/>
            </a:ext>
          </a:extLst>
        </cdr:cNvPr>
        <cdr:cNvSpPr txBox="1">
          <a:spLocks xmlns:a="http://schemas.openxmlformats.org/drawingml/2006/main" noChangeArrowheads="1"/>
        </cdr:cNvSpPr>
      </cdr:nvSpPr>
      <cdr:spPr bwMode="auto">
        <a:xfrm xmlns:a="http://schemas.openxmlformats.org/drawingml/2006/main">
          <a:off x="1003300" y="1016000"/>
          <a:ext cx="643872" cy="172444"/>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lc="http://schemas.openxmlformats.org/drawingml/2006/lockedCanvas"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lc="http://schemas.openxmlformats.org/drawingml/2006/lockedCanvas"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wrap="square" lIns="27432" tIns="18288" rIns="0" bIns="0" anchor="t" upright="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userShapes>
</file>

<file path=xl/drawings/drawing62.xml><?xml version="1.0" encoding="utf-8"?>
<c:userShapes xmlns:c="http://schemas.openxmlformats.org/drawingml/2006/chart">
  <cdr:relSizeAnchor xmlns:cdr="http://schemas.openxmlformats.org/drawingml/2006/chartDrawing">
    <cdr:from>
      <cdr:x>0.36767</cdr:x>
      <cdr:y>0.71102</cdr:y>
    </cdr:from>
    <cdr:to>
      <cdr:x>0.89753</cdr:x>
      <cdr:y>0.89555</cdr:y>
    </cdr:to>
    <cdr:sp macro="" textlink="">
      <cdr:nvSpPr>
        <cdr:cNvPr id="1640449" name="Text Box 1"/>
        <cdr:cNvSpPr txBox="1">
          <a:spLocks xmlns:a="http://schemas.openxmlformats.org/drawingml/2006/main" noChangeArrowheads="1"/>
        </cdr:cNvSpPr>
      </cdr:nvSpPr>
      <cdr:spPr bwMode="auto">
        <a:xfrm xmlns:a="http://schemas.openxmlformats.org/drawingml/2006/main">
          <a:off x="723751" y="1625388"/>
          <a:ext cx="1043030" cy="421835"/>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 &amp;</a:t>
          </a:r>
        </a:p>
        <a:p xmlns:a="http://schemas.openxmlformats.org/drawingml/2006/main">
          <a:pPr algn="l" rtl="0">
            <a:defRPr sz="1000"/>
          </a:pPr>
          <a:r>
            <a:rPr lang="en-US" sz="1000" b="0" i="0" u="none" strike="noStrike" baseline="0">
              <a:solidFill>
                <a:srgbClr val="FF0000"/>
              </a:solidFill>
              <a:latin typeface="Arial"/>
              <a:ea typeface="Arial"/>
              <a:cs typeface="Arial"/>
            </a:rPr>
            <a:t>Intervention</a:t>
          </a:r>
        </a:p>
      </cdr:txBody>
    </cdr:sp>
  </cdr:relSizeAnchor>
</c:userShapes>
</file>

<file path=xl/drawings/drawing63.xml><?xml version="1.0" encoding="utf-8"?>
<c:userShapes xmlns:c="http://schemas.openxmlformats.org/drawingml/2006/chart">
  <cdr:relSizeAnchor xmlns:cdr="http://schemas.openxmlformats.org/drawingml/2006/chartDrawing">
    <cdr:from>
      <cdr:x>0.44868</cdr:x>
      <cdr:y>0.45782</cdr:y>
    </cdr:from>
    <cdr:to>
      <cdr:x>0.44868</cdr:x>
      <cdr:y>0.45782</cdr:y>
    </cdr:to>
    <cdr:sp macro="" textlink="">
      <cdr:nvSpPr>
        <cdr:cNvPr id="991233" name="Text Box 1"/>
        <cdr:cNvSpPr txBox="1">
          <a:spLocks xmlns:a="http://schemas.openxmlformats.org/drawingml/2006/main" noChangeArrowheads="1"/>
        </cdr:cNvSpPr>
      </cdr:nvSpPr>
      <cdr:spPr bwMode="auto">
        <a:xfrm xmlns:a="http://schemas.openxmlformats.org/drawingml/2006/main">
          <a:off x="843344" y="994248"/>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0.58135</cdr:x>
      <cdr:y>0.30769</cdr:y>
    </cdr:from>
    <cdr:to>
      <cdr:x>0.58135</cdr:x>
      <cdr:y>0.30769</cdr:y>
    </cdr:to>
    <cdr:sp macro="" textlink="">
      <cdr:nvSpPr>
        <cdr:cNvPr id="991234" name="Text Box 2"/>
        <cdr:cNvSpPr txBox="1">
          <a:spLocks xmlns:a="http://schemas.openxmlformats.org/drawingml/2006/main" noChangeArrowheads="1"/>
        </cdr:cNvSpPr>
      </cdr:nvSpPr>
      <cdr:spPr bwMode="auto">
        <a:xfrm xmlns:a="http://schemas.openxmlformats.org/drawingml/2006/main">
          <a:off x="1092708" y="668207"/>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0.36104</cdr:x>
      <cdr:y>0.58235</cdr:y>
    </cdr:from>
    <cdr:to>
      <cdr:x>0.77551</cdr:x>
      <cdr:y>0.81176</cdr:y>
    </cdr:to>
    <cdr:sp macro="" textlink="">
      <cdr:nvSpPr>
        <cdr:cNvPr id="991235" name="Text Box 3"/>
        <cdr:cNvSpPr txBox="1">
          <a:spLocks xmlns:a="http://schemas.openxmlformats.org/drawingml/2006/main" noChangeArrowheads="1"/>
        </cdr:cNvSpPr>
      </cdr:nvSpPr>
      <cdr:spPr bwMode="auto">
        <a:xfrm xmlns:a="http://schemas.openxmlformats.org/drawingml/2006/main">
          <a:off x="674032" y="1257300"/>
          <a:ext cx="773768" cy="495299"/>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 &amp; </a:t>
          </a:r>
          <a:r>
            <a:rPr lang="en-US" sz="1000" b="0" i="0" u="none" strike="noStrike" baseline="0">
              <a:solidFill>
                <a:srgbClr val="FF0000"/>
              </a:solidFill>
              <a:latin typeface="Arial"/>
              <a:ea typeface="Arial"/>
              <a:cs typeface="Arial"/>
            </a:rPr>
            <a:t>Intervention</a:t>
          </a:r>
        </a:p>
      </cdr:txBody>
    </cdr:sp>
  </cdr:relSizeAnchor>
  <cdr:relSizeAnchor xmlns:cdr="http://schemas.openxmlformats.org/drawingml/2006/chartDrawing">
    <cdr:from>
      <cdr:x>0.44868</cdr:x>
      <cdr:y>0.45782</cdr:y>
    </cdr:from>
    <cdr:to>
      <cdr:x>0.44868</cdr:x>
      <cdr:y>0.45782</cdr:y>
    </cdr:to>
    <cdr:sp macro="" textlink="">
      <cdr:nvSpPr>
        <cdr:cNvPr id="2" name="Text Box 1">
          <a:extLst xmlns:a="http://schemas.openxmlformats.org/drawingml/2006/main">
            <a:ext uri="{FF2B5EF4-FFF2-40B4-BE49-F238E27FC236}">
              <a16:creationId xmlns:a16="http://schemas.microsoft.com/office/drawing/2014/main" id="{9852A8B9-494B-5F43-9CE2-DDEB6DDE4211}"/>
            </a:ext>
          </a:extLst>
        </cdr:cNvPr>
        <cdr:cNvSpPr txBox="1">
          <a:spLocks xmlns:a="http://schemas.openxmlformats.org/drawingml/2006/main" noChangeArrowheads="1"/>
        </cdr:cNvSpPr>
      </cdr:nvSpPr>
      <cdr:spPr bwMode="auto">
        <a:xfrm xmlns:a="http://schemas.openxmlformats.org/drawingml/2006/main">
          <a:off x="843344" y="994248"/>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0.58135</cdr:x>
      <cdr:y>0.30769</cdr:y>
    </cdr:from>
    <cdr:to>
      <cdr:x>0.58135</cdr:x>
      <cdr:y>0.30769</cdr:y>
    </cdr:to>
    <cdr:sp macro="" textlink="">
      <cdr:nvSpPr>
        <cdr:cNvPr id="3" name="Text Box 2">
          <a:extLst xmlns:a="http://schemas.openxmlformats.org/drawingml/2006/main">
            <a:ext uri="{FF2B5EF4-FFF2-40B4-BE49-F238E27FC236}">
              <a16:creationId xmlns:a16="http://schemas.microsoft.com/office/drawing/2014/main" id="{2FB25BBE-A057-D842-9023-10CA2B6DF43E}"/>
            </a:ext>
          </a:extLst>
        </cdr:cNvPr>
        <cdr:cNvSpPr txBox="1">
          <a:spLocks xmlns:a="http://schemas.openxmlformats.org/drawingml/2006/main" noChangeArrowheads="1"/>
        </cdr:cNvSpPr>
      </cdr:nvSpPr>
      <cdr:spPr bwMode="auto">
        <a:xfrm xmlns:a="http://schemas.openxmlformats.org/drawingml/2006/main">
          <a:off x="1092708" y="668207"/>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userShapes>
</file>

<file path=xl/drawings/drawing64.xml><?xml version="1.0" encoding="utf-8"?>
<c:userShapes xmlns:c="http://schemas.openxmlformats.org/drawingml/2006/chart">
  <cdr:relSizeAnchor xmlns:cdr="http://schemas.openxmlformats.org/drawingml/2006/chartDrawing">
    <cdr:from>
      <cdr:x>0.36943</cdr:x>
      <cdr:y>0.52727</cdr:y>
    </cdr:from>
    <cdr:to>
      <cdr:x>0.73862</cdr:x>
      <cdr:y>0.6178</cdr:y>
    </cdr:to>
    <cdr:sp macro="" textlink="">
      <cdr:nvSpPr>
        <cdr:cNvPr id="985089" name="Text Box 1"/>
        <cdr:cNvSpPr txBox="1">
          <a:spLocks xmlns:a="http://schemas.openxmlformats.org/drawingml/2006/main" noChangeArrowheads="1"/>
        </cdr:cNvSpPr>
      </cdr:nvSpPr>
      <cdr:spPr bwMode="auto">
        <a:xfrm xmlns:a="http://schemas.openxmlformats.org/drawingml/2006/main">
          <a:off x="731915" y="1205337"/>
          <a:ext cx="731440" cy="206951"/>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wrap="none" lIns="18288" tIns="18288" rIns="0" bIns="0" anchor="t" upright="1">
          <a:spAutoFit/>
        </a:bodyPr>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0.26984</cdr:x>
      <cdr:y>0.75555</cdr:y>
    </cdr:from>
    <cdr:to>
      <cdr:x>0.67832</cdr:x>
      <cdr:y>0.82663</cdr:y>
    </cdr:to>
    <cdr:sp macro="" textlink="">
      <cdr:nvSpPr>
        <cdr:cNvPr id="985090" name="Text Box 2"/>
        <cdr:cNvSpPr txBox="1">
          <a:spLocks xmlns:a="http://schemas.openxmlformats.org/drawingml/2006/main" noChangeArrowheads="1"/>
        </cdr:cNvSpPr>
      </cdr:nvSpPr>
      <cdr:spPr bwMode="auto">
        <a:xfrm xmlns:a="http://schemas.openxmlformats.org/drawingml/2006/main">
          <a:off x="534616" y="1727197"/>
          <a:ext cx="809281" cy="162489"/>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45720" tIns="0" rIns="0" bIns="0" anchor="t" upright="1"/>
        <a:lstStyle xmlns:a="http://schemas.openxmlformats.org/drawingml/2006/main"/>
        <a:p xmlns:a="http://schemas.openxmlformats.org/drawingml/2006/main">
          <a:pPr algn="l" rtl="0">
            <a:defRPr sz="1000"/>
          </a:pPr>
          <a:r>
            <a:rPr lang="en-US" sz="1000" b="0" i="0" u="none" strike="noStrike" baseline="0">
              <a:solidFill>
                <a:srgbClr val="FF0000"/>
              </a:solidFill>
              <a:latin typeface="Arial"/>
              <a:ea typeface="Arial"/>
              <a:cs typeface="Arial"/>
            </a:rPr>
            <a:t>Intervention</a:t>
          </a:r>
        </a:p>
      </cdr:txBody>
    </cdr:sp>
  </cdr:relSizeAnchor>
</c:userShapes>
</file>

<file path=xl/drawings/drawing65.xml><?xml version="1.0" encoding="utf-8"?>
<c:userShapes xmlns:c="http://schemas.openxmlformats.org/drawingml/2006/chart">
  <cdr:relSizeAnchor xmlns:cdr="http://schemas.openxmlformats.org/drawingml/2006/chartDrawing">
    <cdr:from>
      <cdr:x>0.37505</cdr:x>
      <cdr:y>0.59635</cdr:y>
    </cdr:from>
    <cdr:to>
      <cdr:x>0.86365</cdr:x>
      <cdr:y>0.71447</cdr:y>
    </cdr:to>
    <cdr:sp macro="" textlink="">
      <cdr:nvSpPr>
        <cdr:cNvPr id="990210" name="Text Box 2"/>
        <cdr:cNvSpPr txBox="1">
          <a:spLocks xmlns:a="http://schemas.openxmlformats.org/drawingml/2006/main" noChangeArrowheads="1"/>
        </cdr:cNvSpPr>
      </cdr:nvSpPr>
      <cdr:spPr bwMode="auto">
        <a:xfrm xmlns:a="http://schemas.openxmlformats.org/drawingml/2006/main">
          <a:off x="737332" y="1413758"/>
          <a:ext cx="960568" cy="280023"/>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FF0000"/>
              </a:solidFill>
              <a:latin typeface="Arial"/>
              <a:ea typeface="Arial"/>
              <a:cs typeface="Arial"/>
            </a:rPr>
            <a:t>Intervention</a:t>
          </a:r>
        </a:p>
      </cdr:txBody>
    </cdr:sp>
  </cdr:relSizeAnchor>
  <cdr:relSizeAnchor xmlns:cdr="http://schemas.openxmlformats.org/drawingml/2006/chartDrawing">
    <cdr:from>
      <cdr:x>0.44868</cdr:x>
      <cdr:y>0.45782</cdr:y>
    </cdr:from>
    <cdr:to>
      <cdr:x>0.44868</cdr:x>
      <cdr:y>0.45782</cdr:y>
    </cdr:to>
    <cdr:sp macro="" textlink="">
      <cdr:nvSpPr>
        <cdr:cNvPr id="991233" name="Text Box 1"/>
        <cdr:cNvSpPr txBox="1">
          <a:spLocks xmlns:a="http://schemas.openxmlformats.org/drawingml/2006/main" noChangeArrowheads="1"/>
        </cdr:cNvSpPr>
      </cdr:nvSpPr>
      <cdr:spPr bwMode="auto">
        <a:xfrm xmlns:a="http://schemas.openxmlformats.org/drawingml/2006/main">
          <a:off x="843344" y="994248"/>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0.58135</cdr:x>
      <cdr:y>0.30769</cdr:y>
    </cdr:from>
    <cdr:to>
      <cdr:x>0.58135</cdr:x>
      <cdr:y>0.30769</cdr:y>
    </cdr:to>
    <cdr:sp macro="" textlink="">
      <cdr:nvSpPr>
        <cdr:cNvPr id="991234" name="Text Box 2"/>
        <cdr:cNvSpPr txBox="1">
          <a:spLocks xmlns:a="http://schemas.openxmlformats.org/drawingml/2006/main" noChangeArrowheads="1"/>
        </cdr:cNvSpPr>
      </cdr:nvSpPr>
      <cdr:spPr bwMode="auto">
        <a:xfrm xmlns:a="http://schemas.openxmlformats.org/drawingml/2006/main">
          <a:off x="1092708" y="668207"/>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0.44959</cdr:x>
      <cdr:y>0.47807</cdr:y>
    </cdr:from>
    <cdr:to>
      <cdr:x>0.83887</cdr:x>
      <cdr:y>0.56862</cdr:y>
    </cdr:to>
    <cdr:sp macro="" textlink="">
      <cdr:nvSpPr>
        <cdr:cNvPr id="5" name="Text Box 3"/>
        <cdr:cNvSpPr txBox="1">
          <a:spLocks xmlns:a="http://schemas.openxmlformats.org/drawingml/2006/main" noChangeArrowheads="1"/>
        </cdr:cNvSpPr>
      </cdr:nvSpPr>
      <cdr:spPr bwMode="auto">
        <a:xfrm xmlns:a="http://schemas.openxmlformats.org/drawingml/2006/main">
          <a:off x="883875" y="1133348"/>
          <a:ext cx="765309" cy="214664"/>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wrap="none" lIns="18288" tIns="18288" rIns="0" bIns="0" anchor="t" upright="1">
          <a:sp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0.44868</cdr:x>
      <cdr:y>0.45782</cdr:y>
    </cdr:from>
    <cdr:to>
      <cdr:x>0.44868</cdr:x>
      <cdr:y>0.45782</cdr:y>
    </cdr:to>
    <cdr:sp macro="" textlink="">
      <cdr:nvSpPr>
        <cdr:cNvPr id="7" name="Text Box 1">
          <a:extLst xmlns:a="http://schemas.openxmlformats.org/drawingml/2006/main">
            <a:ext uri="{FF2B5EF4-FFF2-40B4-BE49-F238E27FC236}">
              <a16:creationId xmlns:a16="http://schemas.microsoft.com/office/drawing/2014/main" id="{8048C809-DB8E-404E-91B2-7EF471B2797B}"/>
            </a:ext>
          </a:extLst>
        </cdr:cNvPr>
        <cdr:cNvSpPr txBox="1">
          <a:spLocks xmlns:a="http://schemas.openxmlformats.org/drawingml/2006/main" noChangeArrowheads="1"/>
        </cdr:cNvSpPr>
      </cdr:nvSpPr>
      <cdr:spPr bwMode="auto">
        <a:xfrm xmlns:a="http://schemas.openxmlformats.org/drawingml/2006/main">
          <a:off x="843344" y="994248"/>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0.58135</cdr:x>
      <cdr:y>0.30769</cdr:y>
    </cdr:from>
    <cdr:to>
      <cdr:x>0.58135</cdr:x>
      <cdr:y>0.30769</cdr:y>
    </cdr:to>
    <cdr:sp macro="" textlink="">
      <cdr:nvSpPr>
        <cdr:cNvPr id="8" name="Text Box 2">
          <a:extLst xmlns:a="http://schemas.openxmlformats.org/drawingml/2006/main">
            <a:ext uri="{FF2B5EF4-FFF2-40B4-BE49-F238E27FC236}">
              <a16:creationId xmlns:a16="http://schemas.microsoft.com/office/drawing/2014/main" id="{111AE6B3-C088-584A-98B0-E5F6D35DB54D}"/>
            </a:ext>
          </a:extLst>
        </cdr:cNvPr>
        <cdr:cNvSpPr txBox="1">
          <a:spLocks xmlns:a="http://schemas.openxmlformats.org/drawingml/2006/main" noChangeArrowheads="1"/>
        </cdr:cNvSpPr>
      </cdr:nvSpPr>
      <cdr:spPr bwMode="auto">
        <a:xfrm xmlns:a="http://schemas.openxmlformats.org/drawingml/2006/main">
          <a:off x="1092708" y="668207"/>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0.44868</cdr:x>
      <cdr:y>0.45782</cdr:y>
    </cdr:from>
    <cdr:to>
      <cdr:x>0.44868</cdr:x>
      <cdr:y>0.45782</cdr:y>
    </cdr:to>
    <cdr:sp macro="" textlink="">
      <cdr:nvSpPr>
        <cdr:cNvPr id="10" name="Text Box 1">
          <a:extLst xmlns:a="http://schemas.openxmlformats.org/drawingml/2006/main">
            <a:ext uri="{FF2B5EF4-FFF2-40B4-BE49-F238E27FC236}">
              <a16:creationId xmlns:a16="http://schemas.microsoft.com/office/drawing/2014/main" id="{9852A8B9-494B-5F43-9CE2-DDEB6DDE4211}"/>
            </a:ext>
          </a:extLst>
        </cdr:cNvPr>
        <cdr:cNvSpPr txBox="1">
          <a:spLocks xmlns:a="http://schemas.openxmlformats.org/drawingml/2006/main" noChangeArrowheads="1"/>
        </cdr:cNvSpPr>
      </cdr:nvSpPr>
      <cdr:spPr bwMode="auto">
        <a:xfrm xmlns:a="http://schemas.openxmlformats.org/drawingml/2006/main">
          <a:off x="843344" y="994248"/>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0.58135</cdr:x>
      <cdr:y>0.30769</cdr:y>
    </cdr:from>
    <cdr:to>
      <cdr:x>0.58135</cdr:x>
      <cdr:y>0.30769</cdr:y>
    </cdr:to>
    <cdr:sp macro="" textlink="">
      <cdr:nvSpPr>
        <cdr:cNvPr id="11" name="Text Box 2">
          <a:extLst xmlns:a="http://schemas.openxmlformats.org/drawingml/2006/main">
            <a:ext uri="{FF2B5EF4-FFF2-40B4-BE49-F238E27FC236}">
              <a16:creationId xmlns:a16="http://schemas.microsoft.com/office/drawing/2014/main" id="{2FB25BBE-A057-D842-9023-10CA2B6DF43E}"/>
            </a:ext>
          </a:extLst>
        </cdr:cNvPr>
        <cdr:cNvSpPr txBox="1">
          <a:spLocks xmlns:a="http://schemas.openxmlformats.org/drawingml/2006/main" noChangeArrowheads="1"/>
        </cdr:cNvSpPr>
      </cdr:nvSpPr>
      <cdr:spPr bwMode="auto">
        <a:xfrm xmlns:a="http://schemas.openxmlformats.org/drawingml/2006/main">
          <a:off x="1092708" y="668207"/>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userShapes>
</file>

<file path=xl/drawings/drawing66.xml><?xml version="1.0" encoding="utf-8"?>
<c:userShapes xmlns:c="http://schemas.openxmlformats.org/drawingml/2006/chart">
  <cdr:relSizeAnchor xmlns:cdr="http://schemas.openxmlformats.org/drawingml/2006/chartDrawing">
    <cdr:from>
      <cdr:x>0.534</cdr:x>
      <cdr:y>0.59471</cdr:y>
    </cdr:from>
    <cdr:to>
      <cdr:x>0.534</cdr:x>
      <cdr:y>0.59471</cdr:y>
    </cdr:to>
    <cdr:sp macro="" textlink="">
      <cdr:nvSpPr>
        <cdr:cNvPr id="994305" name="Text Box 1"/>
        <cdr:cNvSpPr txBox="1">
          <a:spLocks xmlns:a="http://schemas.openxmlformats.org/drawingml/2006/main" noChangeArrowheads="1"/>
        </cdr:cNvSpPr>
      </cdr:nvSpPr>
      <cdr:spPr bwMode="auto">
        <a:xfrm xmlns:a="http://schemas.openxmlformats.org/drawingml/2006/main">
          <a:off x="976579" y="1321749"/>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0.65276</cdr:x>
      <cdr:y>0.80561</cdr:y>
    </cdr:from>
    <cdr:to>
      <cdr:x>0.65276</cdr:x>
      <cdr:y>0.80561</cdr:y>
    </cdr:to>
    <cdr:sp macro="" textlink="">
      <cdr:nvSpPr>
        <cdr:cNvPr id="994306" name="Text Box 2"/>
        <cdr:cNvSpPr txBox="1">
          <a:spLocks xmlns:a="http://schemas.openxmlformats.org/drawingml/2006/main" noChangeArrowheads="1"/>
        </cdr:cNvSpPr>
      </cdr:nvSpPr>
      <cdr:spPr bwMode="auto">
        <a:xfrm xmlns:a="http://schemas.openxmlformats.org/drawingml/2006/main">
          <a:off x="1193775" y="1790468"/>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-1.4%</a:t>
          </a:r>
        </a:p>
      </cdr:txBody>
    </cdr:sp>
  </cdr:relSizeAnchor>
  <cdr:relSizeAnchor xmlns:cdr="http://schemas.openxmlformats.org/drawingml/2006/chartDrawing">
    <cdr:from>
      <cdr:x>0.76704</cdr:x>
      <cdr:y>0.74883</cdr:y>
    </cdr:from>
    <cdr:to>
      <cdr:x>0.76704</cdr:x>
      <cdr:y>0.74883</cdr:y>
    </cdr:to>
    <cdr:sp macro="" textlink="">
      <cdr:nvSpPr>
        <cdr:cNvPr id="994307" name="Text Box 3"/>
        <cdr:cNvSpPr txBox="1">
          <a:spLocks xmlns:a="http://schemas.openxmlformats.org/drawingml/2006/main" noChangeArrowheads="1"/>
        </cdr:cNvSpPr>
      </cdr:nvSpPr>
      <cdr:spPr bwMode="auto">
        <a:xfrm xmlns:a="http://schemas.openxmlformats.org/drawingml/2006/main">
          <a:off x="1402766" y="1664275"/>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a:t>
          </a:r>
        </a:p>
      </cdr:txBody>
    </cdr:sp>
  </cdr:relSizeAnchor>
  <cdr:relSizeAnchor xmlns:cdr="http://schemas.openxmlformats.org/drawingml/2006/chartDrawing">
    <cdr:from>
      <cdr:x>0.26436</cdr:x>
      <cdr:y>0.70827</cdr:y>
    </cdr:from>
    <cdr:to>
      <cdr:x>0.26436</cdr:x>
      <cdr:y>0.70827</cdr:y>
    </cdr:to>
    <cdr:sp macro="" textlink="">
      <cdr:nvSpPr>
        <cdr:cNvPr id="994308" name="Text Box 4"/>
        <cdr:cNvSpPr txBox="1">
          <a:spLocks xmlns:a="http://schemas.openxmlformats.org/drawingml/2006/main" noChangeArrowheads="1"/>
        </cdr:cNvSpPr>
      </cdr:nvSpPr>
      <cdr:spPr bwMode="auto">
        <a:xfrm xmlns:a="http://schemas.openxmlformats.org/drawingml/2006/main">
          <a:off x="483464" y="1574136"/>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0.49471</cdr:x>
      <cdr:y>0.54018</cdr:y>
    </cdr:from>
    <cdr:to>
      <cdr:x>0.86612</cdr:x>
      <cdr:y>0.62774</cdr:y>
    </cdr:to>
    <cdr:sp macro="" textlink="">
      <cdr:nvSpPr>
        <cdr:cNvPr id="994311" name="Text Box 7"/>
        <cdr:cNvSpPr txBox="1">
          <a:spLocks xmlns:a="http://schemas.openxmlformats.org/drawingml/2006/main" noChangeArrowheads="1"/>
        </cdr:cNvSpPr>
      </cdr:nvSpPr>
      <cdr:spPr bwMode="auto">
        <a:xfrm xmlns:a="http://schemas.openxmlformats.org/drawingml/2006/main">
          <a:off x="972580" y="1216556"/>
          <a:ext cx="730177" cy="197196"/>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wrap="none" lIns="18288" tIns="18288" rIns="0" bIns="0" anchor="t" upright="1">
          <a:spAutoFit/>
        </a:bodyPr>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0.534</cdr:x>
      <cdr:y>0.59471</cdr:y>
    </cdr:from>
    <cdr:to>
      <cdr:x>0.534</cdr:x>
      <cdr:y>0.59471</cdr:y>
    </cdr:to>
    <cdr:sp macro="" textlink="">
      <cdr:nvSpPr>
        <cdr:cNvPr id="2" name="Text Box 1">
          <a:extLst xmlns:a="http://schemas.openxmlformats.org/drawingml/2006/main">
            <a:ext uri="{FF2B5EF4-FFF2-40B4-BE49-F238E27FC236}">
              <a16:creationId xmlns:a16="http://schemas.microsoft.com/office/drawing/2014/main" id="{D82BAD52-C122-E14F-B3BB-3718C0599EA6}"/>
            </a:ext>
          </a:extLst>
        </cdr:cNvPr>
        <cdr:cNvSpPr txBox="1">
          <a:spLocks xmlns:a="http://schemas.openxmlformats.org/drawingml/2006/main" noChangeArrowheads="1"/>
        </cdr:cNvSpPr>
      </cdr:nvSpPr>
      <cdr:spPr bwMode="auto">
        <a:xfrm xmlns:a="http://schemas.openxmlformats.org/drawingml/2006/main">
          <a:off x="976579" y="1321749"/>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0.65276</cdr:x>
      <cdr:y>0.80561</cdr:y>
    </cdr:from>
    <cdr:to>
      <cdr:x>0.65276</cdr:x>
      <cdr:y>0.80561</cdr:y>
    </cdr:to>
    <cdr:sp macro="" textlink="">
      <cdr:nvSpPr>
        <cdr:cNvPr id="3" name="Text Box 2">
          <a:extLst xmlns:a="http://schemas.openxmlformats.org/drawingml/2006/main">
            <a:ext uri="{FF2B5EF4-FFF2-40B4-BE49-F238E27FC236}">
              <a16:creationId xmlns:a16="http://schemas.microsoft.com/office/drawing/2014/main" id="{87261BCC-3DFC-BF48-B185-4D7286057536}"/>
            </a:ext>
          </a:extLst>
        </cdr:cNvPr>
        <cdr:cNvSpPr txBox="1">
          <a:spLocks xmlns:a="http://schemas.openxmlformats.org/drawingml/2006/main" noChangeArrowheads="1"/>
        </cdr:cNvSpPr>
      </cdr:nvSpPr>
      <cdr:spPr bwMode="auto">
        <a:xfrm xmlns:a="http://schemas.openxmlformats.org/drawingml/2006/main">
          <a:off x="1193775" y="1790468"/>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-1.4%</a:t>
          </a:r>
        </a:p>
      </cdr:txBody>
    </cdr:sp>
  </cdr:relSizeAnchor>
  <cdr:relSizeAnchor xmlns:cdr="http://schemas.openxmlformats.org/drawingml/2006/chartDrawing">
    <cdr:from>
      <cdr:x>0.76704</cdr:x>
      <cdr:y>0.74883</cdr:y>
    </cdr:from>
    <cdr:to>
      <cdr:x>0.76704</cdr:x>
      <cdr:y>0.74883</cdr:y>
    </cdr:to>
    <cdr:sp macro="" textlink="">
      <cdr:nvSpPr>
        <cdr:cNvPr id="4" name="Text Box 3">
          <a:extLst xmlns:a="http://schemas.openxmlformats.org/drawingml/2006/main">
            <a:ext uri="{FF2B5EF4-FFF2-40B4-BE49-F238E27FC236}">
              <a16:creationId xmlns:a16="http://schemas.microsoft.com/office/drawing/2014/main" id="{DFCA9CF7-0007-0C45-8B99-E3640A596F61}"/>
            </a:ext>
          </a:extLst>
        </cdr:cNvPr>
        <cdr:cNvSpPr txBox="1">
          <a:spLocks xmlns:a="http://schemas.openxmlformats.org/drawingml/2006/main" noChangeArrowheads="1"/>
        </cdr:cNvSpPr>
      </cdr:nvSpPr>
      <cdr:spPr bwMode="auto">
        <a:xfrm xmlns:a="http://schemas.openxmlformats.org/drawingml/2006/main">
          <a:off x="1402766" y="1664275"/>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a:t>
          </a:r>
        </a:p>
      </cdr:txBody>
    </cdr:sp>
  </cdr:relSizeAnchor>
  <cdr:relSizeAnchor xmlns:cdr="http://schemas.openxmlformats.org/drawingml/2006/chartDrawing">
    <cdr:from>
      <cdr:x>0.26436</cdr:x>
      <cdr:y>0.70827</cdr:y>
    </cdr:from>
    <cdr:to>
      <cdr:x>0.26436</cdr:x>
      <cdr:y>0.70827</cdr:y>
    </cdr:to>
    <cdr:sp macro="" textlink="">
      <cdr:nvSpPr>
        <cdr:cNvPr id="5" name="Text Box 4">
          <a:extLst xmlns:a="http://schemas.openxmlformats.org/drawingml/2006/main">
            <a:ext uri="{FF2B5EF4-FFF2-40B4-BE49-F238E27FC236}">
              <a16:creationId xmlns:a16="http://schemas.microsoft.com/office/drawing/2014/main" id="{1CF88F20-2EAB-DF46-91A6-8578C43D4992}"/>
            </a:ext>
          </a:extLst>
        </cdr:cNvPr>
        <cdr:cNvSpPr txBox="1">
          <a:spLocks xmlns:a="http://schemas.openxmlformats.org/drawingml/2006/main" noChangeArrowheads="1"/>
        </cdr:cNvSpPr>
      </cdr:nvSpPr>
      <cdr:spPr bwMode="auto">
        <a:xfrm xmlns:a="http://schemas.openxmlformats.org/drawingml/2006/main">
          <a:off x="483464" y="1574136"/>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0.534</cdr:x>
      <cdr:y>0.59471</cdr:y>
    </cdr:from>
    <cdr:to>
      <cdr:x>0.534</cdr:x>
      <cdr:y>0.59471</cdr:y>
    </cdr:to>
    <cdr:sp macro="" textlink="">
      <cdr:nvSpPr>
        <cdr:cNvPr id="16" name="Text Box 1">
          <a:extLst xmlns:a="http://schemas.openxmlformats.org/drawingml/2006/main">
            <a:ext uri="{FF2B5EF4-FFF2-40B4-BE49-F238E27FC236}">
              <a16:creationId xmlns:a16="http://schemas.microsoft.com/office/drawing/2014/main" id="{2A5B2DA1-B067-684B-8D4D-8DA174C5F355}"/>
            </a:ext>
          </a:extLst>
        </cdr:cNvPr>
        <cdr:cNvSpPr txBox="1">
          <a:spLocks xmlns:a="http://schemas.openxmlformats.org/drawingml/2006/main" noChangeArrowheads="1"/>
        </cdr:cNvSpPr>
      </cdr:nvSpPr>
      <cdr:spPr bwMode="auto">
        <a:xfrm xmlns:a="http://schemas.openxmlformats.org/drawingml/2006/main">
          <a:off x="976579" y="1321749"/>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0.65276</cdr:x>
      <cdr:y>0.80561</cdr:y>
    </cdr:from>
    <cdr:to>
      <cdr:x>0.65276</cdr:x>
      <cdr:y>0.80561</cdr:y>
    </cdr:to>
    <cdr:sp macro="" textlink="">
      <cdr:nvSpPr>
        <cdr:cNvPr id="17" name="Text Box 2">
          <a:extLst xmlns:a="http://schemas.openxmlformats.org/drawingml/2006/main">
            <a:ext uri="{FF2B5EF4-FFF2-40B4-BE49-F238E27FC236}">
              <a16:creationId xmlns:a16="http://schemas.microsoft.com/office/drawing/2014/main" id="{CFD04E1F-2F1B-3643-AF60-E29E7DCD3C06}"/>
            </a:ext>
          </a:extLst>
        </cdr:cNvPr>
        <cdr:cNvSpPr txBox="1">
          <a:spLocks xmlns:a="http://schemas.openxmlformats.org/drawingml/2006/main" noChangeArrowheads="1"/>
        </cdr:cNvSpPr>
      </cdr:nvSpPr>
      <cdr:spPr bwMode="auto">
        <a:xfrm xmlns:a="http://schemas.openxmlformats.org/drawingml/2006/main">
          <a:off x="1193775" y="1790468"/>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-1.4%</a:t>
          </a:r>
        </a:p>
      </cdr:txBody>
    </cdr:sp>
  </cdr:relSizeAnchor>
  <cdr:relSizeAnchor xmlns:cdr="http://schemas.openxmlformats.org/drawingml/2006/chartDrawing">
    <cdr:from>
      <cdr:x>0.76704</cdr:x>
      <cdr:y>0.74883</cdr:y>
    </cdr:from>
    <cdr:to>
      <cdr:x>0.76704</cdr:x>
      <cdr:y>0.74883</cdr:y>
    </cdr:to>
    <cdr:sp macro="" textlink="">
      <cdr:nvSpPr>
        <cdr:cNvPr id="18" name="Text Box 3">
          <a:extLst xmlns:a="http://schemas.openxmlformats.org/drawingml/2006/main">
            <a:ext uri="{FF2B5EF4-FFF2-40B4-BE49-F238E27FC236}">
              <a16:creationId xmlns:a16="http://schemas.microsoft.com/office/drawing/2014/main" id="{AB810CF9-A526-6B49-984B-65306BFAFD0D}"/>
            </a:ext>
          </a:extLst>
        </cdr:cNvPr>
        <cdr:cNvSpPr txBox="1">
          <a:spLocks xmlns:a="http://schemas.openxmlformats.org/drawingml/2006/main" noChangeArrowheads="1"/>
        </cdr:cNvSpPr>
      </cdr:nvSpPr>
      <cdr:spPr bwMode="auto">
        <a:xfrm xmlns:a="http://schemas.openxmlformats.org/drawingml/2006/main">
          <a:off x="1402766" y="1664275"/>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a:t>
          </a:r>
        </a:p>
      </cdr:txBody>
    </cdr:sp>
  </cdr:relSizeAnchor>
  <cdr:relSizeAnchor xmlns:cdr="http://schemas.openxmlformats.org/drawingml/2006/chartDrawing">
    <cdr:from>
      <cdr:x>0.26436</cdr:x>
      <cdr:y>0.70827</cdr:y>
    </cdr:from>
    <cdr:to>
      <cdr:x>0.26436</cdr:x>
      <cdr:y>0.70827</cdr:y>
    </cdr:to>
    <cdr:sp macro="" textlink="">
      <cdr:nvSpPr>
        <cdr:cNvPr id="19" name="Text Box 4">
          <a:extLst xmlns:a="http://schemas.openxmlformats.org/drawingml/2006/main">
            <a:ext uri="{FF2B5EF4-FFF2-40B4-BE49-F238E27FC236}">
              <a16:creationId xmlns:a16="http://schemas.microsoft.com/office/drawing/2014/main" id="{316F89A2-3252-2340-8658-D52FF7A4846F}"/>
            </a:ext>
          </a:extLst>
        </cdr:cNvPr>
        <cdr:cNvSpPr txBox="1">
          <a:spLocks xmlns:a="http://schemas.openxmlformats.org/drawingml/2006/main" noChangeArrowheads="1"/>
        </cdr:cNvSpPr>
      </cdr:nvSpPr>
      <cdr:spPr bwMode="auto">
        <a:xfrm xmlns:a="http://schemas.openxmlformats.org/drawingml/2006/main">
          <a:off x="483464" y="1574136"/>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0.38995</cdr:x>
      <cdr:y>0.78317</cdr:y>
    </cdr:from>
    <cdr:to>
      <cdr:x>0.7894</cdr:x>
      <cdr:y>0.84503</cdr:y>
    </cdr:to>
    <cdr:sp macro="" textlink="">
      <cdr:nvSpPr>
        <cdr:cNvPr id="20" name="Text Box 6">
          <a:extLst xmlns:a="http://schemas.openxmlformats.org/drawingml/2006/main">
            <a:ext uri="{FF2B5EF4-FFF2-40B4-BE49-F238E27FC236}">
              <a16:creationId xmlns:a16="http://schemas.microsoft.com/office/drawing/2014/main" id="{EE66A51C-C1D1-394C-9B60-5EA2C34A6874}"/>
            </a:ext>
          </a:extLst>
        </cdr:cNvPr>
        <cdr:cNvSpPr txBox="1">
          <a:spLocks xmlns:a="http://schemas.openxmlformats.org/drawingml/2006/main" noChangeArrowheads="1"/>
        </cdr:cNvSpPr>
      </cdr:nvSpPr>
      <cdr:spPr bwMode="auto">
        <a:xfrm xmlns:a="http://schemas.openxmlformats.org/drawingml/2006/main">
          <a:off x="766627" y="1763814"/>
          <a:ext cx="785303" cy="139316"/>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FF0000"/>
              </a:solidFill>
              <a:latin typeface="Arial"/>
              <a:ea typeface="Arial"/>
              <a:cs typeface="Arial"/>
            </a:rPr>
            <a:t>Intervention</a:t>
          </a:r>
        </a:p>
      </cdr:txBody>
    </cdr:sp>
  </cdr:relSizeAnchor>
  <cdr:relSizeAnchor xmlns:cdr="http://schemas.openxmlformats.org/drawingml/2006/chartDrawing">
    <cdr:from>
      <cdr:x>0.534</cdr:x>
      <cdr:y>0.59471</cdr:y>
    </cdr:from>
    <cdr:to>
      <cdr:x>0.534</cdr:x>
      <cdr:y>0.59471</cdr:y>
    </cdr:to>
    <cdr:sp macro="" textlink="">
      <cdr:nvSpPr>
        <cdr:cNvPr id="22" name="Text Box 1">
          <a:extLst xmlns:a="http://schemas.openxmlformats.org/drawingml/2006/main">
            <a:ext uri="{FF2B5EF4-FFF2-40B4-BE49-F238E27FC236}">
              <a16:creationId xmlns:a16="http://schemas.microsoft.com/office/drawing/2014/main" id="{D82BAD52-C122-E14F-B3BB-3718C0599EA6}"/>
            </a:ext>
          </a:extLst>
        </cdr:cNvPr>
        <cdr:cNvSpPr txBox="1">
          <a:spLocks xmlns:a="http://schemas.openxmlformats.org/drawingml/2006/main" noChangeArrowheads="1"/>
        </cdr:cNvSpPr>
      </cdr:nvSpPr>
      <cdr:spPr bwMode="auto">
        <a:xfrm xmlns:a="http://schemas.openxmlformats.org/drawingml/2006/main">
          <a:off x="976579" y="1321749"/>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0.65276</cdr:x>
      <cdr:y>0.80561</cdr:y>
    </cdr:from>
    <cdr:to>
      <cdr:x>0.65276</cdr:x>
      <cdr:y>0.80561</cdr:y>
    </cdr:to>
    <cdr:sp macro="" textlink="">
      <cdr:nvSpPr>
        <cdr:cNvPr id="23" name="Text Box 2">
          <a:extLst xmlns:a="http://schemas.openxmlformats.org/drawingml/2006/main">
            <a:ext uri="{FF2B5EF4-FFF2-40B4-BE49-F238E27FC236}">
              <a16:creationId xmlns:a16="http://schemas.microsoft.com/office/drawing/2014/main" id="{87261BCC-3DFC-BF48-B185-4D7286057536}"/>
            </a:ext>
          </a:extLst>
        </cdr:cNvPr>
        <cdr:cNvSpPr txBox="1">
          <a:spLocks xmlns:a="http://schemas.openxmlformats.org/drawingml/2006/main" noChangeArrowheads="1"/>
        </cdr:cNvSpPr>
      </cdr:nvSpPr>
      <cdr:spPr bwMode="auto">
        <a:xfrm xmlns:a="http://schemas.openxmlformats.org/drawingml/2006/main">
          <a:off x="1193775" y="1790468"/>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-1.4%</a:t>
          </a:r>
        </a:p>
      </cdr:txBody>
    </cdr:sp>
  </cdr:relSizeAnchor>
  <cdr:relSizeAnchor xmlns:cdr="http://schemas.openxmlformats.org/drawingml/2006/chartDrawing">
    <cdr:from>
      <cdr:x>0.76704</cdr:x>
      <cdr:y>0.74883</cdr:y>
    </cdr:from>
    <cdr:to>
      <cdr:x>0.76704</cdr:x>
      <cdr:y>0.74883</cdr:y>
    </cdr:to>
    <cdr:sp macro="" textlink="">
      <cdr:nvSpPr>
        <cdr:cNvPr id="24" name="Text Box 3">
          <a:extLst xmlns:a="http://schemas.openxmlformats.org/drawingml/2006/main">
            <a:ext uri="{FF2B5EF4-FFF2-40B4-BE49-F238E27FC236}">
              <a16:creationId xmlns:a16="http://schemas.microsoft.com/office/drawing/2014/main" id="{DFCA9CF7-0007-0C45-8B99-E3640A596F61}"/>
            </a:ext>
          </a:extLst>
        </cdr:cNvPr>
        <cdr:cNvSpPr txBox="1">
          <a:spLocks xmlns:a="http://schemas.openxmlformats.org/drawingml/2006/main" noChangeArrowheads="1"/>
        </cdr:cNvSpPr>
      </cdr:nvSpPr>
      <cdr:spPr bwMode="auto">
        <a:xfrm xmlns:a="http://schemas.openxmlformats.org/drawingml/2006/main">
          <a:off x="1402766" y="1664275"/>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a:t>
          </a:r>
        </a:p>
      </cdr:txBody>
    </cdr:sp>
  </cdr:relSizeAnchor>
  <cdr:relSizeAnchor xmlns:cdr="http://schemas.openxmlformats.org/drawingml/2006/chartDrawing">
    <cdr:from>
      <cdr:x>0.26436</cdr:x>
      <cdr:y>0.70827</cdr:y>
    </cdr:from>
    <cdr:to>
      <cdr:x>0.26436</cdr:x>
      <cdr:y>0.70827</cdr:y>
    </cdr:to>
    <cdr:sp macro="" textlink="">
      <cdr:nvSpPr>
        <cdr:cNvPr id="25" name="Text Box 4">
          <a:extLst xmlns:a="http://schemas.openxmlformats.org/drawingml/2006/main">
            <a:ext uri="{FF2B5EF4-FFF2-40B4-BE49-F238E27FC236}">
              <a16:creationId xmlns:a16="http://schemas.microsoft.com/office/drawing/2014/main" id="{1CF88F20-2EAB-DF46-91A6-8578C43D4992}"/>
            </a:ext>
          </a:extLst>
        </cdr:cNvPr>
        <cdr:cNvSpPr txBox="1">
          <a:spLocks xmlns:a="http://schemas.openxmlformats.org/drawingml/2006/main" noChangeArrowheads="1"/>
        </cdr:cNvSpPr>
      </cdr:nvSpPr>
      <cdr:spPr bwMode="auto">
        <a:xfrm xmlns:a="http://schemas.openxmlformats.org/drawingml/2006/main">
          <a:off x="483464" y="1574136"/>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userShapes>
</file>

<file path=xl/drawings/drawing67.xml><?xml version="1.0" encoding="utf-8"?>
<c:userShapes xmlns:c="http://schemas.openxmlformats.org/drawingml/2006/chart">
  <cdr:relSizeAnchor xmlns:cdr="http://schemas.openxmlformats.org/drawingml/2006/chartDrawing">
    <cdr:from>
      <cdr:x>0.534</cdr:x>
      <cdr:y>0.59471</cdr:y>
    </cdr:from>
    <cdr:to>
      <cdr:x>0.534</cdr:x>
      <cdr:y>0.59471</cdr:y>
    </cdr:to>
    <cdr:sp macro="" textlink="">
      <cdr:nvSpPr>
        <cdr:cNvPr id="994305" name="Text Box 1"/>
        <cdr:cNvSpPr txBox="1">
          <a:spLocks xmlns:a="http://schemas.openxmlformats.org/drawingml/2006/main" noChangeArrowheads="1"/>
        </cdr:cNvSpPr>
      </cdr:nvSpPr>
      <cdr:spPr bwMode="auto">
        <a:xfrm xmlns:a="http://schemas.openxmlformats.org/drawingml/2006/main">
          <a:off x="976579" y="1321749"/>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0.65276</cdr:x>
      <cdr:y>0.80561</cdr:y>
    </cdr:from>
    <cdr:to>
      <cdr:x>0.65276</cdr:x>
      <cdr:y>0.80561</cdr:y>
    </cdr:to>
    <cdr:sp macro="" textlink="">
      <cdr:nvSpPr>
        <cdr:cNvPr id="994306" name="Text Box 2"/>
        <cdr:cNvSpPr txBox="1">
          <a:spLocks xmlns:a="http://schemas.openxmlformats.org/drawingml/2006/main" noChangeArrowheads="1"/>
        </cdr:cNvSpPr>
      </cdr:nvSpPr>
      <cdr:spPr bwMode="auto">
        <a:xfrm xmlns:a="http://schemas.openxmlformats.org/drawingml/2006/main">
          <a:off x="1193775" y="1790468"/>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-1.4%</a:t>
          </a:r>
        </a:p>
      </cdr:txBody>
    </cdr:sp>
  </cdr:relSizeAnchor>
  <cdr:relSizeAnchor xmlns:cdr="http://schemas.openxmlformats.org/drawingml/2006/chartDrawing">
    <cdr:from>
      <cdr:x>0.76704</cdr:x>
      <cdr:y>0.74883</cdr:y>
    </cdr:from>
    <cdr:to>
      <cdr:x>0.76704</cdr:x>
      <cdr:y>0.74883</cdr:y>
    </cdr:to>
    <cdr:sp macro="" textlink="">
      <cdr:nvSpPr>
        <cdr:cNvPr id="994307" name="Text Box 3"/>
        <cdr:cNvSpPr txBox="1">
          <a:spLocks xmlns:a="http://schemas.openxmlformats.org/drawingml/2006/main" noChangeArrowheads="1"/>
        </cdr:cNvSpPr>
      </cdr:nvSpPr>
      <cdr:spPr bwMode="auto">
        <a:xfrm xmlns:a="http://schemas.openxmlformats.org/drawingml/2006/main">
          <a:off x="1402766" y="1664275"/>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a:t>
          </a:r>
        </a:p>
      </cdr:txBody>
    </cdr:sp>
  </cdr:relSizeAnchor>
  <cdr:relSizeAnchor xmlns:cdr="http://schemas.openxmlformats.org/drawingml/2006/chartDrawing">
    <cdr:from>
      <cdr:x>0.26436</cdr:x>
      <cdr:y>0.70827</cdr:y>
    </cdr:from>
    <cdr:to>
      <cdr:x>0.26436</cdr:x>
      <cdr:y>0.70827</cdr:y>
    </cdr:to>
    <cdr:sp macro="" textlink="">
      <cdr:nvSpPr>
        <cdr:cNvPr id="994308" name="Text Box 4"/>
        <cdr:cNvSpPr txBox="1">
          <a:spLocks xmlns:a="http://schemas.openxmlformats.org/drawingml/2006/main" noChangeArrowheads="1"/>
        </cdr:cNvSpPr>
      </cdr:nvSpPr>
      <cdr:spPr bwMode="auto">
        <a:xfrm xmlns:a="http://schemas.openxmlformats.org/drawingml/2006/main">
          <a:off x="483464" y="1574136"/>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0.534</cdr:x>
      <cdr:y>0.59471</cdr:y>
    </cdr:from>
    <cdr:to>
      <cdr:x>0.534</cdr:x>
      <cdr:y>0.59471</cdr:y>
    </cdr:to>
    <cdr:sp macro="" textlink="">
      <cdr:nvSpPr>
        <cdr:cNvPr id="2" name="Text Box 1">
          <a:extLst xmlns:a="http://schemas.openxmlformats.org/drawingml/2006/main">
            <a:ext uri="{FF2B5EF4-FFF2-40B4-BE49-F238E27FC236}">
              <a16:creationId xmlns:a16="http://schemas.microsoft.com/office/drawing/2014/main" id="{D82BAD52-C122-E14F-B3BB-3718C0599EA6}"/>
            </a:ext>
          </a:extLst>
        </cdr:cNvPr>
        <cdr:cNvSpPr txBox="1">
          <a:spLocks xmlns:a="http://schemas.openxmlformats.org/drawingml/2006/main" noChangeArrowheads="1"/>
        </cdr:cNvSpPr>
      </cdr:nvSpPr>
      <cdr:spPr bwMode="auto">
        <a:xfrm xmlns:a="http://schemas.openxmlformats.org/drawingml/2006/main">
          <a:off x="976579" y="1321749"/>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0.65276</cdr:x>
      <cdr:y>0.80561</cdr:y>
    </cdr:from>
    <cdr:to>
      <cdr:x>0.65276</cdr:x>
      <cdr:y>0.80561</cdr:y>
    </cdr:to>
    <cdr:sp macro="" textlink="">
      <cdr:nvSpPr>
        <cdr:cNvPr id="3" name="Text Box 2">
          <a:extLst xmlns:a="http://schemas.openxmlformats.org/drawingml/2006/main">
            <a:ext uri="{FF2B5EF4-FFF2-40B4-BE49-F238E27FC236}">
              <a16:creationId xmlns:a16="http://schemas.microsoft.com/office/drawing/2014/main" id="{87261BCC-3DFC-BF48-B185-4D7286057536}"/>
            </a:ext>
          </a:extLst>
        </cdr:cNvPr>
        <cdr:cNvSpPr txBox="1">
          <a:spLocks xmlns:a="http://schemas.openxmlformats.org/drawingml/2006/main" noChangeArrowheads="1"/>
        </cdr:cNvSpPr>
      </cdr:nvSpPr>
      <cdr:spPr bwMode="auto">
        <a:xfrm xmlns:a="http://schemas.openxmlformats.org/drawingml/2006/main">
          <a:off x="1193775" y="1790468"/>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-1.4%</a:t>
          </a:r>
        </a:p>
      </cdr:txBody>
    </cdr:sp>
  </cdr:relSizeAnchor>
  <cdr:relSizeAnchor xmlns:cdr="http://schemas.openxmlformats.org/drawingml/2006/chartDrawing">
    <cdr:from>
      <cdr:x>0.76704</cdr:x>
      <cdr:y>0.74883</cdr:y>
    </cdr:from>
    <cdr:to>
      <cdr:x>0.76704</cdr:x>
      <cdr:y>0.74883</cdr:y>
    </cdr:to>
    <cdr:sp macro="" textlink="">
      <cdr:nvSpPr>
        <cdr:cNvPr id="4" name="Text Box 3">
          <a:extLst xmlns:a="http://schemas.openxmlformats.org/drawingml/2006/main">
            <a:ext uri="{FF2B5EF4-FFF2-40B4-BE49-F238E27FC236}">
              <a16:creationId xmlns:a16="http://schemas.microsoft.com/office/drawing/2014/main" id="{DFCA9CF7-0007-0C45-8B99-E3640A596F61}"/>
            </a:ext>
          </a:extLst>
        </cdr:cNvPr>
        <cdr:cNvSpPr txBox="1">
          <a:spLocks xmlns:a="http://schemas.openxmlformats.org/drawingml/2006/main" noChangeArrowheads="1"/>
        </cdr:cNvSpPr>
      </cdr:nvSpPr>
      <cdr:spPr bwMode="auto">
        <a:xfrm xmlns:a="http://schemas.openxmlformats.org/drawingml/2006/main">
          <a:off x="1402766" y="1664275"/>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a:t>
          </a:r>
        </a:p>
      </cdr:txBody>
    </cdr:sp>
  </cdr:relSizeAnchor>
  <cdr:relSizeAnchor xmlns:cdr="http://schemas.openxmlformats.org/drawingml/2006/chartDrawing">
    <cdr:from>
      <cdr:x>0.26436</cdr:x>
      <cdr:y>0.70827</cdr:y>
    </cdr:from>
    <cdr:to>
      <cdr:x>0.26436</cdr:x>
      <cdr:y>0.70827</cdr:y>
    </cdr:to>
    <cdr:sp macro="" textlink="">
      <cdr:nvSpPr>
        <cdr:cNvPr id="5" name="Text Box 4">
          <a:extLst xmlns:a="http://schemas.openxmlformats.org/drawingml/2006/main">
            <a:ext uri="{FF2B5EF4-FFF2-40B4-BE49-F238E27FC236}">
              <a16:creationId xmlns:a16="http://schemas.microsoft.com/office/drawing/2014/main" id="{1CF88F20-2EAB-DF46-91A6-8578C43D4992}"/>
            </a:ext>
          </a:extLst>
        </cdr:cNvPr>
        <cdr:cNvSpPr txBox="1">
          <a:spLocks xmlns:a="http://schemas.openxmlformats.org/drawingml/2006/main" noChangeArrowheads="1"/>
        </cdr:cNvSpPr>
      </cdr:nvSpPr>
      <cdr:spPr bwMode="auto">
        <a:xfrm xmlns:a="http://schemas.openxmlformats.org/drawingml/2006/main">
          <a:off x="483464" y="1574136"/>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0.534</cdr:x>
      <cdr:y>0.59471</cdr:y>
    </cdr:from>
    <cdr:to>
      <cdr:x>0.534</cdr:x>
      <cdr:y>0.59471</cdr:y>
    </cdr:to>
    <cdr:sp macro="" textlink="">
      <cdr:nvSpPr>
        <cdr:cNvPr id="16" name="Text Box 1">
          <a:extLst xmlns:a="http://schemas.openxmlformats.org/drawingml/2006/main">
            <a:ext uri="{FF2B5EF4-FFF2-40B4-BE49-F238E27FC236}">
              <a16:creationId xmlns:a16="http://schemas.microsoft.com/office/drawing/2014/main" id="{2A5B2DA1-B067-684B-8D4D-8DA174C5F355}"/>
            </a:ext>
          </a:extLst>
        </cdr:cNvPr>
        <cdr:cNvSpPr txBox="1">
          <a:spLocks xmlns:a="http://schemas.openxmlformats.org/drawingml/2006/main" noChangeArrowheads="1"/>
        </cdr:cNvSpPr>
      </cdr:nvSpPr>
      <cdr:spPr bwMode="auto">
        <a:xfrm xmlns:a="http://schemas.openxmlformats.org/drawingml/2006/main">
          <a:off x="976579" y="1321749"/>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0.65276</cdr:x>
      <cdr:y>0.80561</cdr:y>
    </cdr:from>
    <cdr:to>
      <cdr:x>0.65276</cdr:x>
      <cdr:y>0.80561</cdr:y>
    </cdr:to>
    <cdr:sp macro="" textlink="">
      <cdr:nvSpPr>
        <cdr:cNvPr id="17" name="Text Box 2">
          <a:extLst xmlns:a="http://schemas.openxmlformats.org/drawingml/2006/main">
            <a:ext uri="{FF2B5EF4-FFF2-40B4-BE49-F238E27FC236}">
              <a16:creationId xmlns:a16="http://schemas.microsoft.com/office/drawing/2014/main" id="{CFD04E1F-2F1B-3643-AF60-E29E7DCD3C06}"/>
            </a:ext>
          </a:extLst>
        </cdr:cNvPr>
        <cdr:cNvSpPr txBox="1">
          <a:spLocks xmlns:a="http://schemas.openxmlformats.org/drawingml/2006/main" noChangeArrowheads="1"/>
        </cdr:cNvSpPr>
      </cdr:nvSpPr>
      <cdr:spPr bwMode="auto">
        <a:xfrm xmlns:a="http://schemas.openxmlformats.org/drawingml/2006/main">
          <a:off x="1193775" y="1790468"/>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-1.4%</a:t>
          </a:r>
        </a:p>
      </cdr:txBody>
    </cdr:sp>
  </cdr:relSizeAnchor>
  <cdr:relSizeAnchor xmlns:cdr="http://schemas.openxmlformats.org/drawingml/2006/chartDrawing">
    <cdr:from>
      <cdr:x>0.76704</cdr:x>
      <cdr:y>0.74883</cdr:y>
    </cdr:from>
    <cdr:to>
      <cdr:x>0.76704</cdr:x>
      <cdr:y>0.74883</cdr:y>
    </cdr:to>
    <cdr:sp macro="" textlink="">
      <cdr:nvSpPr>
        <cdr:cNvPr id="18" name="Text Box 3">
          <a:extLst xmlns:a="http://schemas.openxmlformats.org/drawingml/2006/main">
            <a:ext uri="{FF2B5EF4-FFF2-40B4-BE49-F238E27FC236}">
              <a16:creationId xmlns:a16="http://schemas.microsoft.com/office/drawing/2014/main" id="{AB810CF9-A526-6B49-984B-65306BFAFD0D}"/>
            </a:ext>
          </a:extLst>
        </cdr:cNvPr>
        <cdr:cNvSpPr txBox="1">
          <a:spLocks xmlns:a="http://schemas.openxmlformats.org/drawingml/2006/main" noChangeArrowheads="1"/>
        </cdr:cNvSpPr>
      </cdr:nvSpPr>
      <cdr:spPr bwMode="auto">
        <a:xfrm xmlns:a="http://schemas.openxmlformats.org/drawingml/2006/main">
          <a:off x="1402766" y="1664275"/>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a:t>
          </a:r>
        </a:p>
      </cdr:txBody>
    </cdr:sp>
  </cdr:relSizeAnchor>
  <cdr:relSizeAnchor xmlns:cdr="http://schemas.openxmlformats.org/drawingml/2006/chartDrawing">
    <cdr:from>
      <cdr:x>0.26436</cdr:x>
      <cdr:y>0.70827</cdr:y>
    </cdr:from>
    <cdr:to>
      <cdr:x>0.26436</cdr:x>
      <cdr:y>0.70827</cdr:y>
    </cdr:to>
    <cdr:sp macro="" textlink="">
      <cdr:nvSpPr>
        <cdr:cNvPr id="19" name="Text Box 4">
          <a:extLst xmlns:a="http://schemas.openxmlformats.org/drawingml/2006/main">
            <a:ext uri="{FF2B5EF4-FFF2-40B4-BE49-F238E27FC236}">
              <a16:creationId xmlns:a16="http://schemas.microsoft.com/office/drawing/2014/main" id="{316F89A2-3252-2340-8658-D52FF7A4846F}"/>
            </a:ext>
          </a:extLst>
        </cdr:cNvPr>
        <cdr:cNvSpPr txBox="1">
          <a:spLocks xmlns:a="http://schemas.openxmlformats.org/drawingml/2006/main" noChangeArrowheads="1"/>
        </cdr:cNvSpPr>
      </cdr:nvSpPr>
      <cdr:spPr bwMode="auto">
        <a:xfrm xmlns:a="http://schemas.openxmlformats.org/drawingml/2006/main">
          <a:off x="483464" y="1574136"/>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0.534</cdr:x>
      <cdr:y>0.59471</cdr:y>
    </cdr:from>
    <cdr:to>
      <cdr:x>0.534</cdr:x>
      <cdr:y>0.59471</cdr:y>
    </cdr:to>
    <cdr:sp macro="" textlink="">
      <cdr:nvSpPr>
        <cdr:cNvPr id="22" name="Text Box 1">
          <a:extLst xmlns:a="http://schemas.openxmlformats.org/drawingml/2006/main">
            <a:ext uri="{FF2B5EF4-FFF2-40B4-BE49-F238E27FC236}">
              <a16:creationId xmlns:a16="http://schemas.microsoft.com/office/drawing/2014/main" id="{D82BAD52-C122-E14F-B3BB-3718C0599EA6}"/>
            </a:ext>
          </a:extLst>
        </cdr:cNvPr>
        <cdr:cNvSpPr txBox="1">
          <a:spLocks xmlns:a="http://schemas.openxmlformats.org/drawingml/2006/main" noChangeArrowheads="1"/>
        </cdr:cNvSpPr>
      </cdr:nvSpPr>
      <cdr:spPr bwMode="auto">
        <a:xfrm xmlns:a="http://schemas.openxmlformats.org/drawingml/2006/main">
          <a:off x="976579" y="1321749"/>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0.65276</cdr:x>
      <cdr:y>0.80561</cdr:y>
    </cdr:from>
    <cdr:to>
      <cdr:x>0.65276</cdr:x>
      <cdr:y>0.80561</cdr:y>
    </cdr:to>
    <cdr:sp macro="" textlink="">
      <cdr:nvSpPr>
        <cdr:cNvPr id="23" name="Text Box 2">
          <a:extLst xmlns:a="http://schemas.openxmlformats.org/drawingml/2006/main">
            <a:ext uri="{FF2B5EF4-FFF2-40B4-BE49-F238E27FC236}">
              <a16:creationId xmlns:a16="http://schemas.microsoft.com/office/drawing/2014/main" id="{87261BCC-3DFC-BF48-B185-4D7286057536}"/>
            </a:ext>
          </a:extLst>
        </cdr:cNvPr>
        <cdr:cNvSpPr txBox="1">
          <a:spLocks xmlns:a="http://schemas.openxmlformats.org/drawingml/2006/main" noChangeArrowheads="1"/>
        </cdr:cNvSpPr>
      </cdr:nvSpPr>
      <cdr:spPr bwMode="auto">
        <a:xfrm xmlns:a="http://schemas.openxmlformats.org/drawingml/2006/main">
          <a:off x="1193775" y="1790468"/>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-1.4%</a:t>
          </a:r>
        </a:p>
      </cdr:txBody>
    </cdr:sp>
  </cdr:relSizeAnchor>
  <cdr:relSizeAnchor xmlns:cdr="http://schemas.openxmlformats.org/drawingml/2006/chartDrawing">
    <cdr:from>
      <cdr:x>0.76704</cdr:x>
      <cdr:y>0.74883</cdr:y>
    </cdr:from>
    <cdr:to>
      <cdr:x>0.76704</cdr:x>
      <cdr:y>0.74883</cdr:y>
    </cdr:to>
    <cdr:sp macro="" textlink="">
      <cdr:nvSpPr>
        <cdr:cNvPr id="24" name="Text Box 3">
          <a:extLst xmlns:a="http://schemas.openxmlformats.org/drawingml/2006/main">
            <a:ext uri="{FF2B5EF4-FFF2-40B4-BE49-F238E27FC236}">
              <a16:creationId xmlns:a16="http://schemas.microsoft.com/office/drawing/2014/main" id="{DFCA9CF7-0007-0C45-8B99-E3640A596F61}"/>
            </a:ext>
          </a:extLst>
        </cdr:cNvPr>
        <cdr:cNvSpPr txBox="1">
          <a:spLocks xmlns:a="http://schemas.openxmlformats.org/drawingml/2006/main" noChangeArrowheads="1"/>
        </cdr:cNvSpPr>
      </cdr:nvSpPr>
      <cdr:spPr bwMode="auto">
        <a:xfrm xmlns:a="http://schemas.openxmlformats.org/drawingml/2006/main">
          <a:off x="1402766" y="1664275"/>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a:t>
          </a:r>
        </a:p>
      </cdr:txBody>
    </cdr:sp>
  </cdr:relSizeAnchor>
  <cdr:relSizeAnchor xmlns:cdr="http://schemas.openxmlformats.org/drawingml/2006/chartDrawing">
    <cdr:from>
      <cdr:x>0.26436</cdr:x>
      <cdr:y>0.70827</cdr:y>
    </cdr:from>
    <cdr:to>
      <cdr:x>0.26436</cdr:x>
      <cdr:y>0.70827</cdr:y>
    </cdr:to>
    <cdr:sp macro="" textlink="">
      <cdr:nvSpPr>
        <cdr:cNvPr id="25" name="Text Box 4">
          <a:extLst xmlns:a="http://schemas.openxmlformats.org/drawingml/2006/main">
            <a:ext uri="{FF2B5EF4-FFF2-40B4-BE49-F238E27FC236}">
              <a16:creationId xmlns:a16="http://schemas.microsoft.com/office/drawing/2014/main" id="{1CF88F20-2EAB-DF46-91A6-8578C43D4992}"/>
            </a:ext>
          </a:extLst>
        </cdr:cNvPr>
        <cdr:cNvSpPr txBox="1">
          <a:spLocks xmlns:a="http://schemas.openxmlformats.org/drawingml/2006/main" noChangeArrowheads="1"/>
        </cdr:cNvSpPr>
      </cdr:nvSpPr>
      <cdr:spPr bwMode="auto">
        <a:xfrm xmlns:a="http://schemas.openxmlformats.org/drawingml/2006/main">
          <a:off x="483464" y="1574136"/>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0.534</cdr:x>
      <cdr:y>0.59471</cdr:y>
    </cdr:from>
    <cdr:to>
      <cdr:x>0.534</cdr:x>
      <cdr:y>0.59471</cdr:y>
    </cdr:to>
    <cdr:sp macro="" textlink="">
      <cdr:nvSpPr>
        <cdr:cNvPr id="6" name="Text Box 1">
          <a:extLst xmlns:a="http://schemas.openxmlformats.org/drawingml/2006/main">
            <a:ext uri="{FF2B5EF4-FFF2-40B4-BE49-F238E27FC236}">
              <a16:creationId xmlns:a16="http://schemas.microsoft.com/office/drawing/2014/main" id="{4DEEF00B-94DF-0143-89BA-956DA563A5B8}"/>
            </a:ext>
          </a:extLst>
        </cdr:cNvPr>
        <cdr:cNvSpPr txBox="1">
          <a:spLocks xmlns:a="http://schemas.openxmlformats.org/drawingml/2006/main" noChangeArrowheads="1"/>
        </cdr:cNvSpPr>
      </cdr:nvSpPr>
      <cdr:spPr bwMode="auto">
        <a:xfrm xmlns:a="http://schemas.openxmlformats.org/drawingml/2006/main">
          <a:off x="976579" y="1321749"/>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0.65276</cdr:x>
      <cdr:y>0.80561</cdr:y>
    </cdr:from>
    <cdr:to>
      <cdr:x>0.65276</cdr:x>
      <cdr:y>0.80561</cdr:y>
    </cdr:to>
    <cdr:sp macro="" textlink="">
      <cdr:nvSpPr>
        <cdr:cNvPr id="7" name="Text Box 2">
          <a:extLst xmlns:a="http://schemas.openxmlformats.org/drawingml/2006/main">
            <a:ext uri="{FF2B5EF4-FFF2-40B4-BE49-F238E27FC236}">
              <a16:creationId xmlns:a16="http://schemas.microsoft.com/office/drawing/2014/main" id="{3CE9D110-150F-9646-A1ED-76F83AE5879B}"/>
            </a:ext>
          </a:extLst>
        </cdr:cNvPr>
        <cdr:cNvSpPr txBox="1">
          <a:spLocks xmlns:a="http://schemas.openxmlformats.org/drawingml/2006/main" noChangeArrowheads="1"/>
        </cdr:cNvSpPr>
      </cdr:nvSpPr>
      <cdr:spPr bwMode="auto">
        <a:xfrm xmlns:a="http://schemas.openxmlformats.org/drawingml/2006/main">
          <a:off x="1193775" y="1790468"/>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-1.4%</a:t>
          </a:r>
        </a:p>
      </cdr:txBody>
    </cdr:sp>
  </cdr:relSizeAnchor>
  <cdr:relSizeAnchor xmlns:cdr="http://schemas.openxmlformats.org/drawingml/2006/chartDrawing">
    <cdr:from>
      <cdr:x>0.76704</cdr:x>
      <cdr:y>0.74883</cdr:y>
    </cdr:from>
    <cdr:to>
      <cdr:x>0.76704</cdr:x>
      <cdr:y>0.74883</cdr:y>
    </cdr:to>
    <cdr:sp macro="" textlink="">
      <cdr:nvSpPr>
        <cdr:cNvPr id="8" name="Text Box 3">
          <a:extLst xmlns:a="http://schemas.openxmlformats.org/drawingml/2006/main">
            <a:ext uri="{FF2B5EF4-FFF2-40B4-BE49-F238E27FC236}">
              <a16:creationId xmlns:a16="http://schemas.microsoft.com/office/drawing/2014/main" id="{29C29D42-C968-4E47-970D-F9CE968699B8}"/>
            </a:ext>
          </a:extLst>
        </cdr:cNvPr>
        <cdr:cNvSpPr txBox="1">
          <a:spLocks xmlns:a="http://schemas.openxmlformats.org/drawingml/2006/main" noChangeArrowheads="1"/>
        </cdr:cNvSpPr>
      </cdr:nvSpPr>
      <cdr:spPr bwMode="auto">
        <a:xfrm xmlns:a="http://schemas.openxmlformats.org/drawingml/2006/main">
          <a:off x="1402766" y="1664275"/>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a:t>
          </a:r>
        </a:p>
      </cdr:txBody>
    </cdr:sp>
  </cdr:relSizeAnchor>
  <cdr:relSizeAnchor xmlns:cdr="http://schemas.openxmlformats.org/drawingml/2006/chartDrawing">
    <cdr:from>
      <cdr:x>0.26436</cdr:x>
      <cdr:y>0.70827</cdr:y>
    </cdr:from>
    <cdr:to>
      <cdr:x>0.26436</cdr:x>
      <cdr:y>0.70827</cdr:y>
    </cdr:to>
    <cdr:sp macro="" textlink="">
      <cdr:nvSpPr>
        <cdr:cNvPr id="9" name="Text Box 4">
          <a:extLst xmlns:a="http://schemas.openxmlformats.org/drawingml/2006/main">
            <a:ext uri="{FF2B5EF4-FFF2-40B4-BE49-F238E27FC236}">
              <a16:creationId xmlns:a16="http://schemas.microsoft.com/office/drawing/2014/main" id="{F3551177-1BFD-0041-A9B6-838323D63BE4}"/>
            </a:ext>
          </a:extLst>
        </cdr:cNvPr>
        <cdr:cNvSpPr txBox="1">
          <a:spLocks xmlns:a="http://schemas.openxmlformats.org/drawingml/2006/main" noChangeArrowheads="1"/>
        </cdr:cNvSpPr>
      </cdr:nvSpPr>
      <cdr:spPr bwMode="auto">
        <a:xfrm xmlns:a="http://schemas.openxmlformats.org/drawingml/2006/main">
          <a:off x="483464" y="1574136"/>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0.25429</cdr:x>
      <cdr:y>0.27002</cdr:y>
    </cdr:from>
    <cdr:to>
      <cdr:x>0.65374</cdr:x>
      <cdr:y>0.33188</cdr:y>
    </cdr:to>
    <cdr:sp macro="" textlink="">
      <cdr:nvSpPr>
        <cdr:cNvPr id="994310" name="Text Box 6"/>
        <cdr:cNvSpPr txBox="1">
          <a:spLocks xmlns:a="http://schemas.openxmlformats.org/drawingml/2006/main" noChangeArrowheads="1"/>
        </cdr:cNvSpPr>
      </cdr:nvSpPr>
      <cdr:spPr bwMode="auto">
        <a:xfrm xmlns:a="http://schemas.openxmlformats.org/drawingml/2006/main">
          <a:off x="499927" y="608124"/>
          <a:ext cx="785303" cy="139317"/>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FF0000"/>
              </a:solidFill>
              <a:latin typeface="Arial"/>
              <a:ea typeface="Arial"/>
              <a:cs typeface="Arial"/>
            </a:rPr>
            <a:t>Intervention</a:t>
          </a:r>
        </a:p>
      </cdr:txBody>
    </cdr:sp>
  </cdr:relSizeAnchor>
  <cdr:relSizeAnchor xmlns:cdr="http://schemas.openxmlformats.org/drawingml/2006/chartDrawing">
    <cdr:from>
      <cdr:x>0.51086</cdr:x>
      <cdr:y>0.61631</cdr:y>
    </cdr:from>
    <cdr:to>
      <cdr:x>0.88227</cdr:x>
      <cdr:y>0.70387</cdr:y>
    </cdr:to>
    <cdr:sp macro="" textlink="">
      <cdr:nvSpPr>
        <cdr:cNvPr id="10" name="Text Box 7">
          <a:extLst xmlns:a="http://schemas.openxmlformats.org/drawingml/2006/main">
            <a:ext uri="{FF2B5EF4-FFF2-40B4-BE49-F238E27FC236}">
              <a16:creationId xmlns:a16="http://schemas.microsoft.com/office/drawing/2014/main" id="{3D53DBA9-3E8A-BD4D-83AB-F75667D1FA3A}"/>
            </a:ext>
          </a:extLst>
        </cdr:cNvPr>
        <cdr:cNvSpPr txBox="1">
          <a:spLocks xmlns:a="http://schemas.openxmlformats.org/drawingml/2006/main" noChangeArrowheads="1"/>
        </cdr:cNvSpPr>
      </cdr:nvSpPr>
      <cdr:spPr bwMode="auto">
        <a:xfrm xmlns:a="http://schemas.openxmlformats.org/drawingml/2006/main">
          <a:off x="1004327" y="1388016"/>
          <a:ext cx="730177" cy="197196"/>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wrap="none" lIns="18288" tIns="18288" rIns="0" bIns="0" anchor="t" upright="1">
          <a:spAutoFit/>
        </a:bodyPr>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0.534</cdr:x>
      <cdr:y>0.59471</cdr:y>
    </cdr:from>
    <cdr:to>
      <cdr:x>0.534</cdr:x>
      <cdr:y>0.59471</cdr:y>
    </cdr:to>
    <cdr:sp macro="" textlink="">
      <cdr:nvSpPr>
        <cdr:cNvPr id="11" name="Text Box 1">
          <a:extLst xmlns:a="http://schemas.openxmlformats.org/drawingml/2006/main">
            <a:ext uri="{FF2B5EF4-FFF2-40B4-BE49-F238E27FC236}">
              <a16:creationId xmlns:a16="http://schemas.microsoft.com/office/drawing/2014/main" id="{D82BAD52-C122-E14F-B3BB-3718C0599EA6}"/>
            </a:ext>
          </a:extLst>
        </cdr:cNvPr>
        <cdr:cNvSpPr txBox="1">
          <a:spLocks xmlns:a="http://schemas.openxmlformats.org/drawingml/2006/main" noChangeArrowheads="1"/>
        </cdr:cNvSpPr>
      </cdr:nvSpPr>
      <cdr:spPr bwMode="auto">
        <a:xfrm xmlns:a="http://schemas.openxmlformats.org/drawingml/2006/main">
          <a:off x="976579" y="1321749"/>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0.65276</cdr:x>
      <cdr:y>0.80561</cdr:y>
    </cdr:from>
    <cdr:to>
      <cdr:x>0.65276</cdr:x>
      <cdr:y>0.80561</cdr:y>
    </cdr:to>
    <cdr:sp macro="" textlink="">
      <cdr:nvSpPr>
        <cdr:cNvPr id="12" name="Text Box 2">
          <a:extLst xmlns:a="http://schemas.openxmlformats.org/drawingml/2006/main">
            <a:ext uri="{FF2B5EF4-FFF2-40B4-BE49-F238E27FC236}">
              <a16:creationId xmlns:a16="http://schemas.microsoft.com/office/drawing/2014/main" id="{87261BCC-3DFC-BF48-B185-4D7286057536}"/>
            </a:ext>
          </a:extLst>
        </cdr:cNvPr>
        <cdr:cNvSpPr txBox="1">
          <a:spLocks xmlns:a="http://schemas.openxmlformats.org/drawingml/2006/main" noChangeArrowheads="1"/>
        </cdr:cNvSpPr>
      </cdr:nvSpPr>
      <cdr:spPr bwMode="auto">
        <a:xfrm xmlns:a="http://schemas.openxmlformats.org/drawingml/2006/main">
          <a:off x="1193775" y="1790468"/>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-1.4%</a:t>
          </a:r>
        </a:p>
      </cdr:txBody>
    </cdr:sp>
  </cdr:relSizeAnchor>
  <cdr:relSizeAnchor xmlns:cdr="http://schemas.openxmlformats.org/drawingml/2006/chartDrawing">
    <cdr:from>
      <cdr:x>0.76704</cdr:x>
      <cdr:y>0.74883</cdr:y>
    </cdr:from>
    <cdr:to>
      <cdr:x>0.76704</cdr:x>
      <cdr:y>0.74883</cdr:y>
    </cdr:to>
    <cdr:sp macro="" textlink="">
      <cdr:nvSpPr>
        <cdr:cNvPr id="13" name="Text Box 3">
          <a:extLst xmlns:a="http://schemas.openxmlformats.org/drawingml/2006/main">
            <a:ext uri="{FF2B5EF4-FFF2-40B4-BE49-F238E27FC236}">
              <a16:creationId xmlns:a16="http://schemas.microsoft.com/office/drawing/2014/main" id="{DFCA9CF7-0007-0C45-8B99-E3640A596F61}"/>
            </a:ext>
          </a:extLst>
        </cdr:cNvPr>
        <cdr:cNvSpPr txBox="1">
          <a:spLocks xmlns:a="http://schemas.openxmlformats.org/drawingml/2006/main" noChangeArrowheads="1"/>
        </cdr:cNvSpPr>
      </cdr:nvSpPr>
      <cdr:spPr bwMode="auto">
        <a:xfrm xmlns:a="http://schemas.openxmlformats.org/drawingml/2006/main">
          <a:off x="1402766" y="1664275"/>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a:t>
          </a:r>
        </a:p>
      </cdr:txBody>
    </cdr:sp>
  </cdr:relSizeAnchor>
  <cdr:relSizeAnchor xmlns:cdr="http://schemas.openxmlformats.org/drawingml/2006/chartDrawing">
    <cdr:from>
      <cdr:x>0.26436</cdr:x>
      <cdr:y>0.70827</cdr:y>
    </cdr:from>
    <cdr:to>
      <cdr:x>0.26436</cdr:x>
      <cdr:y>0.70827</cdr:y>
    </cdr:to>
    <cdr:sp macro="" textlink="">
      <cdr:nvSpPr>
        <cdr:cNvPr id="14" name="Text Box 4">
          <a:extLst xmlns:a="http://schemas.openxmlformats.org/drawingml/2006/main">
            <a:ext uri="{FF2B5EF4-FFF2-40B4-BE49-F238E27FC236}">
              <a16:creationId xmlns:a16="http://schemas.microsoft.com/office/drawing/2014/main" id="{1CF88F20-2EAB-DF46-91A6-8578C43D4992}"/>
            </a:ext>
          </a:extLst>
        </cdr:cNvPr>
        <cdr:cNvSpPr txBox="1">
          <a:spLocks xmlns:a="http://schemas.openxmlformats.org/drawingml/2006/main" noChangeArrowheads="1"/>
        </cdr:cNvSpPr>
      </cdr:nvSpPr>
      <cdr:spPr bwMode="auto">
        <a:xfrm xmlns:a="http://schemas.openxmlformats.org/drawingml/2006/main">
          <a:off x="483464" y="1574136"/>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userShapes>
</file>

<file path=xl/drawings/drawing68.xml><?xml version="1.0" encoding="utf-8"?>
<c:userShapes xmlns:c="http://schemas.openxmlformats.org/drawingml/2006/chart">
  <cdr:relSizeAnchor xmlns:cdr="http://schemas.openxmlformats.org/drawingml/2006/chartDrawing">
    <cdr:from>
      <cdr:x>0.534</cdr:x>
      <cdr:y>0.59471</cdr:y>
    </cdr:from>
    <cdr:to>
      <cdr:x>0.534</cdr:x>
      <cdr:y>0.59471</cdr:y>
    </cdr:to>
    <cdr:sp macro="" textlink="">
      <cdr:nvSpPr>
        <cdr:cNvPr id="994305" name="Text Box 1"/>
        <cdr:cNvSpPr txBox="1">
          <a:spLocks xmlns:a="http://schemas.openxmlformats.org/drawingml/2006/main" noChangeArrowheads="1"/>
        </cdr:cNvSpPr>
      </cdr:nvSpPr>
      <cdr:spPr bwMode="auto">
        <a:xfrm xmlns:a="http://schemas.openxmlformats.org/drawingml/2006/main">
          <a:off x="976579" y="1321749"/>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0.65276</cdr:x>
      <cdr:y>0.80561</cdr:y>
    </cdr:from>
    <cdr:to>
      <cdr:x>0.65276</cdr:x>
      <cdr:y>0.80561</cdr:y>
    </cdr:to>
    <cdr:sp macro="" textlink="">
      <cdr:nvSpPr>
        <cdr:cNvPr id="994306" name="Text Box 2"/>
        <cdr:cNvSpPr txBox="1">
          <a:spLocks xmlns:a="http://schemas.openxmlformats.org/drawingml/2006/main" noChangeArrowheads="1"/>
        </cdr:cNvSpPr>
      </cdr:nvSpPr>
      <cdr:spPr bwMode="auto">
        <a:xfrm xmlns:a="http://schemas.openxmlformats.org/drawingml/2006/main">
          <a:off x="1193775" y="1790468"/>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-1.4%</a:t>
          </a:r>
        </a:p>
      </cdr:txBody>
    </cdr:sp>
  </cdr:relSizeAnchor>
  <cdr:relSizeAnchor xmlns:cdr="http://schemas.openxmlformats.org/drawingml/2006/chartDrawing">
    <cdr:from>
      <cdr:x>0.76704</cdr:x>
      <cdr:y>0.74883</cdr:y>
    </cdr:from>
    <cdr:to>
      <cdr:x>0.76704</cdr:x>
      <cdr:y>0.74883</cdr:y>
    </cdr:to>
    <cdr:sp macro="" textlink="">
      <cdr:nvSpPr>
        <cdr:cNvPr id="994307" name="Text Box 3"/>
        <cdr:cNvSpPr txBox="1">
          <a:spLocks xmlns:a="http://schemas.openxmlformats.org/drawingml/2006/main" noChangeArrowheads="1"/>
        </cdr:cNvSpPr>
      </cdr:nvSpPr>
      <cdr:spPr bwMode="auto">
        <a:xfrm xmlns:a="http://schemas.openxmlformats.org/drawingml/2006/main">
          <a:off x="1402766" y="1664275"/>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a:t>
          </a:r>
        </a:p>
      </cdr:txBody>
    </cdr:sp>
  </cdr:relSizeAnchor>
  <cdr:relSizeAnchor xmlns:cdr="http://schemas.openxmlformats.org/drawingml/2006/chartDrawing">
    <cdr:from>
      <cdr:x>0.26436</cdr:x>
      <cdr:y>0.70827</cdr:y>
    </cdr:from>
    <cdr:to>
      <cdr:x>0.26436</cdr:x>
      <cdr:y>0.70827</cdr:y>
    </cdr:to>
    <cdr:sp macro="" textlink="">
      <cdr:nvSpPr>
        <cdr:cNvPr id="994308" name="Text Box 4"/>
        <cdr:cNvSpPr txBox="1">
          <a:spLocks xmlns:a="http://schemas.openxmlformats.org/drawingml/2006/main" noChangeArrowheads="1"/>
        </cdr:cNvSpPr>
      </cdr:nvSpPr>
      <cdr:spPr bwMode="auto">
        <a:xfrm xmlns:a="http://schemas.openxmlformats.org/drawingml/2006/main">
          <a:off x="483464" y="1574136"/>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0.29768</cdr:x>
      <cdr:y>0.39921</cdr:y>
    </cdr:from>
    <cdr:to>
      <cdr:x>0.66909</cdr:x>
      <cdr:y>0.48677</cdr:y>
    </cdr:to>
    <cdr:sp macro="" textlink="">
      <cdr:nvSpPr>
        <cdr:cNvPr id="994311" name="Text Box 7"/>
        <cdr:cNvSpPr txBox="1">
          <a:spLocks xmlns:a="http://schemas.openxmlformats.org/drawingml/2006/main" noChangeArrowheads="1"/>
        </cdr:cNvSpPr>
      </cdr:nvSpPr>
      <cdr:spPr bwMode="auto">
        <a:xfrm xmlns:a="http://schemas.openxmlformats.org/drawingml/2006/main">
          <a:off x="585227" y="899069"/>
          <a:ext cx="730178" cy="197197"/>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wrap="none" lIns="18288" tIns="18288" rIns="0" bIns="0" anchor="t" upright="1">
          <a:spAutoFit/>
        </a:bodyPr>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0.534</cdr:x>
      <cdr:y>0.59471</cdr:y>
    </cdr:from>
    <cdr:to>
      <cdr:x>0.534</cdr:x>
      <cdr:y>0.59471</cdr:y>
    </cdr:to>
    <cdr:sp macro="" textlink="">
      <cdr:nvSpPr>
        <cdr:cNvPr id="2" name="Text Box 1">
          <a:extLst xmlns:a="http://schemas.openxmlformats.org/drawingml/2006/main">
            <a:ext uri="{FF2B5EF4-FFF2-40B4-BE49-F238E27FC236}">
              <a16:creationId xmlns:a16="http://schemas.microsoft.com/office/drawing/2014/main" id="{D82BAD52-C122-E14F-B3BB-3718C0599EA6}"/>
            </a:ext>
          </a:extLst>
        </cdr:cNvPr>
        <cdr:cNvSpPr txBox="1">
          <a:spLocks xmlns:a="http://schemas.openxmlformats.org/drawingml/2006/main" noChangeArrowheads="1"/>
        </cdr:cNvSpPr>
      </cdr:nvSpPr>
      <cdr:spPr bwMode="auto">
        <a:xfrm xmlns:a="http://schemas.openxmlformats.org/drawingml/2006/main">
          <a:off x="976579" y="1321749"/>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0.65276</cdr:x>
      <cdr:y>0.80561</cdr:y>
    </cdr:from>
    <cdr:to>
      <cdr:x>0.65276</cdr:x>
      <cdr:y>0.80561</cdr:y>
    </cdr:to>
    <cdr:sp macro="" textlink="">
      <cdr:nvSpPr>
        <cdr:cNvPr id="3" name="Text Box 2">
          <a:extLst xmlns:a="http://schemas.openxmlformats.org/drawingml/2006/main">
            <a:ext uri="{FF2B5EF4-FFF2-40B4-BE49-F238E27FC236}">
              <a16:creationId xmlns:a16="http://schemas.microsoft.com/office/drawing/2014/main" id="{87261BCC-3DFC-BF48-B185-4D7286057536}"/>
            </a:ext>
          </a:extLst>
        </cdr:cNvPr>
        <cdr:cNvSpPr txBox="1">
          <a:spLocks xmlns:a="http://schemas.openxmlformats.org/drawingml/2006/main" noChangeArrowheads="1"/>
        </cdr:cNvSpPr>
      </cdr:nvSpPr>
      <cdr:spPr bwMode="auto">
        <a:xfrm xmlns:a="http://schemas.openxmlformats.org/drawingml/2006/main">
          <a:off x="1193775" y="1790468"/>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-1.4%</a:t>
          </a:r>
        </a:p>
      </cdr:txBody>
    </cdr:sp>
  </cdr:relSizeAnchor>
  <cdr:relSizeAnchor xmlns:cdr="http://schemas.openxmlformats.org/drawingml/2006/chartDrawing">
    <cdr:from>
      <cdr:x>0.76704</cdr:x>
      <cdr:y>0.74883</cdr:y>
    </cdr:from>
    <cdr:to>
      <cdr:x>0.76704</cdr:x>
      <cdr:y>0.74883</cdr:y>
    </cdr:to>
    <cdr:sp macro="" textlink="">
      <cdr:nvSpPr>
        <cdr:cNvPr id="4" name="Text Box 3">
          <a:extLst xmlns:a="http://schemas.openxmlformats.org/drawingml/2006/main">
            <a:ext uri="{FF2B5EF4-FFF2-40B4-BE49-F238E27FC236}">
              <a16:creationId xmlns:a16="http://schemas.microsoft.com/office/drawing/2014/main" id="{DFCA9CF7-0007-0C45-8B99-E3640A596F61}"/>
            </a:ext>
          </a:extLst>
        </cdr:cNvPr>
        <cdr:cNvSpPr txBox="1">
          <a:spLocks xmlns:a="http://schemas.openxmlformats.org/drawingml/2006/main" noChangeArrowheads="1"/>
        </cdr:cNvSpPr>
      </cdr:nvSpPr>
      <cdr:spPr bwMode="auto">
        <a:xfrm xmlns:a="http://schemas.openxmlformats.org/drawingml/2006/main">
          <a:off x="1402766" y="1664275"/>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a:t>
          </a:r>
        </a:p>
      </cdr:txBody>
    </cdr:sp>
  </cdr:relSizeAnchor>
  <cdr:relSizeAnchor xmlns:cdr="http://schemas.openxmlformats.org/drawingml/2006/chartDrawing">
    <cdr:from>
      <cdr:x>0.26436</cdr:x>
      <cdr:y>0.70827</cdr:y>
    </cdr:from>
    <cdr:to>
      <cdr:x>0.26436</cdr:x>
      <cdr:y>0.70827</cdr:y>
    </cdr:to>
    <cdr:sp macro="" textlink="">
      <cdr:nvSpPr>
        <cdr:cNvPr id="5" name="Text Box 4">
          <a:extLst xmlns:a="http://schemas.openxmlformats.org/drawingml/2006/main">
            <a:ext uri="{FF2B5EF4-FFF2-40B4-BE49-F238E27FC236}">
              <a16:creationId xmlns:a16="http://schemas.microsoft.com/office/drawing/2014/main" id="{1CF88F20-2EAB-DF46-91A6-8578C43D4992}"/>
            </a:ext>
          </a:extLst>
        </cdr:cNvPr>
        <cdr:cNvSpPr txBox="1">
          <a:spLocks xmlns:a="http://schemas.openxmlformats.org/drawingml/2006/main" noChangeArrowheads="1"/>
        </cdr:cNvSpPr>
      </cdr:nvSpPr>
      <cdr:spPr bwMode="auto">
        <a:xfrm xmlns:a="http://schemas.openxmlformats.org/drawingml/2006/main">
          <a:off x="483464" y="1574136"/>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0.534</cdr:x>
      <cdr:y>0.59471</cdr:y>
    </cdr:from>
    <cdr:to>
      <cdr:x>0.534</cdr:x>
      <cdr:y>0.59471</cdr:y>
    </cdr:to>
    <cdr:sp macro="" textlink="">
      <cdr:nvSpPr>
        <cdr:cNvPr id="16" name="Text Box 1">
          <a:extLst xmlns:a="http://schemas.openxmlformats.org/drawingml/2006/main">
            <a:ext uri="{FF2B5EF4-FFF2-40B4-BE49-F238E27FC236}">
              <a16:creationId xmlns:a16="http://schemas.microsoft.com/office/drawing/2014/main" id="{2A5B2DA1-B067-684B-8D4D-8DA174C5F355}"/>
            </a:ext>
          </a:extLst>
        </cdr:cNvPr>
        <cdr:cNvSpPr txBox="1">
          <a:spLocks xmlns:a="http://schemas.openxmlformats.org/drawingml/2006/main" noChangeArrowheads="1"/>
        </cdr:cNvSpPr>
      </cdr:nvSpPr>
      <cdr:spPr bwMode="auto">
        <a:xfrm xmlns:a="http://schemas.openxmlformats.org/drawingml/2006/main">
          <a:off x="976579" y="1321749"/>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0.65276</cdr:x>
      <cdr:y>0.80561</cdr:y>
    </cdr:from>
    <cdr:to>
      <cdr:x>0.65276</cdr:x>
      <cdr:y>0.80561</cdr:y>
    </cdr:to>
    <cdr:sp macro="" textlink="">
      <cdr:nvSpPr>
        <cdr:cNvPr id="17" name="Text Box 2">
          <a:extLst xmlns:a="http://schemas.openxmlformats.org/drawingml/2006/main">
            <a:ext uri="{FF2B5EF4-FFF2-40B4-BE49-F238E27FC236}">
              <a16:creationId xmlns:a16="http://schemas.microsoft.com/office/drawing/2014/main" id="{CFD04E1F-2F1B-3643-AF60-E29E7DCD3C06}"/>
            </a:ext>
          </a:extLst>
        </cdr:cNvPr>
        <cdr:cNvSpPr txBox="1">
          <a:spLocks xmlns:a="http://schemas.openxmlformats.org/drawingml/2006/main" noChangeArrowheads="1"/>
        </cdr:cNvSpPr>
      </cdr:nvSpPr>
      <cdr:spPr bwMode="auto">
        <a:xfrm xmlns:a="http://schemas.openxmlformats.org/drawingml/2006/main">
          <a:off x="1193775" y="1790468"/>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-1.4%</a:t>
          </a:r>
        </a:p>
      </cdr:txBody>
    </cdr:sp>
  </cdr:relSizeAnchor>
  <cdr:relSizeAnchor xmlns:cdr="http://schemas.openxmlformats.org/drawingml/2006/chartDrawing">
    <cdr:from>
      <cdr:x>0.76704</cdr:x>
      <cdr:y>0.74883</cdr:y>
    </cdr:from>
    <cdr:to>
      <cdr:x>0.76704</cdr:x>
      <cdr:y>0.74883</cdr:y>
    </cdr:to>
    <cdr:sp macro="" textlink="">
      <cdr:nvSpPr>
        <cdr:cNvPr id="18" name="Text Box 3">
          <a:extLst xmlns:a="http://schemas.openxmlformats.org/drawingml/2006/main">
            <a:ext uri="{FF2B5EF4-FFF2-40B4-BE49-F238E27FC236}">
              <a16:creationId xmlns:a16="http://schemas.microsoft.com/office/drawing/2014/main" id="{AB810CF9-A526-6B49-984B-65306BFAFD0D}"/>
            </a:ext>
          </a:extLst>
        </cdr:cNvPr>
        <cdr:cNvSpPr txBox="1">
          <a:spLocks xmlns:a="http://schemas.openxmlformats.org/drawingml/2006/main" noChangeArrowheads="1"/>
        </cdr:cNvSpPr>
      </cdr:nvSpPr>
      <cdr:spPr bwMode="auto">
        <a:xfrm xmlns:a="http://schemas.openxmlformats.org/drawingml/2006/main">
          <a:off x="1402766" y="1664275"/>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a:t>
          </a:r>
        </a:p>
      </cdr:txBody>
    </cdr:sp>
  </cdr:relSizeAnchor>
  <cdr:relSizeAnchor xmlns:cdr="http://schemas.openxmlformats.org/drawingml/2006/chartDrawing">
    <cdr:from>
      <cdr:x>0.26436</cdr:x>
      <cdr:y>0.70827</cdr:y>
    </cdr:from>
    <cdr:to>
      <cdr:x>0.26436</cdr:x>
      <cdr:y>0.70827</cdr:y>
    </cdr:to>
    <cdr:sp macro="" textlink="">
      <cdr:nvSpPr>
        <cdr:cNvPr id="19" name="Text Box 4">
          <a:extLst xmlns:a="http://schemas.openxmlformats.org/drawingml/2006/main">
            <a:ext uri="{FF2B5EF4-FFF2-40B4-BE49-F238E27FC236}">
              <a16:creationId xmlns:a16="http://schemas.microsoft.com/office/drawing/2014/main" id="{316F89A2-3252-2340-8658-D52FF7A4846F}"/>
            </a:ext>
          </a:extLst>
        </cdr:cNvPr>
        <cdr:cNvSpPr txBox="1">
          <a:spLocks xmlns:a="http://schemas.openxmlformats.org/drawingml/2006/main" noChangeArrowheads="1"/>
        </cdr:cNvSpPr>
      </cdr:nvSpPr>
      <cdr:spPr bwMode="auto">
        <a:xfrm xmlns:a="http://schemas.openxmlformats.org/drawingml/2006/main">
          <a:off x="483464" y="1574136"/>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0.534</cdr:x>
      <cdr:y>0.59471</cdr:y>
    </cdr:from>
    <cdr:to>
      <cdr:x>0.534</cdr:x>
      <cdr:y>0.59471</cdr:y>
    </cdr:to>
    <cdr:sp macro="" textlink="">
      <cdr:nvSpPr>
        <cdr:cNvPr id="22" name="Text Box 1">
          <a:extLst xmlns:a="http://schemas.openxmlformats.org/drawingml/2006/main">
            <a:ext uri="{FF2B5EF4-FFF2-40B4-BE49-F238E27FC236}">
              <a16:creationId xmlns:a16="http://schemas.microsoft.com/office/drawing/2014/main" id="{D82BAD52-C122-E14F-B3BB-3718C0599EA6}"/>
            </a:ext>
          </a:extLst>
        </cdr:cNvPr>
        <cdr:cNvSpPr txBox="1">
          <a:spLocks xmlns:a="http://schemas.openxmlformats.org/drawingml/2006/main" noChangeArrowheads="1"/>
        </cdr:cNvSpPr>
      </cdr:nvSpPr>
      <cdr:spPr bwMode="auto">
        <a:xfrm xmlns:a="http://schemas.openxmlformats.org/drawingml/2006/main">
          <a:off x="976579" y="1321749"/>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0.65276</cdr:x>
      <cdr:y>0.80561</cdr:y>
    </cdr:from>
    <cdr:to>
      <cdr:x>0.65276</cdr:x>
      <cdr:y>0.80561</cdr:y>
    </cdr:to>
    <cdr:sp macro="" textlink="">
      <cdr:nvSpPr>
        <cdr:cNvPr id="23" name="Text Box 2">
          <a:extLst xmlns:a="http://schemas.openxmlformats.org/drawingml/2006/main">
            <a:ext uri="{FF2B5EF4-FFF2-40B4-BE49-F238E27FC236}">
              <a16:creationId xmlns:a16="http://schemas.microsoft.com/office/drawing/2014/main" id="{87261BCC-3DFC-BF48-B185-4D7286057536}"/>
            </a:ext>
          </a:extLst>
        </cdr:cNvPr>
        <cdr:cNvSpPr txBox="1">
          <a:spLocks xmlns:a="http://schemas.openxmlformats.org/drawingml/2006/main" noChangeArrowheads="1"/>
        </cdr:cNvSpPr>
      </cdr:nvSpPr>
      <cdr:spPr bwMode="auto">
        <a:xfrm xmlns:a="http://schemas.openxmlformats.org/drawingml/2006/main">
          <a:off x="1193775" y="1790468"/>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-1.4%</a:t>
          </a:r>
        </a:p>
      </cdr:txBody>
    </cdr:sp>
  </cdr:relSizeAnchor>
  <cdr:relSizeAnchor xmlns:cdr="http://schemas.openxmlformats.org/drawingml/2006/chartDrawing">
    <cdr:from>
      <cdr:x>0.76704</cdr:x>
      <cdr:y>0.74883</cdr:y>
    </cdr:from>
    <cdr:to>
      <cdr:x>0.76704</cdr:x>
      <cdr:y>0.74883</cdr:y>
    </cdr:to>
    <cdr:sp macro="" textlink="">
      <cdr:nvSpPr>
        <cdr:cNvPr id="24" name="Text Box 3">
          <a:extLst xmlns:a="http://schemas.openxmlformats.org/drawingml/2006/main">
            <a:ext uri="{FF2B5EF4-FFF2-40B4-BE49-F238E27FC236}">
              <a16:creationId xmlns:a16="http://schemas.microsoft.com/office/drawing/2014/main" id="{DFCA9CF7-0007-0C45-8B99-E3640A596F61}"/>
            </a:ext>
          </a:extLst>
        </cdr:cNvPr>
        <cdr:cNvSpPr txBox="1">
          <a:spLocks xmlns:a="http://schemas.openxmlformats.org/drawingml/2006/main" noChangeArrowheads="1"/>
        </cdr:cNvSpPr>
      </cdr:nvSpPr>
      <cdr:spPr bwMode="auto">
        <a:xfrm xmlns:a="http://schemas.openxmlformats.org/drawingml/2006/main">
          <a:off x="1402766" y="1664275"/>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a:t>
          </a:r>
        </a:p>
      </cdr:txBody>
    </cdr:sp>
  </cdr:relSizeAnchor>
  <cdr:relSizeAnchor xmlns:cdr="http://schemas.openxmlformats.org/drawingml/2006/chartDrawing">
    <cdr:from>
      <cdr:x>0.26436</cdr:x>
      <cdr:y>0.70827</cdr:y>
    </cdr:from>
    <cdr:to>
      <cdr:x>0.26436</cdr:x>
      <cdr:y>0.70827</cdr:y>
    </cdr:to>
    <cdr:sp macro="" textlink="">
      <cdr:nvSpPr>
        <cdr:cNvPr id="25" name="Text Box 4">
          <a:extLst xmlns:a="http://schemas.openxmlformats.org/drawingml/2006/main">
            <a:ext uri="{FF2B5EF4-FFF2-40B4-BE49-F238E27FC236}">
              <a16:creationId xmlns:a16="http://schemas.microsoft.com/office/drawing/2014/main" id="{1CF88F20-2EAB-DF46-91A6-8578C43D4992}"/>
            </a:ext>
          </a:extLst>
        </cdr:cNvPr>
        <cdr:cNvSpPr txBox="1">
          <a:spLocks xmlns:a="http://schemas.openxmlformats.org/drawingml/2006/main" noChangeArrowheads="1"/>
        </cdr:cNvSpPr>
      </cdr:nvSpPr>
      <cdr:spPr bwMode="auto">
        <a:xfrm xmlns:a="http://schemas.openxmlformats.org/drawingml/2006/main">
          <a:off x="483464" y="1574136"/>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0.534</cdr:x>
      <cdr:y>0.59471</cdr:y>
    </cdr:from>
    <cdr:to>
      <cdr:x>0.534</cdr:x>
      <cdr:y>0.59471</cdr:y>
    </cdr:to>
    <cdr:sp macro="" textlink="">
      <cdr:nvSpPr>
        <cdr:cNvPr id="15" name="Text Box 1">
          <a:extLst xmlns:a="http://schemas.openxmlformats.org/drawingml/2006/main">
            <a:ext uri="{FF2B5EF4-FFF2-40B4-BE49-F238E27FC236}">
              <a16:creationId xmlns:a16="http://schemas.microsoft.com/office/drawing/2014/main" id="{A24DB43C-B6FC-724E-A30F-8731826D3B1D}"/>
            </a:ext>
          </a:extLst>
        </cdr:cNvPr>
        <cdr:cNvSpPr txBox="1">
          <a:spLocks xmlns:a="http://schemas.openxmlformats.org/drawingml/2006/main" noChangeArrowheads="1"/>
        </cdr:cNvSpPr>
      </cdr:nvSpPr>
      <cdr:spPr bwMode="auto">
        <a:xfrm xmlns:a="http://schemas.openxmlformats.org/drawingml/2006/main">
          <a:off x="976579" y="1321749"/>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0.65276</cdr:x>
      <cdr:y>0.80561</cdr:y>
    </cdr:from>
    <cdr:to>
      <cdr:x>0.65276</cdr:x>
      <cdr:y>0.80561</cdr:y>
    </cdr:to>
    <cdr:sp macro="" textlink="">
      <cdr:nvSpPr>
        <cdr:cNvPr id="21" name="Text Box 2">
          <a:extLst xmlns:a="http://schemas.openxmlformats.org/drawingml/2006/main">
            <a:ext uri="{FF2B5EF4-FFF2-40B4-BE49-F238E27FC236}">
              <a16:creationId xmlns:a16="http://schemas.microsoft.com/office/drawing/2014/main" id="{B492B2CE-DCFB-3942-B3D8-488796CE7EAE}"/>
            </a:ext>
          </a:extLst>
        </cdr:cNvPr>
        <cdr:cNvSpPr txBox="1">
          <a:spLocks xmlns:a="http://schemas.openxmlformats.org/drawingml/2006/main" noChangeArrowheads="1"/>
        </cdr:cNvSpPr>
      </cdr:nvSpPr>
      <cdr:spPr bwMode="auto">
        <a:xfrm xmlns:a="http://schemas.openxmlformats.org/drawingml/2006/main">
          <a:off x="1193775" y="1790468"/>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-1.4%</a:t>
          </a:r>
        </a:p>
      </cdr:txBody>
    </cdr:sp>
  </cdr:relSizeAnchor>
  <cdr:relSizeAnchor xmlns:cdr="http://schemas.openxmlformats.org/drawingml/2006/chartDrawing">
    <cdr:from>
      <cdr:x>0.76704</cdr:x>
      <cdr:y>0.74883</cdr:y>
    </cdr:from>
    <cdr:to>
      <cdr:x>0.76704</cdr:x>
      <cdr:y>0.74883</cdr:y>
    </cdr:to>
    <cdr:sp macro="" textlink="">
      <cdr:nvSpPr>
        <cdr:cNvPr id="26" name="Text Box 3">
          <a:extLst xmlns:a="http://schemas.openxmlformats.org/drawingml/2006/main">
            <a:ext uri="{FF2B5EF4-FFF2-40B4-BE49-F238E27FC236}">
              <a16:creationId xmlns:a16="http://schemas.microsoft.com/office/drawing/2014/main" id="{96A0704A-ECDD-5A4F-88C9-5E979593BCE9}"/>
            </a:ext>
          </a:extLst>
        </cdr:cNvPr>
        <cdr:cNvSpPr txBox="1">
          <a:spLocks xmlns:a="http://schemas.openxmlformats.org/drawingml/2006/main" noChangeArrowheads="1"/>
        </cdr:cNvSpPr>
      </cdr:nvSpPr>
      <cdr:spPr bwMode="auto">
        <a:xfrm xmlns:a="http://schemas.openxmlformats.org/drawingml/2006/main">
          <a:off x="1402766" y="1664275"/>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a:t>
          </a:r>
        </a:p>
      </cdr:txBody>
    </cdr:sp>
  </cdr:relSizeAnchor>
  <cdr:relSizeAnchor xmlns:cdr="http://schemas.openxmlformats.org/drawingml/2006/chartDrawing">
    <cdr:from>
      <cdr:x>0.26436</cdr:x>
      <cdr:y>0.70827</cdr:y>
    </cdr:from>
    <cdr:to>
      <cdr:x>0.26436</cdr:x>
      <cdr:y>0.70827</cdr:y>
    </cdr:to>
    <cdr:sp macro="" textlink="">
      <cdr:nvSpPr>
        <cdr:cNvPr id="27" name="Text Box 4">
          <a:extLst xmlns:a="http://schemas.openxmlformats.org/drawingml/2006/main">
            <a:ext uri="{FF2B5EF4-FFF2-40B4-BE49-F238E27FC236}">
              <a16:creationId xmlns:a16="http://schemas.microsoft.com/office/drawing/2014/main" id="{34DEA2B0-3982-5149-BD46-4403BAC5F5D2}"/>
            </a:ext>
          </a:extLst>
        </cdr:cNvPr>
        <cdr:cNvSpPr txBox="1">
          <a:spLocks xmlns:a="http://schemas.openxmlformats.org/drawingml/2006/main" noChangeArrowheads="1"/>
        </cdr:cNvSpPr>
      </cdr:nvSpPr>
      <cdr:spPr bwMode="auto">
        <a:xfrm xmlns:a="http://schemas.openxmlformats.org/drawingml/2006/main">
          <a:off x="483464" y="1574136"/>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0.37079</cdr:x>
      <cdr:y>0.5766</cdr:y>
    </cdr:from>
    <cdr:to>
      <cdr:x>0.77024</cdr:x>
      <cdr:y>0.63846</cdr:y>
    </cdr:to>
    <cdr:sp macro="" textlink="">
      <cdr:nvSpPr>
        <cdr:cNvPr id="28" name="Text Box 6">
          <a:extLst xmlns:a="http://schemas.openxmlformats.org/drawingml/2006/main">
            <a:ext uri="{FF2B5EF4-FFF2-40B4-BE49-F238E27FC236}">
              <a16:creationId xmlns:a16="http://schemas.microsoft.com/office/drawing/2014/main" id="{BBE05279-DC26-5746-88A7-F119AAA82A9F}"/>
            </a:ext>
          </a:extLst>
        </cdr:cNvPr>
        <cdr:cNvSpPr txBox="1">
          <a:spLocks xmlns:a="http://schemas.openxmlformats.org/drawingml/2006/main" noChangeArrowheads="1"/>
        </cdr:cNvSpPr>
      </cdr:nvSpPr>
      <cdr:spPr bwMode="auto">
        <a:xfrm xmlns:a="http://schemas.openxmlformats.org/drawingml/2006/main">
          <a:off x="728958" y="1298588"/>
          <a:ext cx="785303" cy="139317"/>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FF0000"/>
              </a:solidFill>
              <a:latin typeface="Arial"/>
              <a:ea typeface="Arial"/>
              <a:cs typeface="Arial"/>
            </a:rPr>
            <a:t>Intervention</a:t>
          </a:r>
        </a:p>
      </cdr:txBody>
    </cdr:sp>
  </cdr:relSizeAnchor>
</c:userShapes>
</file>

<file path=xl/drawings/drawing69.xml><?xml version="1.0" encoding="utf-8"?>
<c:userShapes xmlns:c="http://schemas.openxmlformats.org/drawingml/2006/chart">
  <cdr:relSizeAnchor xmlns:cdr="http://schemas.openxmlformats.org/drawingml/2006/chartDrawing">
    <cdr:from>
      <cdr:x>0.534</cdr:x>
      <cdr:y>0.59471</cdr:y>
    </cdr:from>
    <cdr:to>
      <cdr:x>0.534</cdr:x>
      <cdr:y>0.59471</cdr:y>
    </cdr:to>
    <cdr:sp macro="" textlink="">
      <cdr:nvSpPr>
        <cdr:cNvPr id="994305" name="Text Box 1"/>
        <cdr:cNvSpPr txBox="1">
          <a:spLocks xmlns:a="http://schemas.openxmlformats.org/drawingml/2006/main" noChangeArrowheads="1"/>
        </cdr:cNvSpPr>
      </cdr:nvSpPr>
      <cdr:spPr bwMode="auto">
        <a:xfrm xmlns:a="http://schemas.openxmlformats.org/drawingml/2006/main">
          <a:off x="976579" y="1321749"/>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0.65276</cdr:x>
      <cdr:y>0.80561</cdr:y>
    </cdr:from>
    <cdr:to>
      <cdr:x>0.65276</cdr:x>
      <cdr:y>0.80561</cdr:y>
    </cdr:to>
    <cdr:sp macro="" textlink="">
      <cdr:nvSpPr>
        <cdr:cNvPr id="994306" name="Text Box 2"/>
        <cdr:cNvSpPr txBox="1">
          <a:spLocks xmlns:a="http://schemas.openxmlformats.org/drawingml/2006/main" noChangeArrowheads="1"/>
        </cdr:cNvSpPr>
      </cdr:nvSpPr>
      <cdr:spPr bwMode="auto">
        <a:xfrm xmlns:a="http://schemas.openxmlformats.org/drawingml/2006/main">
          <a:off x="1193775" y="1790468"/>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-1.4%</a:t>
          </a:r>
        </a:p>
      </cdr:txBody>
    </cdr:sp>
  </cdr:relSizeAnchor>
  <cdr:relSizeAnchor xmlns:cdr="http://schemas.openxmlformats.org/drawingml/2006/chartDrawing">
    <cdr:from>
      <cdr:x>0.76704</cdr:x>
      <cdr:y>0.74883</cdr:y>
    </cdr:from>
    <cdr:to>
      <cdr:x>0.76704</cdr:x>
      <cdr:y>0.74883</cdr:y>
    </cdr:to>
    <cdr:sp macro="" textlink="">
      <cdr:nvSpPr>
        <cdr:cNvPr id="994307" name="Text Box 3"/>
        <cdr:cNvSpPr txBox="1">
          <a:spLocks xmlns:a="http://schemas.openxmlformats.org/drawingml/2006/main" noChangeArrowheads="1"/>
        </cdr:cNvSpPr>
      </cdr:nvSpPr>
      <cdr:spPr bwMode="auto">
        <a:xfrm xmlns:a="http://schemas.openxmlformats.org/drawingml/2006/main">
          <a:off x="1402766" y="1664275"/>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a:t>
          </a:r>
        </a:p>
      </cdr:txBody>
    </cdr:sp>
  </cdr:relSizeAnchor>
  <cdr:relSizeAnchor xmlns:cdr="http://schemas.openxmlformats.org/drawingml/2006/chartDrawing">
    <cdr:from>
      <cdr:x>0.26436</cdr:x>
      <cdr:y>0.70827</cdr:y>
    </cdr:from>
    <cdr:to>
      <cdr:x>0.26436</cdr:x>
      <cdr:y>0.70827</cdr:y>
    </cdr:to>
    <cdr:sp macro="" textlink="">
      <cdr:nvSpPr>
        <cdr:cNvPr id="994308" name="Text Box 4"/>
        <cdr:cNvSpPr txBox="1">
          <a:spLocks xmlns:a="http://schemas.openxmlformats.org/drawingml/2006/main" noChangeArrowheads="1"/>
        </cdr:cNvSpPr>
      </cdr:nvSpPr>
      <cdr:spPr bwMode="auto">
        <a:xfrm xmlns:a="http://schemas.openxmlformats.org/drawingml/2006/main">
          <a:off x="483464" y="1574136"/>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0.45595</cdr:x>
      <cdr:y>0.41048</cdr:y>
    </cdr:from>
    <cdr:to>
      <cdr:x>0.82736</cdr:x>
      <cdr:y>0.49804</cdr:y>
    </cdr:to>
    <cdr:sp macro="" textlink="">
      <cdr:nvSpPr>
        <cdr:cNvPr id="994311" name="Text Box 7"/>
        <cdr:cNvSpPr txBox="1">
          <a:spLocks xmlns:a="http://schemas.openxmlformats.org/drawingml/2006/main" noChangeArrowheads="1"/>
        </cdr:cNvSpPr>
      </cdr:nvSpPr>
      <cdr:spPr bwMode="auto">
        <a:xfrm xmlns:a="http://schemas.openxmlformats.org/drawingml/2006/main">
          <a:off x="896380" y="924462"/>
          <a:ext cx="730177" cy="197197"/>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wrap="none" lIns="18288" tIns="18288" rIns="0" bIns="0" anchor="t" upright="1">
          <a:spAutoFit/>
        </a:bodyPr>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0.534</cdr:x>
      <cdr:y>0.59471</cdr:y>
    </cdr:from>
    <cdr:to>
      <cdr:x>0.534</cdr:x>
      <cdr:y>0.59471</cdr:y>
    </cdr:to>
    <cdr:sp macro="" textlink="">
      <cdr:nvSpPr>
        <cdr:cNvPr id="2" name="Text Box 1">
          <a:extLst xmlns:a="http://schemas.openxmlformats.org/drawingml/2006/main">
            <a:ext uri="{FF2B5EF4-FFF2-40B4-BE49-F238E27FC236}">
              <a16:creationId xmlns:a16="http://schemas.microsoft.com/office/drawing/2014/main" id="{D82BAD52-C122-E14F-B3BB-3718C0599EA6}"/>
            </a:ext>
          </a:extLst>
        </cdr:cNvPr>
        <cdr:cNvSpPr txBox="1">
          <a:spLocks xmlns:a="http://schemas.openxmlformats.org/drawingml/2006/main" noChangeArrowheads="1"/>
        </cdr:cNvSpPr>
      </cdr:nvSpPr>
      <cdr:spPr bwMode="auto">
        <a:xfrm xmlns:a="http://schemas.openxmlformats.org/drawingml/2006/main">
          <a:off x="976579" y="1321749"/>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0.65276</cdr:x>
      <cdr:y>0.80561</cdr:y>
    </cdr:from>
    <cdr:to>
      <cdr:x>0.65276</cdr:x>
      <cdr:y>0.80561</cdr:y>
    </cdr:to>
    <cdr:sp macro="" textlink="">
      <cdr:nvSpPr>
        <cdr:cNvPr id="3" name="Text Box 2">
          <a:extLst xmlns:a="http://schemas.openxmlformats.org/drawingml/2006/main">
            <a:ext uri="{FF2B5EF4-FFF2-40B4-BE49-F238E27FC236}">
              <a16:creationId xmlns:a16="http://schemas.microsoft.com/office/drawing/2014/main" id="{87261BCC-3DFC-BF48-B185-4D7286057536}"/>
            </a:ext>
          </a:extLst>
        </cdr:cNvPr>
        <cdr:cNvSpPr txBox="1">
          <a:spLocks xmlns:a="http://schemas.openxmlformats.org/drawingml/2006/main" noChangeArrowheads="1"/>
        </cdr:cNvSpPr>
      </cdr:nvSpPr>
      <cdr:spPr bwMode="auto">
        <a:xfrm xmlns:a="http://schemas.openxmlformats.org/drawingml/2006/main">
          <a:off x="1193775" y="1790468"/>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-1.4%</a:t>
          </a:r>
        </a:p>
      </cdr:txBody>
    </cdr:sp>
  </cdr:relSizeAnchor>
  <cdr:relSizeAnchor xmlns:cdr="http://schemas.openxmlformats.org/drawingml/2006/chartDrawing">
    <cdr:from>
      <cdr:x>0.76704</cdr:x>
      <cdr:y>0.74883</cdr:y>
    </cdr:from>
    <cdr:to>
      <cdr:x>0.76704</cdr:x>
      <cdr:y>0.74883</cdr:y>
    </cdr:to>
    <cdr:sp macro="" textlink="">
      <cdr:nvSpPr>
        <cdr:cNvPr id="4" name="Text Box 3">
          <a:extLst xmlns:a="http://schemas.openxmlformats.org/drawingml/2006/main">
            <a:ext uri="{FF2B5EF4-FFF2-40B4-BE49-F238E27FC236}">
              <a16:creationId xmlns:a16="http://schemas.microsoft.com/office/drawing/2014/main" id="{DFCA9CF7-0007-0C45-8B99-E3640A596F61}"/>
            </a:ext>
          </a:extLst>
        </cdr:cNvPr>
        <cdr:cNvSpPr txBox="1">
          <a:spLocks xmlns:a="http://schemas.openxmlformats.org/drawingml/2006/main" noChangeArrowheads="1"/>
        </cdr:cNvSpPr>
      </cdr:nvSpPr>
      <cdr:spPr bwMode="auto">
        <a:xfrm xmlns:a="http://schemas.openxmlformats.org/drawingml/2006/main">
          <a:off x="1402766" y="1664275"/>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a:t>
          </a:r>
        </a:p>
      </cdr:txBody>
    </cdr:sp>
  </cdr:relSizeAnchor>
  <cdr:relSizeAnchor xmlns:cdr="http://schemas.openxmlformats.org/drawingml/2006/chartDrawing">
    <cdr:from>
      <cdr:x>0.26436</cdr:x>
      <cdr:y>0.70827</cdr:y>
    </cdr:from>
    <cdr:to>
      <cdr:x>0.26436</cdr:x>
      <cdr:y>0.70827</cdr:y>
    </cdr:to>
    <cdr:sp macro="" textlink="">
      <cdr:nvSpPr>
        <cdr:cNvPr id="5" name="Text Box 4">
          <a:extLst xmlns:a="http://schemas.openxmlformats.org/drawingml/2006/main">
            <a:ext uri="{FF2B5EF4-FFF2-40B4-BE49-F238E27FC236}">
              <a16:creationId xmlns:a16="http://schemas.microsoft.com/office/drawing/2014/main" id="{1CF88F20-2EAB-DF46-91A6-8578C43D4992}"/>
            </a:ext>
          </a:extLst>
        </cdr:cNvPr>
        <cdr:cNvSpPr txBox="1">
          <a:spLocks xmlns:a="http://schemas.openxmlformats.org/drawingml/2006/main" noChangeArrowheads="1"/>
        </cdr:cNvSpPr>
      </cdr:nvSpPr>
      <cdr:spPr bwMode="auto">
        <a:xfrm xmlns:a="http://schemas.openxmlformats.org/drawingml/2006/main">
          <a:off x="483464" y="1574136"/>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0.534</cdr:x>
      <cdr:y>0.59471</cdr:y>
    </cdr:from>
    <cdr:to>
      <cdr:x>0.534</cdr:x>
      <cdr:y>0.59471</cdr:y>
    </cdr:to>
    <cdr:sp macro="" textlink="">
      <cdr:nvSpPr>
        <cdr:cNvPr id="16" name="Text Box 1">
          <a:extLst xmlns:a="http://schemas.openxmlformats.org/drawingml/2006/main">
            <a:ext uri="{FF2B5EF4-FFF2-40B4-BE49-F238E27FC236}">
              <a16:creationId xmlns:a16="http://schemas.microsoft.com/office/drawing/2014/main" id="{2A5B2DA1-B067-684B-8D4D-8DA174C5F355}"/>
            </a:ext>
          </a:extLst>
        </cdr:cNvPr>
        <cdr:cNvSpPr txBox="1">
          <a:spLocks xmlns:a="http://schemas.openxmlformats.org/drawingml/2006/main" noChangeArrowheads="1"/>
        </cdr:cNvSpPr>
      </cdr:nvSpPr>
      <cdr:spPr bwMode="auto">
        <a:xfrm xmlns:a="http://schemas.openxmlformats.org/drawingml/2006/main">
          <a:off x="976579" y="1321749"/>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0.65276</cdr:x>
      <cdr:y>0.80561</cdr:y>
    </cdr:from>
    <cdr:to>
      <cdr:x>0.65276</cdr:x>
      <cdr:y>0.80561</cdr:y>
    </cdr:to>
    <cdr:sp macro="" textlink="">
      <cdr:nvSpPr>
        <cdr:cNvPr id="17" name="Text Box 2">
          <a:extLst xmlns:a="http://schemas.openxmlformats.org/drawingml/2006/main">
            <a:ext uri="{FF2B5EF4-FFF2-40B4-BE49-F238E27FC236}">
              <a16:creationId xmlns:a16="http://schemas.microsoft.com/office/drawing/2014/main" id="{CFD04E1F-2F1B-3643-AF60-E29E7DCD3C06}"/>
            </a:ext>
          </a:extLst>
        </cdr:cNvPr>
        <cdr:cNvSpPr txBox="1">
          <a:spLocks xmlns:a="http://schemas.openxmlformats.org/drawingml/2006/main" noChangeArrowheads="1"/>
        </cdr:cNvSpPr>
      </cdr:nvSpPr>
      <cdr:spPr bwMode="auto">
        <a:xfrm xmlns:a="http://schemas.openxmlformats.org/drawingml/2006/main">
          <a:off x="1193775" y="1790468"/>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-1.4%</a:t>
          </a:r>
        </a:p>
      </cdr:txBody>
    </cdr:sp>
  </cdr:relSizeAnchor>
  <cdr:relSizeAnchor xmlns:cdr="http://schemas.openxmlformats.org/drawingml/2006/chartDrawing">
    <cdr:from>
      <cdr:x>0.76704</cdr:x>
      <cdr:y>0.74883</cdr:y>
    </cdr:from>
    <cdr:to>
      <cdr:x>0.76704</cdr:x>
      <cdr:y>0.74883</cdr:y>
    </cdr:to>
    <cdr:sp macro="" textlink="">
      <cdr:nvSpPr>
        <cdr:cNvPr id="18" name="Text Box 3">
          <a:extLst xmlns:a="http://schemas.openxmlformats.org/drawingml/2006/main">
            <a:ext uri="{FF2B5EF4-FFF2-40B4-BE49-F238E27FC236}">
              <a16:creationId xmlns:a16="http://schemas.microsoft.com/office/drawing/2014/main" id="{AB810CF9-A526-6B49-984B-65306BFAFD0D}"/>
            </a:ext>
          </a:extLst>
        </cdr:cNvPr>
        <cdr:cNvSpPr txBox="1">
          <a:spLocks xmlns:a="http://schemas.openxmlformats.org/drawingml/2006/main" noChangeArrowheads="1"/>
        </cdr:cNvSpPr>
      </cdr:nvSpPr>
      <cdr:spPr bwMode="auto">
        <a:xfrm xmlns:a="http://schemas.openxmlformats.org/drawingml/2006/main">
          <a:off x="1402766" y="1664275"/>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a:t>
          </a:r>
        </a:p>
      </cdr:txBody>
    </cdr:sp>
  </cdr:relSizeAnchor>
  <cdr:relSizeAnchor xmlns:cdr="http://schemas.openxmlformats.org/drawingml/2006/chartDrawing">
    <cdr:from>
      <cdr:x>0.26436</cdr:x>
      <cdr:y>0.70827</cdr:y>
    </cdr:from>
    <cdr:to>
      <cdr:x>0.26436</cdr:x>
      <cdr:y>0.70827</cdr:y>
    </cdr:to>
    <cdr:sp macro="" textlink="">
      <cdr:nvSpPr>
        <cdr:cNvPr id="19" name="Text Box 4">
          <a:extLst xmlns:a="http://schemas.openxmlformats.org/drawingml/2006/main">
            <a:ext uri="{FF2B5EF4-FFF2-40B4-BE49-F238E27FC236}">
              <a16:creationId xmlns:a16="http://schemas.microsoft.com/office/drawing/2014/main" id="{316F89A2-3252-2340-8658-D52FF7A4846F}"/>
            </a:ext>
          </a:extLst>
        </cdr:cNvPr>
        <cdr:cNvSpPr txBox="1">
          <a:spLocks xmlns:a="http://schemas.openxmlformats.org/drawingml/2006/main" noChangeArrowheads="1"/>
        </cdr:cNvSpPr>
      </cdr:nvSpPr>
      <cdr:spPr bwMode="auto">
        <a:xfrm xmlns:a="http://schemas.openxmlformats.org/drawingml/2006/main">
          <a:off x="483464" y="1574136"/>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0.534</cdr:x>
      <cdr:y>0.59471</cdr:y>
    </cdr:from>
    <cdr:to>
      <cdr:x>0.534</cdr:x>
      <cdr:y>0.59471</cdr:y>
    </cdr:to>
    <cdr:sp macro="" textlink="">
      <cdr:nvSpPr>
        <cdr:cNvPr id="22" name="Text Box 1">
          <a:extLst xmlns:a="http://schemas.openxmlformats.org/drawingml/2006/main">
            <a:ext uri="{FF2B5EF4-FFF2-40B4-BE49-F238E27FC236}">
              <a16:creationId xmlns:a16="http://schemas.microsoft.com/office/drawing/2014/main" id="{D82BAD52-C122-E14F-B3BB-3718C0599EA6}"/>
            </a:ext>
          </a:extLst>
        </cdr:cNvPr>
        <cdr:cNvSpPr txBox="1">
          <a:spLocks xmlns:a="http://schemas.openxmlformats.org/drawingml/2006/main" noChangeArrowheads="1"/>
        </cdr:cNvSpPr>
      </cdr:nvSpPr>
      <cdr:spPr bwMode="auto">
        <a:xfrm xmlns:a="http://schemas.openxmlformats.org/drawingml/2006/main">
          <a:off x="976579" y="1321749"/>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0.65276</cdr:x>
      <cdr:y>0.80561</cdr:y>
    </cdr:from>
    <cdr:to>
      <cdr:x>0.65276</cdr:x>
      <cdr:y>0.80561</cdr:y>
    </cdr:to>
    <cdr:sp macro="" textlink="">
      <cdr:nvSpPr>
        <cdr:cNvPr id="23" name="Text Box 2">
          <a:extLst xmlns:a="http://schemas.openxmlformats.org/drawingml/2006/main">
            <a:ext uri="{FF2B5EF4-FFF2-40B4-BE49-F238E27FC236}">
              <a16:creationId xmlns:a16="http://schemas.microsoft.com/office/drawing/2014/main" id="{87261BCC-3DFC-BF48-B185-4D7286057536}"/>
            </a:ext>
          </a:extLst>
        </cdr:cNvPr>
        <cdr:cNvSpPr txBox="1">
          <a:spLocks xmlns:a="http://schemas.openxmlformats.org/drawingml/2006/main" noChangeArrowheads="1"/>
        </cdr:cNvSpPr>
      </cdr:nvSpPr>
      <cdr:spPr bwMode="auto">
        <a:xfrm xmlns:a="http://schemas.openxmlformats.org/drawingml/2006/main">
          <a:off x="1193775" y="1790468"/>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-1.4%</a:t>
          </a:r>
        </a:p>
      </cdr:txBody>
    </cdr:sp>
  </cdr:relSizeAnchor>
  <cdr:relSizeAnchor xmlns:cdr="http://schemas.openxmlformats.org/drawingml/2006/chartDrawing">
    <cdr:from>
      <cdr:x>0.76704</cdr:x>
      <cdr:y>0.74883</cdr:y>
    </cdr:from>
    <cdr:to>
      <cdr:x>0.76704</cdr:x>
      <cdr:y>0.74883</cdr:y>
    </cdr:to>
    <cdr:sp macro="" textlink="">
      <cdr:nvSpPr>
        <cdr:cNvPr id="24" name="Text Box 3">
          <a:extLst xmlns:a="http://schemas.openxmlformats.org/drawingml/2006/main">
            <a:ext uri="{FF2B5EF4-FFF2-40B4-BE49-F238E27FC236}">
              <a16:creationId xmlns:a16="http://schemas.microsoft.com/office/drawing/2014/main" id="{DFCA9CF7-0007-0C45-8B99-E3640A596F61}"/>
            </a:ext>
          </a:extLst>
        </cdr:cNvPr>
        <cdr:cNvSpPr txBox="1">
          <a:spLocks xmlns:a="http://schemas.openxmlformats.org/drawingml/2006/main" noChangeArrowheads="1"/>
        </cdr:cNvSpPr>
      </cdr:nvSpPr>
      <cdr:spPr bwMode="auto">
        <a:xfrm xmlns:a="http://schemas.openxmlformats.org/drawingml/2006/main">
          <a:off x="1402766" y="1664275"/>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a:t>
          </a:r>
        </a:p>
      </cdr:txBody>
    </cdr:sp>
  </cdr:relSizeAnchor>
  <cdr:relSizeAnchor xmlns:cdr="http://schemas.openxmlformats.org/drawingml/2006/chartDrawing">
    <cdr:from>
      <cdr:x>0.26436</cdr:x>
      <cdr:y>0.70827</cdr:y>
    </cdr:from>
    <cdr:to>
      <cdr:x>0.26436</cdr:x>
      <cdr:y>0.70827</cdr:y>
    </cdr:to>
    <cdr:sp macro="" textlink="">
      <cdr:nvSpPr>
        <cdr:cNvPr id="25" name="Text Box 4">
          <a:extLst xmlns:a="http://schemas.openxmlformats.org/drawingml/2006/main">
            <a:ext uri="{FF2B5EF4-FFF2-40B4-BE49-F238E27FC236}">
              <a16:creationId xmlns:a16="http://schemas.microsoft.com/office/drawing/2014/main" id="{1CF88F20-2EAB-DF46-91A6-8578C43D4992}"/>
            </a:ext>
          </a:extLst>
        </cdr:cNvPr>
        <cdr:cNvSpPr txBox="1">
          <a:spLocks xmlns:a="http://schemas.openxmlformats.org/drawingml/2006/main" noChangeArrowheads="1"/>
        </cdr:cNvSpPr>
      </cdr:nvSpPr>
      <cdr:spPr bwMode="auto">
        <a:xfrm xmlns:a="http://schemas.openxmlformats.org/drawingml/2006/main">
          <a:off x="483464" y="1574136"/>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0.534</cdr:x>
      <cdr:y>0.59471</cdr:y>
    </cdr:from>
    <cdr:to>
      <cdr:x>0.534</cdr:x>
      <cdr:y>0.59471</cdr:y>
    </cdr:to>
    <cdr:sp macro="" textlink="">
      <cdr:nvSpPr>
        <cdr:cNvPr id="15" name="Text Box 1">
          <a:extLst xmlns:a="http://schemas.openxmlformats.org/drawingml/2006/main">
            <a:ext uri="{FF2B5EF4-FFF2-40B4-BE49-F238E27FC236}">
              <a16:creationId xmlns:a16="http://schemas.microsoft.com/office/drawing/2014/main" id="{A24DB43C-B6FC-724E-A30F-8731826D3B1D}"/>
            </a:ext>
          </a:extLst>
        </cdr:cNvPr>
        <cdr:cNvSpPr txBox="1">
          <a:spLocks xmlns:a="http://schemas.openxmlformats.org/drawingml/2006/main" noChangeArrowheads="1"/>
        </cdr:cNvSpPr>
      </cdr:nvSpPr>
      <cdr:spPr bwMode="auto">
        <a:xfrm xmlns:a="http://schemas.openxmlformats.org/drawingml/2006/main">
          <a:off x="976579" y="1321749"/>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0.65276</cdr:x>
      <cdr:y>0.80561</cdr:y>
    </cdr:from>
    <cdr:to>
      <cdr:x>0.65276</cdr:x>
      <cdr:y>0.80561</cdr:y>
    </cdr:to>
    <cdr:sp macro="" textlink="">
      <cdr:nvSpPr>
        <cdr:cNvPr id="21" name="Text Box 2">
          <a:extLst xmlns:a="http://schemas.openxmlformats.org/drawingml/2006/main">
            <a:ext uri="{FF2B5EF4-FFF2-40B4-BE49-F238E27FC236}">
              <a16:creationId xmlns:a16="http://schemas.microsoft.com/office/drawing/2014/main" id="{B492B2CE-DCFB-3942-B3D8-488796CE7EAE}"/>
            </a:ext>
          </a:extLst>
        </cdr:cNvPr>
        <cdr:cNvSpPr txBox="1">
          <a:spLocks xmlns:a="http://schemas.openxmlformats.org/drawingml/2006/main" noChangeArrowheads="1"/>
        </cdr:cNvSpPr>
      </cdr:nvSpPr>
      <cdr:spPr bwMode="auto">
        <a:xfrm xmlns:a="http://schemas.openxmlformats.org/drawingml/2006/main">
          <a:off x="1193775" y="1790468"/>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-1.4%</a:t>
          </a:r>
        </a:p>
      </cdr:txBody>
    </cdr:sp>
  </cdr:relSizeAnchor>
  <cdr:relSizeAnchor xmlns:cdr="http://schemas.openxmlformats.org/drawingml/2006/chartDrawing">
    <cdr:from>
      <cdr:x>0.76704</cdr:x>
      <cdr:y>0.74883</cdr:y>
    </cdr:from>
    <cdr:to>
      <cdr:x>0.76704</cdr:x>
      <cdr:y>0.74883</cdr:y>
    </cdr:to>
    <cdr:sp macro="" textlink="">
      <cdr:nvSpPr>
        <cdr:cNvPr id="26" name="Text Box 3">
          <a:extLst xmlns:a="http://schemas.openxmlformats.org/drawingml/2006/main">
            <a:ext uri="{FF2B5EF4-FFF2-40B4-BE49-F238E27FC236}">
              <a16:creationId xmlns:a16="http://schemas.microsoft.com/office/drawing/2014/main" id="{96A0704A-ECDD-5A4F-88C9-5E979593BCE9}"/>
            </a:ext>
          </a:extLst>
        </cdr:cNvPr>
        <cdr:cNvSpPr txBox="1">
          <a:spLocks xmlns:a="http://schemas.openxmlformats.org/drawingml/2006/main" noChangeArrowheads="1"/>
        </cdr:cNvSpPr>
      </cdr:nvSpPr>
      <cdr:spPr bwMode="auto">
        <a:xfrm xmlns:a="http://schemas.openxmlformats.org/drawingml/2006/main">
          <a:off x="1402766" y="1664275"/>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a:t>
          </a:r>
        </a:p>
      </cdr:txBody>
    </cdr:sp>
  </cdr:relSizeAnchor>
  <cdr:relSizeAnchor xmlns:cdr="http://schemas.openxmlformats.org/drawingml/2006/chartDrawing">
    <cdr:from>
      <cdr:x>0.26436</cdr:x>
      <cdr:y>0.70827</cdr:y>
    </cdr:from>
    <cdr:to>
      <cdr:x>0.26436</cdr:x>
      <cdr:y>0.70827</cdr:y>
    </cdr:to>
    <cdr:sp macro="" textlink="">
      <cdr:nvSpPr>
        <cdr:cNvPr id="27" name="Text Box 4">
          <a:extLst xmlns:a="http://schemas.openxmlformats.org/drawingml/2006/main">
            <a:ext uri="{FF2B5EF4-FFF2-40B4-BE49-F238E27FC236}">
              <a16:creationId xmlns:a16="http://schemas.microsoft.com/office/drawing/2014/main" id="{34DEA2B0-3982-5149-BD46-4403BAC5F5D2}"/>
            </a:ext>
          </a:extLst>
        </cdr:cNvPr>
        <cdr:cNvSpPr txBox="1">
          <a:spLocks xmlns:a="http://schemas.openxmlformats.org/drawingml/2006/main" noChangeArrowheads="1"/>
        </cdr:cNvSpPr>
      </cdr:nvSpPr>
      <cdr:spPr bwMode="auto">
        <a:xfrm xmlns:a="http://schemas.openxmlformats.org/drawingml/2006/main">
          <a:off x="483464" y="1574136"/>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0.2642</cdr:x>
      <cdr:y>0.70348</cdr:y>
    </cdr:from>
    <cdr:to>
      <cdr:x>0.66365</cdr:x>
      <cdr:y>0.76534</cdr:y>
    </cdr:to>
    <cdr:sp macro="" textlink="">
      <cdr:nvSpPr>
        <cdr:cNvPr id="28" name="Text Box 6">
          <a:extLst xmlns:a="http://schemas.openxmlformats.org/drawingml/2006/main">
            <a:ext uri="{FF2B5EF4-FFF2-40B4-BE49-F238E27FC236}">
              <a16:creationId xmlns:a16="http://schemas.microsoft.com/office/drawing/2014/main" id="{BBE05279-DC26-5746-88A7-F119AAA82A9F}"/>
            </a:ext>
          </a:extLst>
        </cdr:cNvPr>
        <cdr:cNvSpPr txBox="1">
          <a:spLocks xmlns:a="http://schemas.openxmlformats.org/drawingml/2006/main" noChangeArrowheads="1"/>
        </cdr:cNvSpPr>
      </cdr:nvSpPr>
      <cdr:spPr bwMode="auto">
        <a:xfrm xmlns:a="http://schemas.openxmlformats.org/drawingml/2006/main">
          <a:off x="519407" y="1584333"/>
          <a:ext cx="785303" cy="139317"/>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FF0000"/>
              </a:solidFill>
              <a:latin typeface="Arial"/>
              <a:ea typeface="Arial"/>
              <a:cs typeface="Arial"/>
            </a:rPr>
            <a:t>Intervention</a:t>
          </a:r>
        </a:p>
      </cdr:txBody>
    </cdr:sp>
  </cdr:relSizeAnchor>
  <cdr:relSizeAnchor xmlns:cdr="http://schemas.openxmlformats.org/drawingml/2006/chartDrawing">
    <cdr:from>
      <cdr:x>0.534</cdr:x>
      <cdr:y>0.59471</cdr:y>
    </cdr:from>
    <cdr:to>
      <cdr:x>0.534</cdr:x>
      <cdr:y>0.59471</cdr:y>
    </cdr:to>
    <cdr:sp macro="" textlink="">
      <cdr:nvSpPr>
        <cdr:cNvPr id="6" name="Text Box 1">
          <a:extLst xmlns:a="http://schemas.openxmlformats.org/drawingml/2006/main">
            <a:ext uri="{FF2B5EF4-FFF2-40B4-BE49-F238E27FC236}">
              <a16:creationId xmlns:a16="http://schemas.microsoft.com/office/drawing/2014/main" id="{C80185E3-6D2C-4C41-9BF2-7B8A45805915}"/>
            </a:ext>
          </a:extLst>
        </cdr:cNvPr>
        <cdr:cNvSpPr txBox="1">
          <a:spLocks xmlns:a="http://schemas.openxmlformats.org/drawingml/2006/main" noChangeArrowheads="1"/>
        </cdr:cNvSpPr>
      </cdr:nvSpPr>
      <cdr:spPr bwMode="auto">
        <a:xfrm xmlns:a="http://schemas.openxmlformats.org/drawingml/2006/main">
          <a:off x="976579" y="1321749"/>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0.65276</cdr:x>
      <cdr:y>0.80561</cdr:y>
    </cdr:from>
    <cdr:to>
      <cdr:x>0.65276</cdr:x>
      <cdr:y>0.80561</cdr:y>
    </cdr:to>
    <cdr:sp macro="" textlink="">
      <cdr:nvSpPr>
        <cdr:cNvPr id="7" name="Text Box 2">
          <a:extLst xmlns:a="http://schemas.openxmlformats.org/drawingml/2006/main">
            <a:ext uri="{FF2B5EF4-FFF2-40B4-BE49-F238E27FC236}">
              <a16:creationId xmlns:a16="http://schemas.microsoft.com/office/drawing/2014/main" id="{3E8602D0-AF32-3946-BF13-90CE1CABF8B5}"/>
            </a:ext>
          </a:extLst>
        </cdr:cNvPr>
        <cdr:cNvSpPr txBox="1">
          <a:spLocks xmlns:a="http://schemas.openxmlformats.org/drawingml/2006/main" noChangeArrowheads="1"/>
        </cdr:cNvSpPr>
      </cdr:nvSpPr>
      <cdr:spPr bwMode="auto">
        <a:xfrm xmlns:a="http://schemas.openxmlformats.org/drawingml/2006/main">
          <a:off x="1193775" y="1790468"/>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-1.4%</a:t>
          </a:r>
        </a:p>
      </cdr:txBody>
    </cdr:sp>
  </cdr:relSizeAnchor>
  <cdr:relSizeAnchor xmlns:cdr="http://schemas.openxmlformats.org/drawingml/2006/chartDrawing">
    <cdr:from>
      <cdr:x>0.76704</cdr:x>
      <cdr:y>0.74883</cdr:y>
    </cdr:from>
    <cdr:to>
      <cdr:x>0.76704</cdr:x>
      <cdr:y>0.74883</cdr:y>
    </cdr:to>
    <cdr:sp macro="" textlink="">
      <cdr:nvSpPr>
        <cdr:cNvPr id="8" name="Text Box 3">
          <a:extLst xmlns:a="http://schemas.openxmlformats.org/drawingml/2006/main">
            <a:ext uri="{FF2B5EF4-FFF2-40B4-BE49-F238E27FC236}">
              <a16:creationId xmlns:a16="http://schemas.microsoft.com/office/drawing/2014/main" id="{E01B167E-4CF8-3F4C-9390-86B6D5976F80}"/>
            </a:ext>
          </a:extLst>
        </cdr:cNvPr>
        <cdr:cNvSpPr txBox="1">
          <a:spLocks xmlns:a="http://schemas.openxmlformats.org/drawingml/2006/main" noChangeArrowheads="1"/>
        </cdr:cNvSpPr>
      </cdr:nvSpPr>
      <cdr:spPr bwMode="auto">
        <a:xfrm xmlns:a="http://schemas.openxmlformats.org/drawingml/2006/main">
          <a:off x="1402766" y="1664275"/>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a:t>
          </a:r>
        </a:p>
      </cdr:txBody>
    </cdr:sp>
  </cdr:relSizeAnchor>
  <cdr:relSizeAnchor xmlns:cdr="http://schemas.openxmlformats.org/drawingml/2006/chartDrawing">
    <cdr:from>
      <cdr:x>0.26436</cdr:x>
      <cdr:y>0.70827</cdr:y>
    </cdr:from>
    <cdr:to>
      <cdr:x>0.26436</cdr:x>
      <cdr:y>0.70827</cdr:y>
    </cdr:to>
    <cdr:sp macro="" textlink="">
      <cdr:nvSpPr>
        <cdr:cNvPr id="9" name="Text Box 4">
          <a:extLst xmlns:a="http://schemas.openxmlformats.org/drawingml/2006/main">
            <a:ext uri="{FF2B5EF4-FFF2-40B4-BE49-F238E27FC236}">
              <a16:creationId xmlns:a16="http://schemas.microsoft.com/office/drawing/2014/main" id="{FF615B11-C93A-7C46-89E2-9121A220407A}"/>
            </a:ext>
          </a:extLst>
        </cdr:cNvPr>
        <cdr:cNvSpPr txBox="1">
          <a:spLocks xmlns:a="http://schemas.openxmlformats.org/drawingml/2006/main" noChangeArrowheads="1"/>
        </cdr:cNvSpPr>
      </cdr:nvSpPr>
      <cdr:spPr bwMode="auto">
        <a:xfrm xmlns:a="http://schemas.openxmlformats.org/drawingml/2006/main">
          <a:off x="483464" y="1574136"/>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userShapes>
</file>

<file path=xl/drawings/drawing70.xml><?xml version="1.0" encoding="utf-8"?>
<c:userShapes xmlns:c="http://schemas.openxmlformats.org/drawingml/2006/chart">
  <cdr:relSizeAnchor xmlns:cdr="http://schemas.openxmlformats.org/drawingml/2006/chartDrawing">
    <cdr:from>
      <cdr:x>0.534</cdr:x>
      <cdr:y>0.59471</cdr:y>
    </cdr:from>
    <cdr:to>
      <cdr:x>0.534</cdr:x>
      <cdr:y>0.59471</cdr:y>
    </cdr:to>
    <cdr:sp macro="" textlink="">
      <cdr:nvSpPr>
        <cdr:cNvPr id="994305" name="Text Box 1"/>
        <cdr:cNvSpPr txBox="1">
          <a:spLocks xmlns:a="http://schemas.openxmlformats.org/drawingml/2006/main" noChangeArrowheads="1"/>
        </cdr:cNvSpPr>
      </cdr:nvSpPr>
      <cdr:spPr bwMode="auto">
        <a:xfrm xmlns:a="http://schemas.openxmlformats.org/drawingml/2006/main">
          <a:off x="976579" y="1321749"/>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0.65276</cdr:x>
      <cdr:y>0.80561</cdr:y>
    </cdr:from>
    <cdr:to>
      <cdr:x>0.65276</cdr:x>
      <cdr:y>0.80561</cdr:y>
    </cdr:to>
    <cdr:sp macro="" textlink="">
      <cdr:nvSpPr>
        <cdr:cNvPr id="994306" name="Text Box 2"/>
        <cdr:cNvSpPr txBox="1">
          <a:spLocks xmlns:a="http://schemas.openxmlformats.org/drawingml/2006/main" noChangeArrowheads="1"/>
        </cdr:cNvSpPr>
      </cdr:nvSpPr>
      <cdr:spPr bwMode="auto">
        <a:xfrm xmlns:a="http://schemas.openxmlformats.org/drawingml/2006/main">
          <a:off x="1193775" y="1790468"/>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-1.4%</a:t>
          </a:r>
        </a:p>
      </cdr:txBody>
    </cdr:sp>
  </cdr:relSizeAnchor>
  <cdr:relSizeAnchor xmlns:cdr="http://schemas.openxmlformats.org/drawingml/2006/chartDrawing">
    <cdr:from>
      <cdr:x>0.76704</cdr:x>
      <cdr:y>0.74883</cdr:y>
    </cdr:from>
    <cdr:to>
      <cdr:x>0.76704</cdr:x>
      <cdr:y>0.74883</cdr:y>
    </cdr:to>
    <cdr:sp macro="" textlink="">
      <cdr:nvSpPr>
        <cdr:cNvPr id="994307" name="Text Box 3"/>
        <cdr:cNvSpPr txBox="1">
          <a:spLocks xmlns:a="http://schemas.openxmlformats.org/drawingml/2006/main" noChangeArrowheads="1"/>
        </cdr:cNvSpPr>
      </cdr:nvSpPr>
      <cdr:spPr bwMode="auto">
        <a:xfrm xmlns:a="http://schemas.openxmlformats.org/drawingml/2006/main">
          <a:off x="1402766" y="1664275"/>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a:t>
          </a:r>
        </a:p>
      </cdr:txBody>
    </cdr:sp>
  </cdr:relSizeAnchor>
  <cdr:relSizeAnchor xmlns:cdr="http://schemas.openxmlformats.org/drawingml/2006/chartDrawing">
    <cdr:from>
      <cdr:x>0.26436</cdr:x>
      <cdr:y>0.70827</cdr:y>
    </cdr:from>
    <cdr:to>
      <cdr:x>0.26436</cdr:x>
      <cdr:y>0.70827</cdr:y>
    </cdr:to>
    <cdr:sp macro="" textlink="">
      <cdr:nvSpPr>
        <cdr:cNvPr id="994308" name="Text Box 4"/>
        <cdr:cNvSpPr txBox="1">
          <a:spLocks xmlns:a="http://schemas.openxmlformats.org/drawingml/2006/main" noChangeArrowheads="1"/>
        </cdr:cNvSpPr>
      </cdr:nvSpPr>
      <cdr:spPr bwMode="auto">
        <a:xfrm xmlns:a="http://schemas.openxmlformats.org/drawingml/2006/main">
          <a:off x="483464" y="1574136"/>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0.39781</cdr:x>
      <cdr:y>0.39357</cdr:y>
    </cdr:from>
    <cdr:to>
      <cdr:x>0.76922</cdr:x>
      <cdr:y>0.48112</cdr:y>
    </cdr:to>
    <cdr:sp macro="" textlink="">
      <cdr:nvSpPr>
        <cdr:cNvPr id="994311" name="Text Box 7"/>
        <cdr:cNvSpPr txBox="1">
          <a:spLocks xmlns:a="http://schemas.openxmlformats.org/drawingml/2006/main" noChangeArrowheads="1"/>
        </cdr:cNvSpPr>
      </cdr:nvSpPr>
      <cdr:spPr bwMode="auto">
        <a:xfrm xmlns:a="http://schemas.openxmlformats.org/drawingml/2006/main">
          <a:off x="782079" y="886367"/>
          <a:ext cx="730177" cy="197174"/>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wrap="none" lIns="18288" tIns="18288" rIns="0" bIns="0" anchor="t" upright="1">
          <a:spAutoFit/>
        </a:bodyPr>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0.534</cdr:x>
      <cdr:y>0.59471</cdr:y>
    </cdr:from>
    <cdr:to>
      <cdr:x>0.534</cdr:x>
      <cdr:y>0.59471</cdr:y>
    </cdr:to>
    <cdr:sp macro="" textlink="">
      <cdr:nvSpPr>
        <cdr:cNvPr id="2" name="Text Box 1">
          <a:extLst xmlns:a="http://schemas.openxmlformats.org/drawingml/2006/main">
            <a:ext uri="{FF2B5EF4-FFF2-40B4-BE49-F238E27FC236}">
              <a16:creationId xmlns:a16="http://schemas.microsoft.com/office/drawing/2014/main" id="{D82BAD52-C122-E14F-B3BB-3718C0599EA6}"/>
            </a:ext>
          </a:extLst>
        </cdr:cNvPr>
        <cdr:cNvSpPr txBox="1">
          <a:spLocks xmlns:a="http://schemas.openxmlformats.org/drawingml/2006/main" noChangeArrowheads="1"/>
        </cdr:cNvSpPr>
      </cdr:nvSpPr>
      <cdr:spPr bwMode="auto">
        <a:xfrm xmlns:a="http://schemas.openxmlformats.org/drawingml/2006/main">
          <a:off x="976579" y="1321749"/>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0.65276</cdr:x>
      <cdr:y>0.80561</cdr:y>
    </cdr:from>
    <cdr:to>
      <cdr:x>0.65276</cdr:x>
      <cdr:y>0.80561</cdr:y>
    </cdr:to>
    <cdr:sp macro="" textlink="">
      <cdr:nvSpPr>
        <cdr:cNvPr id="3" name="Text Box 2">
          <a:extLst xmlns:a="http://schemas.openxmlformats.org/drawingml/2006/main">
            <a:ext uri="{FF2B5EF4-FFF2-40B4-BE49-F238E27FC236}">
              <a16:creationId xmlns:a16="http://schemas.microsoft.com/office/drawing/2014/main" id="{87261BCC-3DFC-BF48-B185-4D7286057536}"/>
            </a:ext>
          </a:extLst>
        </cdr:cNvPr>
        <cdr:cNvSpPr txBox="1">
          <a:spLocks xmlns:a="http://schemas.openxmlformats.org/drawingml/2006/main" noChangeArrowheads="1"/>
        </cdr:cNvSpPr>
      </cdr:nvSpPr>
      <cdr:spPr bwMode="auto">
        <a:xfrm xmlns:a="http://schemas.openxmlformats.org/drawingml/2006/main">
          <a:off x="1193775" y="1790468"/>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-1.4%</a:t>
          </a:r>
        </a:p>
      </cdr:txBody>
    </cdr:sp>
  </cdr:relSizeAnchor>
  <cdr:relSizeAnchor xmlns:cdr="http://schemas.openxmlformats.org/drawingml/2006/chartDrawing">
    <cdr:from>
      <cdr:x>0.76704</cdr:x>
      <cdr:y>0.74883</cdr:y>
    </cdr:from>
    <cdr:to>
      <cdr:x>0.76704</cdr:x>
      <cdr:y>0.74883</cdr:y>
    </cdr:to>
    <cdr:sp macro="" textlink="">
      <cdr:nvSpPr>
        <cdr:cNvPr id="4" name="Text Box 3">
          <a:extLst xmlns:a="http://schemas.openxmlformats.org/drawingml/2006/main">
            <a:ext uri="{FF2B5EF4-FFF2-40B4-BE49-F238E27FC236}">
              <a16:creationId xmlns:a16="http://schemas.microsoft.com/office/drawing/2014/main" id="{DFCA9CF7-0007-0C45-8B99-E3640A596F61}"/>
            </a:ext>
          </a:extLst>
        </cdr:cNvPr>
        <cdr:cNvSpPr txBox="1">
          <a:spLocks xmlns:a="http://schemas.openxmlformats.org/drawingml/2006/main" noChangeArrowheads="1"/>
        </cdr:cNvSpPr>
      </cdr:nvSpPr>
      <cdr:spPr bwMode="auto">
        <a:xfrm xmlns:a="http://schemas.openxmlformats.org/drawingml/2006/main">
          <a:off x="1402766" y="1664275"/>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a:t>
          </a:r>
        </a:p>
      </cdr:txBody>
    </cdr:sp>
  </cdr:relSizeAnchor>
  <cdr:relSizeAnchor xmlns:cdr="http://schemas.openxmlformats.org/drawingml/2006/chartDrawing">
    <cdr:from>
      <cdr:x>0.26436</cdr:x>
      <cdr:y>0.70827</cdr:y>
    </cdr:from>
    <cdr:to>
      <cdr:x>0.26436</cdr:x>
      <cdr:y>0.70827</cdr:y>
    </cdr:to>
    <cdr:sp macro="" textlink="">
      <cdr:nvSpPr>
        <cdr:cNvPr id="5" name="Text Box 4">
          <a:extLst xmlns:a="http://schemas.openxmlformats.org/drawingml/2006/main">
            <a:ext uri="{FF2B5EF4-FFF2-40B4-BE49-F238E27FC236}">
              <a16:creationId xmlns:a16="http://schemas.microsoft.com/office/drawing/2014/main" id="{1CF88F20-2EAB-DF46-91A6-8578C43D4992}"/>
            </a:ext>
          </a:extLst>
        </cdr:cNvPr>
        <cdr:cNvSpPr txBox="1">
          <a:spLocks xmlns:a="http://schemas.openxmlformats.org/drawingml/2006/main" noChangeArrowheads="1"/>
        </cdr:cNvSpPr>
      </cdr:nvSpPr>
      <cdr:spPr bwMode="auto">
        <a:xfrm xmlns:a="http://schemas.openxmlformats.org/drawingml/2006/main">
          <a:off x="483464" y="1574136"/>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0.534</cdr:x>
      <cdr:y>0.59471</cdr:y>
    </cdr:from>
    <cdr:to>
      <cdr:x>0.534</cdr:x>
      <cdr:y>0.59471</cdr:y>
    </cdr:to>
    <cdr:sp macro="" textlink="">
      <cdr:nvSpPr>
        <cdr:cNvPr id="16" name="Text Box 1">
          <a:extLst xmlns:a="http://schemas.openxmlformats.org/drawingml/2006/main">
            <a:ext uri="{FF2B5EF4-FFF2-40B4-BE49-F238E27FC236}">
              <a16:creationId xmlns:a16="http://schemas.microsoft.com/office/drawing/2014/main" id="{2A5B2DA1-B067-684B-8D4D-8DA174C5F355}"/>
            </a:ext>
          </a:extLst>
        </cdr:cNvPr>
        <cdr:cNvSpPr txBox="1">
          <a:spLocks xmlns:a="http://schemas.openxmlformats.org/drawingml/2006/main" noChangeArrowheads="1"/>
        </cdr:cNvSpPr>
      </cdr:nvSpPr>
      <cdr:spPr bwMode="auto">
        <a:xfrm xmlns:a="http://schemas.openxmlformats.org/drawingml/2006/main">
          <a:off x="976579" y="1321749"/>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0.65276</cdr:x>
      <cdr:y>0.80561</cdr:y>
    </cdr:from>
    <cdr:to>
      <cdr:x>0.65276</cdr:x>
      <cdr:y>0.80561</cdr:y>
    </cdr:to>
    <cdr:sp macro="" textlink="">
      <cdr:nvSpPr>
        <cdr:cNvPr id="17" name="Text Box 2">
          <a:extLst xmlns:a="http://schemas.openxmlformats.org/drawingml/2006/main">
            <a:ext uri="{FF2B5EF4-FFF2-40B4-BE49-F238E27FC236}">
              <a16:creationId xmlns:a16="http://schemas.microsoft.com/office/drawing/2014/main" id="{CFD04E1F-2F1B-3643-AF60-E29E7DCD3C06}"/>
            </a:ext>
          </a:extLst>
        </cdr:cNvPr>
        <cdr:cNvSpPr txBox="1">
          <a:spLocks xmlns:a="http://schemas.openxmlformats.org/drawingml/2006/main" noChangeArrowheads="1"/>
        </cdr:cNvSpPr>
      </cdr:nvSpPr>
      <cdr:spPr bwMode="auto">
        <a:xfrm xmlns:a="http://schemas.openxmlformats.org/drawingml/2006/main">
          <a:off x="1193775" y="1790468"/>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-1.4%</a:t>
          </a:r>
        </a:p>
      </cdr:txBody>
    </cdr:sp>
  </cdr:relSizeAnchor>
  <cdr:relSizeAnchor xmlns:cdr="http://schemas.openxmlformats.org/drawingml/2006/chartDrawing">
    <cdr:from>
      <cdr:x>0.76704</cdr:x>
      <cdr:y>0.74883</cdr:y>
    </cdr:from>
    <cdr:to>
      <cdr:x>0.76704</cdr:x>
      <cdr:y>0.74883</cdr:y>
    </cdr:to>
    <cdr:sp macro="" textlink="">
      <cdr:nvSpPr>
        <cdr:cNvPr id="18" name="Text Box 3">
          <a:extLst xmlns:a="http://schemas.openxmlformats.org/drawingml/2006/main">
            <a:ext uri="{FF2B5EF4-FFF2-40B4-BE49-F238E27FC236}">
              <a16:creationId xmlns:a16="http://schemas.microsoft.com/office/drawing/2014/main" id="{AB810CF9-A526-6B49-984B-65306BFAFD0D}"/>
            </a:ext>
          </a:extLst>
        </cdr:cNvPr>
        <cdr:cNvSpPr txBox="1">
          <a:spLocks xmlns:a="http://schemas.openxmlformats.org/drawingml/2006/main" noChangeArrowheads="1"/>
        </cdr:cNvSpPr>
      </cdr:nvSpPr>
      <cdr:spPr bwMode="auto">
        <a:xfrm xmlns:a="http://schemas.openxmlformats.org/drawingml/2006/main">
          <a:off x="1402766" y="1664275"/>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a:t>
          </a:r>
        </a:p>
      </cdr:txBody>
    </cdr:sp>
  </cdr:relSizeAnchor>
  <cdr:relSizeAnchor xmlns:cdr="http://schemas.openxmlformats.org/drawingml/2006/chartDrawing">
    <cdr:from>
      <cdr:x>0.26436</cdr:x>
      <cdr:y>0.70827</cdr:y>
    </cdr:from>
    <cdr:to>
      <cdr:x>0.26436</cdr:x>
      <cdr:y>0.70827</cdr:y>
    </cdr:to>
    <cdr:sp macro="" textlink="">
      <cdr:nvSpPr>
        <cdr:cNvPr id="19" name="Text Box 4">
          <a:extLst xmlns:a="http://schemas.openxmlformats.org/drawingml/2006/main">
            <a:ext uri="{FF2B5EF4-FFF2-40B4-BE49-F238E27FC236}">
              <a16:creationId xmlns:a16="http://schemas.microsoft.com/office/drawing/2014/main" id="{316F89A2-3252-2340-8658-D52FF7A4846F}"/>
            </a:ext>
          </a:extLst>
        </cdr:cNvPr>
        <cdr:cNvSpPr txBox="1">
          <a:spLocks xmlns:a="http://schemas.openxmlformats.org/drawingml/2006/main" noChangeArrowheads="1"/>
        </cdr:cNvSpPr>
      </cdr:nvSpPr>
      <cdr:spPr bwMode="auto">
        <a:xfrm xmlns:a="http://schemas.openxmlformats.org/drawingml/2006/main">
          <a:off x="483464" y="1574136"/>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0.534</cdr:x>
      <cdr:y>0.59471</cdr:y>
    </cdr:from>
    <cdr:to>
      <cdr:x>0.534</cdr:x>
      <cdr:y>0.59471</cdr:y>
    </cdr:to>
    <cdr:sp macro="" textlink="">
      <cdr:nvSpPr>
        <cdr:cNvPr id="22" name="Text Box 1">
          <a:extLst xmlns:a="http://schemas.openxmlformats.org/drawingml/2006/main">
            <a:ext uri="{FF2B5EF4-FFF2-40B4-BE49-F238E27FC236}">
              <a16:creationId xmlns:a16="http://schemas.microsoft.com/office/drawing/2014/main" id="{D82BAD52-C122-E14F-B3BB-3718C0599EA6}"/>
            </a:ext>
          </a:extLst>
        </cdr:cNvPr>
        <cdr:cNvSpPr txBox="1">
          <a:spLocks xmlns:a="http://schemas.openxmlformats.org/drawingml/2006/main" noChangeArrowheads="1"/>
        </cdr:cNvSpPr>
      </cdr:nvSpPr>
      <cdr:spPr bwMode="auto">
        <a:xfrm xmlns:a="http://schemas.openxmlformats.org/drawingml/2006/main">
          <a:off x="976579" y="1321749"/>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0.65276</cdr:x>
      <cdr:y>0.80561</cdr:y>
    </cdr:from>
    <cdr:to>
      <cdr:x>0.65276</cdr:x>
      <cdr:y>0.80561</cdr:y>
    </cdr:to>
    <cdr:sp macro="" textlink="">
      <cdr:nvSpPr>
        <cdr:cNvPr id="23" name="Text Box 2">
          <a:extLst xmlns:a="http://schemas.openxmlformats.org/drawingml/2006/main">
            <a:ext uri="{FF2B5EF4-FFF2-40B4-BE49-F238E27FC236}">
              <a16:creationId xmlns:a16="http://schemas.microsoft.com/office/drawing/2014/main" id="{87261BCC-3DFC-BF48-B185-4D7286057536}"/>
            </a:ext>
          </a:extLst>
        </cdr:cNvPr>
        <cdr:cNvSpPr txBox="1">
          <a:spLocks xmlns:a="http://schemas.openxmlformats.org/drawingml/2006/main" noChangeArrowheads="1"/>
        </cdr:cNvSpPr>
      </cdr:nvSpPr>
      <cdr:spPr bwMode="auto">
        <a:xfrm xmlns:a="http://schemas.openxmlformats.org/drawingml/2006/main">
          <a:off x="1193775" y="1790468"/>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-1.4%</a:t>
          </a:r>
        </a:p>
      </cdr:txBody>
    </cdr:sp>
  </cdr:relSizeAnchor>
  <cdr:relSizeAnchor xmlns:cdr="http://schemas.openxmlformats.org/drawingml/2006/chartDrawing">
    <cdr:from>
      <cdr:x>0.76704</cdr:x>
      <cdr:y>0.74883</cdr:y>
    </cdr:from>
    <cdr:to>
      <cdr:x>0.76704</cdr:x>
      <cdr:y>0.74883</cdr:y>
    </cdr:to>
    <cdr:sp macro="" textlink="">
      <cdr:nvSpPr>
        <cdr:cNvPr id="24" name="Text Box 3">
          <a:extLst xmlns:a="http://schemas.openxmlformats.org/drawingml/2006/main">
            <a:ext uri="{FF2B5EF4-FFF2-40B4-BE49-F238E27FC236}">
              <a16:creationId xmlns:a16="http://schemas.microsoft.com/office/drawing/2014/main" id="{DFCA9CF7-0007-0C45-8B99-E3640A596F61}"/>
            </a:ext>
          </a:extLst>
        </cdr:cNvPr>
        <cdr:cNvSpPr txBox="1">
          <a:spLocks xmlns:a="http://schemas.openxmlformats.org/drawingml/2006/main" noChangeArrowheads="1"/>
        </cdr:cNvSpPr>
      </cdr:nvSpPr>
      <cdr:spPr bwMode="auto">
        <a:xfrm xmlns:a="http://schemas.openxmlformats.org/drawingml/2006/main">
          <a:off x="1402766" y="1664275"/>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a:t>
          </a:r>
        </a:p>
      </cdr:txBody>
    </cdr:sp>
  </cdr:relSizeAnchor>
  <cdr:relSizeAnchor xmlns:cdr="http://schemas.openxmlformats.org/drawingml/2006/chartDrawing">
    <cdr:from>
      <cdr:x>0.26436</cdr:x>
      <cdr:y>0.70827</cdr:y>
    </cdr:from>
    <cdr:to>
      <cdr:x>0.26436</cdr:x>
      <cdr:y>0.70827</cdr:y>
    </cdr:to>
    <cdr:sp macro="" textlink="">
      <cdr:nvSpPr>
        <cdr:cNvPr id="25" name="Text Box 4">
          <a:extLst xmlns:a="http://schemas.openxmlformats.org/drawingml/2006/main">
            <a:ext uri="{FF2B5EF4-FFF2-40B4-BE49-F238E27FC236}">
              <a16:creationId xmlns:a16="http://schemas.microsoft.com/office/drawing/2014/main" id="{1CF88F20-2EAB-DF46-91A6-8578C43D4992}"/>
            </a:ext>
          </a:extLst>
        </cdr:cNvPr>
        <cdr:cNvSpPr txBox="1">
          <a:spLocks xmlns:a="http://schemas.openxmlformats.org/drawingml/2006/main" noChangeArrowheads="1"/>
        </cdr:cNvSpPr>
      </cdr:nvSpPr>
      <cdr:spPr bwMode="auto">
        <a:xfrm xmlns:a="http://schemas.openxmlformats.org/drawingml/2006/main">
          <a:off x="483464" y="1574136"/>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0.534</cdr:x>
      <cdr:y>0.59471</cdr:y>
    </cdr:from>
    <cdr:to>
      <cdr:x>0.534</cdr:x>
      <cdr:y>0.59471</cdr:y>
    </cdr:to>
    <cdr:sp macro="" textlink="">
      <cdr:nvSpPr>
        <cdr:cNvPr id="15" name="Text Box 1">
          <a:extLst xmlns:a="http://schemas.openxmlformats.org/drawingml/2006/main">
            <a:ext uri="{FF2B5EF4-FFF2-40B4-BE49-F238E27FC236}">
              <a16:creationId xmlns:a16="http://schemas.microsoft.com/office/drawing/2014/main" id="{A24DB43C-B6FC-724E-A30F-8731826D3B1D}"/>
            </a:ext>
          </a:extLst>
        </cdr:cNvPr>
        <cdr:cNvSpPr txBox="1">
          <a:spLocks xmlns:a="http://schemas.openxmlformats.org/drawingml/2006/main" noChangeArrowheads="1"/>
        </cdr:cNvSpPr>
      </cdr:nvSpPr>
      <cdr:spPr bwMode="auto">
        <a:xfrm xmlns:a="http://schemas.openxmlformats.org/drawingml/2006/main">
          <a:off x="976579" y="1321749"/>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0.65276</cdr:x>
      <cdr:y>0.80561</cdr:y>
    </cdr:from>
    <cdr:to>
      <cdr:x>0.65276</cdr:x>
      <cdr:y>0.80561</cdr:y>
    </cdr:to>
    <cdr:sp macro="" textlink="">
      <cdr:nvSpPr>
        <cdr:cNvPr id="21" name="Text Box 2">
          <a:extLst xmlns:a="http://schemas.openxmlformats.org/drawingml/2006/main">
            <a:ext uri="{FF2B5EF4-FFF2-40B4-BE49-F238E27FC236}">
              <a16:creationId xmlns:a16="http://schemas.microsoft.com/office/drawing/2014/main" id="{B492B2CE-DCFB-3942-B3D8-488796CE7EAE}"/>
            </a:ext>
          </a:extLst>
        </cdr:cNvPr>
        <cdr:cNvSpPr txBox="1">
          <a:spLocks xmlns:a="http://schemas.openxmlformats.org/drawingml/2006/main" noChangeArrowheads="1"/>
        </cdr:cNvSpPr>
      </cdr:nvSpPr>
      <cdr:spPr bwMode="auto">
        <a:xfrm xmlns:a="http://schemas.openxmlformats.org/drawingml/2006/main">
          <a:off x="1193775" y="1790468"/>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-1.4%</a:t>
          </a:r>
        </a:p>
      </cdr:txBody>
    </cdr:sp>
  </cdr:relSizeAnchor>
  <cdr:relSizeAnchor xmlns:cdr="http://schemas.openxmlformats.org/drawingml/2006/chartDrawing">
    <cdr:from>
      <cdr:x>0.76704</cdr:x>
      <cdr:y>0.74883</cdr:y>
    </cdr:from>
    <cdr:to>
      <cdr:x>0.76704</cdr:x>
      <cdr:y>0.74883</cdr:y>
    </cdr:to>
    <cdr:sp macro="" textlink="">
      <cdr:nvSpPr>
        <cdr:cNvPr id="26" name="Text Box 3">
          <a:extLst xmlns:a="http://schemas.openxmlformats.org/drawingml/2006/main">
            <a:ext uri="{FF2B5EF4-FFF2-40B4-BE49-F238E27FC236}">
              <a16:creationId xmlns:a16="http://schemas.microsoft.com/office/drawing/2014/main" id="{96A0704A-ECDD-5A4F-88C9-5E979593BCE9}"/>
            </a:ext>
          </a:extLst>
        </cdr:cNvPr>
        <cdr:cNvSpPr txBox="1">
          <a:spLocks xmlns:a="http://schemas.openxmlformats.org/drawingml/2006/main" noChangeArrowheads="1"/>
        </cdr:cNvSpPr>
      </cdr:nvSpPr>
      <cdr:spPr bwMode="auto">
        <a:xfrm xmlns:a="http://schemas.openxmlformats.org/drawingml/2006/main">
          <a:off x="1402766" y="1664275"/>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a:t>
          </a:r>
        </a:p>
      </cdr:txBody>
    </cdr:sp>
  </cdr:relSizeAnchor>
  <cdr:relSizeAnchor xmlns:cdr="http://schemas.openxmlformats.org/drawingml/2006/chartDrawing">
    <cdr:from>
      <cdr:x>0.26436</cdr:x>
      <cdr:y>0.70827</cdr:y>
    </cdr:from>
    <cdr:to>
      <cdr:x>0.26436</cdr:x>
      <cdr:y>0.70827</cdr:y>
    </cdr:to>
    <cdr:sp macro="" textlink="">
      <cdr:nvSpPr>
        <cdr:cNvPr id="27" name="Text Box 4">
          <a:extLst xmlns:a="http://schemas.openxmlformats.org/drawingml/2006/main">
            <a:ext uri="{FF2B5EF4-FFF2-40B4-BE49-F238E27FC236}">
              <a16:creationId xmlns:a16="http://schemas.microsoft.com/office/drawing/2014/main" id="{34DEA2B0-3982-5149-BD46-4403BAC5F5D2}"/>
            </a:ext>
          </a:extLst>
        </cdr:cNvPr>
        <cdr:cNvSpPr txBox="1">
          <a:spLocks xmlns:a="http://schemas.openxmlformats.org/drawingml/2006/main" noChangeArrowheads="1"/>
        </cdr:cNvSpPr>
      </cdr:nvSpPr>
      <cdr:spPr bwMode="auto">
        <a:xfrm xmlns:a="http://schemas.openxmlformats.org/drawingml/2006/main">
          <a:off x="483464" y="1574136"/>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0.29327</cdr:x>
      <cdr:y>0.61326</cdr:y>
    </cdr:from>
    <cdr:to>
      <cdr:x>0.69272</cdr:x>
      <cdr:y>0.67512</cdr:y>
    </cdr:to>
    <cdr:sp macro="" textlink="">
      <cdr:nvSpPr>
        <cdr:cNvPr id="28" name="Text Box 6">
          <a:extLst xmlns:a="http://schemas.openxmlformats.org/drawingml/2006/main">
            <a:ext uri="{FF2B5EF4-FFF2-40B4-BE49-F238E27FC236}">
              <a16:creationId xmlns:a16="http://schemas.microsoft.com/office/drawing/2014/main" id="{BBE05279-DC26-5746-88A7-F119AAA82A9F}"/>
            </a:ext>
          </a:extLst>
        </cdr:cNvPr>
        <cdr:cNvSpPr txBox="1">
          <a:spLocks xmlns:a="http://schemas.openxmlformats.org/drawingml/2006/main" noChangeArrowheads="1"/>
        </cdr:cNvSpPr>
      </cdr:nvSpPr>
      <cdr:spPr bwMode="auto">
        <a:xfrm xmlns:a="http://schemas.openxmlformats.org/drawingml/2006/main">
          <a:off x="576559" y="1381135"/>
          <a:ext cx="785302" cy="139317"/>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FF0000"/>
              </a:solidFill>
              <a:latin typeface="Arial"/>
              <a:ea typeface="Arial"/>
              <a:cs typeface="Arial"/>
            </a:rPr>
            <a:t>Intervention</a:t>
          </a:r>
        </a:p>
      </cdr:txBody>
    </cdr:sp>
  </cdr:relSizeAnchor>
  <cdr:relSizeAnchor xmlns:cdr="http://schemas.openxmlformats.org/drawingml/2006/chartDrawing">
    <cdr:from>
      <cdr:x>0.534</cdr:x>
      <cdr:y>0.59471</cdr:y>
    </cdr:from>
    <cdr:to>
      <cdr:x>0.534</cdr:x>
      <cdr:y>0.59471</cdr:y>
    </cdr:to>
    <cdr:sp macro="" textlink="">
      <cdr:nvSpPr>
        <cdr:cNvPr id="6" name="Text Box 1">
          <a:extLst xmlns:a="http://schemas.openxmlformats.org/drawingml/2006/main">
            <a:ext uri="{FF2B5EF4-FFF2-40B4-BE49-F238E27FC236}">
              <a16:creationId xmlns:a16="http://schemas.microsoft.com/office/drawing/2014/main" id="{C80185E3-6D2C-4C41-9BF2-7B8A45805915}"/>
            </a:ext>
          </a:extLst>
        </cdr:cNvPr>
        <cdr:cNvSpPr txBox="1">
          <a:spLocks xmlns:a="http://schemas.openxmlformats.org/drawingml/2006/main" noChangeArrowheads="1"/>
        </cdr:cNvSpPr>
      </cdr:nvSpPr>
      <cdr:spPr bwMode="auto">
        <a:xfrm xmlns:a="http://schemas.openxmlformats.org/drawingml/2006/main">
          <a:off x="976579" y="1321749"/>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0.65276</cdr:x>
      <cdr:y>0.80561</cdr:y>
    </cdr:from>
    <cdr:to>
      <cdr:x>0.65276</cdr:x>
      <cdr:y>0.80561</cdr:y>
    </cdr:to>
    <cdr:sp macro="" textlink="">
      <cdr:nvSpPr>
        <cdr:cNvPr id="7" name="Text Box 2">
          <a:extLst xmlns:a="http://schemas.openxmlformats.org/drawingml/2006/main">
            <a:ext uri="{FF2B5EF4-FFF2-40B4-BE49-F238E27FC236}">
              <a16:creationId xmlns:a16="http://schemas.microsoft.com/office/drawing/2014/main" id="{3E8602D0-AF32-3946-BF13-90CE1CABF8B5}"/>
            </a:ext>
          </a:extLst>
        </cdr:cNvPr>
        <cdr:cNvSpPr txBox="1">
          <a:spLocks xmlns:a="http://schemas.openxmlformats.org/drawingml/2006/main" noChangeArrowheads="1"/>
        </cdr:cNvSpPr>
      </cdr:nvSpPr>
      <cdr:spPr bwMode="auto">
        <a:xfrm xmlns:a="http://schemas.openxmlformats.org/drawingml/2006/main">
          <a:off x="1193775" y="1790468"/>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-1.4%</a:t>
          </a:r>
        </a:p>
      </cdr:txBody>
    </cdr:sp>
  </cdr:relSizeAnchor>
  <cdr:relSizeAnchor xmlns:cdr="http://schemas.openxmlformats.org/drawingml/2006/chartDrawing">
    <cdr:from>
      <cdr:x>0.76704</cdr:x>
      <cdr:y>0.74883</cdr:y>
    </cdr:from>
    <cdr:to>
      <cdr:x>0.76704</cdr:x>
      <cdr:y>0.74883</cdr:y>
    </cdr:to>
    <cdr:sp macro="" textlink="">
      <cdr:nvSpPr>
        <cdr:cNvPr id="8" name="Text Box 3">
          <a:extLst xmlns:a="http://schemas.openxmlformats.org/drawingml/2006/main">
            <a:ext uri="{FF2B5EF4-FFF2-40B4-BE49-F238E27FC236}">
              <a16:creationId xmlns:a16="http://schemas.microsoft.com/office/drawing/2014/main" id="{E01B167E-4CF8-3F4C-9390-86B6D5976F80}"/>
            </a:ext>
          </a:extLst>
        </cdr:cNvPr>
        <cdr:cNvSpPr txBox="1">
          <a:spLocks xmlns:a="http://schemas.openxmlformats.org/drawingml/2006/main" noChangeArrowheads="1"/>
        </cdr:cNvSpPr>
      </cdr:nvSpPr>
      <cdr:spPr bwMode="auto">
        <a:xfrm xmlns:a="http://schemas.openxmlformats.org/drawingml/2006/main">
          <a:off x="1402766" y="1664275"/>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a:t>
          </a:r>
        </a:p>
      </cdr:txBody>
    </cdr:sp>
  </cdr:relSizeAnchor>
  <cdr:relSizeAnchor xmlns:cdr="http://schemas.openxmlformats.org/drawingml/2006/chartDrawing">
    <cdr:from>
      <cdr:x>0.26436</cdr:x>
      <cdr:y>0.70827</cdr:y>
    </cdr:from>
    <cdr:to>
      <cdr:x>0.26436</cdr:x>
      <cdr:y>0.70827</cdr:y>
    </cdr:to>
    <cdr:sp macro="" textlink="">
      <cdr:nvSpPr>
        <cdr:cNvPr id="9" name="Text Box 4">
          <a:extLst xmlns:a="http://schemas.openxmlformats.org/drawingml/2006/main">
            <a:ext uri="{FF2B5EF4-FFF2-40B4-BE49-F238E27FC236}">
              <a16:creationId xmlns:a16="http://schemas.microsoft.com/office/drawing/2014/main" id="{FF615B11-C93A-7C46-89E2-9121A220407A}"/>
            </a:ext>
          </a:extLst>
        </cdr:cNvPr>
        <cdr:cNvSpPr txBox="1">
          <a:spLocks xmlns:a="http://schemas.openxmlformats.org/drawingml/2006/main" noChangeArrowheads="1"/>
        </cdr:cNvSpPr>
      </cdr:nvSpPr>
      <cdr:spPr bwMode="auto">
        <a:xfrm xmlns:a="http://schemas.openxmlformats.org/drawingml/2006/main">
          <a:off x="483464" y="1574136"/>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0.534</cdr:x>
      <cdr:y>0.59471</cdr:y>
    </cdr:from>
    <cdr:to>
      <cdr:x>0.534</cdr:x>
      <cdr:y>0.59471</cdr:y>
    </cdr:to>
    <cdr:sp macro="" textlink="">
      <cdr:nvSpPr>
        <cdr:cNvPr id="10" name="Text Box 1">
          <a:extLst xmlns:a="http://schemas.openxmlformats.org/drawingml/2006/main">
            <a:ext uri="{FF2B5EF4-FFF2-40B4-BE49-F238E27FC236}">
              <a16:creationId xmlns:a16="http://schemas.microsoft.com/office/drawing/2014/main" id="{67CFE4BD-95B3-5847-AE94-631B860B87FC}"/>
            </a:ext>
          </a:extLst>
        </cdr:cNvPr>
        <cdr:cNvSpPr txBox="1">
          <a:spLocks xmlns:a="http://schemas.openxmlformats.org/drawingml/2006/main" noChangeArrowheads="1"/>
        </cdr:cNvSpPr>
      </cdr:nvSpPr>
      <cdr:spPr bwMode="auto">
        <a:xfrm xmlns:a="http://schemas.openxmlformats.org/drawingml/2006/main">
          <a:off x="976579" y="1321749"/>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0.65276</cdr:x>
      <cdr:y>0.80561</cdr:y>
    </cdr:from>
    <cdr:to>
      <cdr:x>0.65276</cdr:x>
      <cdr:y>0.80561</cdr:y>
    </cdr:to>
    <cdr:sp macro="" textlink="">
      <cdr:nvSpPr>
        <cdr:cNvPr id="11" name="Text Box 2">
          <a:extLst xmlns:a="http://schemas.openxmlformats.org/drawingml/2006/main">
            <a:ext uri="{FF2B5EF4-FFF2-40B4-BE49-F238E27FC236}">
              <a16:creationId xmlns:a16="http://schemas.microsoft.com/office/drawing/2014/main" id="{1CF0D6AD-6965-1F4C-9817-F621DBA0B761}"/>
            </a:ext>
          </a:extLst>
        </cdr:cNvPr>
        <cdr:cNvSpPr txBox="1">
          <a:spLocks xmlns:a="http://schemas.openxmlformats.org/drawingml/2006/main" noChangeArrowheads="1"/>
        </cdr:cNvSpPr>
      </cdr:nvSpPr>
      <cdr:spPr bwMode="auto">
        <a:xfrm xmlns:a="http://schemas.openxmlformats.org/drawingml/2006/main">
          <a:off x="1193775" y="1790468"/>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-1.4%</a:t>
          </a:r>
        </a:p>
      </cdr:txBody>
    </cdr:sp>
  </cdr:relSizeAnchor>
  <cdr:relSizeAnchor xmlns:cdr="http://schemas.openxmlformats.org/drawingml/2006/chartDrawing">
    <cdr:from>
      <cdr:x>0.76704</cdr:x>
      <cdr:y>0.74883</cdr:y>
    </cdr:from>
    <cdr:to>
      <cdr:x>0.76704</cdr:x>
      <cdr:y>0.74883</cdr:y>
    </cdr:to>
    <cdr:sp macro="" textlink="">
      <cdr:nvSpPr>
        <cdr:cNvPr id="12" name="Text Box 3">
          <a:extLst xmlns:a="http://schemas.openxmlformats.org/drawingml/2006/main">
            <a:ext uri="{FF2B5EF4-FFF2-40B4-BE49-F238E27FC236}">
              <a16:creationId xmlns:a16="http://schemas.microsoft.com/office/drawing/2014/main" id="{3494BED4-BC77-944E-9288-66697053A2A1}"/>
            </a:ext>
          </a:extLst>
        </cdr:cNvPr>
        <cdr:cNvSpPr txBox="1">
          <a:spLocks xmlns:a="http://schemas.openxmlformats.org/drawingml/2006/main" noChangeArrowheads="1"/>
        </cdr:cNvSpPr>
      </cdr:nvSpPr>
      <cdr:spPr bwMode="auto">
        <a:xfrm xmlns:a="http://schemas.openxmlformats.org/drawingml/2006/main">
          <a:off x="1402766" y="1664275"/>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a:t>
          </a:r>
        </a:p>
      </cdr:txBody>
    </cdr:sp>
  </cdr:relSizeAnchor>
  <cdr:relSizeAnchor xmlns:cdr="http://schemas.openxmlformats.org/drawingml/2006/chartDrawing">
    <cdr:from>
      <cdr:x>0.26436</cdr:x>
      <cdr:y>0.70827</cdr:y>
    </cdr:from>
    <cdr:to>
      <cdr:x>0.26436</cdr:x>
      <cdr:y>0.70827</cdr:y>
    </cdr:to>
    <cdr:sp macro="" textlink="">
      <cdr:nvSpPr>
        <cdr:cNvPr id="13" name="Text Box 4">
          <a:extLst xmlns:a="http://schemas.openxmlformats.org/drawingml/2006/main">
            <a:ext uri="{FF2B5EF4-FFF2-40B4-BE49-F238E27FC236}">
              <a16:creationId xmlns:a16="http://schemas.microsoft.com/office/drawing/2014/main" id="{9B3F90F1-E6DC-AD40-A34C-647EE4BAECC6}"/>
            </a:ext>
          </a:extLst>
        </cdr:cNvPr>
        <cdr:cNvSpPr txBox="1">
          <a:spLocks xmlns:a="http://schemas.openxmlformats.org/drawingml/2006/main" noChangeArrowheads="1"/>
        </cdr:cNvSpPr>
      </cdr:nvSpPr>
      <cdr:spPr bwMode="auto">
        <a:xfrm xmlns:a="http://schemas.openxmlformats.org/drawingml/2006/main">
          <a:off x="483464" y="1574136"/>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userShapes>
</file>

<file path=xl/drawings/drawing71.xml><?xml version="1.0" encoding="utf-8"?>
<c:userShapes xmlns:c="http://schemas.openxmlformats.org/drawingml/2006/chart">
  <cdr:relSizeAnchor xmlns:cdr="http://schemas.openxmlformats.org/drawingml/2006/chartDrawing">
    <cdr:from>
      <cdr:x>0.21935</cdr:x>
      <cdr:y>0.72223</cdr:y>
    </cdr:from>
    <cdr:to>
      <cdr:x>0.70629</cdr:x>
      <cdr:y>0.90001</cdr:y>
    </cdr:to>
    <cdr:sp macro="" textlink="">
      <cdr:nvSpPr>
        <cdr:cNvPr id="4" name="TextBox 3"/>
        <cdr:cNvSpPr txBox="1"/>
      </cdr:nvSpPr>
      <cdr:spPr>
        <a:xfrm xmlns:a="http://schemas.openxmlformats.org/drawingml/2006/main">
          <a:off x="431233" y="1651008"/>
          <a:ext cx="957305" cy="406405"/>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a:solidFill>
                <a:srgbClr val="008000"/>
              </a:solidFill>
            </a:rPr>
            <a:t>(NFC - BECCS</a:t>
          </a:r>
          <a:r>
            <a:rPr lang="en-US" sz="1100" baseline="0">
              <a:solidFill>
                <a:srgbClr val="008000"/>
              </a:solidFill>
            </a:rPr>
            <a:t>)/TFC]</a:t>
          </a:r>
          <a:endParaRPr lang="en-US" sz="1100">
            <a:solidFill>
              <a:srgbClr val="008000"/>
            </a:solidFill>
          </a:endParaRPr>
        </a:p>
        <a:p xmlns:a="http://schemas.openxmlformats.org/drawingml/2006/main">
          <a:endParaRPr lang="en-US" sz="1100">
            <a:solidFill>
              <a:srgbClr val="008000"/>
            </a:solidFill>
          </a:endParaRPr>
        </a:p>
      </cdr:txBody>
    </cdr:sp>
  </cdr:relSizeAnchor>
  <cdr:relSizeAnchor xmlns:cdr="http://schemas.openxmlformats.org/drawingml/2006/chartDrawing">
    <cdr:from>
      <cdr:x>0.31605</cdr:x>
      <cdr:y>0.33334</cdr:y>
    </cdr:from>
    <cdr:to>
      <cdr:x>0.78057</cdr:x>
      <cdr:y>0.47037</cdr:y>
    </cdr:to>
    <cdr:sp macro="" textlink="">
      <cdr:nvSpPr>
        <cdr:cNvPr id="5" name="TextBox 2">
          <a:extLst xmlns:a="http://schemas.openxmlformats.org/drawingml/2006/main">
            <a:ext uri="{FF2B5EF4-FFF2-40B4-BE49-F238E27FC236}">
              <a16:creationId xmlns:a16="http://schemas.microsoft.com/office/drawing/2014/main" id="{A9DFBF09-6BEB-644A-B745-BD8DED459460}"/>
            </a:ext>
          </a:extLst>
        </cdr:cNvPr>
        <cdr:cNvSpPr txBox="1"/>
      </cdr:nvSpPr>
      <cdr:spPr>
        <a:xfrm xmlns:a="http://schemas.openxmlformats.org/drawingml/2006/main">
          <a:off x="621342" y="762005"/>
          <a:ext cx="913227" cy="313251"/>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000">
              <a:latin typeface="Arial"/>
              <a:cs typeface="Arial"/>
            </a:rPr>
            <a:t>Reference</a:t>
          </a:r>
        </a:p>
      </cdr:txBody>
    </cdr:sp>
  </cdr:relSizeAnchor>
  <cdr:relSizeAnchor xmlns:cdr="http://schemas.openxmlformats.org/drawingml/2006/chartDrawing">
    <cdr:from>
      <cdr:x>0.38705</cdr:x>
      <cdr:y>0.49444</cdr:y>
    </cdr:from>
    <cdr:to>
      <cdr:x>0.85156</cdr:x>
      <cdr:y>0.63148</cdr:y>
    </cdr:to>
    <cdr:sp macro="" textlink="">
      <cdr:nvSpPr>
        <cdr:cNvPr id="6" name="TextBox 3">
          <a:extLst xmlns:a="http://schemas.openxmlformats.org/drawingml/2006/main">
            <a:ext uri="{FF2B5EF4-FFF2-40B4-BE49-F238E27FC236}">
              <a16:creationId xmlns:a16="http://schemas.microsoft.com/office/drawing/2014/main" id="{230DBD4B-3180-4249-9CC6-203E5A17D372}"/>
            </a:ext>
          </a:extLst>
        </cdr:cNvPr>
        <cdr:cNvSpPr txBox="1"/>
      </cdr:nvSpPr>
      <cdr:spPr>
        <a:xfrm xmlns:a="http://schemas.openxmlformats.org/drawingml/2006/main">
          <a:off x="760926" y="1130300"/>
          <a:ext cx="913208" cy="31327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a:solidFill>
                <a:srgbClr val="FF0000"/>
              </a:solidFill>
            </a:rPr>
            <a:t>Intervention</a:t>
          </a:r>
        </a:p>
      </cdr:txBody>
    </cdr:sp>
  </cdr:relSizeAnchor>
</c:userShapes>
</file>

<file path=xl/drawings/drawing72.xml><?xml version="1.0" encoding="utf-8"?>
<c:userShapes xmlns:c="http://schemas.openxmlformats.org/drawingml/2006/chart">
  <cdr:relSizeAnchor xmlns:cdr="http://schemas.openxmlformats.org/drawingml/2006/chartDrawing">
    <cdr:from>
      <cdr:x>0.36943</cdr:x>
      <cdr:y>0.52727</cdr:y>
    </cdr:from>
    <cdr:to>
      <cdr:x>0.73862</cdr:x>
      <cdr:y>0.6178</cdr:y>
    </cdr:to>
    <cdr:sp macro="" textlink="">
      <cdr:nvSpPr>
        <cdr:cNvPr id="985089" name="Text Box 1"/>
        <cdr:cNvSpPr txBox="1">
          <a:spLocks xmlns:a="http://schemas.openxmlformats.org/drawingml/2006/main" noChangeArrowheads="1"/>
        </cdr:cNvSpPr>
      </cdr:nvSpPr>
      <cdr:spPr bwMode="auto">
        <a:xfrm xmlns:a="http://schemas.openxmlformats.org/drawingml/2006/main">
          <a:off x="731915" y="1205337"/>
          <a:ext cx="731440" cy="206951"/>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wrap="none" lIns="18288" tIns="18288" rIns="0" bIns="0" anchor="t" upright="1">
          <a:spAutoFit/>
        </a:bodyPr>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0.26984</cdr:x>
      <cdr:y>0.75555</cdr:y>
    </cdr:from>
    <cdr:to>
      <cdr:x>0.67832</cdr:x>
      <cdr:y>0.82663</cdr:y>
    </cdr:to>
    <cdr:sp macro="" textlink="">
      <cdr:nvSpPr>
        <cdr:cNvPr id="985090" name="Text Box 2"/>
        <cdr:cNvSpPr txBox="1">
          <a:spLocks xmlns:a="http://schemas.openxmlformats.org/drawingml/2006/main" noChangeArrowheads="1"/>
        </cdr:cNvSpPr>
      </cdr:nvSpPr>
      <cdr:spPr bwMode="auto">
        <a:xfrm xmlns:a="http://schemas.openxmlformats.org/drawingml/2006/main">
          <a:off x="534616" y="1727197"/>
          <a:ext cx="809281" cy="162489"/>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45720" tIns="0" rIns="0" bIns="0" anchor="t" upright="1"/>
        <a:lstStyle xmlns:a="http://schemas.openxmlformats.org/drawingml/2006/main"/>
        <a:p xmlns:a="http://schemas.openxmlformats.org/drawingml/2006/main">
          <a:pPr algn="l" rtl="0">
            <a:defRPr sz="1000"/>
          </a:pPr>
          <a:r>
            <a:rPr lang="en-US" sz="1000" b="0" i="0" u="none" strike="noStrike" baseline="0">
              <a:solidFill>
                <a:srgbClr val="FF0000"/>
              </a:solidFill>
              <a:latin typeface="Arial"/>
              <a:ea typeface="Arial"/>
              <a:cs typeface="Arial"/>
            </a:rPr>
            <a:t>Intervention</a:t>
          </a:r>
        </a:p>
      </cdr:txBody>
    </cdr:sp>
  </cdr:relSizeAnchor>
</c:userShapes>
</file>

<file path=xl/drawings/drawing73.xml><?xml version="1.0" encoding="utf-8"?>
<c:userShapes xmlns:c="http://schemas.openxmlformats.org/drawingml/2006/chart">
  <cdr:relSizeAnchor xmlns:cdr="http://schemas.openxmlformats.org/drawingml/2006/chartDrawing">
    <cdr:from>
      <cdr:x>0.21925</cdr:x>
      <cdr:y>0.17407</cdr:y>
    </cdr:from>
    <cdr:to>
      <cdr:x>0.68376</cdr:x>
      <cdr:y>0.28889</cdr:y>
    </cdr:to>
    <cdr:sp macro="" textlink="">
      <cdr:nvSpPr>
        <cdr:cNvPr id="2" name="TextBox 1"/>
        <cdr:cNvSpPr txBox="1"/>
      </cdr:nvSpPr>
      <cdr:spPr>
        <a:xfrm xmlns:a="http://schemas.openxmlformats.org/drawingml/2006/main">
          <a:off x="431038" y="397932"/>
          <a:ext cx="913208" cy="26247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000">
              <a:latin typeface="Arial"/>
              <a:cs typeface="Arial"/>
            </a:rPr>
            <a:t>Reference</a:t>
          </a:r>
        </a:p>
      </cdr:txBody>
    </cdr:sp>
  </cdr:relSizeAnchor>
  <cdr:relSizeAnchor xmlns:cdr="http://schemas.openxmlformats.org/drawingml/2006/chartDrawing">
    <cdr:from>
      <cdr:x>0.3571</cdr:x>
      <cdr:y>0.4537</cdr:y>
    </cdr:from>
    <cdr:to>
      <cdr:x>0.82161</cdr:x>
      <cdr:y>0.57963</cdr:y>
    </cdr:to>
    <cdr:sp macro="" textlink="">
      <cdr:nvSpPr>
        <cdr:cNvPr id="3" name="TextBox 2"/>
        <cdr:cNvSpPr txBox="1"/>
      </cdr:nvSpPr>
      <cdr:spPr>
        <a:xfrm xmlns:a="http://schemas.openxmlformats.org/drawingml/2006/main">
          <a:off x="702044" y="1037163"/>
          <a:ext cx="913208" cy="28787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a:solidFill>
                <a:srgbClr val="FF0000"/>
              </a:solidFill>
            </a:rPr>
            <a:t>Intervention</a:t>
          </a:r>
        </a:p>
      </cdr:txBody>
    </cdr:sp>
  </cdr:relSizeAnchor>
</c:userShapes>
</file>

<file path=xl/drawings/drawing74.xml><?xml version="1.0" encoding="utf-8"?>
<c:userShapes xmlns:c="http://schemas.openxmlformats.org/drawingml/2006/chart">
  <cdr:relSizeAnchor xmlns:cdr="http://schemas.openxmlformats.org/drawingml/2006/chartDrawing">
    <cdr:from>
      <cdr:x>0.27179</cdr:x>
      <cdr:y>0.74543</cdr:y>
    </cdr:from>
    <cdr:to>
      <cdr:x>0.68483</cdr:x>
      <cdr:y>0.82439</cdr:y>
    </cdr:to>
    <cdr:sp macro="" textlink="">
      <cdr:nvSpPr>
        <cdr:cNvPr id="984065" name="Text Box 1"/>
        <cdr:cNvSpPr txBox="1">
          <a:spLocks xmlns:a="http://schemas.openxmlformats.org/drawingml/2006/main" noChangeArrowheads="1"/>
        </cdr:cNvSpPr>
      </cdr:nvSpPr>
      <cdr:spPr bwMode="auto">
        <a:xfrm xmlns:a="http://schemas.openxmlformats.org/drawingml/2006/main">
          <a:off x="534321" y="1704045"/>
          <a:ext cx="812020" cy="180503"/>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FF0000"/>
              </a:solidFill>
              <a:latin typeface="Arial"/>
              <a:ea typeface="Arial"/>
              <a:cs typeface="Arial"/>
            </a:rPr>
            <a:t>Intervention</a:t>
          </a:r>
        </a:p>
      </cdr:txBody>
    </cdr:sp>
  </cdr:relSizeAnchor>
  <cdr:relSizeAnchor xmlns:cdr="http://schemas.openxmlformats.org/drawingml/2006/chartDrawing">
    <cdr:from>
      <cdr:x>0.47544</cdr:x>
      <cdr:y>0.33191</cdr:y>
    </cdr:from>
    <cdr:to>
      <cdr:x>0.95764</cdr:x>
      <cdr:y>0.4181</cdr:y>
    </cdr:to>
    <cdr:sp macro="" textlink="">
      <cdr:nvSpPr>
        <cdr:cNvPr id="984066" name="Text Box 2"/>
        <cdr:cNvSpPr txBox="1">
          <a:spLocks xmlns:a="http://schemas.openxmlformats.org/drawingml/2006/main" noChangeArrowheads="1"/>
        </cdr:cNvSpPr>
      </cdr:nvSpPr>
      <cdr:spPr bwMode="auto">
        <a:xfrm xmlns:a="http://schemas.openxmlformats.org/drawingml/2006/main">
          <a:off x="934700" y="758746"/>
          <a:ext cx="947986" cy="197031"/>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userShapes>
</file>

<file path=xl/drawings/drawing75.xml><?xml version="1.0" encoding="utf-8"?>
<xdr:wsDr xmlns:xdr="http://schemas.openxmlformats.org/drawingml/2006/spreadsheetDrawing" xmlns:a="http://schemas.openxmlformats.org/drawingml/2006/main">
  <xdr:absoluteAnchor>
    <xdr:pos x="4445001" y="11243734"/>
    <xdr:ext cx="1917700" cy="2222500"/>
    <xdr:graphicFrame macro="">
      <xdr:nvGraphicFramePr>
        <xdr:cNvPr id="2" name="Chart 20">
          <a:extLst>
            <a:ext uri="{FF2B5EF4-FFF2-40B4-BE49-F238E27FC236}">
              <a16:creationId xmlns:a16="http://schemas.microsoft.com/office/drawing/2014/main" id="{42E0E881-2997-A345-84FD-0AEEEF9D39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absoluteAnchor>
    <xdr:pos x="10011834" y="1905000"/>
    <xdr:ext cx="2425699" cy="2286000"/>
    <xdr:graphicFrame macro="">
      <xdr:nvGraphicFramePr>
        <xdr:cNvPr id="3" name="Chart 1">
          <a:extLst>
            <a:ext uri="{FF2B5EF4-FFF2-40B4-BE49-F238E27FC236}">
              <a16:creationId xmlns:a16="http://schemas.microsoft.com/office/drawing/2014/main" id="{E9FD873B-E555-554D-BD8F-20C8EF4504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xdr:absoluteAnchor>
    <xdr:pos x="8193617" y="2044701"/>
    <xdr:ext cx="2053166" cy="2286000"/>
    <xdr:graphicFrame macro="">
      <xdr:nvGraphicFramePr>
        <xdr:cNvPr id="4" name="Chart 2">
          <a:extLst>
            <a:ext uri="{FF2B5EF4-FFF2-40B4-BE49-F238E27FC236}">
              <a16:creationId xmlns:a16="http://schemas.microsoft.com/office/drawing/2014/main" id="{D66D16B1-5CF8-5B45-954E-0452C89676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absoluteAnchor>
  <xdr:absoluteAnchor>
    <xdr:pos x="6489701" y="1934633"/>
    <xdr:ext cx="1968500" cy="2286000"/>
    <xdr:graphicFrame macro="">
      <xdr:nvGraphicFramePr>
        <xdr:cNvPr id="5" name="Chart 3">
          <a:extLst>
            <a:ext uri="{FF2B5EF4-FFF2-40B4-BE49-F238E27FC236}">
              <a16:creationId xmlns:a16="http://schemas.microsoft.com/office/drawing/2014/main" id="{94D14676-789A-B147-8FF3-27B0210B97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absoluteAnchor>
  <xdr:absoluteAnchor>
    <xdr:pos x="4461932" y="1921933"/>
    <xdr:ext cx="2129368" cy="2286000"/>
    <xdr:graphicFrame macro="">
      <xdr:nvGraphicFramePr>
        <xdr:cNvPr id="6" name="Chart 8">
          <a:extLst>
            <a:ext uri="{FF2B5EF4-FFF2-40B4-BE49-F238E27FC236}">
              <a16:creationId xmlns:a16="http://schemas.microsoft.com/office/drawing/2014/main" id="{A1E45F8F-C691-FA46-8B7B-A0AFA4B8F2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absoluteAnchor>
  <xdr:absoluteAnchor>
    <xdr:pos x="2671233" y="1955801"/>
    <xdr:ext cx="2095500" cy="2286000"/>
    <xdr:graphicFrame macro="">
      <xdr:nvGraphicFramePr>
        <xdr:cNvPr id="7" name="Chart 12">
          <a:extLst>
            <a:ext uri="{FF2B5EF4-FFF2-40B4-BE49-F238E27FC236}">
              <a16:creationId xmlns:a16="http://schemas.microsoft.com/office/drawing/2014/main" id="{91340910-6FD4-8B4B-8582-A55A1705FC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absoluteAnchor>
  <xdr:absoluteAnchor>
    <xdr:pos x="8115301" y="11243734"/>
    <xdr:ext cx="1993900" cy="2197100"/>
    <xdr:graphicFrame macro="">
      <xdr:nvGraphicFramePr>
        <xdr:cNvPr id="8" name="Chart 15">
          <a:extLst>
            <a:ext uri="{FF2B5EF4-FFF2-40B4-BE49-F238E27FC236}">
              <a16:creationId xmlns:a16="http://schemas.microsoft.com/office/drawing/2014/main" id="{1E0E2D7E-01E0-1643-BA26-F5BE1A8AAA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absoluteAnchor>
  <xdr:absoluteAnchor>
    <xdr:pos x="9880601" y="11243734"/>
    <xdr:ext cx="1993900" cy="2146300"/>
    <xdr:graphicFrame macro="">
      <xdr:nvGraphicFramePr>
        <xdr:cNvPr id="9" name="Chart 16">
          <a:extLst>
            <a:ext uri="{FF2B5EF4-FFF2-40B4-BE49-F238E27FC236}">
              <a16:creationId xmlns:a16="http://schemas.microsoft.com/office/drawing/2014/main" id="{6B27E8D1-00E1-3243-8B84-F5156AA3A7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absoluteAnchor>
  <xdr:absoluteAnchor>
    <xdr:pos x="6400801" y="11231034"/>
    <xdr:ext cx="1866900" cy="2184400"/>
    <xdr:graphicFrame macro="">
      <xdr:nvGraphicFramePr>
        <xdr:cNvPr id="10" name="Chart 17">
          <a:extLst>
            <a:ext uri="{FF2B5EF4-FFF2-40B4-BE49-F238E27FC236}">
              <a16:creationId xmlns:a16="http://schemas.microsoft.com/office/drawing/2014/main" id="{E0F1D45D-6D97-0149-B0E4-D8F153637E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absoluteAnchor>
  <xdr:absoluteAnchor>
    <xdr:pos x="2794001" y="11243734"/>
    <xdr:ext cx="1866900" cy="2159000"/>
    <xdr:graphicFrame macro="">
      <xdr:nvGraphicFramePr>
        <xdr:cNvPr id="11" name="Chart 21">
          <a:extLst>
            <a:ext uri="{FF2B5EF4-FFF2-40B4-BE49-F238E27FC236}">
              <a16:creationId xmlns:a16="http://schemas.microsoft.com/office/drawing/2014/main" id="{4D49C852-9728-854C-844E-DABBADEBB9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absoluteAnchor>
  <xdr:twoCellAnchor>
    <xdr:from>
      <xdr:col>15</xdr:col>
      <xdr:colOff>448734</xdr:colOff>
      <xdr:row>64</xdr:row>
      <xdr:rowOff>1</xdr:rowOff>
    </xdr:from>
    <xdr:to>
      <xdr:col>17</xdr:col>
      <xdr:colOff>469900</xdr:colOff>
      <xdr:row>64</xdr:row>
      <xdr:rowOff>1</xdr:rowOff>
    </xdr:to>
    <xdr:sp macro="" textlink="">
      <xdr:nvSpPr>
        <xdr:cNvPr id="12" name="Line 24">
          <a:extLst>
            <a:ext uri="{FF2B5EF4-FFF2-40B4-BE49-F238E27FC236}">
              <a16:creationId xmlns:a16="http://schemas.microsoft.com/office/drawing/2014/main" id="{5BD96487-DD2C-7640-9992-2407A807F18A}"/>
            </a:ext>
          </a:extLst>
        </xdr:cNvPr>
        <xdr:cNvSpPr>
          <a:spLocks noChangeShapeType="1"/>
        </xdr:cNvSpPr>
      </xdr:nvSpPr>
      <xdr:spPr bwMode="auto">
        <a:xfrm>
          <a:off x="10545234" y="10566401"/>
          <a:ext cx="1367366"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5</xdr:col>
      <xdr:colOff>347133</xdr:colOff>
      <xdr:row>64</xdr:row>
      <xdr:rowOff>0</xdr:rowOff>
    </xdr:from>
    <xdr:to>
      <xdr:col>7</xdr:col>
      <xdr:colOff>287866</xdr:colOff>
      <xdr:row>64</xdr:row>
      <xdr:rowOff>0</xdr:rowOff>
    </xdr:to>
    <xdr:sp macro="" textlink="">
      <xdr:nvSpPr>
        <xdr:cNvPr id="13" name="Line 26">
          <a:extLst>
            <a:ext uri="{FF2B5EF4-FFF2-40B4-BE49-F238E27FC236}">
              <a16:creationId xmlns:a16="http://schemas.microsoft.com/office/drawing/2014/main" id="{31400840-28F1-CB4A-B895-C762CB8587C0}"/>
            </a:ext>
          </a:extLst>
        </xdr:cNvPr>
        <xdr:cNvSpPr>
          <a:spLocks noChangeShapeType="1"/>
        </xdr:cNvSpPr>
      </xdr:nvSpPr>
      <xdr:spPr bwMode="auto">
        <a:xfrm flipV="1">
          <a:off x="3712633" y="10566400"/>
          <a:ext cx="1286933"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absoluteAnchor>
    <xdr:pos x="8348132" y="4656665"/>
    <xdr:ext cx="1968500" cy="2286000"/>
    <xdr:graphicFrame macro="">
      <xdr:nvGraphicFramePr>
        <xdr:cNvPr id="14" name="Chart 28">
          <a:extLst>
            <a:ext uri="{FF2B5EF4-FFF2-40B4-BE49-F238E27FC236}">
              <a16:creationId xmlns:a16="http://schemas.microsoft.com/office/drawing/2014/main" id="{95F9FD04-C00D-4E4A-8CFC-8972FE8074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absoluteAnchor>
  <xdr:absoluteAnchor>
    <xdr:pos x="10117666" y="4673600"/>
    <xdr:ext cx="1968500" cy="2286000"/>
    <xdr:graphicFrame macro="">
      <xdr:nvGraphicFramePr>
        <xdr:cNvPr id="15" name="Chart 29">
          <a:extLst>
            <a:ext uri="{FF2B5EF4-FFF2-40B4-BE49-F238E27FC236}">
              <a16:creationId xmlns:a16="http://schemas.microsoft.com/office/drawing/2014/main" id="{85DE0116-E0CC-204C-9642-7224999FBF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absoluteAnchor>
  <xdr:absoluteAnchor>
    <xdr:pos x="6485466" y="4660900"/>
    <xdr:ext cx="1968500" cy="2286000"/>
    <xdr:graphicFrame macro="">
      <xdr:nvGraphicFramePr>
        <xdr:cNvPr id="16" name="Chart 30">
          <a:extLst>
            <a:ext uri="{FF2B5EF4-FFF2-40B4-BE49-F238E27FC236}">
              <a16:creationId xmlns:a16="http://schemas.microsoft.com/office/drawing/2014/main" id="{4B811AF7-E4BF-FF49-9F82-799B5246FAB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absoluteAnchor>
  <xdr:absoluteAnchor>
    <xdr:pos x="4542366" y="4682068"/>
    <xdr:ext cx="1968500" cy="2286000"/>
    <xdr:graphicFrame macro="">
      <xdr:nvGraphicFramePr>
        <xdr:cNvPr id="17" name="Chart 35">
          <a:extLst>
            <a:ext uri="{FF2B5EF4-FFF2-40B4-BE49-F238E27FC236}">
              <a16:creationId xmlns:a16="http://schemas.microsoft.com/office/drawing/2014/main" id="{F32F613A-F924-9E47-803B-857D35BD38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absoluteAnchor>
  <xdr:oneCellAnchor>
    <xdr:from>
      <xdr:col>0</xdr:col>
      <xdr:colOff>660400</xdr:colOff>
      <xdr:row>24</xdr:row>
      <xdr:rowOff>127000</xdr:rowOff>
    </xdr:from>
    <xdr:ext cx="3848041" cy="263662"/>
    <xdr:sp macro="" textlink="">
      <xdr:nvSpPr>
        <xdr:cNvPr id="18" name="Text Box 37">
          <a:extLst>
            <a:ext uri="{FF2B5EF4-FFF2-40B4-BE49-F238E27FC236}">
              <a16:creationId xmlns:a16="http://schemas.microsoft.com/office/drawing/2014/main" id="{7F5DE446-8DC1-214E-9676-286EEF008136}"/>
            </a:ext>
          </a:extLst>
        </xdr:cNvPr>
        <xdr:cNvSpPr txBox="1">
          <a:spLocks noChangeArrowheads="1"/>
        </xdr:cNvSpPr>
      </xdr:nvSpPr>
      <xdr:spPr bwMode="auto">
        <a:xfrm>
          <a:off x="660400" y="4470400"/>
          <a:ext cx="3848041" cy="263662"/>
        </a:xfrm>
        <a:prstGeom prst="rect">
          <a:avLst/>
        </a:prstGeom>
        <a:noFill/>
        <a:ln>
          <a:noFill/>
        </a:ln>
        <a:extLst>
          <a:ext uri="{909E8E84-426E-40dd-AFC4-6F175D3DCCD1}">
            <a14:hiddenFill xmlns=""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27432" tIns="27432" rIns="0" bIns="0" anchor="t" upright="1">
          <a:spAutoFit/>
        </a:bodyPr>
        <a:lstStyle/>
        <a:p>
          <a:pPr algn="l" rtl="0">
            <a:defRPr sz="1000"/>
          </a:pPr>
          <a:r>
            <a:rPr lang="en-US" sz="1600" b="1" i="0" u="none" strike="noStrike" baseline="0">
              <a:solidFill>
                <a:srgbClr val="000000"/>
              </a:solidFill>
              <a:latin typeface="Arial"/>
              <a:ea typeface="Arial"/>
              <a:cs typeface="Arial"/>
            </a:rPr>
            <a:t>GHG Emissions Terms Indexed to 2010</a:t>
          </a:r>
        </a:p>
      </xdr:txBody>
    </xdr:sp>
    <xdr:clientData/>
  </xdr:oneCellAnchor>
  <xdr:oneCellAnchor>
    <xdr:from>
      <xdr:col>18</xdr:col>
      <xdr:colOff>262467</xdr:colOff>
      <xdr:row>8</xdr:row>
      <xdr:rowOff>148167</xdr:rowOff>
    </xdr:from>
    <xdr:ext cx="147524" cy="269305"/>
    <xdr:sp macro="" textlink="">
      <xdr:nvSpPr>
        <xdr:cNvPr id="20" name="Text Box 47">
          <a:extLst>
            <a:ext uri="{FF2B5EF4-FFF2-40B4-BE49-F238E27FC236}">
              <a16:creationId xmlns:a16="http://schemas.microsoft.com/office/drawing/2014/main" id="{9D8CCEFB-4FE1-7240-8DB8-76FC0F1C9346}"/>
            </a:ext>
          </a:extLst>
        </xdr:cNvPr>
        <xdr:cNvSpPr txBox="1">
          <a:spLocks noChangeArrowheads="1"/>
        </xdr:cNvSpPr>
      </xdr:nvSpPr>
      <xdr:spPr bwMode="auto">
        <a:xfrm>
          <a:off x="12378267" y="1468967"/>
          <a:ext cx="147524" cy="269305"/>
        </a:xfrm>
        <a:prstGeom prst="rect">
          <a:avLst/>
        </a:prstGeom>
        <a:noFill/>
        <a:ln>
          <a:noFill/>
        </a:ln>
        <a:extLst>
          <a:ext uri="{909E8E84-426E-40dd-AFC4-6F175D3DCCD1}">
            <a14:hiddenFill xmlns=""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27432" tIns="22860" rIns="0" bIns="0" anchor="t" upright="1">
          <a:spAutoFit/>
        </a:bodyPr>
        <a:lstStyle/>
        <a:p>
          <a:pPr algn="l" rtl="0">
            <a:defRPr sz="1000"/>
          </a:pPr>
          <a:r>
            <a:rPr lang="en-US" sz="1600" b="0" i="0" u="none" strike="noStrike" baseline="0">
              <a:solidFill>
                <a:srgbClr val="000000"/>
              </a:solidFill>
              <a:latin typeface="Arial"/>
              <a:ea typeface="Arial"/>
              <a:cs typeface="Arial"/>
            </a:rPr>
            <a:t>=</a:t>
          </a:r>
        </a:p>
      </xdr:txBody>
    </xdr:sp>
    <xdr:clientData/>
  </xdr:oneCellAnchor>
  <xdr:oneCellAnchor>
    <xdr:from>
      <xdr:col>11</xdr:col>
      <xdr:colOff>393700</xdr:colOff>
      <xdr:row>8</xdr:row>
      <xdr:rowOff>148167</xdr:rowOff>
    </xdr:from>
    <xdr:ext cx="147524" cy="269305"/>
    <xdr:sp macro="" textlink="">
      <xdr:nvSpPr>
        <xdr:cNvPr id="21" name="Text Box 48">
          <a:extLst>
            <a:ext uri="{FF2B5EF4-FFF2-40B4-BE49-F238E27FC236}">
              <a16:creationId xmlns:a16="http://schemas.microsoft.com/office/drawing/2014/main" id="{79334ED0-1617-CA47-8599-EC7CDF10E330}"/>
            </a:ext>
          </a:extLst>
        </xdr:cNvPr>
        <xdr:cNvSpPr txBox="1">
          <a:spLocks noChangeArrowheads="1"/>
        </xdr:cNvSpPr>
      </xdr:nvSpPr>
      <xdr:spPr bwMode="auto">
        <a:xfrm>
          <a:off x="7797800" y="1468967"/>
          <a:ext cx="147524" cy="269305"/>
        </a:xfrm>
        <a:prstGeom prst="rect">
          <a:avLst/>
        </a:prstGeom>
        <a:noFill/>
        <a:ln>
          <a:noFill/>
        </a:ln>
        <a:extLst>
          <a:ext uri="{909E8E84-426E-40dd-AFC4-6F175D3DCCD1}">
            <a14:hiddenFill xmlns=""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27432" tIns="22860" rIns="0" bIns="0" anchor="t" upright="1">
          <a:spAutoFit/>
        </a:bodyPr>
        <a:lstStyle/>
        <a:p>
          <a:pPr algn="l" rtl="0">
            <a:defRPr sz="1000"/>
          </a:pPr>
          <a:r>
            <a:rPr lang="en-US" sz="1600" b="0" i="0" u="none" strike="noStrike" baseline="0">
              <a:solidFill>
                <a:srgbClr val="000000"/>
              </a:solidFill>
              <a:latin typeface="Arial"/>
              <a:ea typeface="Arial"/>
              <a:cs typeface="Arial"/>
            </a:rPr>
            <a:t>+</a:t>
          </a:r>
        </a:p>
      </xdr:txBody>
    </xdr:sp>
    <xdr:clientData/>
  </xdr:oneCellAnchor>
  <xdr:oneCellAnchor>
    <xdr:from>
      <xdr:col>15</xdr:col>
      <xdr:colOff>91786</xdr:colOff>
      <xdr:row>8</xdr:row>
      <xdr:rowOff>160867</xdr:rowOff>
    </xdr:from>
    <xdr:ext cx="147524" cy="269305"/>
    <xdr:sp macro="" textlink="">
      <xdr:nvSpPr>
        <xdr:cNvPr id="22" name="Text Box 49">
          <a:extLst>
            <a:ext uri="{FF2B5EF4-FFF2-40B4-BE49-F238E27FC236}">
              <a16:creationId xmlns:a16="http://schemas.microsoft.com/office/drawing/2014/main" id="{C3D48301-6C5B-D64D-866D-E3442B4BEF57}"/>
            </a:ext>
          </a:extLst>
        </xdr:cNvPr>
        <xdr:cNvSpPr txBox="1">
          <a:spLocks noChangeArrowheads="1"/>
        </xdr:cNvSpPr>
      </xdr:nvSpPr>
      <xdr:spPr bwMode="auto">
        <a:xfrm>
          <a:off x="10188286" y="1481667"/>
          <a:ext cx="147524" cy="269305"/>
        </a:xfrm>
        <a:prstGeom prst="rect">
          <a:avLst/>
        </a:prstGeom>
        <a:noFill/>
        <a:ln>
          <a:noFill/>
        </a:ln>
        <a:extLst>
          <a:ext uri="{909E8E84-426E-40dd-AFC4-6F175D3DCCD1}">
            <a14:hiddenFill xmlns=""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27432" tIns="22860" rIns="0" bIns="0" anchor="t" upright="1">
          <a:spAutoFit/>
        </a:bodyPr>
        <a:lstStyle/>
        <a:p>
          <a:pPr algn="l" rtl="0">
            <a:defRPr sz="1000"/>
          </a:pPr>
          <a:r>
            <a:rPr lang="en-US" sz="1600" b="0" i="0" u="none" strike="noStrike" baseline="0">
              <a:solidFill>
                <a:srgbClr val="000000"/>
              </a:solidFill>
              <a:latin typeface="Arial"/>
              <a:ea typeface="Arial"/>
              <a:cs typeface="Arial"/>
            </a:rPr>
            <a:t>+</a:t>
          </a:r>
        </a:p>
      </xdr:txBody>
    </xdr:sp>
    <xdr:clientData/>
  </xdr:oneCellAnchor>
  <xdr:oneCellAnchor>
    <xdr:from>
      <xdr:col>8</xdr:col>
      <xdr:colOff>33866</xdr:colOff>
      <xdr:row>8</xdr:row>
      <xdr:rowOff>148167</xdr:rowOff>
    </xdr:from>
    <xdr:ext cx="147524" cy="269305"/>
    <xdr:sp macro="" textlink="">
      <xdr:nvSpPr>
        <xdr:cNvPr id="23" name="Text Box 50">
          <a:extLst>
            <a:ext uri="{FF2B5EF4-FFF2-40B4-BE49-F238E27FC236}">
              <a16:creationId xmlns:a16="http://schemas.microsoft.com/office/drawing/2014/main" id="{FEB2AC6E-4E60-0642-BF9E-CF8039B6A82E}"/>
            </a:ext>
          </a:extLst>
        </xdr:cNvPr>
        <xdr:cNvSpPr txBox="1">
          <a:spLocks noChangeArrowheads="1"/>
        </xdr:cNvSpPr>
      </xdr:nvSpPr>
      <xdr:spPr bwMode="auto">
        <a:xfrm>
          <a:off x="5418666" y="1468967"/>
          <a:ext cx="147524" cy="269305"/>
        </a:xfrm>
        <a:prstGeom prst="rect">
          <a:avLst/>
        </a:prstGeom>
        <a:noFill/>
        <a:ln>
          <a:noFill/>
        </a:ln>
        <a:extLst>
          <a:ext uri="{909E8E84-426E-40dd-AFC4-6F175D3DCCD1}">
            <a14:hiddenFill xmlns=""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27432" tIns="22860" rIns="0" bIns="0" anchor="t" upright="1">
          <a:spAutoFit/>
        </a:bodyPr>
        <a:lstStyle/>
        <a:p>
          <a:pPr algn="l" rtl="0">
            <a:defRPr sz="1000"/>
          </a:pPr>
          <a:r>
            <a:rPr lang="en-US" sz="1600" b="0" i="0" u="none" strike="noStrike" baseline="0">
              <a:solidFill>
                <a:srgbClr val="000000"/>
              </a:solidFill>
              <a:latin typeface="Arial"/>
              <a:ea typeface="Arial"/>
              <a:cs typeface="Arial"/>
            </a:rPr>
            <a:t>+</a:t>
          </a:r>
        </a:p>
      </xdr:txBody>
    </xdr:sp>
    <xdr:clientData/>
  </xdr:oneCellAnchor>
  <xdr:twoCellAnchor>
    <xdr:from>
      <xdr:col>19</xdr:col>
      <xdr:colOff>355601</xdr:colOff>
      <xdr:row>64</xdr:row>
      <xdr:rowOff>0</xdr:rowOff>
    </xdr:from>
    <xdr:to>
      <xdr:col>20</xdr:col>
      <xdr:colOff>215900</xdr:colOff>
      <xdr:row>64</xdr:row>
      <xdr:rowOff>0</xdr:rowOff>
    </xdr:to>
    <xdr:sp macro="" textlink="">
      <xdr:nvSpPr>
        <xdr:cNvPr id="24" name="Line 56">
          <a:extLst>
            <a:ext uri="{FF2B5EF4-FFF2-40B4-BE49-F238E27FC236}">
              <a16:creationId xmlns:a16="http://schemas.microsoft.com/office/drawing/2014/main" id="{FE4A8468-B235-8A48-A52B-FC4F9FE37E49}"/>
            </a:ext>
          </a:extLst>
        </xdr:cNvPr>
        <xdr:cNvSpPr>
          <a:spLocks noChangeShapeType="1"/>
        </xdr:cNvSpPr>
      </xdr:nvSpPr>
      <xdr:spPr bwMode="auto">
        <a:xfrm>
          <a:off x="13144501" y="10566400"/>
          <a:ext cx="533399"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absoluteAnchor>
    <xdr:pos x="694267" y="1904998"/>
    <xdr:ext cx="2175936" cy="2286000"/>
    <xdr:graphicFrame macro="">
      <xdr:nvGraphicFramePr>
        <xdr:cNvPr id="25" name="Chart 14">
          <a:extLst>
            <a:ext uri="{FF2B5EF4-FFF2-40B4-BE49-F238E27FC236}">
              <a16:creationId xmlns:a16="http://schemas.microsoft.com/office/drawing/2014/main" id="{CAAEDB26-360A-204F-A5D0-23C7999E93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absoluteAnchor>
  <xdr:absoluteAnchor>
    <xdr:pos x="872066" y="4673600"/>
    <xdr:ext cx="1968500" cy="2286000"/>
    <xdr:graphicFrame macro="">
      <xdr:nvGraphicFramePr>
        <xdr:cNvPr id="26" name="Chart 14">
          <a:extLst>
            <a:ext uri="{FF2B5EF4-FFF2-40B4-BE49-F238E27FC236}">
              <a16:creationId xmlns:a16="http://schemas.microsoft.com/office/drawing/2014/main" id="{7FF4BCF6-4A21-A945-B17C-5D414A10B2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absoluteAnchor>
  <xdr:absoluteAnchor>
    <xdr:pos x="1016001" y="11243734"/>
    <xdr:ext cx="1866900" cy="2159000"/>
    <xdr:graphicFrame macro="">
      <xdr:nvGraphicFramePr>
        <xdr:cNvPr id="27" name="Chart 21">
          <a:extLst>
            <a:ext uri="{FF2B5EF4-FFF2-40B4-BE49-F238E27FC236}">
              <a16:creationId xmlns:a16="http://schemas.microsoft.com/office/drawing/2014/main" id="{11122427-A79E-F743-8E93-BDD0613455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absoluteAnchor>
  <xdr:twoCellAnchor>
    <xdr:from>
      <xdr:col>3</xdr:col>
      <xdr:colOff>80432</xdr:colOff>
      <xdr:row>64</xdr:row>
      <xdr:rowOff>8467</xdr:rowOff>
    </xdr:from>
    <xdr:to>
      <xdr:col>3</xdr:col>
      <xdr:colOff>592666</xdr:colOff>
      <xdr:row>64</xdr:row>
      <xdr:rowOff>8467</xdr:rowOff>
    </xdr:to>
    <xdr:sp macro="" textlink="">
      <xdr:nvSpPr>
        <xdr:cNvPr id="28" name="Line 26">
          <a:extLst>
            <a:ext uri="{FF2B5EF4-FFF2-40B4-BE49-F238E27FC236}">
              <a16:creationId xmlns:a16="http://schemas.microsoft.com/office/drawing/2014/main" id="{A1A93977-F8BE-2449-AAAE-46A1C3D7FC15}"/>
            </a:ext>
          </a:extLst>
        </xdr:cNvPr>
        <xdr:cNvSpPr>
          <a:spLocks noChangeShapeType="1"/>
        </xdr:cNvSpPr>
      </xdr:nvSpPr>
      <xdr:spPr bwMode="auto">
        <a:xfrm flipV="1">
          <a:off x="1896532" y="11260667"/>
          <a:ext cx="512234"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oneCellAnchor>
    <xdr:from>
      <xdr:col>4</xdr:col>
      <xdr:colOff>469900</xdr:colOff>
      <xdr:row>8</xdr:row>
      <xdr:rowOff>148167</xdr:rowOff>
    </xdr:from>
    <xdr:ext cx="147524" cy="269305"/>
    <xdr:sp macro="" textlink="">
      <xdr:nvSpPr>
        <xdr:cNvPr id="29" name="Text Box 50">
          <a:extLst>
            <a:ext uri="{FF2B5EF4-FFF2-40B4-BE49-F238E27FC236}">
              <a16:creationId xmlns:a16="http://schemas.microsoft.com/office/drawing/2014/main" id="{BAD2407F-5BE5-D74D-9FF3-76891D023D7A}"/>
            </a:ext>
          </a:extLst>
        </xdr:cNvPr>
        <xdr:cNvSpPr txBox="1">
          <a:spLocks noChangeArrowheads="1"/>
        </xdr:cNvSpPr>
      </xdr:nvSpPr>
      <xdr:spPr bwMode="auto">
        <a:xfrm>
          <a:off x="3162300" y="1468967"/>
          <a:ext cx="147524" cy="269305"/>
        </a:xfrm>
        <a:prstGeom prst="rect">
          <a:avLst/>
        </a:prstGeom>
        <a:noFill/>
        <a:ln>
          <a:noFill/>
        </a:ln>
        <a:extLst>
          <a:ext uri="{909E8E84-426E-40dd-AFC4-6F175D3DCCD1}">
            <a14:hiddenFill xmlns=""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27432" tIns="22860" rIns="0" bIns="0" anchor="t" upright="1">
          <a:spAutoFit/>
        </a:bodyPr>
        <a:lstStyle/>
        <a:p>
          <a:pPr algn="l" rtl="0">
            <a:defRPr sz="1000"/>
          </a:pPr>
          <a:r>
            <a:rPr lang="en-US" sz="1600" b="0" i="0" u="none" strike="noStrike" baseline="0">
              <a:solidFill>
                <a:srgbClr val="000000"/>
              </a:solidFill>
              <a:latin typeface="Arial"/>
              <a:ea typeface="Arial"/>
              <a:cs typeface="Arial"/>
            </a:rPr>
            <a:t>+</a:t>
          </a:r>
        </a:p>
      </xdr:txBody>
    </xdr:sp>
    <xdr:clientData/>
  </xdr:oneCellAnchor>
  <xdr:twoCellAnchor>
    <xdr:from>
      <xdr:col>9</xdr:col>
      <xdr:colOff>71966</xdr:colOff>
      <xdr:row>64</xdr:row>
      <xdr:rowOff>0</xdr:rowOff>
    </xdr:from>
    <xdr:to>
      <xdr:col>10</xdr:col>
      <xdr:colOff>309032</xdr:colOff>
      <xdr:row>64</xdr:row>
      <xdr:rowOff>0</xdr:rowOff>
    </xdr:to>
    <xdr:sp macro="" textlink="">
      <xdr:nvSpPr>
        <xdr:cNvPr id="30" name="Line 23">
          <a:extLst>
            <a:ext uri="{FF2B5EF4-FFF2-40B4-BE49-F238E27FC236}">
              <a16:creationId xmlns:a16="http://schemas.microsoft.com/office/drawing/2014/main" id="{7FC9564B-5152-0341-A716-C52D109821D4}"/>
            </a:ext>
          </a:extLst>
        </xdr:cNvPr>
        <xdr:cNvSpPr>
          <a:spLocks noChangeShapeType="1"/>
        </xdr:cNvSpPr>
      </xdr:nvSpPr>
      <xdr:spPr bwMode="auto">
        <a:xfrm>
          <a:off x="6129866" y="10566400"/>
          <a:ext cx="910166"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12</xdr:col>
      <xdr:colOff>237066</xdr:colOff>
      <xdr:row>63</xdr:row>
      <xdr:rowOff>190499</xdr:rowOff>
    </xdr:from>
    <xdr:to>
      <xdr:col>14</xdr:col>
      <xdr:colOff>228600</xdr:colOff>
      <xdr:row>63</xdr:row>
      <xdr:rowOff>190500</xdr:rowOff>
    </xdr:to>
    <xdr:sp macro="" textlink="">
      <xdr:nvSpPr>
        <xdr:cNvPr id="31" name="Line 22">
          <a:extLst>
            <a:ext uri="{FF2B5EF4-FFF2-40B4-BE49-F238E27FC236}">
              <a16:creationId xmlns:a16="http://schemas.microsoft.com/office/drawing/2014/main" id="{7555FFE6-1F8C-C641-85F0-00773144E014}"/>
            </a:ext>
          </a:extLst>
        </xdr:cNvPr>
        <xdr:cNvSpPr>
          <a:spLocks noChangeShapeType="1"/>
        </xdr:cNvSpPr>
      </xdr:nvSpPr>
      <xdr:spPr bwMode="auto">
        <a:xfrm>
          <a:off x="8314266" y="10566399"/>
          <a:ext cx="1337734" cy="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oneCellAnchor>
    <xdr:from>
      <xdr:col>1</xdr:col>
      <xdr:colOff>0</xdr:colOff>
      <xdr:row>6</xdr:row>
      <xdr:rowOff>12700</xdr:rowOff>
    </xdr:from>
    <xdr:ext cx="2251265" cy="273921"/>
    <xdr:sp macro="" textlink="">
      <xdr:nvSpPr>
        <xdr:cNvPr id="32" name="Text Box 37">
          <a:extLst>
            <a:ext uri="{FF2B5EF4-FFF2-40B4-BE49-F238E27FC236}">
              <a16:creationId xmlns:a16="http://schemas.microsoft.com/office/drawing/2014/main" id="{96AB1C21-D418-6042-B07A-56D446108901}"/>
            </a:ext>
          </a:extLst>
        </xdr:cNvPr>
        <xdr:cNvSpPr txBox="1">
          <a:spLocks noChangeArrowheads="1"/>
        </xdr:cNvSpPr>
      </xdr:nvSpPr>
      <xdr:spPr bwMode="auto">
        <a:xfrm>
          <a:off x="673100" y="1003300"/>
          <a:ext cx="2251265" cy="273921"/>
        </a:xfrm>
        <a:prstGeom prst="rect">
          <a:avLst/>
        </a:prstGeom>
        <a:noFill/>
        <a:ln>
          <a:noFill/>
        </a:ln>
        <a:extLst>
          <a:ext uri="{909E8E84-426E-40dd-AFC4-6F175D3DCCD1}">
            <a14:hiddenFill xmlns=""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27432" tIns="27432" rIns="0" bIns="0" anchor="t" upright="1">
          <a:spAutoFit/>
        </a:bodyPr>
        <a:lstStyle/>
        <a:p>
          <a:pPr algn="l" rtl="0">
            <a:defRPr sz="1000"/>
          </a:pPr>
          <a:r>
            <a:rPr lang="en-US" sz="1600" b="1" i="0" u="none" strike="noStrike" baseline="0">
              <a:solidFill>
                <a:srgbClr val="000000"/>
              </a:solidFill>
              <a:latin typeface="Arial"/>
              <a:ea typeface="Arial"/>
              <a:cs typeface="Arial"/>
            </a:rPr>
            <a:t>GHG Emissions Terms</a:t>
          </a:r>
        </a:p>
      </xdr:txBody>
    </xdr:sp>
    <xdr:clientData/>
  </xdr:oneCellAnchor>
  <xdr:absoluteAnchor>
    <xdr:pos x="8252882" y="7818968"/>
    <xdr:ext cx="1968500" cy="2286000"/>
    <xdr:graphicFrame macro="">
      <xdr:nvGraphicFramePr>
        <xdr:cNvPr id="33" name="Chart 28">
          <a:extLst>
            <a:ext uri="{FF2B5EF4-FFF2-40B4-BE49-F238E27FC236}">
              <a16:creationId xmlns:a16="http://schemas.microsoft.com/office/drawing/2014/main" id="{D3AF6615-48B5-6D46-B65B-5325A0F1C8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absoluteAnchor>
  <xdr:absoluteAnchor>
    <xdr:pos x="10143067" y="7848603"/>
    <xdr:ext cx="1968500" cy="2286000"/>
    <xdr:graphicFrame macro="">
      <xdr:nvGraphicFramePr>
        <xdr:cNvPr id="34" name="Chart 29">
          <a:extLst>
            <a:ext uri="{FF2B5EF4-FFF2-40B4-BE49-F238E27FC236}">
              <a16:creationId xmlns:a16="http://schemas.microsoft.com/office/drawing/2014/main" id="{C2505B0D-9F37-AF43-B66D-6041494699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absoluteAnchor>
  <xdr:absoluteAnchor>
    <xdr:pos x="6510867" y="7835903"/>
    <xdr:ext cx="1968500" cy="2286000"/>
    <xdr:graphicFrame macro="">
      <xdr:nvGraphicFramePr>
        <xdr:cNvPr id="35" name="Chart 30">
          <a:extLst>
            <a:ext uri="{FF2B5EF4-FFF2-40B4-BE49-F238E27FC236}">
              <a16:creationId xmlns:a16="http://schemas.microsoft.com/office/drawing/2014/main" id="{A50C1B0A-F247-8540-8421-16395F32C0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absoluteAnchor>
  <xdr:absoluteAnchor>
    <xdr:pos x="4529667" y="7861304"/>
    <xdr:ext cx="1968500" cy="2286000"/>
    <xdr:graphicFrame macro="">
      <xdr:nvGraphicFramePr>
        <xdr:cNvPr id="36" name="Chart 35">
          <a:extLst>
            <a:ext uri="{FF2B5EF4-FFF2-40B4-BE49-F238E27FC236}">
              <a16:creationId xmlns:a16="http://schemas.microsoft.com/office/drawing/2014/main" id="{409D2E64-E31D-0841-922F-447A348E2A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absoluteAnchor>
  <xdr:absoluteAnchor>
    <xdr:pos x="2794001" y="7848603"/>
    <xdr:ext cx="1968500" cy="2286000"/>
    <xdr:graphicFrame macro="">
      <xdr:nvGraphicFramePr>
        <xdr:cNvPr id="37" name="Chart 36">
          <a:extLst>
            <a:ext uri="{FF2B5EF4-FFF2-40B4-BE49-F238E27FC236}">
              <a16:creationId xmlns:a16="http://schemas.microsoft.com/office/drawing/2014/main" id="{E5921154-A20A-EB43-9C22-EE50D2E4B9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absoluteAnchor>
  <xdr:absoluteAnchor>
    <xdr:pos x="897467" y="7848603"/>
    <xdr:ext cx="1968500" cy="2286000"/>
    <xdr:graphicFrame macro="">
      <xdr:nvGraphicFramePr>
        <xdr:cNvPr id="38" name="Chart 14">
          <a:extLst>
            <a:ext uri="{FF2B5EF4-FFF2-40B4-BE49-F238E27FC236}">
              <a16:creationId xmlns:a16="http://schemas.microsoft.com/office/drawing/2014/main" id="{19FB3305-37CE-3D40-B1AE-5CA0F70BBE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absoluteAnchor>
  <xdr:oneCellAnchor>
    <xdr:from>
      <xdr:col>1</xdr:col>
      <xdr:colOff>0</xdr:colOff>
      <xdr:row>42</xdr:row>
      <xdr:rowOff>0</xdr:rowOff>
    </xdr:from>
    <xdr:ext cx="4326762" cy="499624"/>
    <xdr:sp macro="" textlink="">
      <xdr:nvSpPr>
        <xdr:cNvPr id="39" name="Text Box 37">
          <a:extLst>
            <a:ext uri="{FF2B5EF4-FFF2-40B4-BE49-F238E27FC236}">
              <a16:creationId xmlns:a16="http://schemas.microsoft.com/office/drawing/2014/main" id="{095CEE16-52EC-474B-90E0-7321EEF78D5E}"/>
            </a:ext>
          </a:extLst>
        </xdr:cNvPr>
        <xdr:cNvSpPr txBox="1">
          <a:spLocks noChangeArrowheads="1"/>
        </xdr:cNvSpPr>
      </xdr:nvSpPr>
      <xdr:spPr bwMode="auto">
        <a:xfrm>
          <a:off x="673100" y="7581900"/>
          <a:ext cx="4326762" cy="499624"/>
        </a:xfrm>
        <a:prstGeom prst="rect">
          <a:avLst/>
        </a:prstGeom>
        <a:noFill/>
        <a:ln>
          <a:noFill/>
        </a:ln>
        <a:extLst>
          <a:ext uri="{909E8E84-426E-40dd-AFC4-6F175D3DCCD1}">
            <a14:hiddenFill xmlns=""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27432" tIns="27432" rIns="0" bIns="0" anchor="t" upright="1">
          <a:spAutoFit/>
        </a:bodyPr>
        <a:lstStyle/>
        <a:p>
          <a:pPr algn="l" rtl="0">
            <a:defRPr sz="1000"/>
          </a:pPr>
          <a:r>
            <a:rPr lang="en-US" sz="1600" b="1" i="0" u="none" strike="noStrike" baseline="0">
              <a:solidFill>
                <a:srgbClr val="000000"/>
              </a:solidFill>
              <a:latin typeface="Arial"/>
              <a:ea typeface="Arial"/>
              <a:cs typeface="Arial"/>
            </a:rPr>
            <a:t>GHG Emissions Terms Indexed to NFC 2010</a:t>
          </a:r>
        </a:p>
        <a:p>
          <a:pPr algn="l" rtl="0">
            <a:defRPr sz="1000"/>
          </a:pPr>
          <a:endParaRPr lang="en-US" sz="1600" b="1" i="0" u="none" strike="noStrike" baseline="0">
            <a:solidFill>
              <a:srgbClr val="000000"/>
            </a:solidFill>
            <a:latin typeface="Arial"/>
            <a:ea typeface="Arial"/>
            <a:cs typeface="Arial"/>
          </a:endParaRPr>
        </a:p>
      </xdr:txBody>
    </xdr:sp>
    <xdr:clientData/>
  </xdr:oneCellAnchor>
  <xdr:oneCellAnchor>
    <xdr:from>
      <xdr:col>1</xdr:col>
      <xdr:colOff>172720</xdr:colOff>
      <xdr:row>60</xdr:row>
      <xdr:rowOff>91440</xdr:rowOff>
    </xdr:from>
    <xdr:ext cx="5490029" cy="499624"/>
    <xdr:sp macro="" textlink="">
      <xdr:nvSpPr>
        <xdr:cNvPr id="41" name="Text Box 45">
          <a:extLst>
            <a:ext uri="{FF2B5EF4-FFF2-40B4-BE49-F238E27FC236}">
              <a16:creationId xmlns:a16="http://schemas.microsoft.com/office/drawing/2014/main" id="{A745C896-E470-2240-936E-61060D7E483F}"/>
            </a:ext>
          </a:extLst>
        </xdr:cNvPr>
        <xdr:cNvSpPr txBox="1">
          <a:spLocks noChangeArrowheads="1"/>
        </xdr:cNvSpPr>
      </xdr:nvSpPr>
      <xdr:spPr bwMode="auto">
        <a:xfrm>
          <a:off x="845820" y="10645140"/>
          <a:ext cx="5490029" cy="499624"/>
        </a:xfrm>
        <a:prstGeom prst="rect">
          <a:avLst/>
        </a:prstGeom>
        <a:noFill/>
        <a:ln>
          <a:noFill/>
        </a:ln>
        <a:extLst>
          <a:ext uri="{909E8E84-426E-40dd-AFC4-6F175D3DCCD1}">
            <a14:hiddenFill xmlns:a14="http://schemas.microsoft.com/office/drawing/2010/main" xmlns="">
              <a:solidFill>
                <a:srgbClr xmlns:mc="http://schemas.openxmlformats.org/markup-compatibility/2006" val="FFFFFF" mc:Ignorable="a14" a14:legacySpreadsheetColorIndex="65"/>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wrap="none" lIns="27432" tIns="27432" rIns="0" bIns="0" anchor="t" upright="1">
          <a:spAutoFit/>
        </a:bodyPr>
        <a:lstStyle/>
        <a:p>
          <a:pPr algn="l" rtl="0">
            <a:defRPr sz="1000"/>
          </a:pPr>
          <a:r>
            <a:rPr lang="en-US" sz="1600" b="1" i="0" u="none" strike="noStrike" baseline="0">
              <a:solidFill>
                <a:srgbClr val="000000"/>
              </a:solidFill>
              <a:latin typeface="Arial"/>
              <a:ea typeface="Arial"/>
              <a:cs typeface="Arial"/>
            </a:rPr>
            <a:t>Rate of Change as % of Base Year (decadal, annualized)</a:t>
          </a:r>
        </a:p>
        <a:p>
          <a:pPr algn="l" rtl="0">
            <a:defRPr sz="1000"/>
          </a:pPr>
          <a:endParaRPr lang="en-US" sz="1600" b="1" i="0" u="none" strike="noStrike" baseline="0">
            <a:solidFill>
              <a:srgbClr val="000000"/>
            </a:solidFill>
            <a:latin typeface="Arial"/>
            <a:ea typeface="Arial"/>
            <a:cs typeface="Arial"/>
          </a:endParaRPr>
        </a:p>
      </xdr:txBody>
    </xdr:sp>
    <xdr:clientData/>
  </xdr:oneCellAnchor>
  <xdr:absoluteAnchor>
    <xdr:pos x="15173960" y="2451100"/>
    <xdr:ext cx="4102100" cy="3759200"/>
    <xdr:graphicFrame macro="">
      <xdr:nvGraphicFramePr>
        <xdr:cNvPr id="44" name="Chart 1">
          <a:extLst>
            <a:ext uri="{FF2B5EF4-FFF2-40B4-BE49-F238E27FC236}">
              <a16:creationId xmlns:a16="http://schemas.microsoft.com/office/drawing/2014/main" id="{E656DA88-3321-7B47-9862-56EDF21125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absoluteAnchor>
  <xdr:absoluteAnchor>
    <xdr:pos x="18585180" y="2442634"/>
    <xdr:ext cx="4051300" cy="3784600"/>
    <xdr:graphicFrame macro="">
      <xdr:nvGraphicFramePr>
        <xdr:cNvPr id="46" name="Chart 1">
          <a:extLst>
            <a:ext uri="{FF2B5EF4-FFF2-40B4-BE49-F238E27FC236}">
              <a16:creationId xmlns:a16="http://schemas.microsoft.com/office/drawing/2014/main" id="{A8E9BFB5-29DB-E541-A0E7-D247FD26497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absoluteAnchor>
  <xdr:absoluteAnchor>
    <xdr:pos x="15151100" y="7772400"/>
    <xdr:ext cx="2129368" cy="2286000"/>
    <xdr:graphicFrame macro="">
      <xdr:nvGraphicFramePr>
        <xdr:cNvPr id="50" name="Chart 8">
          <a:extLst>
            <a:ext uri="{FF2B5EF4-FFF2-40B4-BE49-F238E27FC236}">
              <a16:creationId xmlns:a16="http://schemas.microsoft.com/office/drawing/2014/main" id="{ACE59DA7-7FC9-2542-A770-7145F2940A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absoluteAnchor>
  <xdr:absoluteAnchor>
    <xdr:pos x="17767300" y="7797800"/>
    <xdr:ext cx="1968500" cy="2286000"/>
    <xdr:graphicFrame macro="">
      <xdr:nvGraphicFramePr>
        <xdr:cNvPr id="51" name="Chart 3">
          <a:extLst>
            <a:ext uri="{FF2B5EF4-FFF2-40B4-BE49-F238E27FC236}">
              <a16:creationId xmlns:a16="http://schemas.microsoft.com/office/drawing/2014/main" id="{46AA3A07-AA8E-484A-86C6-501A440B61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absoluteAnchor>
  <xdr:absoluteAnchor>
    <xdr:pos x="19888200" y="7912100"/>
    <xdr:ext cx="2053166" cy="2286000"/>
    <xdr:graphicFrame macro="">
      <xdr:nvGraphicFramePr>
        <xdr:cNvPr id="52" name="Chart 2">
          <a:extLst>
            <a:ext uri="{FF2B5EF4-FFF2-40B4-BE49-F238E27FC236}">
              <a16:creationId xmlns:a16="http://schemas.microsoft.com/office/drawing/2014/main" id="{6DCDD91D-20D6-C040-82D7-D75F1DB357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absoluteAnchor>
</xdr:wsDr>
</file>

<file path=xl/drawings/drawing76.xml><?xml version="1.0" encoding="utf-8"?>
<c:userShapes xmlns:c="http://schemas.openxmlformats.org/drawingml/2006/chart">
  <cdr:relSizeAnchor xmlns:cdr="http://schemas.openxmlformats.org/drawingml/2006/chartDrawing">
    <cdr:from>
      <cdr:x>0.31144</cdr:x>
      <cdr:y>0.3353</cdr:y>
    </cdr:from>
    <cdr:to>
      <cdr:x>0.75245</cdr:x>
      <cdr:y>0.43792</cdr:y>
    </cdr:to>
    <cdr:sp macro="" textlink="">
      <cdr:nvSpPr>
        <cdr:cNvPr id="990209" name="Text Box 1"/>
        <cdr:cNvSpPr txBox="1">
          <a:spLocks xmlns:a="http://schemas.openxmlformats.org/drawingml/2006/main" noChangeArrowheads="1"/>
        </cdr:cNvSpPr>
      </cdr:nvSpPr>
      <cdr:spPr bwMode="auto">
        <a:xfrm xmlns:a="http://schemas.openxmlformats.org/drawingml/2006/main">
          <a:off x="597253" y="745207"/>
          <a:ext cx="845725" cy="228073"/>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0.27269</cdr:x>
      <cdr:y>0.51814</cdr:y>
    </cdr:from>
    <cdr:to>
      <cdr:x>0.76129</cdr:x>
      <cdr:y>0.63626</cdr:y>
    </cdr:to>
    <cdr:sp macro="" textlink="">
      <cdr:nvSpPr>
        <cdr:cNvPr id="990210" name="Text Box 2"/>
        <cdr:cNvSpPr txBox="1">
          <a:spLocks xmlns:a="http://schemas.openxmlformats.org/drawingml/2006/main" noChangeArrowheads="1"/>
        </cdr:cNvSpPr>
      </cdr:nvSpPr>
      <cdr:spPr bwMode="auto">
        <a:xfrm xmlns:a="http://schemas.openxmlformats.org/drawingml/2006/main">
          <a:off x="522938" y="1151556"/>
          <a:ext cx="936988" cy="262521"/>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FF0000"/>
              </a:solidFill>
              <a:latin typeface="Arial"/>
              <a:ea typeface="Arial"/>
              <a:cs typeface="Arial"/>
            </a:rPr>
            <a:t>Intervention</a:t>
          </a:r>
        </a:p>
      </cdr:txBody>
    </cdr:sp>
  </cdr:relSizeAnchor>
</c:userShapes>
</file>

<file path=xl/drawings/drawing77.xml><?xml version="1.0" encoding="utf-8"?>
<c:userShapes xmlns:c="http://schemas.openxmlformats.org/drawingml/2006/chart">
  <cdr:relSizeAnchor xmlns:cdr="http://schemas.openxmlformats.org/drawingml/2006/chartDrawing">
    <cdr:from>
      <cdr:x>0.36748</cdr:x>
      <cdr:y>0.19352</cdr:y>
    </cdr:from>
    <cdr:to>
      <cdr:x>0.832</cdr:x>
      <cdr:y>0.33055</cdr:y>
    </cdr:to>
    <cdr:sp macro="" textlink="">
      <cdr:nvSpPr>
        <cdr:cNvPr id="2" name="TextBox 1"/>
        <cdr:cNvSpPr txBox="1"/>
      </cdr:nvSpPr>
      <cdr:spPr>
        <a:xfrm xmlns:a="http://schemas.openxmlformats.org/drawingml/2006/main">
          <a:off x="891393" y="442392"/>
          <a:ext cx="1126786" cy="31325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000">
              <a:latin typeface="Arial"/>
              <a:cs typeface="Arial"/>
            </a:rPr>
            <a:t>Reference</a:t>
          </a:r>
        </a:p>
      </cdr:txBody>
    </cdr:sp>
  </cdr:relSizeAnchor>
  <cdr:relSizeAnchor xmlns:cdr="http://schemas.openxmlformats.org/drawingml/2006/chartDrawing">
    <cdr:from>
      <cdr:x>0.27423</cdr:x>
      <cdr:y>0.69944</cdr:y>
    </cdr:from>
    <cdr:to>
      <cdr:x>0.73874</cdr:x>
      <cdr:y>0.83648</cdr:y>
    </cdr:to>
    <cdr:sp macro="" textlink="">
      <cdr:nvSpPr>
        <cdr:cNvPr id="3" name="TextBox 2"/>
        <cdr:cNvSpPr txBox="1"/>
      </cdr:nvSpPr>
      <cdr:spPr>
        <a:xfrm xmlns:a="http://schemas.openxmlformats.org/drawingml/2006/main">
          <a:off x="665194" y="1598920"/>
          <a:ext cx="1126762" cy="31327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a:solidFill>
                <a:srgbClr val="FF0000"/>
              </a:solidFill>
            </a:rPr>
            <a:t>Intervention</a:t>
          </a:r>
        </a:p>
      </cdr:txBody>
    </cdr:sp>
  </cdr:relSizeAnchor>
</c:userShapes>
</file>

<file path=xl/drawings/drawing78.xml><?xml version="1.0" encoding="utf-8"?>
<c:userShapes xmlns:c="http://schemas.openxmlformats.org/drawingml/2006/chart">
  <cdr:relSizeAnchor xmlns:cdr="http://schemas.openxmlformats.org/drawingml/2006/chartDrawing">
    <cdr:from>
      <cdr:x>0.38994</cdr:x>
      <cdr:y>0.42221</cdr:y>
    </cdr:from>
    <cdr:to>
      <cdr:x>0.85445</cdr:x>
      <cdr:y>0.53704</cdr:y>
    </cdr:to>
    <cdr:sp macro="" textlink="">
      <cdr:nvSpPr>
        <cdr:cNvPr id="2" name="TextBox 1"/>
        <cdr:cNvSpPr txBox="1"/>
      </cdr:nvSpPr>
      <cdr:spPr>
        <a:xfrm xmlns:a="http://schemas.openxmlformats.org/drawingml/2006/main">
          <a:off x="800607" y="965175"/>
          <a:ext cx="953716" cy="262501"/>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000">
              <a:latin typeface="Arial"/>
              <a:cs typeface="Arial"/>
            </a:rPr>
            <a:t>Reference</a:t>
          </a:r>
        </a:p>
      </cdr:txBody>
    </cdr:sp>
  </cdr:relSizeAnchor>
  <cdr:relSizeAnchor xmlns:cdr="http://schemas.openxmlformats.org/drawingml/2006/chartDrawing">
    <cdr:from>
      <cdr:x>0.31827</cdr:x>
      <cdr:y>0.63925</cdr:y>
    </cdr:from>
    <cdr:to>
      <cdr:x>0.78278</cdr:x>
      <cdr:y>0.76518</cdr:y>
    </cdr:to>
    <cdr:sp macro="" textlink="">
      <cdr:nvSpPr>
        <cdr:cNvPr id="3" name="TextBox 2"/>
        <cdr:cNvSpPr txBox="1"/>
      </cdr:nvSpPr>
      <cdr:spPr>
        <a:xfrm xmlns:a="http://schemas.openxmlformats.org/drawingml/2006/main">
          <a:off x="653463" y="1461320"/>
          <a:ext cx="953716" cy="28787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a:solidFill>
                <a:srgbClr val="FF0000"/>
              </a:solidFill>
            </a:rPr>
            <a:t>Intervention</a:t>
          </a:r>
        </a:p>
      </cdr:txBody>
    </cdr:sp>
  </cdr:relSizeAnchor>
</c:userShapes>
</file>

<file path=xl/drawings/drawing79.xml><?xml version="1.0" encoding="utf-8"?>
<c:userShapes xmlns:c="http://schemas.openxmlformats.org/drawingml/2006/chart">
  <cdr:relSizeAnchor xmlns:cdr="http://schemas.openxmlformats.org/drawingml/2006/chartDrawing">
    <cdr:from>
      <cdr:x>0.28724</cdr:x>
      <cdr:y>0.73081</cdr:y>
    </cdr:from>
    <cdr:to>
      <cdr:x>0.70028</cdr:x>
      <cdr:y>0.80976</cdr:y>
    </cdr:to>
    <cdr:sp macro="" textlink="">
      <cdr:nvSpPr>
        <cdr:cNvPr id="984065" name="Text Box 1"/>
        <cdr:cNvSpPr txBox="1">
          <a:spLocks xmlns:a="http://schemas.openxmlformats.org/drawingml/2006/main" noChangeArrowheads="1"/>
        </cdr:cNvSpPr>
      </cdr:nvSpPr>
      <cdr:spPr bwMode="auto">
        <a:xfrm xmlns:a="http://schemas.openxmlformats.org/drawingml/2006/main">
          <a:off x="565426" y="1670634"/>
          <a:ext cx="813069" cy="18048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FF0000"/>
              </a:solidFill>
              <a:latin typeface="Arial"/>
              <a:ea typeface="Arial"/>
              <a:cs typeface="Arial"/>
            </a:rPr>
            <a:t>Intervention</a:t>
          </a:r>
        </a:p>
      </cdr:txBody>
    </cdr:sp>
  </cdr:relSizeAnchor>
  <cdr:relSizeAnchor xmlns:cdr="http://schemas.openxmlformats.org/drawingml/2006/chartDrawing">
    <cdr:from>
      <cdr:x>0.33224</cdr:x>
      <cdr:y>0.59042</cdr:y>
    </cdr:from>
    <cdr:to>
      <cdr:x>0.81444</cdr:x>
      <cdr:y>0.67661</cdr:y>
    </cdr:to>
    <cdr:sp macro="" textlink="">
      <cdr:nvSpPr>
        <cdr:cNvPr id="984066" name="Text Box 2"/>
        <cdr:cNvSpPr txBox="1">
          <a:spLocks xmlns:a="http://schemas.openxmlformats.org/drawingml/2006/main" noChangeArrowheads="1"/>
        </cdr:cNvSpPr>
      </cdr:nvSpPr>
      <cdr:spPr bwMode="auto">
        <a:xfrm xmlns:a="http://schemas.openxmlformats.org/drawingml/2006/main">
          <a:off x="654011" y="1349708"/>
          <a:ext cx="949211" cy="19703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userShapes>
</file>

<file path=xl/drawings/drawing80.xml><?xml version="1.0" encoding="utf-8"?>
<c:userShapes xmlns:c="http://schemas.openxmlformats.org/drawingml/2006/chart">
  <cdr:relSizeAnchor xmlns:cdr="http://schemas.openxmlformats.org/drawingml/2006/chartDrawing">
    <cdr:from>
      <cdr:x>0.46273</cdr:x>
      <cdr:y>0.59394</cdr:y>
    </cdr:from>
    <cdr:to>
      <cdr:x>0.83192</cdr:x>
      <cdr:y>0.68447</cdr:y>
    </cdr:to>
    <cdr:sp macro="" textlink="">
      <cdr:nvSpPr>
        <cdr:cNvPr id="985089" name="Text Box 1"/>
        <cdr:cNvSpPr txBox="1">
          <a:spLocks xmlns:a="http://schemas.openxmlformats.org/drawingml/2006/main" noChangeArrowheads="1"/>
        </cdr:cNvSpPr>
      </cdr:nvSpPr>
      <cdr:spPr bwMode="auto">
        <a:xfrm xmlns:a="http://schemas.openxmlformats.org/drawingml/2006/main">
          <a:off x="985331" y="1357739"/>
          <a:ext cx="786142" cy="206952"/>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wrap="none" lIns="18288" tIns="18288" rIns="0" bIns="0" anchor="t" upright="1">
          <a:spAutoFit/>
        </a:bodyPr>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0.26182</cdr:x>
      <cdr:y>0.75962</cdr:y>
    </cdr:from>
    <cdr:to>
      <cdr:x>0.6703</cdr:x>
      <cdr:y>0.8307</cdr:y>
    </cdr:to>
    <cdr:sp macro="" textlink="">
      <cdr:nvSpPr>
        <cdr:cNvPr id="985090" name="Text Box 2"/>
        <cdr:cNvSpPr txBox="1">
          <a:spLocks xmlns:a="http://schemas.openxmlformats.org/drawingml/2006/main" noChangeArrowheads="1"/>
        </cdr:cNvSpPr>
      </cdr:nvSpPr>
      <cdr:spPr bwMode="auto">
        <a:xfrm xmlns:a="http://schemas.openxmlformats.org/drawingml/2006/main">
          <a:off x="557521" y="1736499"/>
          <a:ext cx="869804" cy="162489"/>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45720" tIns="0" rIns="0" bIns="0" anchor="t" upright="1"/>
        <a:lstStyle xmlns:a="http://schemas.openxmlformats.org/drawingml/2006/main"/>
        <a:p xmlns:a="http://schemas.openxmlformats.org/drawingml/2006/main">
          <a:pPr algn="l" rtl="0">
            <a:defRPr sz="1000"/>
          </a:pPr>
          <a:r>
            <a:rPr lang="en-US" sz="1000" b="0" i="0" u="none" strike="noStrike" baseline="0">
              <a:solidFill>
                <a:srgbClr val="FF0000"/>
              </a:solidFill>
              <a:latin typeface="Arial"/>
              <a:ea typeface="Arial"/>
              <a:cs typeface="Arial"/>
            </a:rPr>
            <a:t>Intervention</a:t>
          </a:r>
        </a:p>
      </cdr:txBody>
    </cdr:sp>
  </cdr:relSizeAnchor>
</c:userShapes>
</file>

<file path=xl/drawings/drawing81.xml><?xml version="1.0" encoding="utf-8"?>
<c:userShapes xmlns:c="http://schemas.openxmlformats.org/drawingml/2006/chart">
  <cdr:relSizeAnchor xmlns:cdr="http://schemas.openxmlformats.org/drawingml/2006/chartDrawing">
    <cdr:from>
      <cdr:x>0.32839</cdr:x>
      <cdr:y>0.38215</cdr:y>
    </cdr:from>
    <cdr:to>
      <cdr:x>0.79364</cdr:x>
      <cdr:y>0.46743</cdr:y>
    </cdr:to>
    <cdr:sp macro="" textlink="">
      <cdr:nvSpPr>
        <cdr:cNvPr id="986114" name="Text Box 2"/>
        <cdr:cNvSpPr txBox="1">
          <a:spLocks xmlns:a="http://schemas.openxmlformats.org/drawingml/2006/main" noChangeArrowheads="1"/>
        </cdr:cNvSpPr>
      </cdr:nvSpPr>
      <cdr:spPr bwMode="auto">
        <a:xfrm xmlns:a="http://schemas.openxmlformats.org/drawingml/2006/main">
          <a:off x="688148" y="873597"/>
          <a:ext cx="974931" cy="194951"/>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None present</a:t>
          </a:r>
        </a:p>
      </cdr:txBody>
    </cdr:sp>
  </cdr:relSizeAnchor>
</c:userShapes>
</file>

<file path=xl/drawings/drawing82.xml><?xml version="1.0" encoding="utf-8"?>
<c:userShapes xmlns:c="http://schemas.openxmlformats.org/drawingml/2006/chart">
  <cdr:relSizeAnchor xmlns:cdr="http://schemas.openxmlformats.org/drawingml/2006/chartDrawing">
    <cdr:from>
      <cdr:x>0.48195</cdr:x>
      <cdr:y>0.39692</cdr:y>
    </cdr:from>
    <cdr:to>
      <cdr:x>0.94055</cdr:x>
      <cdr:y>0.52024</cdr:y>
    </cdr:to>
    <cdr:sp macro="" textlink="">
      <cdr:nvSpPr>
        <cdr:cNvPr id="2" name="TextBox 1"/>
        <cdr:cNvSpPr txBox="1"/>
      </cdr:nvSpPr>
      <cdr:spPr>
        <a:xfrm xmlns:a="http://schemas.openxmlformats.org/drawingml/2006/main">
          <a:off x="960961" y="872063"/>
          <a:ext cx="914403" cy="270947"/>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pPr marL="0" marR="0" indent="0" defTabSz="914400" rtl="0" eaLnBrk="1" fontAlgn="auto" latinLnBrk="0" hangingPunct="1">
            <a:lnSpc>
              <a:spcPct val="100000"/>
            </a:lnSpc>
            <a:spcBef>
              <a:spcPts val="0"/>
            </a:spcBef>
            <a:spcAft>
              <a:spcPts val="0"/>
            </a:spcAft>
            <a:buClrTx/>
            <a:buSzTx/>
            <a:buFontTx/>
            <a:buNone/>
            <a:tabLst/>
            <a:defRPr/>
          </a:pPr>
          <a:r>
            <a:rPr lang="en-US" sz="1000" b="0" i="0" baseline="0">
              <a:effectLst/>
              <a:latin typeface="Arial"/>
              <a:ea typeface="+mn-ea"/>
              <a:cs typeface="Arial"/>
            </a:rPr>
            <a:t>Reference</a:t>
          </a:r>
          <a:endParaRPr lang="en-US" sz="1000">
            <a:effectLst/>
            <a:latin typeface="Arial"/>
            <a:cs typeface="Arial"/>
          </a:endParaRPr>
        </a:p>
      </cdr:txBody>
    </cdr:sp>
  </cdr:relSizeAnchor>
  <cdr:relSizeAnchor xmlns:cdr="http://schemas.openxmlformats.org/drawingml/2006/chartDrawing">
    <cdr:from>
      <cdr:x>0.37155</cdr:x>
      <cdr:y>0.6975</cdr:y>
    </cdr:from>
    <cdr:to>
      <cdr:x>0.83015</cdr:x>
      <cdr:y>0.84393</cdr:y>
    </cdr:to>
    <cdr:sp macro="" textlink="">
      <cdr:nvSpPr>
        <cdr:cNvPr id="3" name="TextBox 2"/>
        <cdr:cNvSpPr txBox="1"/>
      </cdr:nvSpPr>
      <cdr:spPr>
        <a:xfrm xmlns:a="http://schemas.openxmlformats.org/drawingml/2006/main">
          <a:off x="740840" y="1532471"/>
          <a:ext cx="914403" cy="321721"/>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000">
              <a:solidFill>
                <a:srgbClr val="FF0000"/>
              </a:solidFill>
              <a:latin typeface="Arial"/>
              <a:cs typeface="Arial"/>
            </a:rPr>
            <a:t>Intervention</a:t>
          </a:r>
        </a:p>
      </cdr:txBody>
    </cdr:sp>
  </cdr:relSizeAnchor>
</c:userShapes>
</file>

<file path=xl/drawings/drawing83.xml><?xml version="1.0" encoding="utf-8"?>
<c:userShapes xmlns:c="http://schemas.openxmlformats.org/drawingml/2006/chart">
  <cdr:relSizeAnchor xmlns:cdr="http://schemas.openxmlformats.org/drawingml/2006/chartDrawing">
    <cdr:from>
      <cdr:x>0.41551</cdr:x>
      <cdr:y>0.7854</cdr:y>
    </cdr:from>
    <cdr:to>
      <cdr:x>0.41551</cdr:x>
      <cdr:y>0.7854</cdr:y>
    </cdr:to>
    <cdr:sp macro="" textlink="">
      <cdr:nvSpPr>
        <cdr:cNvPr id="988161" name="Text Box 1"/>
        <cdr:cNvSpPr txBox="1">
          <a:spLocks xmlns:a="http://schemas.openxmlformats.org/drawingml/2006/main" noChangeArrowheads="1"/>
        </cdr:cNvSpPr>
      </cdr:nvSpPr>
      <cdr:spPr bwMode="auto">
        <a:xfrm xmlns:a="http://schemas.openxmlformats.org/drawingml/2006/main">
          <a:off x="833755" y="1695691"/>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0.37403</cdr:x>
      <cdr:y>0.62287</cdr:y>
    </cdr:from>
    <cdr:to>
      <cdr:x>0.71938</cdr:x>
      <cdr:y>0.70318</cdr:y>
    </cdr:to>
    <cdr:sp macro="" textlink="">
      <cdr:nvSpPr>
        <cdr:cNvPr id="988162" name="Text Box 2"/>
        <cdr:cNvSpPr txBox="1">
          <a:spLocks xmlns:a="http://schemas.openxmlformats.org/drawingml/2006/main" noChangeArrowheads="1"/>
        </cdr:cNvSpPr>
      </cdr:nvSpPr>
      <cdr:spPr bwMode="auto">
        <a:xfrm xmlns:a="http://schemas.openxmlformats.org/drawingml/2006/main">
          <a:off x="745770" y="1336869"/>
          <a:ext cx="688593" cy="17237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wrap="none" lIns="18288" tIns="18288" rIns="0" bIns="0" anchor="t" upright="1">
          <a:spAutoFit/>
        </a:bodyPr>
        <a:lstStyle xmlns:a="http://schemas.openxmlformats.org/drawingml/2006/main"/>
        <a:p xmlns:a="http://schemas.openxmlformats.org/drawingml/2006/main">
          <a:pPr algn="l" rtl="0">
            <a:defRPr sz="1000"/>
          </a:pPr>
          <a:r>
            <a:rPr lang="en-US" sz="1000" b="0" i="0" u="none" strike="noStrike" baseline="0">
              <a:solidFill>
                <a:srgbClr val="FF0000"/>
              </a:solidFill>
              <a:latin typeface="Arial"/>
              <a:ea typeface="Arial"/>
              <a:cs typeface="Arial"/>
            </a:rPr>
            <a:t>Intervention</a:t>
          </a:r>
        </a:p>
      </cdr:txBody>
    </cdr:sp>
  </cdr:relSizeAnchor>
  <cdr:relSizeAnchor xmlns:cdr="http://schemas.openxmlformats.org/drawingml/2006/chartDrawing">
    <cdr:from>
      <cdr:x>0.36943</cdr:x>
      <cdr:y>0.22169</cdr:y>
    </cdr:from>
    <cdr:to>
      <cdr:x>0.82803</cdr:x>
      <cdr:y>0.3637</cdr:y>
    </cdr:to>
    <cdr:sp macro="" textlink="">
      <cdr:nvSpPr>
        <cdr:cNvPr id="2" name="TextBox 1"/>
        <cdr:cNvSpPr txBox="1"/>
      </cdr:nvSpPr>
      <cdr:spPr>
        <a:xfrm xmlns:a="http://schemas.openxmlformats.org/drawingml/2006/main">
          <a:off x="736605" y="475817"/>
          <a:ext cx="914402" cy="30479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pPr marL="0" marR="0" indent="0" defTabSz="914400" rtl="0" eaLnBrk="1" fontAlgn="auto" latinLnBrk="0" hangingPunct="1">
            <a:lnSpc>
              <a:spcPct val="100000"/>
            </a:lnSpc>
            <a:spcBef>
              <a:spcPts val="0"/>
            </a:spcBef>
            <a:spcAft>
              <a:spcPts val="0"/>
            </a:spcAft>
            <a:buClrTx/>
            <a:buSzTx/>
            <a:buFontTx/>
            <a:buNone/>
            <a:tabLst/>
            <a:defRPr/>
          </a:pPr>
          <a:r>
            <a:rPr lang="en-US" sz="1000" b="0" i="0" baseline="0">
              <a:effectLst/>
              <a:latin typeface="Arial"/>
              <a:ea typeface="+mn-ea"/>
              <a:cs typeface="Arial"/>
            </a:rPr>
            <a:t>Reference</a:t>
          </a:r>
          <a:endParaRPr lang="en-US" sz="1000">
            <a:effectLst/>
            <a:latin typeface="Arial"/>
            <a:cs typeface="Arial"/>
          </a:endParaRPr>
        </a:p>
      </cdr:txBody>
    </cdr:sp>
  </cdr:relSizeAnchor>
</c:userShapes>
</file>

<file path=xl/drawings/drawing84.xml><?xml version="1.0" encoding="utf-8"?>
<c:userShapes xmlns:c="http://schemas.openxmlformats.org/drawingml/2006/chart">
  <cdr:relSizeAnchor xmlns:cdr="http://schemas.openxmlformats.org/drawingml/2006/chartDrawing">
    <cdr:from>
      <cdr:x>0.39689</cdr:x>
      <cdr:y>0.65713</cdr:y>
    </cdr:from>
    <cdr:to>
      <cdr:x>0.39689</cdr:x>
      <cdr:y>0.65713</cdr:y>
    </cdr:to>
    <cdr:sp macro="" textlink="">
      <cdr:nvSpPr>
        <cdr:cNvPr id="989185" name="Text Box 1"/>
        <cdr:cNvSpPr txBox="1">
          <a:spLocks xmlns:a="http://schemas.openxmlformats.org/drawingml/2006/main" noChangeArrowheads="1"/>
        </cdr:cNvSpPr>
      </cdr:nvSpPr>
      <cdr:spPr bwMode="auto">
        <a:xfrm xmlns:a="http://schemas.openxmlformats.org/drawingml/2006/main">
          <a:off x="745998" y="1443784"/>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0.4877</cdr:x>
      <cdr:y>0.52122</cdr:y>
    </cdr:from>
    <cdr:to>
      <cdr:x>0.4877</cdr:x>
      <cdr:y>0.52122</cdr:y>
    </cdr:to>
    <cdr:sp macro="" textlink="">
      <cdr:nvSpPr>
        <cdr:cNvPr id="989186" name="Text Box 2"/>
        <cdr:cNvSpPr txBox="1">
          <a:spLocks xmlns:a="http://schemas.openxmlformats.org/drawingml/2006/main" noChangeArrowheads="1"/>
        </cdr:cNvSpPr>
      </cdr:nvSpPr>
      <cdr:spPr bwMode="auto">
        <a:xfrm xmlns:a="http://schemas.openxmlformats.org/drawingml/2006/main">
          <a:off x="916686" y="1145175"/>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0.46265</cdr:x>
      <cdr:y>0.21469</cdr:y>
    </cdr:from>
    <cdr:to>
      <cdr:x>0.86539</cdr:x>
      <cdr:y>0.31961</cdr:y>
    </cdr:to>
    <cdr:sp macro="" textlink="">
      <cdr:nvSpPr>
        <cdr:cNvPr id="989187" name="Text Box 3"/>
        <cdr:cNvSpPr txBox="1">
          <a:spLocks xmlns:a="http://schemas.openxmlformats.org/drawingml/2006/main" noChangeArrowheads="1"/>
        </cdr:cNvSpPr>
      </cdr:nvSpPr>
      <cdr:spPr bwMode="auto">
        <a:xfrm xmlns:a="http://schemas.openxmlformats.org/drawingml/2006/main">
          <a:off x="863718" y="468975"/>
          <a:ext cx="751875" cy="229188"/>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0.38011</cdr:x>
      <cdr:y>0.47058</cdr:y>
    </cdr:from>
    <cdr:to>
      <cdr:x>0.78285</cdr:x>
      <cdr:y>0.55976</cdr:y>
    </cdr:to>
    <cdr:sp macro="" textlink="">
      <cdr:nvSpPr>
        <cdr:cNvPr id="989188" name="Text Box 4"/>
        <cdr:cNvSpPr txBox="1">
          <a:spLocks xmlns:a="http://schemas.openxmlformats.org/drawingml/2006/main" noChangeArrowheads="1"/>
        </cdr:cNvSpPr>
      </cdr:nvSpPr>
      <cdr:spPr bwMode="auto">
        <a:xfrm xmlns:a="http://schemas.openxmlformats.org/drawingml/2006/main">
          <a:off x="709620" y="1027940"/>
          <a:ext cx="751875" cy="194804"/>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FF0000"/>
              </a:solidFill>
              <a:latin typeface="Arial"/>
              <a:ea typeface="Arial"/>
              <a:cs typeface="Arial"/>
            </a:rPr>
            <a:t>Intervention</a:t>
          </a:r>
        </a:p>
      </cdr:txBody>
    </cdr:sp>
  </cdr:relSizeAnchor>
</c:userShapes>
</file>

<file path=xl/drawings/drawing85.xml><?xml version="1.0" encoding="utf-8"?>
<c:userShapes xmlns:c="http://schemas.openxmlformats.org/drawingml/2006/chart">
  <cdr:relSizeAnchor xmlns:cdr="http://schemas.openxmlformats.org/drawingml/2006/chartDrawing">
    <cdr:from>
      <cdr:x>0.44868</cdr:x>
      <cdr:y>0.45782</cdr:y>
    </cdr:from>
    <cdr:to>
      <cdr:x>0.44868</cdr:x>
      <cdr:y>0.45782</cdr:y>
    </cdr:to>
    <cdr:sp macro="" textlink="">
      <cdr:nvSpPr>
        <cdr:cNvPr id="991233" name="Text Box 1"/>
        <cdr:cNvSpPr txBox="1">
          <a:spLocks xmlns:a="http://schemas.openxmlformats.org/drawingml/2006/main" noChangeArrowheads="1"/>
        </cdr:cNvSpPr>
      </cdr:nvSpPr>
      <cdr:spPr bwMode="auto">
        <a:xfrm xmlns:a="http://schemas.openxmlformats.org/drawingml/2006/main">
          <a:off x="843344" y="994248"/>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0.58135</cdr:x>
      <cdr:y>0.30769</cdr:y>
    </cdr:from>
    <cdr:to>
      <cdr:x>0.58135</cdr:x>
      <cdr:y>0.30769</cdr:y>
    </cdr:to>
    <cdr:sp macro="" textlink="">
      <cdr:nvSpPr>
        <cdr:cNvPr id="991234" name="Text Box 2"/>
        <cdr:cNvSpPr txBox="1">
          <a:spLocks xmlns:a="http://schemas.openxmlformats.org/drawingml/2006/main" noChangeArrowheads="1"/>
        </cdr:cNvSpPr>
      </cdr:nvSpPr>
      <cdr:spPr bwMode="auto">
        <a:xfrm xmlns:a="http://schemas.openxmlformats.org/drawingml/2006/main">
          <a:off x="1092708" y="668207"/>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0.26757</cdr:x>
      <cdr:y>0.23528</cdr:y>
    </cdr:from>
    <cdr:to>
      <cdr:x>0.65685</cdr:x>
      <cdr:y>0.32583</cdr:y>
    </cdr:to>
    <cdr:sp macro="" textlink="">
      <cdr:nvSpPr>
        <cdr:cNvPr id="5" name="Text Box 3"/>
        <cdr:cNvSpPr txBox="1">
          <a:spLocks xmlns:a="http://schemas.openxmlformats.org/drawingml/2006/main" noChangeArrowheads="1"/>
        </cdr:cNvSpPr>
      </cdr:nvSpPr>
      <cdr:spPr bwMode="auto">
        <a:xfrm xmlns:a="http://schemas.openxmlformats.org/drawingml/2006/main">
          <a:off x="499535" y="507977"/>
          <a:ext cx="726747" cy="195498"/>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wrap="none" lIns="18288" tIns="18288" rIns="0" bIns="0" anchor="t" upright="1">
          <a:sp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0.51133</cdr:x>
      <cdr:y>0.63627</cdr:y>
    </cdr:from>
    <cdr:to>
      <cdr:x>0.91464</cdr:x>
      <cdr:y>0.72657</cdr:y>
    </cdr:to>
    <cdr:sp macro="" textlink="">
      <cdr:nvSpPr>
        <cdr:cNvPr id="6" name="Text Box 1"/>
        <cdr:cNvSpPr txBox="1">
          <a:spLocks xmlns:a="http://schemas.openxmlformats.org/drawingml/2006/main" noChangeArrowheads="1"/>
        </cdr:cNvSpPr>
      </cdr:nvSpPr>
      <cdr:spPr bwMode="auto">
        <a:xfrm xmlns:a="http://schemas.openxmlformats.org/drawingml/2006/main">
          <a:off x="954602" y="1373713"/>
          <a:ext cx="752939" cy="194958"/>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wrap="square" lIns="27432" tIns="18288" rIns="0" bIns="0" anchor="t" upright="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rtl="0">
            <a:defRPr sz="1000"/>
          </a:pPr>
          <a:r>
            <a:rPr lang="en-US" sz="1000" b="0" i="0" u="none" strike="noStrike" baseline="0">
              <a:solidFill>
                <a:srgbClr val="FF0000"/>
              </a:solidFill>
              <a:latin typeface="Arial"/>
              <a:ea typeface="Arial"/>
              <a:cs typeface="Arial"/>
            </a:rPr>
            <a:t>Intervention</a:t>
          </a:r>
        </a:p>
      </cdr:txBody>
    </cdr:sp>
  </cdr:relSizeAnchor>
</c:userShapes>
</file>

<file path=xl/drawings/drawing86.xml><?xml version="1.0" encoding="utf-8"?>
<c:userShapes xmlns:c="http://schemas.openxmlformats.org/drawingml/2006/chart">
  <cdr:relSizeAnchor xmlns:cdr="http://schemas.openxmlformats.org/drawingml/2006/chartDrawing">
    <cdr:from>
      <cdr:x>0.33118</cdr:x>
      <cdr:y>0.28889</cdr:y>
    </cdr:from>
    <cdr:to>
      <cdr:x>0.67429</cdr:x>
      <cdr:y>0.37677</cdr:y>
    </cdr:to>
    <cdr:sp macro="" textlink="">
      <cdr:nvSpPr>
        <cdr:cNvPr id="2" name="Text Box 4"/>
        <cdr:cNvSpPr txBox="1">
          <a:spLocks xmlns:a="http://schemas.openxmlformats.org/drawingml/2006/main" noChangeArrowheads="1"/>
        </cdr:cNvSpPr>
      </cdr:nvSpPr>
      <cdr:spPr bwMode="auto">
        <a:xfrm xmlns:a="http://schemas.openxmlformats.org/drawingml/2006/main">
          <a:off x="651936" y="660400"/>
          <a:ext cx="675412" cy="200894"/>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wrap="none" lIns="18288" tIns="18288" rIns="0" bIns="0" anchor="t" upright="1">
          <a:sp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0.30108</cdr:x>
      <cdr:y>0.41852</cdr:y>
    </cdr:from>
    <cdr:to>
      <cdr:x>0.76559</cdr:x>
      <cdr:y>0.57037</cdr:y>
    </cdr:to>
    <cdr:sp macro="" textlink="">
      <cdr:nvSpPr>
        <cdr:cNvPr id="3" name="TextBox 2"/>
        <cdr:cNvSpPr txBox="1"/>
      </cdr:nvSpPr>
      <cdr:spPr>
        <a:xfrm xmlns:a="http://schemas.openxmlformats.org/drawingml/2006/main">
          <a:off x="592678" y="956743"/>
          <a:ext cx="914388" cy="347129"/>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a:solidFill>
                <a:srgbClr val="FF0000"/>
              </a:solidFill>
            </a:rPr>
            <a:t>Intervention</a:t>
          </a:r>
        </a:p>
      </cdr:txBody>
    </cdr:sp>
  </cdr:relSizeAnchor>
</c:userShapes>
</file>

<file path=xl/drawings/drawing87.xml><?xml version="1.0" encoding="utf-8"?>
<c:userShapes xmlns:c="http://schemas.openxmlformats.org/drawingml/2006/chart">
  <cdr:relSizeAnchor xmlns:cdr="http://schemas.openxmlformats.org/drawingml/2006/chartDrawing">
    <cdr:from>
      <cdr:x>0.34581</cdr:x>
      <cdr:y>0.52426</cdr:y>
    </cdr:from>
    <cdr:to>
      <cdr:x>0.9182</cdr:x>
      <cdr:y>0.66131</cdr:y>
    </cdr:to>
    <cdr:sp macro="" textlink="">
      <cdr:nvSpPr>
        <cdr:cNvPr id="3" name="TextBox 2"/>
        <cdr:cNvSpPr txBox="1"/>
      </cdr:nvSpPr>
      <cdr:spPr>
        <a:xfrm xmlns:a="http://schemas.openxmlformats.org/drawingml/2006/main">
          <a:off x="680725" y="1198448"/>
          <a:ext cx="1126750" cy="313297"/>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a:solidFill>
                <a:srgbClr val="FF0000"/>
              </a:solidFill>
            </a:rPr>
            <a:t>Intervention</a:t>
          </a:r>
        </a:p>
      </cdr:txBody>
    </cdr:sp>
  </cdr:relSizeAnchor>
  <cdr:relSizeAnchor xmlns:cdr="http://schemas.openxmlformats.org/drawingml/2006/chartDrawing">
    <cdr:from>
      <cdr:x>0.3914</cdr:x>
      <cdr:y>0.22963</cdr:y>
    </cdr:from>
    <cdr:to>
      <cdr:x>0.96381</cdr:x>
      <cdr:y>0.36666</cdr:y>
    </cdr:to>
    <cdr:sp macro="" textlink="">
      <cdr:nvSpPr>
        <cdr:cNvPr id="4" name="TextBox 3"/>
        <cdr:cNvSpPr txBox="1"/>
      </cdr:nvSpPr>
      <cdr:spPr>
        <a:xfrm xmlns:a="http://schemas.openxmlformats.org/drawingml/2006/main">
          <a:off x="770462" y="524934"/>
          <a:ext cx="1126789" cy="313251"/>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000">
              <a:latin typeface="Arial"/>
              <a:cs typeface="Arial"/>
            </a:rPr>
            <a:t>Reference</a:t>
          </a:r>
        </a:p>
      </cdr:txBody>
    </cdr:sp>
  </cdr:relSizeAnchor>
</c:userShapes>
</file>

<file path=xl/drawings/drawing88.xml><?xml version="1.0" encoding="utf-8"?>
<c:userShapes xmlns:c="http://schemas.openxmlformats.org/drawingml/2006/chart">
  <cdr:relSizeAnchor xmlns:cdr="http://schemas.openxmlformats.org/drawingml/2006/chartDrawing">
    <cdr:from>
      <cdr:x>0.534</cdr:x>
      <cdr:y>0.59471</cdr:y>
    </cdr:from>
    <cdr:to>
      <cdr:x>0.534</cdr:x>
      <cdr:y>0.59471</cdr:y>
    </cdr:to>
    <cdr:sp macro="" textlink="">
      <cdr:nvSpPr>
        <cdr:cNvPr id="994305" name="Text Box 1"/>
        <cdr:cNvSpPr txBox="1">
          <a:spLocks xmlns:a="http://schemas.openxmlformats.org/drawingml/2006/main" noChangeArrowheads="1"/>
        </cdr:cNvSpPr>
      </cdr:nvSpPr>
      <cdr:spPr bwMode="auto">
        <a:xfrm xmlns:a="http://schemas.openxmlformats.org/drawingml/2006/main">
          <a:off x="976579" y="1321749"/>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0.65276</cdr:x>
      <cdr:y>0.80561</cdr:y>
    </cdr:from>
    <cdr:to>
      <cdr:x>0.65276</cdr:x>
      <cdr:y>0.80561</cdr:y>
    </cdr:to>
    <cdr:sp macro="" textlink="">
      <cdr:nvSpPr>
        <cdr:cNvPr id="994306" name="Text Box 2"/>
        <cdr:cNvSpPr txBox="1">
          <a:spLocks xmlns:a="http://schemas.openxmlformats.org/drawingml/2006/main" noChangeArrowheads="1"/>
        </cdr:cNvSpPr>
      </cdr:nvSpPr>
      <cdr:spPr bwMode="auto">
        <a:xfrm xmlns:a="http://schemas.openxmlformats.org/drawingml/2006/main">
          <a:off x="1193775" y="1790468"/>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-1.4%</a:t>
          </a:r>
        </a:p>
      </cdr:txBody>
    </cdr:sp>
  </cdr:relSizeAnchor>
  <cdr:relSizeAnchor xmlns:cdr="http://schemas.openxmlformats.org/drawingml/2006/chartDrawing">
    <cdr:from>
      <cdr:x>0.76704</cdr:x>
      <cdr:y>0.74883</cdr:y>
    </cdr:from>
    <cdr:to>
      <cdr:x>0.76704</cdr:x>
      <cdr:y>0.74883</cdr:y>
    </cdr:to>
    <cdr:sp macro="" textlink="">
      <cdr:nvSpPr>
        <cdr:cNvPr id="994307" name="Text Box 3"/>
        <cdr:cNvSpPr txBox="1">
          <a:spLocks xmlns:a="http://schemas.openxmlformats.org/drawingml/2006/main" noChangeArrowheads="1"/>
        </cdr:cNvSpPr>
      </cdr:nvSpPr>
      <cdr:spPr bwMode="auto">
        <a:xfrm xmlns:a="http://schemas.openxmlformats.org/drawingml/2006/main">
          <a:off x="1402766" y="1664275"/>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a:t>
          </a:r>
        </a:p>
      </cdr:txBody>
    </cdr:sp>
  </cdr:relSizeAnchor>
  <cdr:relSizeAnchor xmlns:cdr="http://schemas.openxmlformats.org/drawingml/2006/chartDrawing">
    <cdr:from>
      <cdr:x>0.26436</cdr:x>
      <cdr:y>0.70827</cdr:y>
    </cdr:from>
    <cdr:to>
      <cdr:x>0.26436</cdr:x>
      <cdr:y>0.70827</cdr:y>
    </cdr:to>
    <cdr:sp macro="" textlink="">
      <cdr:nvSpPr>
        <cdr:cNvPr id="994308" name="Text Box 4"/>
        <cdr:cNvSpPr txBox="1">
          <a:spLocks xmlns:a="http://schemas.openxmlformats.org/drawingml/2006/main" noChangeArrowheads="1"/>
        </cdr:cNvSpPr>
      </cdr:nvSpPr>
      <cdr:spPr bwMode="auto">
        <a:xfrm xmlns:a="http://schemas.openxmlformats.org/drawingml/2006/main">
          <a:off x="483464" y="1574136"/>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0.37108</cdr:x>
      <cdr:y>0.52213</cdr:y>
    </cdr:from>
    <cdr:to>
      <cdr:x>0.77053</cdr:x>
      <cdr:y>0.58399</cdr:y>
    </cdr:to>
    <cdr:sp macro="" textlink="">
      <cdr:nvSpPr>
        <cdr:cNvPr id="994310" name="Text Box 6"/>
        <cdr:cNvSpPr txBox="1">
          <a:spLocks xmlns:a="http://schemas.openxmlformats.org/drawingml/2006/main" noChangeArrowheads="1"/>
        </cdr:cNvSpPr>
      </cdr:nvSpPr>
      <cdr:spPr bwMode="auto">
        <a:xfrm xmlns:a="http://schemas.openxmlformats.org/drawingml/2006/main">
          <a:off x="730463" y="1193599"/>
          <a:ext cx="786317" cy="141412"/>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FF0000"/>
              </a:solidFill>
              <a:latin typeface="Arial"/>
              <a:ea typeface="Arial"/>
              <a:cs typeface="Arial"/>
            </a:rPr>
            <a:t>Intervention</a:t>
          </a:r>
        </a:p>
      </cdr:txBody>
    </cdr:sp>
  </cdr:relSizeAnchor>
  <cdr:relSizeAnchor xmlns:cdr="http://schemas.openxmlformats.org/drawingml/2006/chartDrawing">
    <cdr:from>
      <cdr:x>0.41684</cdr:x>
      <cdr:y>0.33091</cdr:y>
    </cdr:from>
    <cdr:to>
      <cdr:x>0.78825</cdr:x>
      <cdr:y>0.41847</cdr:y>
    </cdr:to>
    <cdr:sp macro="" textlink="">
      <cdr:nvSpPr>
        <cdr:cNvPr id="994311" name="Text Box 7"/>
        <cdr:cNvSpPr txBox="1">
          <a:spLocks xmlns:a="http://schemas.openxmlformats.org/drawingml/2006/main" noChangeArrowheads="1"/>
        </cdr:cNvSpPr>
      </cdr:nvSpPr>
      <cdr:spPr bwMode="auto">
        <a:xfrm xmlns:a="http://schemas.openxmlformats.org/drawingml/2006/main">
          <a:off x="820544" y="756468"/>
          <a:ext cx="731120" cy="200162"/>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wrap="none" lIns="18288" tIns="18288" rIns="0" bIns="0" anchor="t" upright="1">
          <a:spAutoFit/>
        </a:bodyPr>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userShapes>
</file>

<file path=xl/drawings/drawing89.xml><?xml version="1.0" encoding="utf-8"?>
<c:userShapes xmlns:c="http://schemas.openxmlformats.org/drawingml/2006/chart">
  <cdr:relSizeAnchor xmlns:cdr="http://schemas.openxmlformats.org/drawingml/2006/chartDrawing">
    <cdr:from>
      <cdr:x>0.48301</cdr:x>
      <cdr:y>0.37346</cdr:y>
    </cdr:from>
    <cdr:to>
      <cdr:x>0.84295</cdr:x>
      <cdr:y>0.45899</cdr:y>
    </cdr:to>
    <cdr:sp macro="" textlink="">
      <cdr:nvSpPr>
        <cdr:cNvPr id="995329" name="Text Box 1"/>
        <cdr:cNvSpPr txBox="1">
          <a:spLocks xmlns:a="http://schemas.openxmlformats.org/drawingml/2006/main" noChangeArrowheads="1"/>
        </cdr:cNvSpPr>
      </cdr:nvSpPr>
      <cdr:spPr bwMode="auto">
        <a:xfrm xmlns:a="http://schemas.openxmlformats.org/drawingml/2006/main">
          <a:off x="950812" y="853737"/>
          <a:ext cx="708541" cy="195522"/>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wrap="none" lIns="18288" tIns="18288" rIns="0" bIns="0" anchor="t" upright="1">
          <a:spAutoFit/>
        </a:bodyPr>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0.27936</cdr:x>
      <cdr:y>0.44458</cdr:y>
    </cdr:from>
    <cdr:to>
      <cdr:x>0.27936</cdr:x>
      <cdr:y>0.44458</cdr:y>
    </cdr:to>
    <cdr:sp macro="" textlink="">
      <cdr:nvSpPr>
        <cdr:cNvPr id="995330" name="Text Box 2"/>
        <cdr:cNvSpPr txBox="1">
          <a:spLocks xmlns:a="http://schemas.openxmlformats.org/drawingml/2006/main" noChangeArrowheads="1"/>
        </cdr:cNvSpPr>
      </cdr:nvSpPr>
      <cdr:spPr bwMode="auto">
        <a:xfrm xmlns:a="http://schemas.openxmlformats.org/drawingml/2006/main">
          <a:off x="525082" y="1016305"/>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0.73743</cdr:x>
      <cdr:y>0.37363</cdr:y>
    </cdr:from>
    <cdr:to>
      <cdr:x>0.73743</cdr:x>
      <cdr:y>0.37363</cdr:y>
    </cdr:to>
    <cdr:sp macro="" textlink="">
      <cdr:nvSpPr>
        <cdr:cNvPr id="995331" name="Text Box 3"/>
        <cdr:cNvSpPr txBox="1">
          <a:spLocks xmlns:a="http://schemas.openxmlformats.org/drawingml/2006/main" noChangeArrowheads="1"/>
        </cdr:cNvSpPr>
      </cdr:nvSpPr>
      <cdr:spPr bwMode="auto">
        <a:xfrm xmlns:a="http://schemas.openxmlformats.org/drawingml/2006/main">
          <a:off x="1386078" y="854113"/>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0.3%</a:t>
          </a:r>
        </a:p>
      </cdr:txBody>
    </cdr:sp>
  </cdr:relSizeAnchor>
  <cdr:relSizeAnchor xmlns:cdr="http://schemas.openxmlformats.org/drawingml/2006/chartDrawing">
    <cdr:from>
      <cdr:x>0.73743</cdr:x>
      <cdr:y>0.44458</cdr:y>
    </cdr:from>
    <cdr:to>
      <cdr:x>0.73743</cdr:x>
      <cdr:y>0.44458</cdr:y>
    </cdr:to>
    <cdr:sp macro="" textlink="">
      <cdr:nvSpPr>
        <cdr:cNvPr id="995332" name="Text Box 4"/>
        <cdr:cNvSpPr txBox="1">
          <a:spLocks xmlns:a="http://schemas.openxmlformats.org/drawingml/2006/main" noChangeArrowheads="1"/>
        </cdr:cNvSpPr>
      </cdr:nvSpPr>
      <cdr:spPr bwMode="auto">
        <a:xfrm xmlns:a="http://schemas.openxmlformats.org/drawingml/2006/main">
          <a:off x="1386078" y="1016305"/>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0.1%</a:t>
          </a:r>
        </a:p>
      </cdr:txBody>
    </cdr:sp>
  </cdr:relSizeAnchor>
  <cdr:relSizeAnchor xmlns:cdr="http://schemas.openxmlformats.org/drawingml/2006/chartDrawing">
    <cdr:from>
      <cdr:x>0.27312</cdr:x>
      <cdr:y>0.68889</cdr:y>
    </cdr:from>
    <cdr:to>
      <cdr:x>0.67257</cdr:x>
      <cdr:y>0.75075</cdr:y>
    </cdr:to>
    <cdr:sp macro="" textlink="">
      <cdr:nvSpPr>
        <cdr:cNvPr id="7" name="Text Box 6"/>
        <cdr:cNvSpPr txBox="1">
          <a:spLocks xmlns:a="http://schemas.openxmlformats.org/drawingml/2006/main" noChangeArrowheads="1"/>
        </cdr:cNvSpPr>
      </cdr:nvSpPr>
      <cdr:spPr bwMode="auto">
        <a:xfrm xmlns:a="http://schemas.openxmlformats.org/drawingml/2006/main">
          <a:off x="537640" y="1574808"/>
          <a:ext cx="786317" cy="141412"/>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wrap="square" lIns="0" tIns="0" rIns="0" bIns="0" anchor="t" upright="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rtl="0">
            <a:defRPr sz="1000"/>
          </a:pPr>
          <a:r>
            <a:rPr lang="en-US" sz="1000" b="0" i="0" u="none" strike="noStrike" baseline="0">
              <a:solidFill>
                <a:srgbClr val="FF0000"/>
              </a:solidFill>
              <a:latin typeface="Arial"/>
              <a:ea typeface="Arial"/>
              <a:cs typeface="Arial"/>
            </a:rPr>
            <a:t>Intervention</a:t>
          </a:r>
        </a:p>
      </cdr:txBody>
    </cdr:sp>
  </cdr:relSizeAnchor>
</c:userShapes>
</file>

<file path=xl/drawings/drawing90.xml><?xml version="1.0" encoding="utf-8"?>
<c:userShapes xmlns:c="http://schemas.openxmlformats.org/drawingml/2006/chart">
  <cdr:relSizeAnchor xmlns:cdr="http://schemas.openxmlformats.org/drawingml/2006/chartDrawing">
    <cdr:from>
      <cdr:x>0.33852</cdr:x>
      <cdr:y>0.30555</cdr:y>
    </cdr:from>
    <cdr:to>
      <cdr:x>0.78657</cdr:x>
      <cdr:y>0.39083</cdr:y>
    </cdr:to>
    <cdr:sp macro="" textlink="">
      <cdr:nvSpPr>
        <cdr:cNvPr id="3" name="Text Box 2"/>
        <cdr:cNvSpPr txBox="1">
          <a:spLocks xmlns:a="http://schemas.openxmlformats.org/drawingml/2006/main" noChangeArrowheads="1"/>
        </cdr:cNvSpPr>
      </cdr:nvSpPr>
      <cdr:spPr bwMode="auto">
        <a:xfrm xmlns:a="http://schemas.openxmlformats.org/drawingml/2006/main">
          <a:off x="736597" y="698497"/>
          <a:ext cx="974928" cy="194951"/>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wrap="square" lIns="27432" tIns="18288" rIns="0" bIns="0" anchor="t" upright="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0.42412</cdr:x>
      <cdr:y>0.76296</cdr:y>
    </cdr:from>
    <cdr:to>
      <cdr:x>0.77015</cdr:x>
      <cdr:y>0.84825</cdr:y>
    </cdr:to>
    <cdr:sp macro="" textlink="">
      <cdr:nvSpPr>
        <cdr:cNvPr id="5" name="Text Box 1"/>
        <cdr:cNvSpPr txBox="1">
          <a:spLocks xmlns:a="http://schemas.openxmlformats.org/drawingml/2006/main" noChangeArrowheads="1"/>
        </cdr:cNvSpPr>
      </cdr:nvSpPr>
      <cdr:spPr bwMode="auto">
        <a:xfrm xmlns:a="http://schemas.openxmlformats.org/drawingml/2006/main">
          <a:off x="922867" y="1744133"/>
          <a:ext cx="752934" cy="194973"/>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wrap="square" lIns="27432" tIns="18288" rIns="0" bIns="0" anchor="t" upright="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rtl="0">
            <a:defRPr sz="1000"/>
          </a:pPr>
          <a:r>
            <a:rPr lang="en-US" sz="1000" b="0" i="0" u="none" strike="noStrike" baseline="0">
              <a:solidFill>
                <a:srgbClr val="FF0000"/>
              </a:solidFill>
              <a:latin typeface="Arial"/>
              <a:ea typeface="Arial"/>
              <a:cs typeface="Arial"/>
            </a:rPr>
            <a:t>Intervention</a:t>
          </a:r>
        </a:p>
      </cdr:txBody>
    </cdr:sp>
  </cdr:relSizeAnchor>
</c:userShapes>
</file>

<file path=xl/drawings/drawing91.xml><?xml version="1.0" encoding="utf-8"?>
<c:userShapes xmlns:c="http://schemas.openxmlformats.org/drawingml/2006/chart">
  <cdr:relSizeAnchor xmlns:cdr="http://schemas.openxmlformats.org/drawingml/2006/chartDrawing">
    <cdr:from>
      <cdr:x>0.42042</cdr:x>
      <cdr:y>0.53796</cdr:y>
    </cdr:from>
    <cdr:to>
      <cdr:x>0.83735</cdr:x>
      <cdr:y>0.60256</cdr:y>
    </cdr:to>
    <cdr:sp macro="" textlink="">
      <cdr:nvSpPr>
        <cdr:cNvPr id="3" name="Text Box 4"/>
        <cdr:cNvSpPr txBox="1">
          <a:spLocks xmlns:a="http://schemas.openxmlformats.org/drawingml/2006/main" noChangeArrowheads="1"/>
        </cdr:cNvSpPr>
      </cdr:nvSpPr>
      <cdr:spPr bwMode="auto">
        <a:xfrm xmlns:a="http://schemas.openxmlformats.org/drawingml/2006/main">
          <a:off x="827601" y="1229777"/>
          <a:ext cx="820726" cy="147675"/>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wrap="square" lIns="0" tIns="0" rIns="0" bIns="0" anchor="t" upright="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rtl="0">
            <a:defRPr sz="1000"/>
          </a:pPr>
          <a:r>
            <a:rPr lang="en-US" sz="1000" b="0" i="0" u="none" strike="noStrike" baseline="0">
              <a:solidFill>
                <a:srgbClr val="FF0000"/>
              </a:solidFill>
              <a:latin typeface="Arial"/>
              <a:ea typeface="Arial"/>
              <a:cs typeface="Arial"/>
            </a:rPr>
            <a:t>Intervention</a:t>
          </a:r>
        </a:p>
      </cdr:txBody>
    </cdr:sp>
  </cdr:relSizeAnchor>
  <cdr:relSizeAnchor xmlns:cdr="http://schemas.openxmlformats.org/drawingml/2006/chartDrawing">
    <cdr:from>
      <cdr:x>0.42688</cdr:x>
      <cdr:y>0.21018</cdr:y>
    </cdr:from>
    <cdr:to>
      <cdr:x>0.79607</cdr:x>
      <cdr:y>0.2957</cdr:y>
    </cdr:to>
    <cdr:sp macro="" textlink="">
      <cdr:nvSpPr>
        <cdr:cNvPr id="4" name="Text Box 3"/>
        <cdr:cNvSpPr txBox="1">
          <a:spLocks xmlns:a="http://schemas.openxmlformats.org/drawingml/2006/main" noChangeArrowheads="1"/>
        </cdr:cNvSpPr>
      </cdr:nvSpPr>
      <cdr:spPr bwMode="auto">
        <a:xfrm xmlns:a="http://schemas.openxmlformats.org/drawingml/2006/main">
          <a:off x="840304" y="480474"/>
          <a:ext cx="726751" cy="195499"/>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wrap="none" lIns="18288" tIns="18288" rIns="0" bIns="0" anchor="t" upright="1">
          <a:sp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userShapes>
</file>

<file path=xl/drawings/drawing92.xml><?xml version="1.0" encoding="utf-8"?>
<c:userShapes xmlns:c="http://schemas.openxmlformats.org/drawingml/2006/chart">
  <cdr:relSizeAnchor xmlns:cdr="http://schemas.openxmlformats.org/drawingml/2006/chartDrawing">
    <cdr:from>
      <cdr:x>0.44868</cdr:x>
      <cdr:y>0.45782</cdr:y>
    </cdr:from>
    <cdr:to>
      <cdr:x>0.44868</cdr:x>
      <cdr:y>0.45782</cdr:y>
    </cdr:to>
    <cdr:sp macro="" textlink="">
      <cdr:nvSpPr>
        <cdr:cNvPr id="991233" name="Text Box 1"/>
        <cdr:cNvSpPr txBox="1">
          <a:spLocks xmlns:a="http://schemas.openxmlformats.org/drawingml/2006/main" noChangeArrowheads="1"/>
        </cdr:cNvSpPr>
      </cdr:nvSpPr>
      <cdr:spPr bwMode="auto">
        <a:xfrm xmlns:a="http://schemas.openxmlformats.org/drawingml/2006/main">
          <a:off x="843344" y="994248"/>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0.58135</cdr:x>
      <cdr:y>0.30769</cdr:y>
    </cdr:from>
    <cdr:to>
      <cdr:x>0.58135</cdr:x>
      <cdr:y>0.30769</cdr:y>
    </cdr:to>
    <cdr:sp macro="" textlink="">
      <cdr:nvSpPr>
        <cdr:cNvPr id="991234" name="Text Box 2"/>
        <cdr:cNvSpPr txBox="1">
          <a:spLocks xmlns:a="http://schemas.openxmlformats.org/drawingml/2006/main" noChangeArrowheads="1"/>
        </cdr:cNvSpPr>
      </cdr:nvSpPr>
      <cdr:spPr bwMode="auto">
        <a:xfrm xmlns:a="http://schemas.openxmlformats.org/drawingml/2006/main">
          <a:off x="1092708" y="668207"/>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0.36553</cdr:x>
      <cdr:y>0.46431</cdr:y>
    </cdr:from>
    <cdr:to>
      <cdr:x>0.76884</cdr:x>
      <cdr:y>0.55461</cdr:y>
    </cdr:to>
    <cdr:sp macro="" textlink="">
      <cdr:nvSpPr>
        <cdr:cNvPr id="5" name="Text Box 1"/>
        <cdr:cNvSpPr txBox="1">
          <a:spLocks xmlns:a="http://schemas.openxmlformats.org/drawingml/2006/main" noChangeArrowheads="1"/>
        </cdr:cNvSpPr>
      </cdr:nvSpPr>
      <cdr:spPr bwMode="auto">
        <a:xfrm xmlns:a="http://schemas.openxmlformats.org/drawingml/2006/main">
          <a:off x="682415" y="1002453"/>
          <a:ext cx="752940" cy="194958"/>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wrap="square" lIns="27432" tIns="18288" rIns="0" bIns="0" anchor="t" upright="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rtl="0">
            <a:defRPr sz="1000"/>
          </a:pPr>
          <a:r>
            <a:rPr lang="en-US" sz="1000" b="0" i="0" u="none" strike="noStrike" baseline="0">
              <a:solidFill>
                <a:srgbClr val="FF0000"/>
              </a:solidFill>
              <a:latin typeface="Arial"/>
              <a:ea typeface="Arial"/>
              <a:cs typeface="Arial"/>
            </a:rPr>
            <a:t>Intervention</a:t>
          </a:r>
        </a:p>
      </cdr:txBody>
    </cdr:sp>
  </cdr:relSizeAnchor>
  <cdr:relSizeAnchor xmlns:cdr="http://schemas.openxmlformats.org/drawingml/2006/chartDrawing">
    <cdr:from>
      <cdr:x>0.47619</cdr:x>
      <cdr:y>0.21569</cdr:y>
    </cdr:from>
    <cdr:to>
      <cdr:x>0.86547</cdr:x>
      <cdr:y>0.30624</cdr:y>
    </cdr:to>
    <cdr:sp macro="" textlink="">
      <cdr:nvSpPr>
        <cdr:cNvPr id="6" name="Text Box 3"/>
        <cdr:cNvSpPr txBox="1">
          <a:spLocks xmlns:a="http://schemas.openxmlformats.org/drawingml/2006/main" noChangeArrowheads="1"/>
        </cdr:cNvSpPr>
      </cdr:nvSpPr>
      <cdr:spPr bwMode="auto">
        <a:xfrm xmlns:a="http://schemas.openxmlformats.org/drawingml/2006/main">
          <a:off x="889000" y="465666"/>
          <a:ext cx="726746" cy="195497"/>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wrap="none" lIns="18288" tIns="18288" rIns="0" bIns="0" anchor="t" upright="1">
          <a:sp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userShapes>
</file>

<file path=xl/drawings/drawing93.xml><?xml version="1.0" encoding="utf-8"?>
<c:userShapes xmlns:c="http://schemas.openxmlformats.org/drawingml/2006/chart">
  <cdr:relSizeAnchor xmlns:cdr="http://schemas.openxmlformats.org/drawingml/2006/chartDrawing">
    <cdr:from>
      <cdr:x>0.44086</cdr:x>
      <cdr:y>0.52593</cdr:y>
    </cdr:from>
    <cdr:to>
      <cdr:x>0.78397</cdr:x>
      <cdr:y>0.61381</cdr:y>
    </cdr:to>
    <cdr:sp macro="" textlink="">
      <cdr:nvSpPr>
        <cdr:cNvPr id="2" name="Text Box 4"/>
        <cdr:cNvSpPr txBox="1">
          <a:spLocks xmlns:a="http://schemas.openxmlformats.org/drawingml/2006/main" noChangeArrowheads="1"/>
        </cdr:cNvSpPr>
      </cdr:nvSpPr>
      <cdr:spPr bwMode="auto">
        <a:xfrm xmlns:a="http://schemas.openxmlformats.org/drawingml/2006/main">
          <a:off x="867836" y="1202267"/>
          <a:ext cx="675412" cy="200894"/>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wrap="none" lIns="18288" tIns="18288" rIns="0" bIns="0" anchor="t" upright="1">
          <a:sp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0.32259</cdr:x>
      <cdr:y>0.71852</cdr:y>
    </cdr:from>
    <cdr:to>
      <cdr:x>0.7871</cdr:x>
      <cdr:y>0.87037</cdr:y>
    </cdr:to>
    <cdr:sp macro="" textlink="">
      <cdr:nvSpPr>
        <cdr:cNvPr id="3" name="TextBox 2"/>
        <cdr:cNvSpPr txBox="1"/>
      </cdr:nvSpPr>
      <cdr:spPr>
        <a:xfrm xmlns:a="http://schemas.openxmlformats.org/drawingml/2006/main">
          <a:off x="635011" y="1642543"/>
          <a:ext cx="914388" cy="347129"/>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a:solidFill>
                <a:srgbClr val="FF0000"/>
              </a:solidFill>
            </a:rPr>
            <a:t>Intervention</a:t>
          </a:r>
        </a:p>
      </cdr:txBody>
    </cdr:sp>
  </cdr:relSizeAnchor>
</c:userShapes>
</file>

<file path=xl/drawings/drawing94.xml><?xml version="1.0" encoding="utf-8"?>
<c:userShapes xmlns:c="http://schemas.openxmlformats.org/drawingml/2006/chart">
  <cdr:relSizeAnchor xmlns:cdr="http://schemas.openxmlformats.org/drawingml/2006/chartDrawing">
    <cdr:from>
      <cdr:x>0.19699</cdr:x>
      <cdr:y>0.71962</cdr:y>
    </cdr:from>
    <cdr:to>
      <cdr:x>0.76938</cdr:x>
      <cdr:y>0.85666</cdr:y>
    </cdr:to>
    <cdr:sp macro="" textlink="">
      <cdr:nvSpPr>
        <cdr:cNvPr id="3" name="TextBox 2"/>
        <cdr:cNvSpPr txBox="1"/>
      </cdr:nvSpPr>
      <cdr:spPr>
        <a:xfrm xmlns:a="http://schemas.openxmlformats.org/drawingml/2006/main">
          <a:off x="387772" y="1645061"/>
          <a:ext cx="1126750" cy="313274"/>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a:solidFill>
                <a:srgbClr val="FF0000"/>
              </a:solidFill>
            </a:rPr>
            <a:t>Intervention</a:t>
          </a:r>
        </a:p>
      </cdr:txBody>
    </cdr:sp>
  </cdr:relSizeAnchor>
  <cdr:relSizeAnchor xmlns:cdr="http://schemas.openxmlformats.org/drawingml/2006/chartDrawing">
    <cdr:from>
      <cdr:x>0.32472</cdr:x>
      <cdr:y>0.2463</cdr:y>
    </cdr:from>
    <cdr:to>
      <cdr:x>0.89713</cdr:x>
      <cdr:y>0.38333</cdr:y>
    </cdr:to>
    <cdr:sp macro="" textlink="">
      <cdr:nvSpPr>
        <cdr:cNvPr id="4" name="TextBox 3"/>
        <cdr:cNvSpPr txBox="1"/>
      </cdr:nvSpPr>
      <cdr:spPr>
        <a:xfrm xmlns:a="http://schemas.openxmlformats.org/drawingml/2006/main">
          <a:off x="639220" y="563039"/>
          <a:ext cx="1126789" cy="313251"/>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000">
              <a:latin typeface="Arial"/>
              <a:cs typeface="Arial"/>
            </a:rPr>
            <a:t>Reference</a:t>
          </a:r>
        </a:p>
      </cdr:txBody>
    </cdr:sp>
  </cdr:relSizeAnchor>
</c:userShapes>
</file>

<file path=xl/drawings/drawing95.xml><?xml version="1.0" encoding="utf-8"?>
<c:userShapes xmlns:c="http://schemas.openxmlformats.org/drawingml/2006/chart">
  <cdr:relSizeAnchor xmlns:cdr="http://schemas.openxmlformats.org/drawingml/2006/chartDrawing">
    <cdr:from>
      <cdr:x>0.534</cdr:x>
      <cdr:y>0.59471</cdr:y>
    </cdr:from>
    <cdr:to>
      <cdr:x>0.534</cdr:x>
      <cdr:y>0.59471</cdr:y>
    </cdr:to>
    <cdr:sp macro="" textlink="">
      <cdr:nvSpPr>
        <cdr:cNvPr id="994305" name="Text Box 1"/>
        <cdr:cNvSpPr txBox="1">
          <a:spLocks xmlns:a="http://schemas.openxmlformats.org/drawingml/2006/main" noChangeArrowheads="1"/>
        </cdr:cNvSpPr>
      </cdr:nvSpPr>
      <cdr:spPr bwMode="auto">
        <a:xfrm xmlns:a="http://schemas.openxmlformats.org/drawingml/2006/main">
          <a:off x="976579" y="1321749"/>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0.65276</cdr:x>
      <cdr:y>0.80561</cdr:y>
    </cdr:from>
    <cdr:to>
      <cdr:x>0.65276</cdr:x>
      <cdr:y>0.80561</cdr:y>
    </cdr:to>
    <cdr:sp macro="" textlink="">
      <cdr:nvSpPr>
        <cdr:cNvPr id="994306" name="Text Box 2"/>
        <cdr:cNvSpPr txBox="1">
          <a:spLocks xmlns:a="http://schemas.openxmlformats.org/drawingml/2006/main" noChangeArrowheads="1"/>
        </cdr:cNvSpPr>
      </cdr:nvSpPr>
      <cdr:spPr bwMode="auto">
        <a:xfrm xmlns:a="http://schemas.openxmlformats.org/drawingml/2006/main">
          <a:off x="1193775" y="1790468"/>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-1.4%</a:t>
          </a:r>
        </a:p>
      </cdr:txBody>
    </cdr:sp>
  </cdr:relSizeAnchor>
  <cdr:relSizeAnchor xmlns:cdr="http://schemas.openxmlformats.org/drawingml/2006/chartDrawing">
    <cdr:from>
      <cdr:x>0.76704</cdr:x>
      <cdr:y>0.74883</cdr:y>
    </cdr:from>
    <cdr:to>
      <cdr:x>0.76704</cdr:x>
      <cdr:y>0.74883</cdr:y>
    </cdr:to>
    <cdr:sp macro="" textlink="">
      <cdr:nvSpPr>
        <cdr:cNvPr id="994307" name="Text Box 3"/>
        <cdr:cNvSpPr txBox="1">
          <a:spLocks xmlns:a="http://schemas.openxmlformats.org/drawingml/2006/main" noChangeArrowheads="1"/>
        </cdr:cNvSpPr>
      </cdr:nvSpPr>
      <cdr:spPr bwMode="auto">
        <a:xfrm xmlns:a="http://schemas.openxmlformats.org/drawingml/2006/main">
          <a:off x="1402766" y="1664275"/>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-1%</a:t>
          </a:r>
        </a:p>
      </cdr:txBody>
    </cdr:sp>
  </cdr:relSizeAnchor>
  <cdr:relSizeAnchor xmlns:cdr="http://schemas.openxmlformats.org/drawingml/2006/chartDrawing">
    <cdr:from>
      <cdr:x>0.26436</cdr:x>
      <cdr:y>0.70827</cdr:y>
    </cdr:from>
    <cdr:to>
      <cdr:x>0.26436</cdr:x>
      <cdr:y>0.70827</cdr:y>
    </cdr:to>
    <cdr:sp macro="" textlink="">
      <cdr:nvSpPr>
        <cdr:cNvPr id="994308" name="Text Box 4"/>
        <cdr:cNvSpPr txBox="1">
          <a:spLocks xmlns:a="http://schemas.openxmlformats.org/drawingml/2006/main" noChangeArrowheads="1"/>
        </cdr:cNvSpPr>
      </cdr:nvSpPr>
      <cdr:spPr bwMode="auto">
        <a:xfrm xmlns:a="http://schemas.openxmlformats.org/drawingml/2006/main">
          <a:off x="483464" y="1574136"/>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0.30028</cdr:x>
      <cdr:y>0.57795</cdr:y>
    </cdr:from>
    <cdr:to>
      <cdr:x>0.67169</cdr:x>
      <cdr:y>0.66551</cdr:y>
    </cdr:to>
    <cdr:sp macro="" textlink="">
      <cdr:nvSpPr>
        <cdr:cNvPr id="994311" name="Text Box 7"/>
        <cdr:cNvSpPr txBox="1">
          <a:spLocks xmlns:a="http://schemas.openxmlformats.org/drawingml/2006/main" noChangeArrowheads="1"/>
        </cdr:cNvSpPr>
      </cdr:nvSpPr>
      <cdr:spPr bwMode="auto">
        <a:xfrm xmlns:a="http://schemas.openxmlformats.org/drawingml/2006/main">
          <a:off x="591092" y="1321203"/>
          <a:ext cx="731121" cy="200162"/>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wrap="none" lIns="18288" tIns="18288" rIns="0" bIns="0" anchor="t" upright="1">
          <a:spAutoFit/>
        </a:bodyPr>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0.32902</cdr:x>
      <cdr:y>0.77963</cdr:y>
    </cdr:from>
    <cdr:to>
      <cdr:x>0.74596</cdr:x>
      <cdr:y>0.84423</cdr:y>
    </cdr:to>
    <cdr:sp macro="" textlink="">
      <cdr:nvSpPr>
        <cdr:cNvPr id="3" name="Text Box 4"/>
        <cdr:cNvSpPr txBox="1">
          <a:spLocks xmlns:a="http://schemas.openxmlformats.org/drawingml/2006/main" noChangeArrowheads="1"/>
        </cdr:cNvSpPr>
      </cdr:nvSpPr>
      <cdr:spPr bwMode="auto">
        <a:xfrm xmlns:a="http://schemas.openxmlformats.org/drawingml/2006/main">
          <a:off x="647682" y="1782239"/>
          <a:ext cx="820747" cy="147676"/>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wrap="square" lIns="0" tIns="0" rIns="0" bIns="0" anchor="t" upright="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rtl="0">
            <a:defRPr sz="1000"/>
          </a:pPr>
          <a:r>
            <a:rPr lang="en-US" sz="1000" b="0" i="0" u="none" strike="noStrike" baseline="0">
              <a:solidFill>
                <a:srgbClr val="FF0000"/>
              </a:solidFill>
              <a:latin typeface="Arial"/>
              <a:ea typeface="Arial"/>
              <a:cs typeface="Arial"/>
            </a:rPr>
            <a:t>Intervention</a:t>
          </a:r>
        </a:p>
      </cdr:txBody>
    </cdr:sp>
  </cdr:relSizeAnchor>
</c:userShapes>
</file>

<file path=xl/drawings/drawing96.xml><?xml version="1.0" encoding="utf-8"?>
<c:userShapes xmlns:c="http://schemas.openxmlformats.org/drawingml/2006/chart">
  <cdr:relSizeAnchor xmlns:cdr="http://schemas.openxmlformats.org/drawingml/2006/chartDrawing">
    <cdr:from>
      <cdr:x>0.27936</cdr:x>
      <cdr:y>0.44458</cdr:y>
    </cdr:from>
    <cdr:to>
      <cdr:x>0.27936</cdr:x>
      <cdr:y>0.44458</cdr:y>
    </cdr:to>
    <cdr:sp macro="" textlink="">
      <cdr:nvSpPr>
        <cdr:cNvPr id="995330" name="Text Box 2"/>
        <cdr:cNvSpPr txBox="1">
          <a:spLocks xmlns:a="http://schemas.openxmlformats.org/drawingml/2006/main" noChangeArrowheads="1"/>
        </cdr:cNvSpPr>
      </cdr:nvSpPr>
      <cdr:spPr bwMode="auto">
        <a:xfrm xmlns:a="http://schemas.openxmlformats.org/drawingml/2006/main">
          <a:off x="525082" y="1016305"/>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0.73743</cdr:x>
      <cdr:y>0.37363</cdr:y>
    </cdr:from>
    <cdr:to>
      <cdr:x>0.73743</cdr:x>
      <cdr:y>0.37363</cdr:y>
    </cdr:to>
    <cdr:sp macro="" textlink="">
      <cdr:nvSpPr>
        <cdr:cNvPr id="995331" name="Text Box 3"/>
        <cdr:cNvSpPr txBox="1">
          <a:spLocks xmlns:a="http://schemas.openxmlformats.org/drawingml/2006/main" noChangeArrowheads="1"/>
        </cdr:cNvSpPr>
      </cdr:nvSpPr>
      <cdr:spPr bwMode="auto">
        <a:xfrm xmlns:a="http://schemas.openxmlformats.org/drawingml/2006/main">
          <a:off x="1386078" y="854113"/>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0.3%</a:t>
          </a:r>
        </a:p>
      </cdr:txBody>
    </cdr:sp>
  </cdr:relSizeAnchor>
  <cdr:relSizeAnchor xmlns:cdr="http://schemas.openxmlformats.org/drawingml/2006/chartDrawing">
    <cdr:from>
      <cdr:x>0.73743</cdr:x>
      <cdr:y>0.44458</cdr:y>
    </cdr:from>
    <cdr:to>
      <cdr:x>0.73743</cdr:x>
      <cdr:y>0.44458</cdr:y>
    </cdr:to>
    <cdr:sp macro="" textlink="">
      <cdr:nvSpPr>
        <cdr:cNvPr id="995332" name="Text Box 4"/>
        <cdr:cNvSpPr txBox="1">
          <a:spLocks xmlns:a="http://schemas.openxmlformats.org/drawingml/2006/main" noChangeArrowheads="1"/>
        </cdr:cNvSpPr>
      </cdr:nvSpPr>
      <cdr:spPr bwMode="auto">
        <a:xfrm xmlns:a="http://schemas.openxmlformats.org/drawingml/2006/main">
          <a:off x="1386078" y="1016305"/>
          <a:ext cx="0" cy="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xtLst xmlns:a="http://schemas.openxmlformats.org/drawingml/2006/main">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800" b="0" i="0" u="none" strike="noStrike" baseline="0">
              <a:solidFill>
                <a:srgbClr val="808080"/>
              </a:solidFill>
              <a:latin typeface="Arial"/>
              <a:ea typeface="Arial"/>
              <a:cs typeface="Arial"/>
            </a:rPr>
            <a:t>0.1%</a:t>
          </a:r>
        </a:p>
      </cdr:txBody>
    </cdr:sp>
  </cdr:relSizeAnchor>
  <cdr:relSizeAnchor xmlns:cdr="http://schemas.openxmlformats.org/drawingml/2006/chartDrawing">
    <cdr:from>
      <cdr:x>0.38925</cdr:x>
      <cdr:y>0.77963</cdr:y>
    </cdr:from>
    <cdr:to>
      <cdr:x>0.7887</cdr:x>
      <cdr:y>0.84149</cdr:y>
    </cdr:to>
    <cdr:sp macro="" textlink="">
      <cdr:nvSpPr>
        <cdr:cNvPr id="7" name="Text Box 6"/>
        <cdr:cNvSpPr txBox="1">
          <a:spLocks xmlns:a="http://schemas.openxmlformats.org/drawingml/2006/main" noChangeArrowheads="1"/>
        </cdr:cNvSpPr>
      </cdr:nvSpPr>
      <cdr:spPr bwMode="auto">
        <a:xfrm xmlns:a="http://schemas.openxmlformats.org/drawingml/2006/main">
          <a:off x="766240" y="1782242"/>
          <a:ext cx="786317" cy="141412"/>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wrap="square" lIns="0" tIns="0" rIns="0" bIns="0" anchor="t" upright="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rtl="0">
            <a:defRPr sz="1000"/>
          </a:pPr>
          <a:r>
            <a:rPr lang="en-US" sz="1000" b="0" i="0" u="none" strike="noStrike" baseline="0">
              <a:solidFill>
                <a:srgbClr val="FF0000"/>
              </a:solidFill>
              <a:latin typeface="Arial"/>
              <a:ea typeface="Arial"/>
              <a:cs typeface="Arial"/>
            </a:rPr>
            <a:t>Intervention</a:t>
          </a:r>
        </a:p>
      </cdr:txBody>
    </cdr:sp>
  </cdr:relSizeAnchor>
  <cdr:relSizeAnchor xmlns:cdr="http://schemas.openxmlformats.org/drawingml/2006/chartDrawing">
    <cdr:from>
      <cdr:x>0.46451</cdr:x>
      <cdr:y>0.6463</cdr:y>
    </cdr:from>
    <cdr:to>
      <cdr:x>0.8337</cdr:x>
      <cdr:y>0.73182</cdr:y>
    </cdr:to>
    <cdr:sp macro="" textlink="">
      <cdr:nvSpPr>
        <cdr:cNvPr id="4" name="Text Box 3"/>
        <cdr:cNvSpPr txBox="1">
          <a:spLocks xmlns:a="http://schemas.openxmlformats.org/drawingml/2006/main" noChangeArrowheads="1"/>
        </cdr:cNvSpPr>
      </cdr:nvSpPr>
      <cdr:spPr bwMode="auto">
        <a:xfrm xmlns:a="http://schemas.openxmlformats.org/drawingml/2006/main">
          <a:off x="914392" y="1477432"/>
          <a:ext cx="726751" cy="195498"/>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wrap="none" lIns="18288" tIns="18288" rIns="0" bIns="0" anchor="t" upright="1">
          <a:sp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userShapes>
</file>

<file path=xl/drawings/drawing97.xml><?xml version="1.0" encoding="utf-8"?>
<c:userShapes xmlns:c="http://schemas.openxmlformats.org/drawingml/2006/chart">
  <cdr:relSizeAnchor xmlns:cdr="http://schemas.openxmlformats.org/drawingml/2006/chartDrawing">
    <cdr:from>
      <cdr:x>0.50024</cdr:x>
      <cdr:y>0.66244</cdr:y>
    </cdr:from>
    <cdr:to>
      <cdr:x>0.50024</cdr:x>
      <cdr:y>0.66244</cdr:y>
    </cdr:to>
    <cdr:sp macro="" textlink="">
      <cdr:nvSpPr>
        <cdr:cNvPr id="996353" name="Text Box 1"/>
        <cdr:cNvSpPr txBox="1">
          <a:spLocks xmlns:a="http://schemas.openxmlformats.org/drawingml/2006/main" noChangeArrowheads="1"/>
        </cdr:cNvSpPr>
      </cdr:nvSpPr>
      <cdr:spPr bwMode="auto">
        <a:xfrm xmlns:a="http://schemas.openxmlformats.org/drawingml/2006/main">
          <a:off x="921185" y="1514348"/>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Intervention</a:t>
          </a:r>
        </a:p>
      </cdr:txBody>
    </cdr:sp>
  </cdr:relSizeAnchor>
  <cdr:relSizeAnchor xmlns:cdr="http://schemas.openxmlformats.org/drawingml/2006/chartDrawing">
    <cdr:from>
      <cdr:x>0.44827</cdr:x>
      <cdr:y>0.43287</cdr:y>
    </cdr:from>
    <cdr:to>
      <cdr:x>0.44827</cdr:x>
      <cdr:y>0.43287</cdr:y>
    </cdr:to>
    <cdr:sp macro="" textlink="">
      <cdr:nvSpPr>
        <cdr:cNvPr id="996354" name="Text Box 2"/>
        <cdr:cNvSpPr txBox="1">
          <a:spLocks xmlns:a="http://schemas.openxmlformats.org/drawingml/2006/main" noChangeArrowheads="1"/>
        </cdr:cNvSpPr>
      </cdr:nvSpPr>
      <cdr:spPr bwMode="auto">
        <a:xfrm xmlns:a="http://schemas.openxmlformats.org/drawingml/2006/main">
          <a:off x="825490" y="989546"/>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18288"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0.40968</cdr:x>
      <cdr:y>0.65882</cdr:y>
    </cdr:from>
    <cdr:to>
      <cdr:x>0.77887</cdr:x>
      <cdr:y>0.74434</cdr:y>
    </cdr:to>
    <cdr:sp macro="" textlink="">
      <cdr:nvSpPr>
        <cdr:cNvPr id="996355" name="Text Box 3"/>
        <cdr:cNvSpPr txBox="1">
          <a:spLocks xmlns:a="http://schemas.openxmlformats.org/drawingml/2006/main" noChangeArrowheads="1"/>
        </cdr:cNvSpPr>
      </cdr:nvSpPr>
      <cdr:spPr bwMode="auto">
        <a:xfrm xmlns:a="http://schemas.openxmlformats.org/drawingml/2006/main">
          <a:off x="806455" y="1506061"/>
          <a:ext cx="726751" cy="195499"/>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wrap="none" lIns="18288" tIns="18288" rIns="0" bIns="0" anchor="t" upright="1">
          <a:spAutoFit/>
        </a:bodyPr>
        <a:lstStyle xmlns:a="http://schemas.openxmlformats.org/drawingml/2006/main"/>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0.29756</cdr:x>
      <cdr:y>0.77582</cdr:y>
    </cdr:from>
    <cdr:to>
      <cdr:x>0.71449</cdr:x>
      <cdr:y>0.84042</cdr:y>
    </cdr:to>
    <cdr:sp macro="" textlink="">
      <cdr:nvSpPr>
        <cdr:cNvPr id="996356" name="Text Box 4"/>
        <cdr:cNvSpPr txBox="1">
          <a:spLocks xmlns:a="http://schemas.openxmlformats.org/drawingml/2006/main" noChangeArrowheads="1"/>
        </cdr:cNvSpPr>
      </cdr:nvSpPr>
      <cdr:spPr bwMode="auto">
        <a:xfrm xmlns:a="http://schemas.openxmlformats.org/drawingml/2006/main">
          <a:off x="585755" y="1773532"/>
          <a:ext cx="820727" cy="147676"/>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0" rIns="0" bIns="0" anchor="t" upright="1"/>
        <a:lstStyle xmlns:a="http://schemas.openxmlformats.org/drawingml/2006/main"/>
        <a:p xmlns:a="http://schemas.openxmlformats.org/drawingml/2006/main">
          <a:pPr algn="l" rtl="0">
            <a:defRPr sz="1000"/>
          </a:pPr>
          <a:r>
            <a:rPr lang="en-US" sz="1000" b="0" i="0" u="none" strike="noStrike" baseline="0">
              <a:solidFill>
                <a:srgbClr val="FF0000"/>
              </a:solidFill>
              <a:latin typeface="Arial"/>
              <a:ea typeface="Arial"/>
              <a:cs typeface="Arial"/>
            </a:rPr>
            <a:t>Intervention</a:t>
          </a:r>
        </a:p>
      </cdr:txBody>
    </cdr:sp>
  </cdr:relSizeAnchor>
</c:userShapes>
</file>

<file path=xl/drawings/drawing98.xml><?xml version="1.0" encoding="utf-8"?>
<c:userShapes xmlns:c="http://schemas.openxmlformats.org/drawingml/2006/chart">
  <cdr:relSizeAnchor xmlns:cdr="http://schemas.openxmlformats.org/drawingml/2006/chartDrawing">
    <cdr:from>
      <cdr:x>0.3914</cdr:x>
      <cdr:y>0.74445</cdr:y>
    </cdr:from>
    <cdr:to>
      <cdr:x>0.80833</cdr:x>
      <cdr:y>0.80905</cdr:y>
    </cdr:to>
    <cdr:sp macro="" textlink="">
      <cdr:nvSpPr>
        <cdr:cNvPr id="3" name="Text Box 4"/>
        <cdr:cNvSpPr txBox="1">
          <a:spLocks xmlns:a="http://schemas.openxmlformats.org/drawingml/2006/main" noChangeArrowheads="1"/>
        </cdr:cNvSpPr>
      </cdr:nvSpPr>
      <cdr:spPr bwMode="auto">
        <a:xfrm xmlns:a="http://schemas.openxmlformats.org/drawingml/2006/main">
          <a:off x="770468" y="1701803"/>
          <a:ext cx="820727" cy="147675"/>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wrap="square" lIns="0" tIns="0" rIns="0" bIns="0" anchor="t" upright="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rtl="0">
            <a:defRPr sz="1000"/>
          </a:pPr>
          <a:r>
            <a:rPr lang="en-US" sz="1000" b="0" i="0" u="none" strike="noStrike" baseline="0">
              <a:solidFill>
                <a:srgbClr val="FF0000"/>
              </a:solidFill>
              <a:latin typeface="Arial"/>
              <a:ea typeface="Arial"/>
              <a:cs typeface="Arial"/>
            </a:rPr>
            <a:t>Intervention</a:t>
          </a:r>
        </a:p>
      </cdr:txBody>
    </cdr:sp>
  </cdr:relSizeAnchor>
  <cdr:relSizeAnchor xmlns:cdr="http://schemas.openxmlformats.org/drawingml/2006/chartDrawing">
    <cdr:from>
      <cdr:x>0.33548</cdr:x>
      <cdr:y>0.34074</cdr:y>
    </cdr:from>
    <cdr:to>
      <cdr:x>0.70467</cdr:x>
      <cdr:y>0.42626</cdr:y>
    </cdr:to>
    <cdr:sp macro="" textlink="">
      <cdr:nvSpPr>
        <cdr:cNvPr id="4" name="Text Box 3"/>
        <cdr:cNvSpPr txBox="1">
          <a:spLocks xmlns:a="http://schemas.openxmlformats.org/drawingml/2006/main" noChangeArrowheads="1"/>
        </cdr:cNvSpPr>
      </cdr:nvSpPr>
      <cdr:spPr bwMode="auto">
        <a:xfrm xmlns:a="http://schemas.openxmlformats.org/drawingml/2006/main">
          <a:off x="660400" y="778934"/>
          <a:ext cx="726751" cy="195499"/>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wrap="none" lIns="18288" tIns="18288" rIns="0" bIns="0" anchor="t" upright="1">
          <a:sp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userShapes>
</file>

<file path=xl/drawings/drawing99.xml><?xml version="1.0" encoding="utf-8"?>
<c:userShapes xmlns:c="http://schemas.openxmlformats.org/drawingml/2006/chart">
  <cdr:relSizeAnchor xmlns:cdr="http://schemas.openxmlformats.org/drawingml/2006/chartDrawing">
    <cdr:from>
      <cdr:x>0.5811</cdr:x>
      <cdr:y>0.21717</cdr:y>
    </cdr:from>
    <cdr:to>
      <cdr:x>0.82663</cdr:x>
      <cdr:y>0.30743</cdr:y>
    </cdr:to>
    <cdr:sp macro="" textlink="">
      <cdr:nvSpPr>
        <cdr:cNvPr id="2" name="TextBox 1"/>
        <cdr:cNvSpPr txBox="1"/>
      </cdr:nvSpPr>
      <cdr:spPr>
        <a:xfrm xmlns:a="http://schemas.openxmlformats.org/drawingml/2006/main">
          <a:off x="2383741" y="816380"/>
          <a:ext cx="1007160" cy="33932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000">
              <a:latin typeface="Arial"/>
              <a:cs typeface="Arial"/>
            </a:rPr>
            <a:t>Reference</a:t>
          </a:r>
        </a:p>
      </cdr:txBody>
    </cdr:sp>
  </cdr:relSizeAnchor>
  <cdr:relSizeAnchor xmlns:cdr="http://schemas.openxmlformats.org/drawingml/2006/chartDrawing">
    <cdr:from>
      <cdr:x>0.25015</cdr:x>
      <cdr:y>0.44174</cdr:y>
    </cdr:from>
    <cdr:to>
      <cdr:x>0.75542</cdr:x>
      <cdr:y>0.7222</cdr:y>
    </cdr:to>
    <cdr:sp macro="" textlink="">
      <cdr:nvSpPr>
        <cdr:cNvPr id="4" name="Rectangle 3">
          <a:extLst xmlns:a="http://schemas.openxmlformats.org/drawingml/2006/main">
            <a:ext uri="{FF2B5EF4-FFF2-40B4-BE49-F238E27FC236}">
              <a16:creationId xmlns:a16="http://schemas.microsoft.com/office/drawing/2014/main" id="{62822B0B-333E-E642-B8DA-EF3B604B138F}"/>
            </a:ext>
          </a:extLst>
        </cdr:cNvPr>
        <cdr:cNvSpPr/>
      </cdr:nvSpPr>
      <cdr:spPr>
        <a:xfrm xmlns:a="http://schemas.openxmlformats.org/drawingml/2006/main">
          <a:off x="1026160" y="1660596"/>
          <a:ext cx="2072640" cy="1054315"/>
        </a:xfrm>
        <a:prstGeom xmlns:a="http://schemas.openxmlformats.org/drawingml/2006/main" prst="rect">
          <a:avLst/>
        </a:prstGeom>
        <a:solidFill xmlns:a="http://schemas.openxmlformats.org/drawingml/2006/main">
          <a:schemeClr val="bg1">
            <a:lumMod val="75000"/>
          </a:schemeClr>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0.26178</cdr:x>
      <cdr:y>0.46667</cdr:y>
    </cdr:from>
    <cdr:to>
      <cdr:x>0.78011</cdr:x>
      <cdr:y>0.75</cdr:y>
    </cdr:to>
    <cdr:sp macro="" textlink="">
      <cdr:nvSpPr>
        <cdr:cNvPr id="7" name="TextBox 6">
          <a:extLst xmlns:a="http://schemas.openxmlformats.org/drawingml/2006/main">
            <a:ext uri="{FF2B5EF4-FFF2-40B4-BE49-F238E27FC236}">
              <a16:creationId xmlns:a16="http://schemas.microsoft.com/office/drawing/2014/main" id="{A89337E6-E3C1-3146-BF0B-5C347F56A32A}"/>
            </a:ext>
          </a:extLst>
        </cdr:cNvPr>
        <cdr:cNvSpPr txBox="1"/>
      </cdr:nvSpPr>
      <cdr:spPr>
        <a:xfrm xmlns:a="http://schemas.openxmlformats.org/drawingml/2006/main">
          <a:off x="635000" y="1066800"/>
          <a:ext cx="1257300" cy="6477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a:solidFill>
                <a:schemeClr val="bg1"/>
              </a:solidFill>
            </a:rPr>
            <a:t>Cumulative emissions at 2020 levels (not</a:t>
          </a:r>
          <a:r>
            <a:rPr lang="en-US" sz="1100" baseline="0">
              <a:solidFill>
                <a:schemeClr val="bg1"/>
              </a:solidFill>
            </a:rPr>
            <a:t> included)</a:t>
          </a:r>
          <a:endParaRPr lang="en-US" sz="1100">
            <a:solidFill>
              <a:schemeClr val="bg1"/>
            </a:solidFill>
          </a:endParaRPr>
        </a:p>
      </cdr:txBody>
    </cdr:sp>
  </cdr:relSizeAnchor>
  <cdr:relSizeAnchor xmlns:cdr="http://schemas.openxmlformats.org/drawingml/2006/chartDrawing">
    <cdr:from>
      <cdr:x>0.42649</cdr:x>
      <cdr:y>0.34145</cdr:y>
    </cdr:from>
    <cdr:to>
      <cdr:x>0.83681</cdr:x>
      <cdr:y>0.51943</cdr:y>
    </cdr:to>
    <cdr:sp macro="" textlink="">
      <cdr:nvSpPr>
        <cdr:cNvPr id="8" name="TextBox 1">
          <a:extLst xmlns:a="http://schemas.openxmlformats.org/drawingml/2006/main">
            <a:ext uri="{FF2B5EF4-FFF2-40B4-BE49-F238E27FC236}">
              <a16:creationId xmlns:a16="http://schemas.microsoft.com/office/drawing/2014/main" id="{154DBD02-F39A-BC4A-AF6F-2B0E296CBC35}"/>
            </a:ext>
          </a:extLst>
        </cdr:cNvPr>
        <cdr:cNvSpPr txBox="1"/>
      </cdr:nvSpPr>
      <cdr:spPr>
        <a:xfrm xmlns:a="http://schemas.openxmlformats.org/drawingml/2006/main">
          <a:off x="1749505" y="1283590"/>
          <a:ext cx="1683177" cy="669047"/>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a:solidFill>
                <a:schemeClr val="tx1"/>
              </a:solidFill>
            </a:rPr>
            <a:t>Cumulative</a:t>
          </a:r>
          <a:r>
            <a:rPr lang="en-US" sz="1100" baseline="0">
              <a:solidFill>
                <a:schemeClr val="tx1"/>
              </a:solidFill>
            </a:rPr>
            <a:t> emissions above 2020 levels</a:t>
          </a:r>
          <a:endParaRPr lang="en-US" sz="1100">
            <a:solidFill>
              <a:schemeClr val="tx1"/>
            </a:solidFill>
          </a:endParaRPr>
        </a:p>
      </cdr:txBody>
    </cdr:sp>
  </cdr:relSizeAnchor>
</c:userShapes>
</file>

<file path=xl/drawings/drawing100.xml><?xml version="1.0" encoding="utf-8"?>
<c:userShapes xmlns:c="http://schemas.openxmlformats.org/drawingml/2006/chart">
  <cdr:relSizeAnchor xmlns:cdr="http://schemas.openxmlformats.org/drawingml/2006/chartDrawing">
    <cdr:from>
      <cdr:x>0.50541</cdr:x>
      <cdr:y>0.21231</cdr:y>
    </cdr:from>
    <cdr:to>
      <cdr:x>0.96993</cdr:x>
      <cdr:y>0.34934</cdr:y>
    </cdr:to>
    <cdr:sp macro="" textlink="">
      <cdr:nvSpPr>
        <cdr:cNvPr id="2" name="TextBox 1"/>
        <cdr:cNvSpPr txBox="1"/>
      </cdr:nvSpPr>
      <cdr:spPr>
        <a:xfrm xmlns:a="http://schemas.openxmlformats.org/drawingml/2006/main">
          <a:off x="2047572" y="803516"/>
          <a:ext cx="1881910" cy="51860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000">
              <a:latin typeface="Arial"/>
              <a:cs typeface="Arial"/>
            </a:rPr>
            <a:t>Reference</a:t>
          </a:r>
        </a:p>
      </cdr:txBody>
    </cdr:sp>
  </cdr:relSizeAnchor>
  <cdr:relSizeAnchor xmlns:cdr="http://schemas.openxmlformats.org/drawingml/2006/chartDrawing">
    <cdr:from>
      <cdr:x>0.49053</cdr:x>
      <cdr:y>0.62561</cdr:y>
    </cdr:from>
    <cdr:to>
      <cdr:x>0.84013</cdr:x>
      <cdr:y>0.76265</cdr:y>
    </cdr:to>
    <cdr:sp macro="" textlink="">
      <cdr:nvSpPr>
        <cdr:cNvPr id="3" name="TextBox 2"/>
        <cdr:cNvSpPr txBox="1"/>
      </cdr:nvSpPr>
      <cdr:spPr>
        <a:xfrm xmlns:a="http://schemas.openxmlformats.org/drawingml/2006/main">
          <a:off x="1987289" y="2367701"/>
          <a:ext cx="1416312" cy="518641"/>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a:solidFill>
                <a:srgbClr val="FF0000"/>
              </a:solidFill>
            </a:rPr>
            <a:t>Intervention</a:t>
          </a:r>
        </a:p>
      </cdr:txBody>
    </cdr:sp>
  </cdr:relSizeAnchor>
  <cdr:relSizeAnchor xmlns:cdr="http://schemas.openxmlformats.org/drawingml/2006/chartDrawing">
    <cdr:from>
      <cdr:x>0.36113</cdr:x>
      <cdr:y>0.38389</cdr:y>
    </cdr:from>
    <cdr:to>
      <cdr:x>0.77659</cdr:x>
      <cdr:y>0.56067</cdr:y>
    </cdr:to>
    <cdr:sp macro="" textlink="">
      <cdr:nvSpPr>
        <cdr:cNvPr id="4" name="TextBox 1">
          <a:extLst xmlns:a="http://schemas.openxmlformats.org/drawingml/2006/main">
            <a:ext uri="{FF2B5EF4-FFF2-40B4-BE49-F238E27FC236}">
              <a16:creationId xmlns:a16="http://schemas.microsoft.com/office/drawing/2014/main" id="{CBF9A6AC-0B4C-C84A-80BE-09DBD84D2E6F}"/>
            </a:ext>
          </a:extLst>
        </cdr:cNvPr>
        <cdr:cNvSpPr txBox="1"/>
      </cdr:nvSpPr>
      <cdr:spPr>
        <a:xfrm xmlns:a="http://schemas.openxmlformats.org/drawingml/2006/main">
          <a:off x="1463040" y="1452880"/>
          <a:ext cx="1683177" cy="669047"/>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a:solidFill>
                <a:schemeClr val="tx1"/>
              </a:solidFill>
            </a:rPr>
            <a:t>Cumulative</a:t>
          </a:r>
          <a:r>
            <a:rPr lang="en-US" sz="1100" baseline="0">
              <a:solidFill>
                <a:schemeClr val="tx1"/>
              </a:solidFill>
            </a:rPr>
            <a:t> emissions above Intervention Case levels</a:t>
          </a:r>
          <a:endParaRPr lang="en-US" sz="1100">
            <a:solidFill>
              <a:schemeClr val="tx1"/>
            </a:solidFill>
          </a:endParaRPr>
        </a:p>
      </cdr:txBody>
    </cdr:sp>
  </cdr:relSizeAnchor>
</c:userShapes>
</file>

<file path=xl/drawings/drawing101.xml><?xml version="1.0" encoding="utf-8"?>
<c:userShapes xmlns:c="http://schemas.openxmlformats.org/drawingml/2006/chart">
  <cdr:relSizeAnchor xmlns:cdr="http://schemas.openxmlformats.org/drawingml/2006/chartDrawing">
    <cdr:from>
      <cdr:x>0.49503</cdr:x>
      <cdr:y>0.24444</cdr:y>
    </cdr:from>
    <cdr:to>
      <cdr:x>0.86422</cdr:x>
      <cdr:y>0.33497</cdr:y>
    </cdr:to>
    <cdr:sp macro="" textlink="">
      <cdr:nvSpPr>
        <cdr:cNvPr id="2" name="Text Box 1">
          <a:extLst xmlns:a="http://schemas.openxmlformats.org/drawingml/2006/main">
            <a:ext uri="{FF2B5EF4-FFF2-40B4-BE49-F238E27FC236}">
              <a16:creationId xmlns:a16="http://schemas.microsoft.com/office/drawing/2014/main" id="{8AF4CC50-C299-9548-85DF-F2E0B8F7B523}"/>
            </a:ext>
          </a:extLst>
        </cdr:cNvPr>
        <cdr:cNvSpPr txBox="1">
          <a:spLocks xmlns:a="http://schemas.openxmlformats.org/drawingml/2006/main" noChangeArrowheads="1"/>
        </cdr:cNvSpPr>
      </cdr:nvSpPr>
      <cdr:spPr bwMode="auto">
        <a:xfrm xmlns:a="http://schemas.openxmlformats.org/drawingml/2006/main">
          <a:off x="1054100" y="558800"/>
          <a:ext cx="786142" cy="206951"/>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lc="http://schemas.openxmlformats.org/drawingml/2006/lockedCanvas"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lc="http://schemas.openxmlformats.org/drawingml/2006/lockedCanvas"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wrap="none" lIns="18288" tIns="18288" rIns="0" bIns="0" anchor="t" upright="1">
          <a:sp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0.25646</cdr:x>
      <cdr:y>0.75556</cdr:y>
    </cdr:from>
    <cdr:to>
      <cdr:x>0.66494</cdr:x>
      <cdr:y>0.82664</cdr:y>
    </cdr:to>
    <cdr:sp macro="" textlink="">
      <cdr:nvSpPr>
        <cdr:cNvPr id="3" name="Text Box 2">
          <a:extLst xmlns:a="http://schemas.openxmlformats.org/drawingml/2006/main">
            <a:ext uri="{FF2B5EF4-FFF2-40B4-BE49-F238E27FC236}">
              <a16:creationId xmlns:a16="http://schemas.microsoft.com/office/drawing/2014/main" id="{364FE95D-18B7-0A41-BAC9-08329F3FEEBA}"/>
            </a:ext>
          </a:extLst>
        </cdr:cNvPr>
        <cdr:cNvSpPr txBox="1">
          <a:spLocks xmlns:a="http://schemas.openxmlformats.org/drawingml/2006/main" noChangeArrowheads="1"/>
        </cdr:cNvSpPr>
      </cdr:nvSpPr>
      <cdr:spPr bwMode="auto">
        <a:xfrm xmlns:a="http://schemas.openxmlformats.org/drawingml/2006/main">
          <a:off x="546100" y="1727200"/>
          <a:ext cx="869804" cy="162489"/>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lc="http://schemas.openxmlformats.org/drawingml/2006/lockedCanvas"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lc="http://schemas.openxmlformats.org/drawingml/2006/lockedCanvas"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wrap="square" lIns="45720" tIns="0" rIns="0" bIns="0" anchor="t" upright="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rtl="0">
            <a:defRPr sz="1000"/>
          </a:pPr>
          <a:r>
            <a:rPr lang="en-US" sz="1000" b="0" i="0" u="none" strike="noStrike" baseline="0">
              <a:solidFill>
                <a:srgbClr val="FF0000"/>
              </a:solidFill>
              <a:latin typeface="Arial"/>
              <a:ea typeface="Arial"/>
              <a:cs typeface="Arial"/>
            </a:rPr>
            <a:t>Intervention</a:t>
          </a:r>
        </a:p>
      </cdr:txBody>
    </cdr:sp>
  </cdr:relSizeAnchor>
</c:userShapes>
</file>

<file path=xl/drawings/drawing102.xml><?xml version="1.0" encoding="utf-8"?>
<c:userShapes xmlns:c="http://schemas.openxmlformats.org/drawingml/2006/chart">
  <cdr:relSizeAnchor xmlns:cdr="http://schemas.openxmlformats.org/drawingml/2006/chartDrawing">
    <cdr:from>
      <cdr:x>0.34194</cdr:x>
      <cdr:y>0.33333</cdr:y>
    </cdr:from>
    <cdr:to>
      <cdr:x>0.7413</cdr:x>
      <cdr:y>0.42386</cdr:y>
    </cdr:to>
    <cdr:sp macro="" textlink="">
      <cdr:nvSpPr>
        <cdr:cNvPr id="2" name="Text Box 1">
          <a:extLst xmlns:a="http://schemas.openxmlformats.org/drawingml/2006/main">
            <a:ext uri="{FF2B5EF4-FFF2-40B4-BE49-F238E27FC236}">
              <a16:creationId xmlns:a16="http://schemas.microsoft.com/office/drawing/2014/main" id="{DB28622D-1AF4-FE4F-8306-1E01108712EF}"/>
            </a:ext>
          </a:extLst>
        </cdr:cNvPr>
        <cdr:cNvSpPr txBox="1">
          <a:spLocks xmlns:a="http://schemas.openxmlformats.org/drawingml/2006/main" noChangeArrowheads="1"/>
        </cdr:cNvSpPr>
      </cdr:nvSpPr>
      <cdr:spPr bwMode="auto">
        <a:xfrm xmlns:a="http://schemas.openxmlformats.org/drawingml/2006/main">
          <a:off x="673100" y="762000"/>
          <a:ext cx="786142" cy="206951"/>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lc="http://schemas.openxmlformats.org/drawingml/2006/lockedCanvas"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lc="http://schemas.openxmlformats.org/drawingml/2006/lockedCanvas"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wrap="none" lIns="18288" tIns="18288" rIns="0" bIns="0" anchor="t" upright="1">
          <a:sp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0.35484</cdr:x>
      <cdr:y>0.65</cdr:y>
    </cdr:from>
    <cdr:to>
      <cdr:x>0.7967</cdr:x>
      <cdr:y>0.72108</cdr:y>
    </cdr:to>
    <cdr:sp macro="" textlink="">
      <cdr:nvSpPr>
        <cdr:cNvPr id="3" name="Text Box 2">
          <a:extLst xmlns:a="http://schemas.openxmlformats.org/drawingml/2006/main">
            <a:ext uri="{FF2B5EF4-FFF2-40B4-BE49-F238E27FC236}">
              <a16:creationId xmlns:a16="http://schemas.microsoft.com/office/drawing/2014/main" id="{422EE268-A8ED-7E40-AAF7-DC6083B1EFD6}"/>
            </a:ext>
          </a:extLst>
        </cdr:cNvPr>
        <cdr:cNvSpPr txBox="1">
          <a:spLocks xmlns:a="http://schemas.openxmlformats.org/drawingml/2006/main" noChangeArrowheads="1"/>
        </cdr:cNvSpPr>
      </cdr:nvSpPr>
      <cdr:spPr bwMode="auto">
        <a:xfrm xmlns:a="http://schemas.openxmlformats.org/drawingml/2006/main">
          <a:off x="698500" y="1485900"/>
          <a:ext cx="869804" cy="162489"/>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lc="http://schemas.openxmlformats.org/drawingml/2006/lockedCanvas" xmlns=""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lc="http://schemas.openxmlformats.org/drawingml/2006/lockedCanvas"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wrap="square" lIns="45720" tIns="0" rIns="0" bIns="0" anchor="t" upright="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rtl="0">
            <a:defRPr sz="1000"/>
          </a:pPr>
          <a:r>
            <a:rPr lang="en-US" sz="1000" b="0" i="0" u="none" strike="noStrike" baseline="0">
              <a:solidFill>
                <a:srgbClr val="FF0000"/>
              </a:solidFill>
              <a:latin typeface="Arial"/>
              <a:ea typeface="Arial"/>
              <a:cs typeface="Arial"/>
            </a:rPr>
            <a:t>Intervention</a:t>
          </a:r>
        </a:p>
      </cdr:txBody>
    </cdr:sp>
  </cdr:relSizeAnchor>
</c:userShapes>
</file>

<file path=xl/drawings/drawing103.xml><?xml version="1.0" encoding="utf-8"?>
<c:userShapes xmlns:c="http://schemas.openxmlformats.org/drawingml/2006/chart">
  <cdr:relSizeAnchor xmlns:cdr="http://schemas.openxmlformats.org/drawingml/2006/chartDrawing">
    <cdr:from>
      <cdr:x>0.35258</cdr:x>
      <cdr:y>0.13889</cdr:y>
    </cdr:from>
    <cdr:to>
      <cdr:x>0.73547</cdr:x>
      <cdr:y>0.22942</cdr:y>
    </cdr:to>
    <cdr:sp macro="" textlink="">
      <cdr:nvSpPr>
        <cdr:cNvPr id="2" name="Text Box 1">
          <a:extLst xmlns:a="http://schemas.openxmlformats.org/drawingml/2006/main">
            <a:ext uri="{FF2B5EF4-FFF2-40B4-BE49-F238E27FC236}">
              <a16:creationId xmlns:a16="http://schemas.microsoft.com/office/drawing/2014/main" id="{276C2950-26C1-0045-B2A5-E436128CB108}"/>
            </a:ext>
          </a:extLst>
        </cdr:cNvPr>
        <cdr:cNvSpPr txBox="1">
          <a:spLocks xmlns:a="http://schemas.openxmlformats.org/drawingml/2006/main" noChangeArrowheads="1"/>
        </cdr:cNvSpPr>
      </cdr:nvSpPr>
      <cdr:spPr bwMode="auto">
        <a:xfrm xmlns:a="http://schemas.openxmlformats.org/drawingml/2006/main">
          <a:off x="723900" y="317500"/>
          <a:ext cx="786142" cy="206951"/>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lc="http://schemas.openxmlformats.org/drawingml/2006/lockedCanvas"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lc="http://schemas.openxmlformats.org/drawingml/2006/lockedCanvas"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wrap="none" lIns="18288" tIns="18288" rIns="0" bIns="0" anchor="t" upright="1">
          <a:sp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rtl="0">
            <a:defRPr sz="1000"/>
          </a:pPr>
          <a:r>
            <a:rPr lang="en-US" sz="1000" b="0" i="0" u="none" strike="noStrike" baseline="0">
              <a:solidFill>
                <a:srgbClr val="000000"/>
              </a:solidFill>
              <a:latin typeface="Arial"/>
              <a:ea typeface="Arial"/>
              <a:cs typeface="Arial"/>
            </a:rPr>
            <a:t>Reference</a:t>
          </a:r>
        </a:p>
      </cdr:txBody>
    </cdr:sp>
  </cdr:relSizeAnchor>
  <cdr:relSizeAnchor xmlns:cdr="http://schemas.openxmlformats.org/drawingml/2006/chartDrawing">
    <cdr:from>
      <cdr:x>0.26598</cdr:x>
      <cdr:y>0.67222</cdr:y>
    </cdr:from>
    <cdr:to>
      <cdr:x>0.68962</cdr:x>
      <cdr:y>0.7433</cdr:y>
    </cdr:to>
    <cdr:sp macro="" textlink="">
      <cdr:nvSpPr>
        <cdr:cNvPr id="3" name="Text Box 2">
          <a:extLst xmlns:a="http://schemas.openxmlformats.org/drawingml/2006/main">
            <a:ext uri="{FF2B5EF4-FFF2-40B4-BE49-F238E27FC236}">
              <a16:creationId xmlns:a16="http://schemas.microsoft.com/office/drawing/2014/main" id="{630DBEE4-0463-4543-8141-75FFCFDE7277}"/>
            </a:ext>
          </a:extLst>
        </cdr:cNvPr>
        <cdr:cNvSpPr txBox="1">
          <a:spLocks xmlns:a="http://schemas.openxmlformats.org/drawingml/2006/main" noChangeArrowheads="1"/>
        </cdr:cNvSpPr>
      </cdr:nvSpPr>
      <cdr:spPr bwMode="auto">
        <a:xfrm xmlns:a="http://schemas.openxmlformats.org/drawingml/2006/main">
          <a:off x="546100" y="1536700"/>
          <a:ext cx="869804" cy="162489"/>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lc="http://schemas.openxmlformats.org/drawingml/2006/lockedCanvas" xmlns:a14="http://schemas.microsoft.com/office/drawing/2010/main" xmlns="">
              <a:solidFill>
                <a:srgbClr xmlns:mc="http://schemas.openxmlformats.org/markup-compatibility/2006" val="FFFFFF" mc:Ignorable="a14" a14:legacySpreadsheetColorIndex="9"/>
              </a:solidFill>
            </a14:hiddenFill>
          </a:ext>
          <a:ext uri="{91240B29-F687-4f45-9708-019B960494DF}">
            <a14:hiddenLine xmlns:lc="http://schemas.openxmlformats.org/drawingml/2006/lockedCanvas"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wrap="square" lIns="45720" tIns="0" rIns="0" bIns="0" anchor="t" upright="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rtl="0">
            <a:defRPr sz="1000"/>
          </a:pPr>
          <a:r>
            <a:rPr lang="en-US" sz="1000" b="0" i="0" u="none" strike="noStrike" baseline="0">
              <a:solidFill>
                <a:srgbClr val="FF0000"/>
              </a:solidFill>
              <a:latin typeface="Arial"/>
              <a:ea typeface="Arial"/>
              <a:cs typeface="Arial"/>
            </a:rPr>
            <a:t>Intervention</a:t>
          </a:r>
        </a:p>
      </cdr:txBody>
    </cdr:sp>
  </cdr:relSizeAnchor>
</c:userShapes>
</file>

<file path=xl/drawings/drawing104.xml><?xml version="1.0" encoding="utf-8"?>
<xdr:wsDr xmlns:xdr="http://schemas.openxmlformats.org/drawingml/2006/spreadsheetDrawing" xmlns:a="http://schemas.openxmlformats.org/drawingml/2006/main">
  <xdr:absoluteAnchor>
    <xdr:pos x="0" y="0"/>
    <xdr:ext cx="8570000" cy="5830000"/>
    <xdr:graphicFrame macro="">
      <xdr:nvGraphicFramePr>
        <xdr:cNvPr id="2" name="Chart 1">
          <a:extLst>
            <a:ext uri="{FF2B5EF4-FFF2-40B4-BE49-F238E27FC236}">
              <a16:creationId xmlns:a16="http://schemas.microsoft.com/office/drawing/2014/main" id="{2B6AD542-7987-7648-8B8D-85BA25C27BD7}"/>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05.xml><?xml version="1.0" encoding="utf-8"?>
<c:userShapes xmlns:c="http://schemas.openxmlformats.org/drawingml/2006/chart">
  <cdr:relSizeAnchor xmlns:cdr="http://schemas.openxmlformats.org/drawingml/2006/chartDrawing">
    <cdr:from>
      <cdr:x>0.41167</cdr:x>
      <cdr:y>0.27295</cdr:y>
    </cdr:from>
    <cdr:to>
      <cdr:x>0.6088</cdr:x>
      <cdr:y>0.33031</cdr:y>
    </cdr:to>
    <cdr:sp macro="" textlink="">
      <cdr:nvSpPr>
        <cdr:cNvPr id="3" name="Rectangle 2"/>
        <cdr:cNvSpPr/>
      </cdr:nvSpPr>
      <cdr:spPr>
        <a:xfrm xmlns:a="http://schemas.openxmlformats.org/drawingml/2006/main">
          <a:off x="3531169" y="1592346"/>
          <a:ext cx="1690901" cy="33463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1">
          <a:schemeClr val="accent1"/>
        </a:lnRef>
        <a:fillRef xmlns:a="http://schemas.openxmlformats.org/drawingml/2006/main" idx="3">
          <a:schemeClr val="accent1"/>
        </a:fillRef>
        <a:effectRef xmlns:a="http://schemas.openxmlformats.org/drawingml/2006/main" idx="2">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r>
            <a:rPr lang="en-US" sz="1600">
              <a:solidFill>
                <a:schemeClr val="tx1"/>
              </a:solidFill>
              <a:latin typeface="Arial"/>
            </a:rPr>
            <a:t>TFC</a:t>
          </a:r>
          <a:r>
            <a:rPr lang="en-US" sz="1600" baseline="0">
              <a:solidFill>
                <a:schemeClr val="tx1"/>
              </a:solidFill>
              <a:latin typeface="Arial"/>
            </a:rPr>
            <a:t> Reference</a:t>
          </a:r>
          <a:endParaRPr lang="en-US" sz="1600">
            <a:solidFill>
              <a:schemeClr val="tx1"/>
            </a:solidFill>
            <a:latin typeface="Arial"/>
          </a:endParaRPr>
        </a:p>
      </cdr:txBody>
    </cdr:sp>
  </cdr:relSizeAnchor>
  <cdr:relSizeAnchor xmlns:cdr="http://schemas.openxmlformats.org/drawingml/2006/chartDrawing">
    <cdr:from>
      <cdr:x>0.57838</cdr:x>
      <cdr:y>0.56226</cdr:y>
    </cdr:from>
    <cdr:to>
      <cdr:x>0.7696</cdr:x>
      <cdr:y>0.65891</cdr:y>
    </cdr:to>
    <cdr:sp macro="" textlink="">
      <cdr:nvSpPr>
        <cdr:cNvPr id="5" name="Rectangle 4"/>
        <cdr:cNvSpPr/>
      </cdr:nvSpPr>
      <cdr:spPr>
        <a:xfrm xmlns:a="http://schemas.openxmlformats.org/drawingml/2006/main">
          <a:off x="4961086" y="3280140"/>
          <a:ext cx="1640207" cy="563841"/>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1">
          <a:schemeClr val="accent1"/>
        </a:lnRef>
        <a:fillRef xmlns:a="http://schemas.openxmlformats.org/drawingml/2006/main" idx="3">
          <a:schemeClr val="accent1"/>
        </a:fillRef>
        <a:effectRef xmlns:a="http://schemas.openxmlformats.org/drawingml/2006/main" idx="2">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r>
            <a:rPr lang="en-US" sz="1600">
              <a:solidFill>
                <a:srgbClr val="FF0000"/>
              </a:solidFill>
              <a:latin typeface="Arial"/>
            </a:rPr>
            <a:t>TFC</a:t>
          </a:r>
          <a:r>
            <a:rPr lang="en-US" sz="1600" baseline="0">
              <a:solidFill>
                <a:srgbClr val="FF0000"/>
              </a:solidFill>
              <a:latin typeface="Arial"/>
            </a:rPr>
            <a:t> Intervention</a:t>
          </a:r>
          <a:endParaRPr lang="en-US" sz="1600">
            <a:solidFill>
              <a:srgbClr val="FF0000"/>
            </a:solidFill>
            <a:latin typeface="Arial"/>
          </a:endParaRPr>
        </a:p>
      </cdr:txBody>
    </cdr:sp>
  </cdr:relSizeAnchor>
  <cdr:relSizeAnchor xmlns:cdr="http://schemas.openxmlformats.org/drawingml/2006/chartDrawing">
    <cdr:from>
      <cdr:x>0.13384</cdr:x>
      <cdr:y>0.6109</cdr:y>
    </cdr:from>
    <cdr:to>
      <cdr:x>0.346</cdr:x>
      <cdr:y>0.67753</cdr:y>
    </cdr:to>
    <cdr:sp macro="" textlink="">
      <cdr:nvSpPr>
        <cdr:cNvPr id="6" name="Rectangle 5"/>
        <cdr:cNvSpPr/>
      </cdr:nvSpPr>
      <cdr:spPr>
        <a:xfrm xmlns:a="http://schemas.openxmlformats.org/drawingml/2006/main">
          <a:off x="1148025" y="3563926"/>
          <a:ext cx="1819823" cy="388709"/>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1">
          <a:schemeClr val="accent1"/>
        </a:lnRef>
        <a:fillRef xmlns:a="http://schemas.openxmlformats.org/drawingml/2006/main" idx="3">
          <a:schemeClr val="accent1"/>
        </a:fillRef>
        <a:effectRef xmlns:a="http://schemas.openxmlformats.org/drawingml/2006/main" idx="2">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r>
            <a:rPr lang="en-US" sz="1600">
              <a:solidFill>
                <a:srgbClr val="3366FF"/>
              </a:solidFill>
              <a:latin typeface="Arial"/>
            </a:rPr>
            <a:t>NFC</a:t>
          </a:r>
          <a:r>
            <a:rPr lang="en-US" sz="1600" baseline="0">
              <a:solidFill>
                <a:srgbClr val="3366FF"/>
              </a:solidFill>
              <a:latin typeface="Arial"/>
            </a:rPr>
            <a:t> Intervention</a:t>
          </a:r>
          <a:endParaRPr lang="en-US" sz="1600">
            <a:solidFill>
              <a:srgbClr val="3366FF"/>
            </a:solidFill>
            <a:latin typeface="Arial"/>
          </a:endParaRPr>
        </a:p>
      </cdr:txBody>
    </cdr:sp>
  </cdr:relSizeAnchor>
  <cdr:relSizeAnchor xmlns:cdr="http://schemas.openxmlformats.org/drawingml/2006/chartDrawing">
    <cdr:from>
      <cdr:x>0.14542</cdr:x>
      <cdr:y>0.68711</cdr:y>
    </cdr:from>
    <cdr:to>
      <cdr:x>0.44814</cdr:x>
      <cdr:y>0.73813</cdr:y>
    </cdr:to>
    <cdr:sp macro="" textlink="">
      <cdr:nvSpPr>
        <cdr:cNvPr id="8" name="Rectangle 7"/>
        <cdr:cNvSpPr/>
      </cdr:nvSpPr>
      <cdr:spPr>
        <a:xfrm xmlns:a="http://schemas.openxmlformats.org/drawingml/2006/main">
          <a:off x="1247324" y="4008518"/>
          <a:ext cx="2596609" cy="297643"/>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1">
          <a:schemeClr val="accent1"/>
        </a:lnRef>
        <a:fillRef xmlns:a="http://schemas.openxmlformats.org/drawingml/2006/main" idx="3">
          <a:schemeClr val="accent1"/>
        </a:fillRef>
        <a:effectRef xmlns:a="http://schemas.openxmlformats.org/drawingml/2006/main" idx="2">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r>
            <a:rPr lang="en-US" sz="1600">
              <a:solidFill>
                <a:srgbClr val="008000"/>
              </a:solidFill>
              <a:latin typeface="Arial"/>
            </a:rPr>
            <a:t>Biomass</a:t>
          </a:r>
          <a:r>
            <a:rPr lang="en-US" sz="1600" baseline="0">
              <a:solidFill>
                <a:srgbClr val="008000"/>
              </a:solidFill>
              <a:latin typeface="Arial"/>
            </a:rPr>
            <a:t> CCS = 0 (dotted)</a:t>
          </a:r>
          <a:endParaRPr lang="en-US" sz="1600">
            <a:solidFill>
              <a:srgbClr val="008000"/>
            </a:solidFill>
            <a:latin typeface="Arial"/>
          </a:endParaRPr>
        </a:p>
      </cdr:txBody>
    </cdr:sp>
  </cdr:relSizeAnchor>
  <cdr:relSizeAnchor xmlns:cdr="http://schemas.openxmlformats.org/drawingml/2006/chartDrawing">
    <cdr:from>
      <cdr:x>0.36585</cdr:x>
      <cdr:y>0.78632</cdr:y>
    </cdr:from>
    <cdr:to>
      <cdr:x>0.6759</cdr:x>
      <cdr:y>0.83734</cdr:y>
    </cdr:to>
    <cdr:sp macro="" textlink="">
      <cdr:nvSpPr>
        <cdr:cNvPr id="9" name="Rectangle 8"/>
        <cdr:cNvSpPr/>
      </cdr:nvSpPr>
      <cdr:spPr>
        <a:xfrm xmlns:a="http://schemas.openxmlformats.org/drawingml/2006/main">
          <a:off x="3138112" y="4587262"/>
          <a:ext cx="2659483" cy="297643"/>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1">
          <a:schemeClr val="accent1"/>
        </a:lnRef>
        <a:fillRef xmlns:a="http://schemas.openxmlformats.org/drawingml/2006/main" idx="3">
          <a:schemeClr val="accent1"/>
        </a:fillRef>
        <a:effectRef xmlns:a="http://schemas.openxmlformats.org/drawingml/2006/main" idx="2">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r>
            <a:rPr lang="en-US" sz="1600">
              <a:solidFill>
                <a:srgbClr val="3366FF"/>
              </a:solidFill>
              <a:latin typeface="Arial"/>
            </a:rPr>
            <a:t>Fossil CCS (dotted)</a:t>
          </a:r>
        </a:p>
      </cdr:txBody>
    </cdr:sp>
  </cdr:relSizeAnchor>
</c:userShapes>
</file>

<file path=xl/drawings/drawing106.xml><?xml version="1.0" encoding="utf-8"?>
<xdr:wsDr xmlns:xdr="http://schemas.openxmlformats.org/drawingml/2006/spreadsheetDrawing" xmlns:a="http://schemas.openxmlformats.org/drawingml/2006/main">
  <xdr:absoluteAnchor>
    <xdr:pos x="0" y="0"/>
    <xdr:ext cx="8575040" cy="5831840"/>
    <xdr:graphicFrame macro="">
      <xdr:nvGraphicFramePr>
        <xdr:cNvPr id="2" name="Chart 1">
          <a:extLst>
            <a:ext uri="{FF2B5EF4-FFF2-40B4-BE49-F238E27FC236}">
              <a16:creationId xmlns:a16="http://schemas.microsoft.com/office/drawing/2014/main" id="{6E510DD2-37F0-9349-9B8E-9BC89D07ADA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07.xml><?xml version="1.0" encoding="utf-8"?>
<c:userShapes xmlns:c="http://schemas.openxmlformats.org/drawingml/2006/chart">
  <cdr:relSizeAnchor xmlns:cdr="http://schemas.openxmlformats.org/drawingml/2006/chartDrawing">
    <cdr:from>
      <cdr:x>0.23247</cdr:x>
      <cdr:y>0.29169</cdr:y>
    </cdr:from>
    <cdr:to>
      <cdr:x>0.36274</cdr:x>
      <cdr:y>0.32709</cdr:y>
    </cdr:to>
    <cdr:sp macro="" textlink="">
      <cdr:nvSpPr>
        <cdr:cNvPr id="1382402" name="Text Box 2"/>
        <cdr:cNvSpPr txBox="1">
          <a:spLocks xmlns:a="http://schemas.openxmlformats.org/drawingml/2006/main" noChangeArrowheads="1"/>
        </cdr:cNvSpPr>
      </cdr:nvSpPr>
      <cdr:spPr bwMode="auto">
        <a:xfrm xmlns:a="http://schemas.openxmlformats.org/drawingml/2006/main">
          <a:off x="2014559" y="1833542"/>
          <a:ext cx="1128904" cy="222523"/>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65"/>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wrap="none" lIns="18288" tIns="18288" rIns="0" bIns="0" anchor="t" upright="1">
          <a:spAutoFit/>
        </a:bodyPr>
        <a:lstStyle xmlns:a="http://schemas.openxmlformats.org/drawingml/2006/main"/>
        <a:p xmlns:a="http://schemas.openxmlformats.org/drawingml/2006/main">
          <a:pPr algn="l" rtl="0">
            <a:defRPr sz="1000"/>
          </a:pPr>
          <a:r>
            <a:rPr lang="en-US" sz="1075" b="1" i="0" u="none" strike="noStrike" baseline="0">
              <a:solidFill>
                <a:srgbClr val="000000"/>
              </a:solidFill>
              <a:latin typeface="Arial"/>
              <a:ea typeface="Arial"/>
              <a:cs typeface="Arial"/>
            </a:rPr>
            <a:t>Reference Case </a:t>
          </a:r>
        </a:p>
      </cdr:txBody>
    </cdr:sp>
  </cdr:relSizeAnchor>
  <cdr:relSizeAnchor xmlns:cdr="http://schemas.openxmlformats.org/drawingml/2006/chartDrawing">
    <cdr:from>
      <cdr:x>0.23769</cdr:x>
      <cdr:y>0.88646</cdr:y>
    </cdr:from>
    <cdr:to>
      <cdr:x>0.37749</cdr:x>
      <cdr:y>0.91459</cdr:y>
    </cdr:to>
    <cdr:sp macro="" textlink="">
      <cdr:nvSpPr>
        <cdr:cNvPr id="20" name="Text Box 2"/>
        <cdr:cNvSpPr txBox="1">
          <a:spLocks xmlns:a="http://schemas.openxmlformats.org/drawingml/2006/main" noChangeArrowheads="1"/>
        </cdr:cNvSpPr>
      </cdr:nvSpPr>
      <cdr:spPr bwMode="auto">
        <a:xfrm xmlns:a="http://schemas.openxmlformats.org/drawingml/2006/main">
          <a:off x="2059826" y="5572251"/>
          <a:ext cx="1211491" cy="176824"/>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xmlns="">
              <a:solidFill>
                <a:srgbClr xmlns:mc="http://schemas.openxmlformats.org/markup-compatibility/2006" val="FFFFFF" mc:Ignorable="a14" a14:legacySpreadsheetColorIndex="65"/>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wrap="none" lIns="18288" tIns="18288" rIns="0" bIns="0" anchor="t" upright="1">
          <a:sp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rtl="0">
            <a:defRPr sz="1000"/>
          </a:pPr>
          <a:r>
            <a:rPr lang="en-US" sz="1075" b="1" i="0" u="none" strike="noStrike" baseline="0">
              <a:solidFill>
                <a:srgbClr val="FF0000"/>
              </a:solidFill>
              <a:latin typeface="Arial"/>
              <a:ea typeface="Arial"/>
              <a:cs typeface="Arial"/>
            </a:rPr>
            <a:t>Intervention Case </a:t>
          </a:r>
        </a:p>
      </cdr:txBody>
    </cdr:sp>
  </cdr:relSizeAnchor>
</c:userShapes>
</file>

<file path=xl/drawings/drawing108.xml><?xml version="1.0" encoding="utf-8"?>
<xdr:wsDr xmlns:xdr="http://schemas.openxmlformats.org/drawingml/2006/spreadsheetDrawing" xmlns:a="http://schemas.openxmlformats.org/drawingml/2006/main">
  <xdr:absoluteAnchor>
    <xdr:pos x="0" y="0"/>
    <xdr:ext cx="8668254" cy="6282804"/>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FFA5DE52-E4E7-6D4A-8E27-959284C2EAEE}"/>
                </a:ext>
              </a:extLst>
            </xdr:cNvPr>
            <xdr:cNvGraphicFramePr>
              <a:graphicFrameLocks/>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graphicFrame macro="">
          <xdr:nvGraphicFramePr>
            <xdr:cNvPr id="0" nam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mc:Fallback>
    </mc:AlternateContent>
    <xdr:clientData/>
  </xdr:absoluteAnchor>
</xdr:wsDr>
</file>

<file path=xl/drawings/drawing109.xml><?xml version="1.0" encoding="utf-8"?>
<c:userShapes xmlns:c="http://schemas.openxmlformats.org/drawingml/2006/chart">
  <cdr:relSizeAnchor xmlns:cdr="http://schemas.openxmlformats.org/drawingml/2006/chartDrawing">
    <cdr:from>
      <cdr:x>0</cdr:x>
      <cdr:y>0</cdr:y>
    </cdr:from>
    <cdr:to>
      <cdr:x>1</cdr:x>
      <cdr:y>1</cdr:y>
    </cdr:to>
    <cdr:sp macro="" textlink="">
      <cdr:nvSpPr>
        <cdr:cNvPr id="2" name="Rectangle 1">
          <a:extLst xmlns:a="http://schemas.openxmlformats.org/drawingml/2006/main">
            <a:ext uri="{FF2B5EF4-FFF2-40B4-BE49-F238E27FC236}">
              <a16:creationId xmlns:a16="http://schemas.microsoft.com/office/drawing/2014/main" id="{C7D236BC-C03F-B917-261A-BCF0376AB19C}"/>
            </a:ext>
          </a:extLst>
        </cdr:cNvPr>
        <cdr:cNvSpPr>
          <a:spLocks xmlns:a="http://schemas.openxmlformats.org/drawingml/2006/main" noTextEdit="1"/>
        </cdr:cNvSpPr>
      </cdr:nvSpPr>
      <cdr:spPr>
        <a:xfrm xmlns:a="http://schemas.openxmlformats.org/drawingml/2006/main">
          <a:off x="0" y="0"/>
          <a:ext cx="8668254" cy="6282804"/>
        </a:xfrm>
        <a:prstGeom xmlns:a="http://schemas.openxmlformats.org/drawingml/2006/main" prst="rect">
          <a:avLst/>
        </a:prstGeom>
        <a:solidFill xmlns:a="http://schemas.openxmlformats.org/drawingml/2006/main">
          <a:prstClr val="white"/>
        </a:solidFill>
        <a:ln xmlns:a="http://schemas.openxmlformats.org/drawingml/2006/main" w="1">
          <a:solidFill>
            <a:prstClr val="green"/>
          </a:solidFill>
        </a:ln>
      </cdr:spPr>
      <cdr:txBody>
        <a:bodyPr xmlns:a="http://schemas.openxmlformats.org/drawingml/2006/main" vertOverflow="clip" horzOverflow="clip"/>
        <a:lstStyle xmlns:a="http://schemas.openxmlformats.org/drawingml/2006/main"/>
        <a:p xmlns:a="http://schemas.openxmlformats.org/drawingml/2006/main">
          <a:r>
            <a:rPr lang="en-US" sz="1100"/>
            <a:t>This chart isn't available in your version of Excel.
Editing this shape or saving this workbook into a different file format will permanently break the chart.</a:t>
          </a:r>
        </a:p>
      </cdr:txBody>
    </cdr:sp>
  </cdr:relSizeAnchor>
</c:userShapes>
</file>

<file path=xl/drawings/drawing110.xml><?xml version="1.0" encoding="utf-8"?>
<xdr:wsDr xmlns:xdr="http://schemas.openxmlformats.org/drawingml/2006/spreadsheetDrawing" xmlns:a="http://schemas.openxmlformats.org/drawingml/2006/main">
  <xdr:absoluteAnchor>
    <xdr:pos x="0" y="0"/>
    <xdr:ext cx="13741400" cy="9207500"/>
    <xdr:graphicFrame macro="">
      <xdr:nvGraphicFramePr>
        <xdr:cNvPr id="2" name="Chart 1">
          <a:extLst>
            <a:ext uri="{FF2B5EF4-FFF2-40B4-BE49-F238E27FC236}">
              <a16:creationId xmlns:a16="http://schemas.microsoft.com/office/drawing/2014/main" id="{2105D5C8-1855-C647-83DA-1AE843E15B43}"/>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11.xml><?xml version="1.0" encoding="utf-8"?>
<c:userShapes xmlns:c="http://schemas.openxmlformats.org/drawingml/2006/chart">
  <cdr:relSizeAnchor xmlns:cdr="http://schemas.openxmlformats.org/drawingml/2006/chartDrawing">
    <cdr:from>
      <cdr:x>0.78692</cdr:x>
      <cdr:y>0.81064</cdr:y>
    </cdr:from>
    <cdr:to>
      <cdr:x>0.95564</cdr:x>
      <cdr:y>0.93517</cdr:y>
    </cdr:to>
    <cdr:sp macro="" textlink="">
      <cdr:nvSpPr>
        <cdr:cNvPr id="2" name="TextBox 1">
          <a:extLst xmlns:a="http://schemas.openxmlformats.org/drawingml/2006/main">
            <a:ext uri="{FF2B5EF4-FFF2-40B4-BE49-F238E27FC236}">
              <a16:creationId xmlns:a16="http://schemas.microsoft.com/office/drawing/2014/main" id="{EF88313D-1ED5-C24A-98F5-D3CF77F7CEA0}"/>
            </a:ext>
          </a:extLst>
        </cdr:cNvPr>
        <cdr:cNvSpPr txBox="1"/>
      </cdr:nvSpPr>
      <cdr:spPr>
        <a:xfrm xmlns:a="http://schemas.openxmlformats.org/drawingml/2006/main">
          <a:off x="10813399" y="7463937"/>
          <a:ext cx="2318401" cy="1146663"/>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a:latin typeface="Arial" panose="020B0604020202020204" pitchFamily="34" charset="0"/>
              <a:cs typeface="Arial" panose="020B0604020202020204" pitchFamily="34" charset="0"/>
            </a:rPr>
            <a:t>Note: base</a:t>
          </a:r>
          <a:r>
            <a:rPr lang="en-US" sz="1400" baseline="0">
              <a:latin typeface="Arial" panose="020B0604020202020204" pitchFamily="34" charset="0"/>
              <a:cs typeface="Arial" panose="020B0604020202020204" pitchFamily="34" charset="0"/>
            </a:rPr>
            <a:t> year (2020) emissions are 58.8 Gt CO2 equivalent per year</a:t>
          </a:r>
          <a:endParaRPr lang="en-US" sz="1400">
            <a:latin typeface="Arial" panose="020B0604020202020204" pitchFamily="34" charset="0"/>
            <a:cs typeface="Arial" panose="020B0604020202020204" pitchFamily="34" charset="0"/>
          </a:endParaRPr>
        </a:p>
      </cdr:txBody>
    </cdr:sp>
  </cdr:relSizeAnchor>
</c:userShapes>
</file>

<file path=xl/drawings/drawing112.xml><?xml version="1.0" encoding="utf-8"?>
<xdr:wsDr xmlns:xdr="http://schemas.openxmlformats.org/drawingml/2006/spreadsheetDrawing" xmlns:a="http://schemas.openxmlformats.org/drawingml/2006/main">
  <xdr:absoluteAnchor>
    <xdr:pos x="0" y="0"/>
    <xdr:ext cx="13749867" cy="9211733"/>
    <xdr:graphicFrame macro="">
      <xdr:nvGraphicFramePr>
        <xdr:cNvPr id="2" name="Chart 1">
          <a:extLst>
            <a:ext uri="{FF2B5EF4-FFF2-40B4-BE49-F238E27FC236}">
              <a16:creationId xmlns:a16="http://schemas.microsoft.com/office/drawing/2014/main" id="{12F04748-B099-4047-B1E6-F42BA9087FEC}"/>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13.xml><?xml version="1.0" encoding="utf-8"?>
<c:userShapes xmlns:c="http://schemas.openxmlformats.org/drawingml/2006/chart">
  <cdr:relSizeAnchor xmlns:cdr="http://schemas.openxmlformats.org/drawingml/2006/chartDrawing">
    <cdr:from>
      <cdr:x>0.78692</cdr:x>
      <cdr:y>0.81064</cdr:y>
    </cdr:from>
    <cdr:to>
      <cdr:x>0.95564</cdr:x>
      <cdr:y>0.93517</cdr:y>
    </cdr:to>
    <cdr:sp macro="" textlink="">
      <cdr:nvSpPr>
        <cdr:cNvPr id="2" name="TextBox 1">
          <a:extLst xmlns:a="http://schemas.openxmlformats.org/drawingml/2006/main">
            <a:ext uri="{FF2B5EF4-FFF2-40B4-BE49-F238E27FC236}">
              <a16:creationId xmlns:a16="http://schemas.microsoft.com/office/drawing/2014/main" id="{EF88313D-1ED5-C24A-98F5-D3CF77F7CEA0}"/>
            </a:ext>
          </a:extLst>
        </cdr:cNvPr>
        <cdr:cNvSpPr txBox="1"/>
      </cdr:nvSpPr>
      <cdr:spPr>
        <a:xfrm xmlns:a="http://schemas.openxmlformats.org/drawingml/2006/main">
          <a:off x="10813399" y="7463937"/>
          <a:ext cx="2318401" cy="1146663"/>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a:latin typeface="Arial" panose="020B0604020202020204" pitchFamily="34" charset="0"/>
              <a:cs typeface="Arial" panose="020B0604020202020204" pitchFamily="34" charset="0"/>
            </a:rPr>
            <a:t>Note: base</a:t>
          </a:r>
          <a:r>
            <a:rPr lang="en-US" sz="1400" baseline="0">
              <a:latin typeface="Arial" panose="020B0604020202020204" pitchFamily="34" charset="0"/>
              <a:cs typeface="Arial" panose="020B0604020202020204" pitchFamily="34" charset="0"/>
            </a:rPr>
            <a:t> year (2020) emissions are 58.8 Gt CO2 equivalent per year</a:t>
          </a:r>
          <a:endParaRPr lang="en-US" sz="1400">
            <a:latin typeface="Arial" panose="020B0604020202020204" pitchFamily="34" charset="0"/>
            <a:cs typeface="Arial" panose="020B0604020202020204" pitchFamily="34" charset="0"/>
          </a:endParaRPr>
        </a:p>
      </cdr:txBody>
    </cdr:sp>
  </cdr:relSizeAnchor>
</c:userShapes>
</file>

<file path=xl/drawings/drawing114.xml><?xml version="1.0" encoding="utf-8"?>
<xdr:wsDr xmlns:xdr="http://schemas.openxmlformats.org/drawingml/2006/spreadsheetDrawing" xmlns:a="http://schemas.openxmlformats.org/drawingml/2006/main">
  <xdr:absoluteAnchor>
    <xdr:pos x="0" y="0"/>
    <xdr:ext cx="8674100" cy="6286500"/>
    <xdr:graphicFrame macro="">
      <xdr:nvGraphicFramePr>
        <xdr:cNvPr id="2" name="Chart 1">
          <a:extLst>
            <a:ext uri="{FF2B5EF4-FFF2-40B4-BE49-F238E27FC236}">
              <a16:creationId xmlns:a16="http://schemas.microsoft.com/office/drawing/2014/main" id="{35AD14B6-A8AF-4C45-AD1A-13ABC8A188DD}"/>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15.xml><?xml version="1.0" encoding="utf-8"?>
<c:userShapes xmlns:c="http://schemas.openxmlformats.org/drawingml/2006/chart">
  <cdr:relSizeAnchor xmlns:cdr="http://schemas.openxmlformats.org/drawingml/2006/chartDrawing">
    <cdr:from>
      <cdr:x>0.13061</cdr:x>
      <cdr:y>0.59641</cdr:y>
    </cdr:from>
    <cdr:to>
      <cdr:x>0.76284</cdr:x>
      <cdr:y>0.59665</cdr:y>
    </cdr:to>
    <cdr:cxnSp macro="">
      <cdr:nvCxnSpPr>
        <cdr:cNvPr id="3" name="Straight Connector 2">
          <a:extLst xmlns:a="http://schemas.openxmlformats.org/drawingml/2006/main">
            <a:ext uri="{FF2B5EF4-FFF2-40B4-BE49-F238E27FC236}">
              <a16:creationId xmlns:a16="http://schemas.microsoft.com/office/drawing/2014/main" id="{8823A7B0-C3EA-054E-99B4-FD1E5165EA97}"/>
            </a:ext>
          </a:extLst>
        </cdr:cNvPr>
        <cdr:cNvCxnSpPr/>
      </cdr:nvCxnSpPr>
      <cdr:spPr>
        <a:xfrm xmlns:a="http://schemas.openxmlformats.org/drawingml/2006/main" flipV="1">
          <a:off x="1132888" y="3749337"/>
          <a:ext cx="5484027" cy="1509"/>
        </a:xfrm>
        <a:prstGeom xmlns:a="http://schemas.openxmlformats.org/drawingml/2006/main" prst="line">
          <a:avLst/>
        </a:prstGeom>
        <a:ln xmlns:a="http://schemas.openxmlformats.org/drawingml/2006/main" w="12700"/>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userShapes>
</file>

<file path=xl/drawings/drawing116.xml><?xml version="1.0" encoding="utf-8"?>
<xdr:wsDr xmlns:xdr="http://schemas.openxmlformats.org/drawingml/2006/spreadsheetDrawing" xmlns:a="http://schemas.openxmlformats.org/drawingml/2006/main">
  <xdr:twoCellAnchor editAs="oneCell">
    <xdr:from>
      <xdr:col>22</xdr:col>
      <xdr:colOff>444500</xdr:colOff>
      <xdr:row>0</xdr:row>
      <xdr:rowOff>0</xdr:rowOff>
    </xdr:from>
    <xdr:to>
      <xdr:col>27</xdr:col>
      <xdr:colOff>769282</xdr:colOff>
      <xdr:row>10</xdr:row>
      <xdr:rowOff>63500</xdr:rowOff>
    </xdr:to>
    <xdr:pic>
      <xdr:nvPicPr>
        <xdr:cNvPr id="2" name="Picture 1">
          <a:extLst>
            <a:ext uri="{FF2B5EF4-FFF2-40B4-BE49-F238E27FC236}">
              <a16:creationId xmlns:a16="http://schemas.microsoft.com/office/drawing/2014/main" id="{7F1FA3EE-7B40-9742-8EDA-BD5A86BBF2C4}"/>
            </a:ext>
          </a:extLst>
        </xdr:cNvPr>
        <xdr:cNvPicPr>
          <a:picLocks noChangeAspect="1"/>
        </xdr:cNvPicPr>
      </xdr:nvPicPr>
      <xdr:blipFill>
        <a:blip xmlns:r="http://schemas.openxmlformats.org/officeDocument/2006/relationships" r:embed="rId1"/>
        <a:stretch>
          <a:fillRect/>
        </a:stretch>
      </xdr:blipFill>
      <xdr:spPr>
        <a:xfrm>
          <a:off x="19215100" y="0"/>
          <a:ext cx="4452282" cy="2095500"/>
        </a:xfrm>
        <a:prstGeom prst="rect">
          <a:avLst/>
        </a:prstGeom>
      </xdr:spPr>
    </xdr:pic>
    <xdr:clientData/>
  </xdr:twoCellAnchor>
  <xdr:twoCellAnchor editAs="oneCell">
    <xdr:from>
      <xdr:col>21</xdr:col>
      <xdr:colOff>127000</xdr:colOff>
      <xdr:row>0</xdr:row>
      <xdr:rowOff>0</xdr:rowOff>
    </xdr:from>
    <xdr:to>
      <xdr:col>26</xdr:col>
      <xdr:colOff>451782</xdr:colOff>
      <xdr:row>10</xdr:row>
      <xdr:rowOff>63500</xdr:rowOff>
    </xdr:to>
    <xdr:pic>
      <xdr:nvPicPr>
        <xdr:cNvPr id="3" name="Picture 2">
          <a:extLst>
            <a:ext uri="{FF2B5EF4-FFF2-40B4-BE49-F238E27FC236}">
              <a16:creationId xmlns:a16="http://schemas.microsoft.com/office/drawing/2014/main" id="{5F7279D0-5A78-394F-A05E-0019E35A1DDD}"/>
            </a:ext>
          </a:extLst>
        </xdr:cNvPr>
        <xdr:cNvPicPr>
          <a:picLocks noChangeAspect="1"/>
        </xdr:cNvPicPr>
      </xdr:nvPicPr>
      <xdr:blipFill>
        <a:blip xmlns:r="http://schemas.openxmlformats.org/officeDocument/2006/relationships" r:embed="rId1"/>
        <a:stretch>
          <a:fillRect/>
        </a:stretch>
      </xdr:blipFill>
      <xdr:spPr>
        <a:xfrm>
          <a:off x="18072100" y="0"/>
          <a:ext cx="4452282" cy="20955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zacharyschmidt/Dropbox/zachResearch/WorldResourcesInstitute/DeepDecarbStudies/vanVuuren2018/Decomps_TFCI_method/IMAGE_15_TOT_No_Tax_TFCIv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zacharyschmidt/Dropbox/zachResearch/WorldResourcesInstitute/DeepDecarbStudies/Grubler2019/decomps/LED_TFC_Estimatev6.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zacharyschmidt/Dropbox/zachResearch/WorldResourcesInstitute/DeepDecarbStudies/vanVuuren2018/Decomps_TFC_method/IMAGE_15_Def_19_TFCvtest.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zacharyschmidt/Dropbox/ZachResearch/ScenarioDecomps/1.5Cdatabase/IEA_2DS_v7.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zacharyschmidt/Documents/DecompMESSAGEforInsidetheBlackBoxDerivExp.xlsx" TargetMode="External"/></Relationships>
</file>

<file path=xl/externalLinks/_rels/externalLink6.xml.rels><?xml version="1.0" encoding="UTF-8" standalone="yes"?>
<Relationships xmlns="http://schemas.openxmlformats.org/package/2006/relationships"><Relationship Id="rId1" Type="http://schemas.microsoft.com/office/2006/relationships/xlExternalLinkPath/xlPathMissing" Target="energyEmission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previous_versions/vanVuurenIMAGE_15_Def_19_TFC_Tax_Only_v3.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emissionsfactorsfossilfuels-v3.xlsx"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GrublerLED_TFC_Industry_from_vanVuuren_TOT_curren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me"/>
      <sheetName val="Data Download"/>
      <sheetName val="Ref Data input"/>
      <sheetName val="Int Data input"/>
      <sheetName val="Ref Data"/>
      <sheetName val="Int Data"/>
      <sheetName val="Fig3ExpandKAYAfactorsDEq"/>
      <sheetName val="Fig4ExpandKAYAratiosDEq"/>
      <sheetName val="Fig5AvAnn%∆RefDEq"/>
      <sheetName val="Fig5AvAnn%∆IntDEq"/>
      <sheetName val="Fig5AvAnn%∆(Ref-Int)DEq"/>
      <sheetName val="Fig6AdditiveDashboard"/>
      <sheetName val="Fig7CCSgraph"/>
      <sheetName val="Fig8MitChart(LMDI1corrected)DEq"/>
      <sheetName val="WaterfallEnergySector"/>
      <sheetName val="WaterfallAllSectors"/>
      <sheetName val="WaterfallAllSectors (2)"/>
      <sheetName val="WaterfallAllSectors (3)"/>
      <sheetName val="WaterfallVert"/>
      <sheetName val="Savings"/>
      <sheetName val="EmissionsReductionsTable"/>
      <sheetName val="WaterfallVertData"/>
      <sheetName val="CementvsBETindustry"/>
      <sheetName val="IndustryEmissionsAccountingRef"/>
      <sheetName val="IndustryEmissionsAccountingInt"/>
      <sheetName val="FossilEneEmissionsAccountingRef"/>
      <sheetName val="FossilEneEmissionsAccountingInt"/>
      <sheetName val="PEfossilRef"/>
      <sheetName val="PEfossilInt"/>
      <sheetName val="ExpKayaFactorsRef"/>
      <sheetName val="ExpKayaFactorsInt"/>
      <sheetName val="ExpKayaRatiosRef"/>
      <sheetName val="ExpKayaRatiosInt"/>
      <sheetName val="AvAnn%∆"/>
      <sheetName val="HistoricalGrowthRates"/>
      <sheetName val="AreasForDashboardsFactors"/>
      <sheetName val="AreasForDashboardsRatios"/>
      <sheetName val="WaterfallData"/>
      <sheetName val="LMDI 1 MethodDEq"/>
      <sheetName val="MitTable(LMDI I)DEq"/>
      <sheetName val="OtherGasses"/>
      <sheetName val="TotalEmissions"/>
      <sheetName val="AdditiveDashboardData"/>
    </sheetNames>
    <sheetDataSet>
      <sheetData sheetId="0"/>
      <sheetData sheetId="1"/>
      <sheetData sheetId="2">
        <row r="1">
          <cell r="A1" t="str">
            <v>model</v>
          </cell>
          <cell r="B1" t="str">
            <v>scenario</v>
          </cell>
          <cell r="C1" t="str">
            <v>region</v>
          </cell>
          <cell r="D1" t="str">
            <v>variable</v>
          </cell>
          <cell r="E1" t="str">
            <v>unit</v>
          </cell>
          <cell r="F1" t="str">
            <v>subannual</v>
          </cell>
          <cell r="G1" t="str">
            <v>meta</v>
          </cell>
          <cell r="H1">
            <v>2005</v>
          </cell>
          <cell r="I1">
            <v>2010</v>
          </cell>
          <cell r="J1">
            <v>2015</v>
          </cell>
          <cell r="K1">
            <v>2020</v>
          </cell>
          <cell r="L1">
            <v>2025</v>
          </cell>
          <cell r="M1">
            <v>2030</v>
          </cell>
          <cell r="N1">
            <v>2035</v>
          </cell>
          <cell r="O1">
            <v>2040</v>
          </cell>
          <cell r="P1">
            <v>2045</v>
          </cell>
          <cell r="Q1">
            <v>2050</v>
          </cell>
          <cell r="R1">
            <v>2060</v>
          </cell>
          <cell r="S1">
            <v>2070</v>
          </cell>
          <cell r="T1">
            <v>2080</v>
          </cell>
          <cell r="U1">
            <v>2090</v>
          </cell>
          <cell r="V1">
            <v>2100</v>
          </cell>
        </row>
        <row r="2">
          <cell r="D2" t="str">
            <v>Emissions|CH4</v>
          </cell>
          <cell r="E2" t="str">
            <v>Mt CH4/yr</v>
          </cell>
          <cell r="H2">
            <v>318.37908935546875</v>
          </cell>
          <cell r="I2">
            <v>348.29449462890625</v>
          </cell>
          <cell r="K2">
            <v>395.82830810546875</v>
          </cell>
          <cell r="M2">
            <v>431.79019165039062</v>
          </cell>
          <cell r="O2">
            <v>451.22421264648438</v>
          </cell>
          <cell r="Q2">
            <v>462.93130493164062</v>
          </cell>
          <cell r="R2">
            <v>457.3291015625</v>
          </cell>
          <cell r="S2">
            <v>458.21810913085938</v>
          </cell>
          <cell r="T2">
            <v>461.65969848632812</v>
          </cell>
          <cell r="U2">
            <v>464.66390991210938</v>
          </cell>
          <cell r="V2">
            <v>484.34878540039062</v>
          </cell>
        </row>
        <row r="3">
          <cell r="D3" t="str">
            <v>Emissions|CO2</v>
          </cell>
          <cell r="E3" t="str">
            <v>Mt CO2/yr</v>
          </cell>
          <cell r="H3">
            <v>33182.728193120776</v>
          </cell>
          <cell r="I3">
            <v>35612.614586570846</v>
          </cell>
          <cell r="K3">
            <v>43478.012048223376</v>
          </cell>
          <cell r="M3">
            <v>49474.444340435177</v>
          </cell>
          <cell r="O3">
            <v>52913.738286060339</v>
          </cell>
          <cell r="Q3">
            <v>55991.099288944264</v>
          </cell>
          <cell r="R3">
            <v>57621.595057321661</v>
          </cell>
          <cell r="S3">
            <v>60866.666672200001</v>
          </cell>
          <cell r="T3">
            <v>64443.063156900127</v>
          </cell>
          <cell r="U3">
            <v>67837.071620750343</v>
          </cell>
          <cell r="V3">
            <v>72492.606777423571</v>
          </cell>
        </row>
        <row r="4">
          <cell r="D4" t="str">
            <v>Emissions|CO2|Energy</v>
          </cell>
          <cell r="E4" t="str">
            <v>Mt CO2/yr</v>
          </cell>
          <cell r="H4">
            <v>28132.724285125732</v>
          </cell>
          <cell r="I4">
            <v>30490.629196166992</v>
          </cell>
          <cell r="K4">
            <v>36419.173240661621</v>
          </cell>
          <cell r="M4">
            <v>41178.647677103676</v>
          </cell>
          <cell r="O4">
            <v>44638.25798034668</v>
          </cell>
          <cell r="Q4">
            <v>48651.535034179688</v>
          </cell>
          <cell r="R4">
            <v>53651.107152303055</v>
          </cell>
          <cell r="S4">
            <v>57505.031267801918</v>
          </cell>
          <cell r="T4">
            <v>60643.732706705727</v>
          </cell>
          <cell r="U4">
            <v>64628.26601664225</v>
          </cell>
          <cell r="V4">
            <v>69304.621378580719</v>
          </cell>
        </row>
        <row r="5">
          <cell r="D5" t="str">
            <v>Emissions|CO2|Industrial Processes</v>
          </cell>
          <cell r="E5" t="str">
            <v>Mt CO2/yr</v>
          </cell>
          <cell r="H5">
            <v>1260.6443961461384</v>
          </cell>
          <cell r="I5">
            <v>1619.6451683839161</v>
          </cell>
          <cell r="K5">
            <v>1846.3895320892334</v>
          </cell>
          <cell r="M5">
            <v>2014.8549278577168</v>
          </cell>
          <cell r="O5">
            <v>2097.1979300181069</v>
          </cell>
          <cell r="Q5">
            <v>2292.7681605021157</v>
          </cell>
          <cell r="R5">
            <v>2535.1934035619097</v>
          </cell>
          <cell r="S5">
            <v>2635.3624661763506</v>
          </cell>
          <cell r="T5">
            <v>2885.1141730944314</v>
          </cell>
          <cell r="U5">
            <v>3324.2319027582803</v>
          </cell>
          <cell r="V5">
            <v>3714.6559556325274</v>
          </cell>
        </row>
        <row r="6">
          <cell r="D6" t="str">
            <v>Emissions|F-Gases</v>
          </cell>
          <cell r="E6" t="str">
            <v>Mt CO2-equiv/yr</v>
          </cell>
          <cell r="H6">
            <v>672.6583251953125</v>
          </cell>
          <cell r="I6">
            <v>877.77581787109375</v>
          </cell>
          <cell r="K6">
            <v>1734.1839599609375</v>
          </cell>
          <cell r="M6">
            <v>2202.76806640625</v>
          </cell>
          <cell r="O6">
            <v>2689.511962890625</v>
          </cell>
          <cell r="Q6">
            <v>3184.76708984375</v>
          </cell>
          <cell r="R6">
            <v>3659.216064453125</v>
          </cell>
          <cell r="S6">
            <v>4187.91015625</v>
          </cell>
          <cell r="T6">
            <v>4581.38720703125</v>
          </cell>
          <cell r="U6">
            <v>5028.0751953125</v>
          </cell>
          <cell r="V6">
            <v>5575.55419921875</v>
          </cell>
        </row>
        <row r="7">
          <cell r="D7" t="str">
            <v>Emissions|N2O</v>
          </cell>
          <cell r="E7" t="str">
            <v>kt N2O/yr</v>
          </cell>
          <cell r="H7">
            <v>9158.4775365647329</v>
          </cell>
          <cell r="I7">
            <v>9835.0657757775316</v>
          </cell>
          <cell r="K7">
            <v>11182.576517597528</v>
          </cell>
          <cell r="M7">
            <v>12487.891179629925</v>
          </cell>
          <cell r="O7">
            <v>13332.033757524705</v>
          </cell>
          <cell r="Q7">
            <v>13865.354209388182</v>
          </cell>
          <cell r="R7">
            <v>13554.599605678291</v>
          </cell>
          <cell r="S7">
            <v>13531.404153675689</v>
          </cell>
          <cell r="T7">
            <v>13744.412524153309</v>
          </cell>
          <cell r="U7">
            <v>13744.09486232304</v>
          </cell>
          <cell r="V7">
            <v>13789.851977265917</v>
          </cell>
        </row>
        <row r="8">
          <cell r="D8" t="str">
            <v>Final Energy</v>
          </cell>
          <cell r="E8" t="str">
            <v>EJ/yr</v>
          </cell>
          <cell r="H8">
            <v>341.07290625000002</v>
          </cell>
          <cell r="I8">
            <v>368.1208125</v>
          </cell>
          <cell r="K8">
            <v>423.03090624999999</v>
          </cell>
          <cell r="M8">
            <v>479.42259375000003</v>
          </cell>
          <cell r="O8">
            <v>541.945875</v>
          </cell>
          <cell r="Q8">
            <v>601.97268750000001</v>
          </cell>
          <cell r="R8">
            <v>664.53981250000004</v>
          </cell>
          <cell r="S8">
            <v>719.05137500000001</v>
          </cell>
          <cell r="T8">
            <v>765.49487499999998</v>
          </cell>
          <cell r="U8">
            <v>800.99437499999999</v>
          </cell>
          <cell r="V8">
            <v>831.80218750000006</v>
          </cell>
        </row>
        <row r="9">
          <cell r="D9" t="str">
            <v>GDP|MER</v>
          </cell>
          <cell r="E9" t="str">
            <v>billion US$2010/yr</v>
          </cell>
          <cell r="H9">
            <v>49593.37808000001</v>
          </cell>
          <cell r="I9">
            <v>55776.193800000001</v>
          </cell>
          <cell r="J9">
            <v>0</v>
          </cell>
          <cell r="K9">
            <v>78494.021760000003</v>
          </cell>
          <cell r="L9">
            <v>0</v>
          </cell>
          <cell r="M9">
            <v>109940.23400000001</v>
          </cell>
          <cell r="N9">
            <v>0</v>
          </cell>
          <cell r="O9">
            <v>143359.74736000001</v>
          </cell>
          <cell r="P9">
            <v>0</v>
          </cell>
          <cell r="Q9">
            <v>180095.57264000003</v>
          </cell>
          <cell r="R9">
            <v>221675.58464000002</v>
          </cell>
          <cell r="S9">
            <v>271512.12864000001</v>
          </cell>
          <cell r="T9">
            <v>329316.13664000004</v>
          </cell>
          <cell r="U9">
            <v>396375.65728000004</v>
          </cell>
          <cell r="V9">
            <v>473895.06208000006</v>
          </cell>
        </row>
        <row r="10">
          <cell r="E10" t="str">
            <v>billion US$2005/yr</v>
          </cell>
          <cell r="H10">
            <v>45498.512000000002</v>
          </cell>
          <cell r="I10">
            <v>51170.82</v>
          </cell>
          <cell r="K10">
            <v>72012.864000000001</v>
          </cell>
          <cell r="M10">
            <v>100862.6</v>
          </cell>
          <cell r="O10">
            <v>131522.704</v>
          </cell>
          <cell r="Q10">
            <v>165225.296</v>
          </cell>
          <cell r="R10">
            <v>203372.09599999999</v>
          </cell>
          <cell r="S10">
            <v>249093.696</v>
          </cell>
          <cell r="T10">
            <v>302124.89600000001</v>
          </cell>
          <cell r="U10">
            <v>363647.39199999999</v>
          </cell>
          <cell r="V10">
            <v>434766.11200000002</v>
          </cell>
        </row>
        <row r="11">
          <cell r="D11" t="str">
            <v>GDP|PPP</v>
          </cell>
          <cell r="E11" t="str">
            <v>billion US$2010/yr</v>
          </cell>
          <cell r="H11">
            <v>62574.588007812505</v>
          </cell>
          <cell r="I11">
            <v>74623.452265625005</v>
          </cell>
          <cell r="J11">
            <v>0</v>
          </cell>
          <cell r="K11">
            <v>110746.40140625001</v>
          </cell>
          <cell r="L11">
            <v>0</v>
          </cell>
          <cell r="M11">
            <v>157846.0678125</v>
          </cell>
          <cell r="N11">
            <v>0</v>
          </cell>
          <cell r="O11">
            <v>205461.28718750001</v>
          </cell>
          <cell r="P11">
            <v>0</v>
          </cell>
          <cell r="Q11">
            <v>255292.61281250001</v>
          </cell>
          <cell r="R11">
            <v>308743.14718750003</v>
          </cell>
          <cell r="S11">
            <v>369403.72500000003</v>
          </cell>
          <cell r="T11">
            <v>435660.56718750001</v>
          </cell>
          <cell r="U11">
            <v>507957.23562500003</v>
          </cell>
          <cell r="V11">
            <v>586688.00375000003</v>
          </cell>
        </row>
        <row r="12">
          <cell r="E12" t="str">
            <v>billion US$2005/yr</v>
          </cell>
          <cell r="H12">
            <v>57407.87890625</v>
          </cell>
          <cell r="I12">
            <v>68461.8828125</v>
          </cell>
          <cell r="K12">
            <v>101602.203125</v>
          </cell>
          <cell r="M12">
            <v>144812.90625</v>
          </cell>
          <cell r="O12">
            <v>188496.59375</v>
          </cell>
          <cell r="Q12">
            <v>234213.40625</v>
          </cell>
          <cell r="R12">
            <v>283250.59375</v>
          </cell>
          <cell r="S12">
            <v>338902.5</v>
          </cell>
          <cell r="T12">
            <v>399688.59375</v>
          </cell>
          <cell r="U12">
            <v>466015.8125</v>
          </cell>
          <cell r="V12">
            <v>538245.875</v>
          </cell>
        </row>
        <row r="13">
          <cell r="D13" t="str">
            <v>Population</v>
          </cell>
          <cell r="E13" t="str">
            <v>million</v>
          </cell>
          <cell r="H13">
            <v>6530.5478515625</v>
          </cell>
          <cell r="I13">
            <v>6921.7978515625</v>
          </cell>
          <cell r="K13">
            <v>7671.501953125</v>
          </cell>
          <cell r="M13">
            <v>8327.6826171875</v>
          </cell>
          <cell r="O13">
            <v>8857.17578125</v>
          </cell>
          <cell r="Q13">
            <v>9242.54296875</v>
          </cell>
          <cell r="R13">
            <v>9459.9677734375</v>
          </cell>
          <cell r="S13">
            <v>9531.0947265625</v>
          </cell>
          <cell r="T13">
            <v>9480.2275390625</v>
          </cell>
          <cell r="U13">
            <v>9325.70703125</v>
          </cell>
          <cell r="V13">
            <v>9103.234375</v>
          </cell>
        </row>
        <row r="14">
          <cell r="D14" t="str">
            <v>Primary Energy</v>
          </cell>
          <cell r="E14" t="str">
            <v>EJ/yr</v>
          </cell>
          <cell r="H14">
            <v>459.00759375000001</v>
          </cell>
          <cell r="I14">
            <v>506.23181249999999</v>
          </cell>
          <cell r="K14">
            <v>594.26031250000005</v>
          </cell>
          <cell r="M14">
            <v>676.61637500000006</v>
          </cell>
          <cell r="O14">
            <v>755.57987500000002</v>
          </cell>
          <cell r="Q14">
            <v>832.27637500000003</v>
          </cell>
          <cell r="R14">
            <v>910.11768749999999</v>
          </cell>
          <cell r="S14">
            <v>976.86431249999998</v>
          </cell>
          <cell r="T14">
            <v>1037.7740000000001</v>
          </cell>
          <cell r="U14">
            <v>1095.373</v>
          </cell>
          <cell r="V14">
            <v>1151.866</v>
          </cell>
        </row>
        <row r="15">
          <cell r="D15" t="str">
            <v>Primary Energy|Coal</v>
          </cell>
          <cell r="E15" t="str">
            <v>EJ/yr</v>
          </cell>
          <cell r="H15">
            <v>117.481796875</v>
          </cell>
          <cell r="I15">
            <v>145.98440625000001</v>
          </cell>
          <cell r="K15">
            <v>172.32500000000002</v>
          </cell>
          <cell r="M15">
            <v>211.99509375</v>
          </cell>
          <cell r="O15">
            <v>240.01190625000001</v>
          </cell>
          <cell r="Q15">
            <v>263.81950000000001</v>
          </cell>
          <cell r="R15">
            <v>289.18609375</v>
          </cell>
          <cell r="S15">
            <v>321.66659375</v>
          </cell>
          <cell r="T15">
            <v>366.5186875</v>
          </cell>
          <cell r="U15">
            <v>432.56718749999999</v>
          </cell>
          <cell r="V15">
            <v>510.43531250000001</v>
          </cell>
        </row>
        <row r="16">
          <cell r="D16" t="str">
            <v>Primary Energy|Gas</v>
          </cell>
          <cell r="E16" t="str">
            <v>EJ/yr</v>
          </cell>
          <cell r="H16">
            <v>101.93460156250001</v>
          </cell>
          <cell r="I16">
            <v>112.74639843750001</v>
          </cell>
          <cell r="K16">
            <v>152.18899999999999</v>
          </cell>
          <cell r="M16">
            <v>187.71890625</v>
          </cell>
          <cell r="O16">
            <v>217.01809374999999</v>
          </cell>
          <cell r="Q16">
            <v>236.38829687500001</v>
          </cell>
          <cell r="R16">
            <v>260.61790625000003</v>
          </cell>
          <cell r="S16">
            <v>270.75331249999999</v>
          </cell>
          <cell r="T16">
            <v>269.83550000000002</v>
          </cell>
          <cell r="U16">
            <v>245.80199999999999</v>
          </cell>
          <cell r="V16">
            <v>215.65909375000001</v>
          </cell>
        </row>
        <row r="17">
          <cell r="D17" t="str">
            <v>Primary Energy|Oil</v>
          </cell>
          <cell r="E17" t="str">
            <v>EJ/yr</v>
          </cell>
          <cell r="H17">
            <v>174.80140625000001</v>
          </cell>
          <cell r="I17">
            <v>171.87170312500001</v>
          </cell>
          <cell r="K17">
            <v>176.65059375000001</v>
          </cell>
          <cell r="M17">
            <v>165.22149999999999</v>
          </cell>
          <cell r="O17">
            <v>158.09770312500001</v>
          </cell>
          <cell r="Q17">
            <v>173.017</v>
          </cell>
          <cell r="R17">
            <v>198.71950000000001</v>
          </cell>
          <cell r="S17">
            <v>201.88609375000001</v>
          </cell>
          <cell r="T17">
            <v>191.60340625000001</v>
          </cell>
          <cell r="U17">
            <v>187.47479687500001</v>
          </cell>
          <cell r="V17">
            <v>180.62559375000001</v>
          </cell>
        </row>
        <row r="18">
          <cell r="D18" t="str">
            <v>Emissions|CO2|AFOLU</v>
          </cell>
          <cell r="E18" t="str">
            <v>Mt CO2/yr</v>
          </cell>
          <cell r="H18">
            <v>3789.3629999999998</v>
          </cell>
          <cell r="I18">
            <v>3502.3380000000002</v>
          </cell>
          <cell r="K18">
            <v>5212.4560000000001</v>
          </cell>
          <cell r="M18">
            <v>6280.915</v>
          </cell>
          <cell r="O18">
            <v>6178.3190000000004</v>
          </cell>
          <cell r="Q18">
            <v>5046.7979999999998</v>
          </cell>
          <cell r="R18">
            <v>1435.3140000000001</v>
          </cell>
          <cell r="S18">
            <v>726.26400000000001</v>
          </cell>
          <cell r="T18">
            <v>-115.452</v>
          </cell>
          <cell r="U18">
            <v>914.21400000000006</v>
          </cell>
          <cell r="V18">
            <v>-526.66499999999996</v>
          </cell>
        </row>
        <row r="19">
          <cell r="D19" t="str">
            <v>Emissions|CO2|Fossil Fuels and Industry</v>
          </cell>
          <cell r="H19">
            <v>29393.36868127187</v>
          </cell>
          <cell r="I19">
            <v>32110.274364550907</v>
          </cell>
          <cell r="J19">
            <v>0</v>
          </cell>
          <cell r="K19">
            <v>38265.562772750854</v>
          </cell>
          <cell r="L19">
            <v>0</v>
          </cell>
          <cell r="M19">
            <v>43193.502604961395</v>
          </cell>
          <cell r="N19">
            <v>0</v>
          </cell>
          <cell r="O19">
            <v>46735.455910364784</v>
          </cell>
          <cell r="P19">
            <v>0</v>
          </cell>
          <cell r="Q19">
            <v>50944.303194681801</v>
          </cell>
          <cell r="R19">
            <v>56186.300555864967</v>
          </cell>
          <cell r="S19">
            <v>60140.393733978271</v>
          </cell>
          <cell r="T19">
            <v>63528.846879800156</v>
          </cell>
          <cell r="U19">
            <v>67952.497919400528</v>
          </cell>
          <cell r="V19">
            <v>73019.277334213242</v>
          </cell>
        </row>
        <row r="22">
          <cell r="D22" t="str">
            <v>GDP deflator 2010/2005</v>
          </cell>
          <cell r="E22">
            <v>1.0900000000000001</v>
          </cell>
        </row>
      </sheetData>
      <sheetData sheetId="3">
        <row r="1">
          <cell r="A1" t="str">
            <v>model</v>
          </cell>
          <cell r="B1" t="str">
            <v>scenario</v>
          </cell>
          <cell r="C1" t="str">
            <v>region</v>
          </cell>
          <cell r="D1" t="str">
            <v>variable</v>
          </cell>
          <cell r="E1" t="str">
            <v>unit</v>
          </cell>
          <cell r="F1" t="str">
            <v>subannual</v>
          </cell>
          <cell r="G1" t="str">
            <v>meta</v>
          </cell>
          <cell r="H1">
            <v>2005</v>
          </cell>
          <cell r="I1">
            <v>2010</v>
          </cell>
          <cell r="J1">
            <v>2015</v>
          </cell>
          <cell r="K1">
            <v>2020</v>
          </cell>
          <cell r="L1">
            <v>2025</v>
          </cell>
          <cell r="M1">
            <v>2030</v>
          </cell>
          <cell r="N1">
            <v>2035</v>
          </cell>
          <cell r="O1">
            <v>2040</v>
          </cell>
          <cell r="P1">
            <v>2045</v>
          </cell>
          <cell r="Q1">
            <v>2050</v>
          </cell>
          <cell r="R1">
            <v>2060</v>
          </cell>
          <cell r="S1">
            <v>2070</v>
          </cell>
          <cell r="T1">
            <v>2080</v>
          </cell>
          <cell r="U1">
            <v>2090</v>
          </cell>
          <cell r="V1">
            <v>2100</v>
          </cell>
        </row>
        <row r="2">
          <cell r="D2" t="str">
            <v>Carbon Sequestration|CCS|Biomass|Energy</v>
          </cell>
          <cell r="E2" t="str">
            <v>Mt CO2/yr</v>
          </cell>
          <cell r="H2">
            <v>0</v>
          </cell>
          <cell r="I2">
            <v>0</v>
          </cell>
          <cell r="J2">
            <v>0</v>
          </cell>
          <cell r="K2">
            <v>4.8386068484041956E-15</v>
          </cell>
          <cell r="L2">
            <v>3.8776090284501745E-7</v>
          </cell>
          <cell r="M2">
            <v>2.0047783663339151E-6</v>
          </cell>
          <cell r="N2">
            <v>1.5097654024459569E-5</v>
          </cell>
          <cell r="O2">
            <v>4.5750844565087795E-5</v>
          </cell>
          <cell r="P2">
            <v>1.5289163666423031E-4</v>
          </cell>
          <cell r="Q2">
            <v>9.4639817689382691E-2</v>
          </cell>
          <cell r="R2">
            <v>8.8683626624213474E-2</v>
          </cell>
          <cell r="S2">
            <v>7.1516428154912617E-2</v>
          </cell>
          <cell r="T2">
            <v>5.4543651837472375E-2</v>
          </cell>
          <cell r="U2">
            <v>5.1858247085571442E-2</v>
          </cell>
          <cell r="V2">
            <v>0.33366896726268652</v>
          </cell>
        </row>
        <row r="3">
          <cell r="D3" t="str">
            <v>Carbon Sequestration|CCS|Biomass|Industrial Processes</v>
          </cell>
          <cell r="E3" t="str">
            <v>Mt CO2/yr</v>
          </cell>
          <cell r="H3">
            <v>0</v>
          </cell>
          <cell r="I3">
            <v>0</v>
          </cell>
          <cell r="J3">
            <v>0</v>
          </cell>
          <cell r="K3">
            <v>0</v>
          </cell>
          <cell r="L3">
            <v>0</v>
          </cell>
          <cell r="M3">
            <v>0</v>
          </cell>
          <cell r="N3">
            <v>0</v>
          </cell>
          <cell r="O3">
            <v>0</v>
          </cell>
          <cell r="P3">
            <v>0</v>
          </cell>
          <cell r="Q3">
            <v>0</v>
          </cell>
          <cell r="R3">
            <v>0</v>
          </cell>
          <cell r="S3">
            <v>0</v>
          </cell>
          <cell r="T3">
            <v>0</v>
          </cell>
          <cell r="U3">
            <v>0</v>
          </cell>
          <cell r="V3">
            <v>0</v>
          </cell>
        </row>
        <row r="4">
          <cell r="D4" t="str">
            <v>Carbon Sequestration|CCS|Fossil|Energy</v>
          </cell>
          <cell r="E4" t="str">
            <v>Mt CO2/yr</v>
          </cell>
          <cell r="H4">
            <v>0</v>
          </cell>
          <cell r="I4">
            <v>0</v>
          </cell>
          <cell r="J4">
            <v>0</v>
          </cell>
          <cell r="K4">
            <v>32.833179039359777</v>
          </cell>
          <cell r="L4">
            <v>445.81338742953665</v>
          </cell>
          <cell r="M4">
            <v>1243.4074892955798</v>
          </cell>
          <cell r="N4">
            <v>2112.6400843708066</v>
          </cell>
          <cell r="O4">
            <v>2455.3240402199017</v>
          </cell>
          <cell r="P4">
            <v>2857.3990871419724</v>
          </cell>
          <cell r="Q4">
            <v>3040.3081741973169</v>
          </cell>
          <cell r="R4">
            <v>4327.4815721368486</v>
          </cell>
          <cell r="S4">
            <v>6220.5216362810288</v>
          </cell>
          <cell r="T4">
            <v>6238.7408713609793</v>
          </cell>
          <cell r="U4">
            <v>5621.3702490604583</v>
          </cell>
          <cell r="V4">
            <v>5720.5057391948303</v>
          </cell>
        </row>
        <row r="5">
          <cell r="D5" t="str">
            <v>Carbon Sequestration|CCS|Fossil|Industrial Processes</v>
          </cell>
          <cell r="E5" t="str">
            <v>Mt CO2/yr</v>
          </cell>
          <cell r="H5">
            <v>0</v>
          </cell>
          <cell r="I5">
            <v>0</v>
          </cell>
          <cell r="J5">
            <v>0</v>
          </cell>
          <cell r="K5">
            <v>16.969379949538656</v>
          </cell>
          <cell r="L5">
            <v>263.11362519239384</v>
          </cell>
          <cell r="M5">
            <v>722.02643627921736</v>
          </cell>
          <cell r="N5">
            <v>1229.917246227463</v>
          </cell>
          <cell r="O5">
            <v>1417.5688984493413</v>
          </cell>
          <cell r="P5">
            <v>1500.8267319450774</v>
          </cell>
          <cell r="Q5">
            <v>1381.148077857991</v>
          </cell>
          <cell r="R5">
            <v>1231.7259939057597</v>
          </cell>
          <cell r="S5">
            <v>1436.496980239705</v>
          </cell>
          <cell r="T5">
            <v>1699.0205631882418</v>
          </cell>
          <cell r="U5">
            <v>1543.7318396094875</v>
          </cell>
          <cell r="V5">
            <v>1124.2450335800336</v>
          </cell>
        </row>
        <row r="6">
          <cell r="D6" t="str">
            <v>Emissions|CH4</v>
          </cell>
          <cell r="E6" t="str">
            <v>Mt CH4/yr</v>
          </cell>
          <cell r="H6">
            <v>319.04010009765625</v>
          </cell>
          <cell r="I6">
            <v>349.81478881835938</v>
          </cell>
          <cell r="J6">
            <v>350.87600708007812</v>
          </cell>
          <cell r="K6">
            <v>300.16949462890625</v>
          </cell>
          <cell r="L6">
            <v>240.45880126953125</v>
          </cell>
          <cell r="M6">
            <v>202.01809692382812</v>
          </cell>
          <cell r="N6">
            <v>174.30810546875</v>
          </cell>
          <cell r="O6">
            <v>141.506103515625</v>
          </cell>
          <cell r="P6">
            <v>120.69349670410156</v>
          </cell>
          <cell r="Q6">
            <v>106.77639770507812</v>
          </cell>
          <cell r="R6">
            <v>85.873992919921875</v>
          </cell>
          <cell r="S6">
            <v>68.705619812011719</v>
          </cell>
          <cell r="T6">
            <v>55.365360260009766</v>
          </cell>
          <cell r="U6">
            <v>43.851058959960938</v>
          </cell>
          <cell r="V6">
            <v>33.514209747314453</v>
          </cell>
        </row>
        <row r="7">
          <cell r="D7" t="str">
            <v>Emissions|CO2</v>
          </cell>
          <cell r="E7" t="str">
            <v>Mt CO2/yr</v>
          </cell>
          <cell r="H7">
            <v>33242.433271251204</v>
          </cell>
          <cell r="I7">
            <v>35828.364261069626</v>
          </cell>
          <cell r="J7">
            <v>37644.384769047218</v>
          </cell>
          <cell r="K7">
            <v>34189.113609878936</v>
          </cell>
          <cell r="L7">
            <v>26701.223472479465</v>
          </cell>
          <cell r="M7">
            <v>18303.797690466065</v>
          </cell>
          <cell r="N7">
            <v>10051.019043882479</v>
          </cell>
          <cell r="O7">
            <v>4910.1102299385611</v>
          </cell>
          <cell r="P7">
            <v>670.96223455806683</v>
          </cell>
          <cell r="Q7">
            <v>-2269.9450685657334</v>
          </cell>
          <cell r="R7">
            <v>-3294.2363691145802</v>
          </cell>
          <cell r="S7">
            <v>-3634.1234337613641</v>
          </cell>
          <cell r="T7">
            <v>-2094.0413006460967</v>
          </cell>
          <cell r="U7">
            <v>-157.85524242564605</v>
          </cell>
          <cell r="V7">
            <v>1516.9741212316567</v>
          </cell>
        </row>
        <row r="8">
          <cell r="D8" t="str">
            <v>Emissions|CO2|AFOLU</v>
          </cell>
          <cell r="E8" t="str">
            <v>Mt CO2/yr</v>
          </cell>
          <cell r="H8">
            <v>3852.1980084876445</v>
          </cell>
          <cell r="I8">
            <v>3611.4053332115086</v>
          </cell>
          <cell r="J8">
            <v>3241.2378666764621</v>
          </cell>
          <cell r="K8">
            <v>3462.7944730886693</v>
          </cell>
          <cell r="L8">
            <v>1309.6326789457075</v>
          </cell>
          <cell r="M8">
            <v>-1578.4253131791402</v>
          </cell>
          <cell r="N8">
            <v>-4002.4551504515339</v>
          </cell>
          <cell r="O8">
            <v>-4607.5004144724626</v>
          </cell>
          <cell r="P8">
            <v>-6736.6952244107815</v>
          </cell>
          <cell r="Q8">
            <v>-8181.2403954552437</v>
          </cell>
          <cell r="R8">
            <v>-7899.9466940491802</v>
          </cell>
          <cell r="S8">
            <v>-7527.3104962595698</v>
          </cell>
          <cell r="T8">
            <v>-5432.7489527535063</v>
          </cell>
          <cell r="U8">
            <v>-3288.1550295163252</v>
          </cell>
          <cell r="V8">
            <v>-1784.6532068285519</v>
          </cell>
        </row>
        <row r="9">
          <cell r="D9" t="str">
            <v>Emissions|CO2|Energy</v>
          </cell>
          <cell r="E9" t="str">
            <v>Mt CO2/yr</v>
          </cell>
          <cell r="H9">
            <v>28129.907608032227</v>
          </cell>
          <cell r="I9">
            <v>30597.844759623207</v>
          </cell>
          <cell r="J9">
            <v>32715.576807657875</v>
          </cell>
          <cell r="K9">
            <v>29128.967761993408</v>
          </cell>
          <cell r="L9">
            <v>24002.25003560384</v>
          </cell>
          <cell r="M9">
            <v>18847.594579060871</v>
          </cell>
          <cell r="N9">
            <v>13442.777633666992</v>
          </cell>
          <cell r="O9">
            <v>9137.6930077870675</v>
          </cell>
          <cell r="P9">
            <v>7104.5810381571446</v>
          </cell>
          <cell r="Q9">
            <v>5619.6615695953369</v>
          </cell>
          <cell r="R9">
            <v>4352.978626887003</v>
          </cell>
          <cell r="S9">
            <v>3627.9128789901733</v>
          </cell>
          <cell r="T9">
            <v>3051.8114964167276</v>
          </cell>
          <cell r="U9">
            <v>2846.0823893547058</v>
          </cell>
          <cell r="V9">
            <v>3012.8020048141479</v>
          </cell>
        </row>
        <row r="10">
          <cell r="D10" t="str">
            <v>Emissions|CO2|Industrial Processes</v>
          </cell>
          <cell r="E10" t="str">
            <v>Mt CO2/yr</v>
          </cell>
          <cell r="H10">
            <v>1260.32684246699</v>
          </cell>
          <cell r="I10">
            <v>1619.1182434558868</v>
          </cell>
          <cell r="J10">
            <v>1687.5561972459157</v>
          </cell>
          <cell r="K10">
            <v>1597.3499715328217</v>
          </cell>
          <cell r="L10">
            <v>1389.3402914206185</v>
          </cell>
          <cell r="M10">
            <v>1034.6255103747048</v>
          </cell>
          <cell r="N10">
            <v>610.69615681966138</v>
          </cell>
          <cell r="O10">
            <v>379.91800904273987</v>
          </cell>
          <cell r="P10">
            <v>303.07652056217194</v>
          </cell>
          <cell r="Q10">
            <v>291.63538167874015</v>
          </cell>
          <cell r="R10">
            <v>252.73287047942478</v>
          </cell>
          <cell r="S10">
            <v>265.27233421802521</v>
          </cell>
          <cell r="T10">
            <v>286.89598043759662</v>
          </cell>
          <cell r="U10">
            <v>284.21726326147711</v>
          </cell>
          <cell r="V10">
            <v>288.82528841495514</v>
          </cell>
        </row>
        <row r="11">
          <cell r="D11" t="str">
            <v>Emissions|F-Gases</v>
          </cell>
          <cell r="E11" t="str">
            <v>Mt CO2-equiv/yr</v>
          </cell>
          <cell r="H11">
            <v>672.6583251953125</v>
          </cell>
          <cell r="I11">
            <v>877.77581787109375</v>
          </cell>
          <cell r="J11">
            <v>1232.802001953125</v>
          </cell>
          <cell r="K11">
            <v>1378.137939453125</v>
          </cell>
          <cell r="L11">
            <v>1111.54296875</v>
          </cell>
          <cell r="M11">
            <v>763.29931640625</v>
          </cell>
          <cell r="N11">
            <v>323.23089599609375</v>
          </cell>
          <cell r="O11">
            <v>186.33340454101562</v>
          </cell>
          <cell r="P11">
            <v>171.44529724121094</v>
          </cell>
          <cell r="Q11">
            <v>170.23919677734375</v>
          </cell>
          <cell r="R11">
            <v>173.96270751953125</v>
          </cell>
          <cell r="S11">
            <v>187.34120178222656</v>
          </cell>
          <cell r="T11">
            <v>198.74659729003906</v>
          </cell>
          <cell r="U11">
            <v>199.39259338378906</v>
          </cell>
          <cell r="V11">
            <v>235.86860656738281</v>
          </cell>
        </row>
        <row r="12">
          <cell r="D12" t="str">
            <v>Emissions|N2O</v>
          </cell>
          <cell r="E12" t="str">
            <v>kt N2O/yr</v>
          </cell>
          <cell r="H12">
            <v>9160.7464400239369</v>
          </cell>
          <cell r="I12">
            <v>9828.8537222077957</v>
          </cell>
          <cell r="J12">
            <v>9823.8655107136219</v>
          </cell>
          <cell r="K12">
            <v>8972.9845120617501</v>
          </cell>
          <cell r="L12">
            <v>7654.5214125329394</v>
          </cell>
          <cell r="M12">
            <v>7089.6381119057478</v>
          </cell>
          <cell r="N12">
            <v>6398.1028860898841</v>
          </cell>
          <cell r="O12">
            <v>5698.8187065930979</v>
          </cell>
          <cell r="P12">
            <v>5175.9557742580182</v>
          </cell>
          <cell r="Q12">
            <v>4790.5817160483884</v>
          </cell>
          <cell r="R12">
            <v>4378.3974597433917</v>
          </cell>
          <cell r="S12">
            <v>3928.0074626564037</v>
          </cell>
          <cell r="T12">
            <v>3566.658690433525</v>
          </cell>
          <cell r="U12">
            <v>3273.0390267301209</v>
          </cell>
          <cell r="V12">
            <v>3033.081768843555</v>
          </cell>
        </row>
        <row r="13">
          <cell r="D13" t="str">
            <v>Final Energy</v>
          </cell>
          <cell r="E13" t="str">
            <v>EJ/yr</v>
          </cell>
          <cell r="H13">
            <v>341.38299999999998</v>
          </cell>
          <cell r="I13">
            <v>367.96281249999998</v>
          </cell>
          <cell r="J13">
            <v>388.53000000000003</v>
          </cell>
          <cell r="K13">
            <v>365.50040625000003</v>
          </cell>
          <cell r="L13">
            <v>327.75609374999999</v>
          </cell>
          <cell r="M13">
            <v>300.06131249999999</v>
          </cell>
          <cell r="N13">
            <v>281.6663125</v>
          </cell>
          <cell r="O13">
            <v>271.31318750000003</v>
          </cell>
          <cell r="P13">
            <v>274.67281250000002</v>
          </cell>
          <cell r="Q13">
            <v>280.34949999999998</v>
          </cell>
          <cell r="R13">
            <v>300.25481250000001</v>
          </cell>
          <cell r="S13">
            <v>318.61040624999998</v>
          </cell>
          <cell r="T13">
            <v>334.66849999999999</v>
          </cell>
          <cell r="U13">
            <v>342.75731250000001</v>
          </cell>
          <cell r="V13">
            <v>346.15631250000001</v>
          </cell>
        </row>
        <row r="14">
          <cell r="D14" t="str">
            <v>GDP|MER</v>
          </cell>
          <cell r="E14" t="str">
            <v>billion US$2010/yr OR local currency</v>
          </cell>
          <cell r="H14">
            <v>50400.521682880004</v>
          </cell>
          <cell r="I14">
            <v>56683.964146800005</v>
          </cell>
          <cell r="J14">
            <v>65667.837458880007</v>
          </cell>
          <cell r="K14">
            <v>79586.351287040001</v>
          </cell>
          <cell r="L14">
            <v>94911.411333759999</v>
          </cell>
          <cell r="M14">
            <v>110740.98048608001</v>
          </cell>
          <cell r="N14">
            <v>126635.50751200001</v>
          </cell>
          <cell r="O14">
            <v>143222.69992896001</v>
          </cell>
          <cell r="P14">
            <v>160381.80521504002</v>
          </cell>
          <cell r="Q14">
            <v>177695.88775808</v>
          </cell>
          <cell r="R14">
            <v>214796.31583808002</v>
          </cell>
          <cell r="S14">
            <v>256515.70068896003</v>
          </cell>
          <cell r="T14">
            <v>300686.29261184001</v>
          </cell>
          <cell r="U14">
            <v>345905.87000512</v>
          </cell>
          <cell r="V14">
            <v>390705.67597184004</v>
          </cell>
        </row>
        <row r="15">
          <cell r="D15" t="str">
            <v>GDP|PPP</v>
          </cell>
          <cell r="E15" t="str">
            <v>billion US$2010/yr OR local currency</v>
          </cell>
          <cell r="H15">
            <v>63593.003779609375</v>
          </cell>
          <cell r="I15">
            <v>75837.966066718742</v>
          </cell>
          <cell r="J15">
            <v>90343.051141249991</v>
          </cell>
          <cell r="K15">
            <v>111967.47734515625</v>
          </cell>
          <cell r="L15">
            <v>134957.95467031249</v>
          </cell>
          <cell r="M15">
            <v>157925.73197968749</v>
          </cell>
          <cell r="N15">
            <v>180332.64668031249</v>
          </cell>
          <cell r="O15">
            <v>203058.71166</v>
          </cell>
          <cell r="P15">
            <v>225868.73986999999</v>
          </cell>
          <cell r="Q15">
            <v>248126.66354062498</v>
          </cell>
          <cell r="R15">
            <v>293617.91056875</v>
          </cell>
          <cell r="S15">
            <v>341653.15174062498</v>
          </cell>
          <cell r="T15">
            <v>388873.89246062498</v>
          </cell>
          <cell r="U15">
            <v>433175.53057937499</v>
          </cell>
          <cell r="V15">
            <v>472345.87469999999</v>
          </cell>
        </row>
        <row r="16">
          <cell r="D16" t="str">
            <v>Population</v>
          </cell>
          <cell r="E16" t="str">
            <v>million</v>
          </cell>
          <cell r="H16">
            <v>6530.5478515625</v>
          </cell>
          <cell r="I16">
            <v>6921.7978515625</v>
          </cell>
          <cell r="J16">
            <v>7266.51806640625</v>
          </cell>
          <cell r="K16">
            <v>7576.10498046875</v>
          </cell>
          <cell r="L16">
            <v>7843.56591796875</v>
          </cell>
          <cell r="M16">
            <v>8061.93798828125</v>
          </cell>
          <cell r="N16">
            <v>8246.0166015625</v>
          </cell>
          <cell r="O16">
            <v>8388.7626953125</v>
          </cell>
          <cell r="P16">
            <v>8484.5087890625</v>
          </cell>
          <cell r="Q16">
            <v>8530.5</v>
          </cell>
          <cell r="R16">
            <v>8492.17578125</v>
          </cell>
          <cell r="S16">
            <v>8298.9501953125</v>
          </cell>
          <cell r="T16">
            <v>7967.38720703125</v>
          </cell>
          <cell r="U16">
            <v>7510.4541015625</v>
          </cell>
          <cell r="V16">
            <v>6957.98876953125</v>
          </cell>
        </row>
        <row r="17">
          <cell r="D17" t="str">
            <v>Primary Energy</v>
          </cell>
          <cell r="E17" t="str">
            <v>EJ/yr</v>
          </cell>
          <cell r="H17">
            <v>459.77009375</v>
          </cell>
          <cell r="I17">
            <v>506.68</v>
          </cell>
          <cell r="J17">
            <v>544.18700000000001</v>
          </cell>
          <cell r="K17">
            <v>512.7355</v>
          </cell>
          <cell r="L17">
            <v>457.96131250000002</v>
          </cell>
          <cell r="M17">
            <v>403.00549999999998</v>
          </cell>
          <cell r="N17">
            <v>363.11618750000002</v>
          </cell>
          <cell r="O17">
            <v>330.416</v>
          </cell>
          <cell r="P17">
            <v>337.77390624999998</v>
          </cell>
          <cell r="Q17">
            <v>351.27159375000002</v>
          </cell>
          <cell r="R17">
            <v>383.64750000000004</v>
          </cell>
          <cell r="S17">
            <v>437.46431250000001</v>
          </cell>
          <cell r="T17">
            <v>470.06240625000004</v>
          </cell>
          <cell r="U17">
            <v>479.11359375000001</v>
          </cell>
          <cell r="V17">
            <v>493.05181249999998</v>
          </cell>
        </row>
        <row r="18">
          <cell r="D18" t="str">
            <v>Primary Energy|Coal</v>
          </cell>
          <cell r="E18" t="str">
            <v>EJ/yr</v>
          </cell>
          <cell r="H18">
            <v>117.62070312500001</v>
          </cell>
          <cell r="I18">
            <v>146.19859375000001</v>
          </cell>
          <cell r="J18">
            <v>155.38829687500001</v>
          </cell>
          <cell r="K18">
            <v>125.483796875</v>
          </cell>
          <cell r="L18">
            <v>101.4178984375</v>
          </cell>
          <cell r="M18">
            <v>73.49790625</v>
          </cell>
          <cell r="N18">
            <v>39.896878906250002</v>
          </cell>
          <cell r="O18">
            <v>29.39501953125</v>
          </cell>
          <cell r="P18">
            <v>24.495369140625002</v>
          </cell>
          <cell r="Q18">
            <v>21.23305078125</v>
          </cell>
          <cell r="R18">
            <v>24.590289062500002</v>
          </cell>
          <cell r="S18">
            <v>28.702580078124999</v>
          </cell>
          <cell r="T18">
            <v>28.120359375</v>
          </cell>
          <cell r="U18">
            <v>29.275259765625002</v>
          </cell>
          <cell r="V18">
            <v>35.63494140625</v>
          </cell>
        </row>
        <row r="19">
          <cell r="D19" t="str">
            <v>Primary Energy|Gas</v>
          </cell>
          <cell r="E19" t="str">
            <v>EJ/yr</v>
          </cell>
          <cell r="H19">
            <v>103.10389843750001</v>
          </cell>
          <cell r="I19">
            <v>115.0245</v>
          </cell>
          <cell r="J19">
            <v>127.3578984375</v>
          </cell>
          <cell r="K19">
            <v>130.5745</v>
          </cell>
          <cell r="L19">
            <v>121.55820312500001</v>
          </cell>
          <cell r="M19">
            <v>122.8896015625</v>
          </cell>
          <cell r="N19">
            <v>132.23250000000002</v>
          </cell>
          <cell r="O19">
            <v>110.6118984375</v>
          </cell>
          <cell r="P19">
            <v>111.46000000000001</v>
          </cell>
          <cell r="Q19">
            <v>106.8698984375</v>
          </cell>
          <cell r="R19">
            <v>112.979203125</v>
          </cell>
          <cell r="S19">
            <v>133.68299999999999</v>
          </cell>
          <cell r="T19">
            <v>129.22939843750001</v>
          </cell>
          <cell r="U19">
            <v>110.5868984375</v>
          </cell>
          <cell r="V19">
            <v>103.07579687500001</v>
          </cell>
        </row>
        <row r="20">
          <cell r="D20" t="str">
            <v>Primary Energy|Oil</v>
          </cell>
          <cell r="E20" t="str">
            <v>EJ/yr</v>
          </cell>
          <cell r="H20">
            <v>173.72640625</v>
          </cell>
          <cell r="I20">
            <v>171.381</v>
          </cell>
          <cell r="J20">
            <v>175.49170312500002</v>
          </cell>
          <cell r="K20">
            <v>153.987703125</v>
          </cell>
          <cell r="L20">
            <v>125.889</v>
          </cell>
          <cell r="M20">
            <v>100.05220312500001</v>
          </cell>
          <cell r="N20">
            <v>73.945210937500008</v>
          </cell>
          <cell r="O20">
            <v>50.275019531250003</v>
          </cell>
          <cell r="P20">
            <v>35.470769531249999</v>
          </cell>
          <cell r="Q20">
            <v>27.937050781250001</v>
          </cell>
          <cell r="R20">
            <v>21.388119140625001</v>
          </cell>
          <cell r="S20">
            <v>17.311410156250002</v>
          </cell>
          <cell r="T20">
            <v>14.932349609375001</v>
          </cell>
          <cell r="U20">
            <v>15.9530400390625</v>
          </cell>
          <cell r="V20">
            <v>16.128769531250001</v>
          </cell>
        </row>
        <row r="21">
          <cell r="D21" t="str">
            <v>Emissions|CO2|Carbon Capture and Storage</v>
          </cell>
          <cell r="H21">
            <v>0</v>
          </cell>
          <cell r="I21">
            <v>0</v>
          </cell>
          <cell r="J21">
            <v>0</v>
          </cell>
          <cell r="K21">
            <v>49.80255898889844</v>
          </cell>
          <cell r="L21">
            <v>708.92701300969134</v>
          </cell>
          <cell r="M21">
            <v>1965.4339275795755</v>
          </cell>
          <cell r="N21">
            <v>3342.5573456959237</v>
          </cell>
          <cell r="O21">
            <v>3872.8929844200875</v>
          </cell>
          <cell r="P21">
            <v>4358.2259719786871</v>
          </cell>
          <cell r="Q21">
            <v>4421.5508918729975</v>
          </cell>
          <cell r="R21">
            <v>5559.2962496692326</v>
          </cell>
          <cell r="S21">
            <v>7657.0901329488879</v>
          </cell>
          <cell r="T21">
            <v>7937.8159782010589</v>
          </cell>
          <cell r="U21">
            <v>7165.1539469170311</v>
          </cell>
          <cell r="V21">
            <v>6845.0844417421267</v>
          </cell>
        </row>
        <row r="22">
          <cell r="D22" t="str">
            <v>Emissions|CO2|Carbon Capture and Storage|Biomass</v>
          </cell>
          <cell r="H22">
            <v>0</v>
          </cell>
          <cell r="I22">
            <v>0</v>
          </cell>
          <cell r="J22">
            <v>0</v>
          </cell>
          <cell r="K22">
            <v>4.8386068484041956E-15</v>
          </cell>
          <cell r="L22">
            <v>3.8776090284501745E-7</v>
          </cell>
          <cell r="M22">
            <v>2.0047783663339151E-6</v>
          </cell>
          <cell r="N22">
            <v>1.5097654024459569E-5</v>
          </cell>
          <cell r="O22">
            <v>4.5750844565087795E-5</v>
          </cell>
          <cell r="P22">
            <v>1.5289163666423031E-4</v>
          </cell>
          <cell r="Q22">
            <v>9.4639817689382691E-2</v>
          </cell>
          <cell r="R22">
            <v>8.8683626624213474E-2</v>
          </cell>
          <cell r="S22">
            <v>7.1516428154912617E-2</v>
          </cell>
          <cell r="T22">
            <v>5.4543651837472375E-2</v>
          </cell>
          <cell r="U22">
            <v>5.1858247085571442E-2</v>
          </cell>
          <cell r="V22">
            <v>0.33366896726268652</v>
          </cell>
        </row>
        <row r="23">
          <cell r="D23" t="str">
            <v>Emissions|CO2|Fossil Fuels and Industry</v>
          </cell>
          <cell r="H23">
            <v>29390.234450499218</v>
          </cell>
          <cell r="I23">
            <v>32216.963003079094</v>
          </cell>
          <cell r="J23">
            <v>34403.133004903793</v>
          </cell>
          <cell r="K23">
            <v>30726.31773352623</v>
          </cell>
          <cell r="L23">
            <v>25391.59032702446</v>
          </cell>
          <cell r="M23">
            <v>19882.220089435577</v>
          </cell>
          <cell r="N23">
            <v>14053.473790486654</v>
          </cell>
          <cell r="O23">
            <v>9517.6110168298073</v>
          </cell>
          <cell r="P23">
            <v>7407.6575587193165</v>
          </cell>
          <cell r="Q23">
            <v>5911.2969512740774</v>
          </cell>
          <cell r="R23">
            <v>4605.7114973664275</v>
          </cell>
          <cell r="S23">
            <v>3893.1852132081985</v>
          </cell>
          <cell r="T23">
            <v>3338.7074768543243</v>
          </cell>
          <cell r="U23">
            <v>3130.2996526161828</v>
          </cell>
          <cell r="V23">
            <v>3301.6272932291031</v>
          </cell>
        </row>
        <row r="27">
          <cell r="V27">
            <v>0</v>
          </cell>
          <cell r="W27" t="str">
            <v>foss+ind</v>
          </cell>
        </row>
        <row r="28">
          <cell r="V28">
            <v>0</v>
          </cell>
          <cell r="W28" t="str">
            <v>foss+ind</v>
          </cell>
        </row>
      </sheetData>
      <sheetData sheetId="4">
        <row r="13">
          <cell r="A13" t="str">
            <v>Model</v>
          </cell>
          <cell r="B13" t="str">
            <v>Scenario</v>
          </cell>
          <cell r="C13" t="str">
            <v>Region</v>
          </cell>
          <cell r="D13" t="str">
            <v>Variable</v>
          </cell>
          <cell r="E13" t="str">
            <v>Unit</v>
          </cell>
          <cell r="F13">
            <v>2000</v>
          </cell>
          <cell r="G13">
            <v>2005</v>
          </cell>
          <cell r="H13">
            <v>2010</v>
          </cell>
          <cell r="I13">
            <v>2020</v>
          </cell>
          <cell r="J13">
            <v>2030</v>
          </cell>
          <cell r="K13">
            <v>2040</v>
          </cell>
          <cell r="L13">
            <v>2050</v>
          </cell>
          <cell r="M13">
            <v>2060</v>
          </cell>
          <cell r="N13">
            <v>2070</v>
          </cell>
          <cell r="O13">
            <v>2080</v>
          </cell>
          <cell r="P13">
            <v>2090</v>
          </cell>
          <cell r="Q13">
            <v>2100</v>
          </cell>
          <cell r="R13"/>
          <cell r="S13"/>
          <cell r="T13"/>
          <cell r="U13"/>
          <cell r="V13"/>
          <cell r="W13"/>
          <cell r="X13"/>
          <cell r="Y13"/>
          <cell r="Z13"/>
          <cell r="AA13"/>
          <cell r="AB13"/>
          <cell r="AC13"/>
          <cell r="AD13"/>
          <cell r="AE13"/>
          <cell r="AF13"/>
        </row>
      </sheetData>
      <sheetData sheetId="5">
        <row r="13">
          <cell r="A13" t="str">
            <v>Model</v>
          </cell>
          <cell r="B13" t="str">
            <v>Scenario</v>
          </cell>
          <cell r="C13" t="str">
            <v>Region</v>
          </cell>
          <cell r="D13" t="str">
            <v>Variable</v>
          </cell>
          <cell r="E13" t="str">
            <v>Unit</v>
          </cell>
          <cell r="F13">
            <v>2000</v>
          </cell>
          <cell r="G13">
            <v>2005</v>
          </cell>
          <cell r="H13">
            <v>2010</v>
          </cell>
          <cell r="I13">
            <v>2020</v>
          </cell>
          <cell r="J13">
            <v>2030</v>
          </cell>
          <cell r="K13">
            <v>2040</v>
          </cell>
          <cell r="L13">
            <v>2050</v>
          </cell>
          <cell r="M13">
            <v>2060</v>
          </cell>
          <cell r="N13">
            <v>2070</v>
          </cell>
          <cell r="O13">
            <v>2080</v>
          </cell>
          <cell r="P13">
            <v>2090</v>
          </cell>
          <cell r="Q13">
            <v>2100</v>
          </cell>
          <cell r="R13"/>
          <cell r="S13"/>
          <cell r="T13"/>
          <cell r="U13"/>
          <cell r="V13"/>
          <cell r="W13"/>
        </row>
      </sheetData>
      <sheetData sheetId="6"/>
      <sheetData sheetId="7"/>
      <sheetData sheetId="8" refreshError="1"/>
      <sheetData sheetId="9" refreshError="1"/>
      <sheetData sheetId="10" refreshError="1"/>
      <sheetData sheetId="11"/>
      <sheetData sheetId="12" refreshError="1"/>
      <sheetData sheetId="13" refreshError="1"/>
      <sheetData sheetId="14" refreshError="1"/>
      <sheetData sheetId="15" refreshError="1"/>
      <sheetData sheetId="16" refreshError="1"/>
      <sheetData sheetId="17" refreshError="1"/>
      <sheetData sheetId="18" refreshError="1"/>
      <sheetData sheetId="19"/>
      <sheetData sheetId="20"/>
      <sheetData sheetId="21"/>
      <sheetData sheetId="22"/>
      <sheetData sheetId="23"/>
      <sheetData sheetId="24"/>
      <sheetData sheetId="25"/>
      <sheetData sheetId="26">
        <row r="1">
          <cell r="A1" t="str">
            <v>Intervention Case</v>
          </cell>
          <cell r="C1">
            <v>2000</v>
          </cell>
          <cell r="D1">
            <v>2005</v>
          </cell>
          <cell r="E1">
            <v>2010</v>
          </cell>
          <cell r="F1">
            <v>2020</v>
          </cell>
          <cell r="G1">
            <v>2030</v>
          </cell>
          <cell r="H1">
            <v>2040</v>
          </cell>
          <cell r="I1">
            <v>2050</v>
          </cell>
          <cell r="J1">
            <v>2060</v>
          </cell>
          <cell r="K1">
            <v>2070</v>
          </cell>
          <cell r="L1">
            <v>2080</v>
          </cell>
          <cell r="M1">
            <v>2090</v>
          </cell>
          <cell r="N1">
            <v>2100</v>
          </cell>
          <cell r="O1"/>
          <cell r="P1"/>
          <cell r="Q1"/>
          <cell r="R1"/>
          <cell r="S1"/>
          <cell r="T1"/>
          <cell r="U1"/>
          <cell r="V1"/>
          <cell r="W1"/>
        </row>
        <row r="8">
          <cell r="E8">
            <v>0</v>
          </cell>
        </row>
        <row r="11">
          <cell r="A11" t="str">
            <v>CCS Biomass Energy</v>
          </cell>
          <cell r="C11">
            <v>0</v>
          </cell>
          <cell r="D11">
            <v>0</v>
          </cell>
          <cell r="E11">
            <v>0</v>
          </cell>
          <cell r="F11">
            <v>4.8386068484041956E-15</v>
          </cell>
          <cell r="G11">
            <v>2.0047783663339151E-6</v>
          </cell>
          <cell r="H11">
            <v>4.5750844565087795E-5</v>
          </cell>
          <cell r="I11">
            <v>9.4639817689382691E-2</v>
          </cell>
          <cell r="J11">
            <v>8.8683626624213474E-2</v>
          </cell>
          <cell r="K11">
            <v>7.1516428154912617E-2</v>
          </cell>
          <cell r="L11">
            <v>5.4543651837472375E-2</v>
          </cell>
          <cell r="M11">
            <v>5.1858247085571442E-2</v>
          </cell>
          <cell r="N11">
            <v>0.33366896726268652</v>
          </cell>
          <cell r="O11"/>
        </row>
        <row r="12">
          <cell r="E12">
            <v>0</v>
          </cell>
        </row>
        <row r="13">
          <cell r="E13">
            <v>0</v>
          </cell>
        </row>
        <row r="14">
          <cell r="E14">
            <v>1</v>
          </cell>
        </row>
        <row r="15">
          <cell r="E15">
            <v>1</v>
          </cell>
        </row>
        <row r="23">
          <cell r="E23">
            <v>32.216963003079094</v>
          </cell>
        </row>
      </sheetData>
      <sheetData sheetId="27"/>
      <sheetData sheetId="28"/>
      <sheetData sheetId="29">
        <row r="2">
          <cell r="A2" t="str">
            <v>P</v>
          </cell>
          <cell r="C2">
            <v>0</v>
          </cell>
          <cell r="D2">
            <v>6.5305478515625</v>
          </cell>
          <cell r="E2">
            <v>6.9217978515625003</v>
          </cell>
          <cell r="F2">
            <v>7.6715019531250004</v>
          </cell>
          <cell r="G2">
            <v>8.3276826171875005</v>
          </cell>
          <cell r="H2">
            <v>8.8571757812499996</v>
          </cell>
          <cell r="I2">
            <v>9.2425429687499996</v>
          </cell>
          <cell r="J2">
            <v>9.4599677734374996</v>
          </cell>
          <cell r="K2">
            <v>9.5310947265625003</v>
          </cell>
          <cell r="L2">
            <v>9.4802275390625006</v>
          </cell>
          <cell r="M2">
            <v>9.3257070312499994</v>
          </cell>
          <cell r="N2">
            <v>9.1032343749999995</v>
          </cell>
        </row>
        <row r="3">
          <cell r="E3">
            <v>74.623452265625005</v>
          </cell>
        </row>
        <row r="4">
          <cell r="E4">
            <v>368.1208125</v>
          </cell>
        </row>
        <row r="5">
          <cell r="E5">
            <v>506.23181249999999</v>
          </cell>
        </row>
        <row r="6">
          <cell r="E6">
            <v>430.60250781250005</v>
          </cell>
        </row>
        <row r="7">
          <cell r="E7">
            <v>32.110274364550911</v>
          </cell>
        </row>
        <row r="8">
          <cell r="E8">
            <v>32.110274364550911</v>
          </cell>
        </row>
        <row r="16">
          <cell r="E16">
            <v>1</v>
          </cell>
        </row>
        <row r="17">
          <cell r="E17">
            <v>1</v>
          </cell>
        </row>
        <row r="18">
          <cell r="E18">
            <v>1</v>
          </cell>
        </row>
        <row r="19">
          <cell r="E19">
            <v>1</v>
          </cell>
        </row>
        <row r="20">
          <cell r="E20">
            <v>1</v>
          </cell>
        </row>
        <row r="21">
          <cell r="E21">
            <v>1</v>
          </cell>
        </row>
      </sheetData>
      <sheetData sheetId="30">
        <row r="1">
          <cell r="A1" t="str">
            <v>Intervention Case</v>
          </cell>
          <cell r="C1">
            <v>2000</v>
          </cell>
          <cell r="D1">
            <v>2005</v>
          </cell>
          <cell r="E1">
            <v>2010</v>
          </cell>
          <cell r="F1">
            <v>2020</v>
          </cell>
          <cell r="G1">
            <v>2030</v>
          </cell>
          <cell r="H1">
            <v>2040</v>
          </cell>
          <cell r="I1">
            <v>2050</v>
          </cell>
          <cell r="J1">
            <v>2060</v>
          </cell>
          <cell r="K1">
            <v>2070</v>
          </cell>
          <cell r="L1">
            <v>2080</v>
          </cell>
          <cell r="M1">
            <v>2090</v>
          </cell>
          <cell r="N1">
            <v>2100</v>
          </cell>
        </row>
        <row r="2">
          <cell r="A2" t="str">
            <v>P</v>
          </cell>
          <cell r="C2">
            <v>0</v>
          </cell>
          <cell r="D2">
            <v>6.5305478515625</v>
          </cell>
          <cell r="E2">
            <v>6.9217978515625003</v>
          </cell>
          <cell r="F2">
            <v>7.5761049804687497</v>
          </cell>
          <cell r="G2">
            <v>8.0619379882812492</v>
          </cell>
          <cell r="H2">
            <v>8.3887626953125007</v>
          </cell>
          <cell r="I2">
            <v>8.5305</v>
          </cell>
          <cell r="J2">
            <v>8.4921757812499994</v>
          </cell>
          <cell r="K2">
            <v>8.2989501953125</v>
          </cell>
          <cell r="L2">
            <v>7.9673872070312504</v>
          </cell>
          <cell r="M2">
            <v>7.5104541015624999</v>
          </cell>
          <cell r="N2">
            <v>6.9579887695312497</v>
          </cell>
        </row>
        <row r="3">
          <cell r="E3">
            <v>75.837966066718735</v>
          </cell>
        </row>
        <row r="4">
          <cell r="E4">
            <v>367.96281249999998</v>
          </cell>
        </row>
        <row r="5">
          <cell r="E5">
            <v>506.68</v>
          </cell>
        </row>
        <row r="6">
          <cell r="E6">
            <v>432.60409375000006</v>
          </cell>
        </row>
        <row r="7">
          <cell r="E7">
            <v>32.216963003079094</v>
          </cell>
        </row>
        <row r="8">
          <cell r="E8">
            <v>32.216963003079094</v>
          </cell>
        </row>
        <row r="16">
          <cell r="E16">
            <v>1</v>
          </cell>
        </row>
        <row r="17">
          <cell r="E17">
            <v>1</v>
          </cell>
        </row>
        <row r="18">
          <cell r="E18">
            <v>1</v>
          </cell>
        </row>
        <row r="19">
          <cell r="E19">
            <v>1</v>
          </cell>
        </row>
        <row r="20">
          <cell r="E20">
            <v>1</v>
          </cell>
        </row>
        <row r="21">
          <cell r="E21">
            <v>1</v>
          </cell>
        </row>
      </sheetData>
      <sheetData sheetId="31">
        <row r="1">
          <cell r="A1" t="str">
            <v>Reference Case</v>
          </cell>
          <cell r="C1">
            <v>2000</v>
          </cell>
          <cell r="D1">
            <v>2005</v>
          </cell>
          <cell r="E1">
            <v>2010</v>
          </cell>
          <cell r="F1">
            <v>2020</v>
          </cell>
          <cell r="G1">
            <v>2030</v>
          </cell>
          <cell r="H1">
            <v>2040</v>
          </cell>
          <cell r="I1">
            <v>2050</v>
          </cell>
          <cell r="J1">
            <v>2060</v>
          </cell>
          <cell r="K1">
            <v>2070</v>
          </cell>
          <cell r="L1">
            <v>2080</v>
          </cell>
          <cell r="M1">
            <v>2090</v>
          </cell>
          <cell r="N1">
            <v>2100</v>
          </cell>
        </row>
        <row r="2">
          <cell r="A2" t="str">
            <v>P</v>
          </cell>
          <cell r="B2" t="str">
            <v>billions</v>
          </cell>
          <cell r="D2">
            <v>6.5305478515625</v>
          </cell>
          <cell r="E2">
            <v>6.9217978515625003</v>
          </cell>
          <cell r="F2">
            <v>7.6715019531250004</v>
          </cell>
          <cell r="G2">
            <v>8.3276826171875005</v>
          </cell>
          <cell r="H2">
            <v>8.8571757812499996</v>
          </cell>
          <cell r="I2">
            <v>9.2425429687499996</v>
          </cell>
          <cell r="J2">
            <v>9.4599677734374996</v>
          </cell>
          <cell r="K2">
            <v>9.5310947265625003</v>
          </cell>
          <cell r="L2">
            <v>9.4802275390625006</v>
          </cell>
          <cell r="M2">
            <v>9.3257070312499994</v>
          </cell>
          <cell r="N2">
            <v>9.1032343749999995</v>
          </cell>
        </row>
        <row r="3">
          <cell r="E3">
            <v>10780.9349342353</v>
          </cell>
        </row>
        <row r="4">
          <cell r="E4">
            <v>4.9330445231836775</v>
          </cell>
        </row>
        <row r="5">
          <cell r="E5">
            <v>1.375178461283006</v>
          </cell>
        </row>
        <row r="6">
          <cell r="E6">
            <v>0.850603413653503</v>
          </cell>
        </row>
        <row r="7">
          <cell r="E7">
            <v>74.5705697992193</v>
          </cell>
        </row>
        <row r="8">
          <cell r="E8">
            <v>1</v>
          </cell>
        </row>
        <row r="11">
          <cell r="E11">
            <v>6.7838165768322893</v>
          </cell>
        </row>
        <row r="12">
          <cell r="E12">
            <v>63.429981229302747</v>
          </cell>
        </row>
        <row r="15">
          <cell r="E15">
            <v>1</v>
          </cell>
        </row>
        <row r="16">
          <cell r="E16">
            <v>1</v>
          </cell>
        </row>
        <row r="17">
          <cell r="E17">
            <v>1</v>
          </cell>
        </row>
        <row r="18">
          <cell r="E18">
            <v>1</v>
          </cell>
        </row>
        <row r="19">
          <cell r="E19">
            <v>1</v>
          </cell>
        </row>
        <row r="20">
          <cell r="E20">
            <v>1</v>
          </cell>
        </row>
        <row r="21">
          <cell r="E21">
            <v>1</v>
          </cell>
        </row>
        <row r="24">
          <cell r="E24">
            <v>1</v>
          </cell>
        </row>
        <row r="25">
          <cell r="E25">
            <v>1</v>
          </cell>
        </row>
      </sheetData>
      <sheetData sheetId="32">
        <row r="1">
          <cell r="A1" t="str">
            <v>Interence Case</v>
          </cell>
          <cell r="C1">
            <v>2000</v>
          </cell>
          <cell r="D1">
            <v>2005</v>
          </cell>
          <cell r="E1">
            <v>2010</v>
          </cell>
          <cell r="F1">
            <v>2020</v>
          </cell>
          <cell r="G1">
            <v>2030</v>
          </cell>
          <cell r="H1">
            <v>2040</v>
          </cell>
          <cell r="I1">
            <v>2050</v>
          </cell>
          <cell r="J1">
            <v>2060</v>
          </cell>
          <cell r="K1">
            <v>2070</v>
          </cell>
          <cell r="L1">
            <v>2080</v>
          </cell>
          <cell r="M1">
            <v>2090</v>
          </cell>
          <cell r="N1">
            <v>2100</v>
          </cell>
        </row>
        <row r="2">
          <cell r="A2" t="str">
            <v>P</v>
          </cell>
          <cell r="B2" t="str">
            <v>billions</v>
          </cell>
          <cell r="D2">
            <v>6.5305478515625</v>
          </cell>
          <cell r="E2">
            <v>6.9217978515625003</v>
          </cell>
          <cell r="F2">
            <v>7.5761049804687497</v>
          </cell>
          <cell r="G2">
            <v>8.0619379882812492</v>
          </cell>
          <cell r="H2">
            <v>8.3887626953125007</v>
          </cell>
          <cell r="I2">
            <v>8.5305</v>
          </cell>
          <cell r="J2">
            <v>8.4921757812499994</v>
          </cell>
          <cell r="K2">
            <v>8.2989501953125</v>
          </cell>
          <cell r="L2">
            <v>7.9673872070312504</v>
          </cell>
          <cell r="M2">
            <v>7.5104541015624999</v>
          </cell>
          <cell r="N2">
            <v>6.9579887695312497</v>
          </cell>
        </row>
        <row r="3">
          <cell r="E3">
            <v>10956.397122981476</v>
          </cell>
        </row>
        <row r="4">
          <cell r="E4">
            <v>4.8519604570655712</v>
          </cell>
        </row>
        <row r="5">
          <cell r="E5">
            <v>1.3769869747367474</v>
          </cell>
        </row>
        <row r="6">
          <cell r="E6">
            <v>0.8538014007855057</v>
          </cell>
        </row>
        <row r="7">
          <cell r="E7">
            <v>74.472163968233573</v>
          </cell>
        </row>
        <row r="8">
          <cell r="E8">
            <v>1</v>
          </cell>
        </row>
        <row r="11">
          <cell r="E11">
            <v>6.6810863513170471</v>
          </cell>
        </row>
        <row r="12">
          <cell r="E12">
            <v>63.584437915605697</v>
          </cell>
        </row>
        <row r="15">
          <cell r="E15">
            <v>1</v>
          </cell>
        </row>
        <row r="16">
          <cell r="E16">
            <v>1</v>
          </cell>
        </row>
        <row r="17">
          <cell r="E17">
            <v>1</v>
          </cell>
        </row>
        <row r="18">
          <cell r="E18">
            <v>1</v>
          </cell>
        </row>
        <row r="19">
          <cell r="E19">
            <v>1</v>
          </cell>
        </row>
        <row r="20">
          <cell r="E20">
            <v>1</v>
          </cell>
        </row>
        <row r="21">
          <cell r="E21">
            <v>1</v>
          </cell>
        </row>
        <row r="24">
          <cell r="E24">
            <v>1</v>
          </cell>
        </row>
        <row r="25">
          <cell r="E25">
            <v>1</v>
          </cell>
        </row>
      </sheetData>
      <sheetData sheetId="33"/>
      <sheetData sheetId="34">
        <row r="2">
          <cell r="A2" t="str">
            <v>Kaya Factors</v>
          </cell>
          <cell r="D2">
            <v>2005</v>
          </cell>
          <cell r="E2">
            <v>2010</v>
          </cell>
          <cell r="F2">
            <v>2020</v>
          </cell>
          <cell r="G2">
            <v>2030</v>
          </cell>
          <cell r="H2">
            <v>2040</v>
          </cell>
          <cell r="I2">
            <v>2050</v>
          </cell>
          <cell r="J2">
            <v>2060</v>
          </cell>
          <cell r="K2">
            <v>2070</v>
          </cell>
          <cell r="L2">
            <v>2080</v>
          </cell>
          <cell r="M2">
            <v>2090</v>
          </cell>
          <cell r="N2">
            <v>2100</v>
          </cell>
        </row>
        <row r="3">
          <cell r="E3">
            <v>1.33397307876435E-2</v>
          </cell>
        </row>
        <row r="4">
          <cell r="E4">
            <v>1.2523115485857383E-2</v>
          </cell>
        </row>
        <row r="5">
          <cell r="E5">
            <v>3.0635576805107867E-2</v>
          </cell>
        </row>
        <row r="6">
          <cell r="E6">
            <v>3.7463680533559307E-2</v>
          </cell>
        </row>
        <row r="7">
          <cell r="E7">
            <v>2.2275292137704517E-2</v>
          </cell>
        </row>
        <row r="8">
          <cell r="E8">
            <v>1.9094858133720694E-2</v>
          </cell>
        </row>
        <row r="9">
          <cell r="E9">
            <v>2.4420680554374075E-2</v>
          </cell>
        </row>
        <row r="10">
          <cell r="E10">
            <v>2.1935227844802618E-2</v>
          </cell>
        </row>
        <row r="11">
          <cell r="E11">
            <v>2.3994128114132485E-2</v>
          </cell>
        </row>
        <row r="12">
          <cell r="E12">
            <v>2.1944931549882751E-2</v>
          </cell>
        </row>
        <row r="13">
          <cell r="E13">
            <v>2.5412266804053729E-2</v>
          </cell>
        </row>
        <row r="14">
          <cell r="E14">
            <v>2.1907298758519156E-2</v>
          </cell>
        </row>
        <row r="18">
          <cell r="E18">
            <v>1.7068161340146881E-2</v>
          </cell>
        </row>
        <row r="19">
          <cell r="E19">
            <v>2.5565099356545273E-2</v>
          </cell>
        </row>
        <row r="20">
          <cell r="E20">
            <v>-8.1117757387337841E-3</v>
          </cell>
        </row>
        <row r="21">
          <cell r="E21">
            <v>-1.8257046810357003E-2</v>
          </cell>
        </row>
        <row r="22">
          <cell r="E22">
            <v>2.0153774592224227E-3</v>
          </cell>
        </row>
        <row r="23">
          <cell r="E23">
            <v>2.4377147280183475E-3</v>
          </cell>
        </row>
        <row r="24">
          <cell r="E24">
            <v>-4.1638405816923907E-4</v>
          </cell>
        </row>
        <row r="25">
          <cell r="E25">
            <v>9.4954208600395162E-6</v>
          </cell>
        </row>
        <row r="26">
          <cell r="E26">
            <v>1.5451450911869724E-3</v>
          </cell>
        </row>
        <row r="27">
          <cell r="E27">
            <v>7.7771181949937152E-4</v>
          </cell>
        </row>
        <row r="28">
          <cell r="E28">
            <v>-6.116178491340829E-3</v>
          </cell>
        </row>
        <row r="29">
          <cell r="E29">
            <v>-1.5863837554238369E-2</v>
          </cell>
        </row>
        <row r="30">
          <cell r="E30">
            <v>1.1281176592341513E-3</v>
          </cell>
        </row>
        <row r="31">
          <cell r="E31">
            <v>7.872146250604839E-4</v>
          </cell>
        </row>
        <row r="35">
          <cell r="E35">
            <v>6.9217978515625003</v>
          </cell>
        </row>
        <row r="36">
          <cell r="E36">
            <v>6.9217978515625003</v>
          </cell>
        </row>
        <row r="37">
          <cell r="E37">
            <v>74.623452265625005</v>
          </cell>
        </row>
        <row r="38">
          <cell r="E38">
            <v>74.623452265625005</v>
          </cell>
        </row>
        <row r="39">
          <cell r="E39">
            <v>368.1208125</v>
          </cell>
        </row>
        <row r="40">
          <cell r="E40">
            <v>368.1208125</v>
          </cell>
        </row>
        <row r="41">
          <cell r="E41">
            <v>506.23181249999999</v>
          </cell>
        </row>
        <row r="42">
          <cell r="E42">
            <v>506.23181249999999</v>
          </cell>
        </row>
        <row r="43">
          <cell r="E43">
            <v>430.60250781250005</v>
          </cell>
        </row>
        <row r="44">
          <cell r="E44">
            <v>430.60250781250005</v>
          </cell>
        </row>
        <row r="45">
          <cell r="E45">
            <v>32.110274364550911</v>
          </cell>
        </row>
        <row r="46">
          <cell r="E46">
            <v>32.110274364550911</v>
          </cell>
        </row>
        <row r="50">
          <cell r="E50">
            <v>10780.9349342353</v>
          </cell>
        </row>
        <row r="51">
          <cell r="E51">
            <v>10780.9349342353</v>
          </cell>
        </row>
        <row r="52">
          <cell r="E52">
            <v>4.9330445231836775</v>
          </cell>
        </row>
        <row r="53">
          <cell r="E53">
            <v>4.9330445231836775</v>
          </cell>
        </row>
        <row r="54">
          <cell r="E54">
            <v>1.375178461283006</v>
          </cell>
        </row>
        <row r="55">
          <cell r="E55">
            <v>1.375178461283006</v>
          </cell>
        </row>
        <row r="56">
          <cell r="E56">
            <v>0.850603413653503</v>
          </cell>
        </row>
        <row r="57">
          <cell r="E57">
            <v>0.850603413653503</v>
          </cell>
        </row>
        <row r="58">
          <cell r="E58">
            <v>74.5705697992193</v>
          </cell>
        </row>
        <row r="59">
          <cell r="E59">
            <v>74.5705697992193</v>
          </cell>
        </row>
        <row r="60">
          <cell r="E60">
            <v>6.7838165768322893</v>
          </cell>
        </row>
        <row r="61">
          <cell r="E61">
            <v>6.7838165768322893</v>
          </cell>
        </row>
        <row r="62">
          <cell r="E62">
            <v>63.429981229302747</v>
          </cell>
        </row>
        <row r="63">
          <cell r="E63">
            <v>63.429981229302747</v>
          </cell>
        </row>
        <row r="66">
          <cell r="E66">
            <v>1</v>
          </cell>
        </row>
        <row r="67">
          <cell r="E67">
            <v>1</v>
          </cell>
        </row>
        <row r="68">
          <cell r="E68">
            <v>1</v>
          </cell>
        </row>
        <row r="69">
          <cell r="E69">
            <v>1</v>
          </cell>
        </row>
        <row r="70">
          <cell r="E70">
            <v>1</v>
          </cell>
        </row>
        <row r="71">
          <cell r="E71">
            <v>1</v>
          </cell>
        </row>
        <row r="72">
          <cell r="E72">
            <v>1</v>
          </cell>
        </row>
        <row r="73">
          <cell r="E73">
            <v>1</v>
          </cell>
        </row>
        <row r="74">
          <cell r="E74">
            <v>1</v>
          </cell>
        </row>
        <row r="75">
          <cell r="E75">
            <v>1</v>
          </cell>
        </row>
        <row r="76">
          <cell r="E76">
            <v>1</v>
          </cell>
        </row>
        <row r="77">
          <cell r="E77">
            <v>1</v>
          </cell>
        </row>
        <row r="81">
          <cell r="E81">
            <v>1</v>
          </cell>
        </row>
        <row r="82">
          <cell r="E82">
            <v>1</v>
          </cell>
        </row>
        <row r="83">
          <cell r="E83">
            <v>1</v>
          </cell>
        </row>
        <row r="84">
          <cell r="E84">
            <v>1</v>
          </cell>
        </row>
        <row r="85">
          <cell r="E85">
            <v>1</v>
          </cell>
        </row>
        <row r="86">
          <cell r="E86">
            <v>1</v>
          </cell>
        </row>
        <row r="87">
          <cell r="E87">
            <v>1</v>
          </cell>
        </row>
        <row r="88">
          <cell r="E88">
            <v>1</v>
          </cell>
        </row>
        <row r="89">
          <cell r="E89">
            <v>1</v>
          </cell>
        </row>
        <row r="90">
          <cell r="E90">
            <v>1</v>
          </cell>
        </row>
        <row r="91">
          <cell r="E91">
            <v>1</v>
          </cell>
        </row>
        <row r="92">
          <cell r="E92">
            <v>1</v>
          </cell>
        </row>
        <row r="93">
          <cell r="E93">
            <v>1</v>
          </cell>
        </row>
        <row r="94">
          <cell r="E94">
            <v>1</v>
          </cell>
        </row>
      </sheetData>
      <sheetData sheetId="35">
        <row r="1">
          <cell r="A1" t="str">
            <v>Factors</v>
          </cell>
          <cell r="C1">
            <v>2000</v>
          </cell>
          <cell r="D1">
            <v>2005</v>
          </cell>
          <cell r="E1">
            <v>2010</v>
          </cell>
          <cell r="F1">
            <v>2020</v>
          </cell>
          <cell r="G1">
            <v>2030</v>
          </cell>
          <cell r="H1">
            <v>2040</v>
          </cell>
          <cell r="I1">
            <v>2050</v>
          </cell>
          <cell r="J1">
            <v>2060</v>
          </cell>
          <cell r="K1">
            <v>2070</v>
          </cell>
          <cell r="L1">
            <v>2080</v>
          </cell>
          <cell r="M1">
            <v>2090</v>
          </cell>
          <cell r="N1">
            <v>2100</v>
          </cell>
        </row>
        <row r="2">
          <cell r="E2">
            <v>0</v>
          </cell>
        </row>
        <row r="3">
          <cell r="E3">
            <v>1.2145138010937302</v>
          </cell>
        </row>
        <row r="4">
          <cell r="E4">
            <v>-0.15800000000001546</v>
          </cell>
        </row>
        <row r="5">
          <cell r="E5">
            <v>0.44818750000001728</v>
          </cell>
        </row>
        <row r="6">
          <cell r="E6">
            <v>2.0015859375000105</v>
          </cell>
        </row>
        <row r="7">
          <cell r="E7">
            <v>0.10668863852818333</v>
          </cell>
        </row>
        <row r="8">
          <cell r="E8">
            <v>0.10668863852818333</v>
          </cell>
        </row>
        <row r="11">
          <cell r="E11">
            <v>0</v>
          </cell>
        </row>
        <row r="12">
          <cell r="E12">
            <v>0</v>
          </cell>
        </row>
        <row r="13">
          <cell r="E13">
            <v>0</v>
          </cell>
        </row>
        <row r="14">
          <cell r="E14">
            <v>0</v>
          </cell>
        </row>
        <row r="15">
          <cell r="E15">
            <v>0</v>
          </cell>
        </row>
        <row r="16">
          <cell r="E16">
            <v>0</v>
          </cell>
        </row>
        <row r="17">
          <cell r="E17">
            <v>0</v>
          </cell>
        </row>
      </sheetData>
      <sheetData sheetId="36">
        <row r="1">
          <cell r="A1" t="str">
            <v>Ratios</v>
          </cell>
          <cell r="C1">
            <v>2000</v>
          </cell>
          <cell r="D1">
            <v>2005</v>
          </cell>
          <cell r="E1">
            <v>2010</v>
          </cell>
          <cell r="F1">
            <v>2020</v>
          </cell>
          <cell r="G1">
            <v>2030</v>
          </cell>
          <cell r="H1">
            <v>2040</v>
          </cell>
          <cell r="I1">
            <v>2050</v>
          </cell>
          <cell r="J1">
            <v>2060</v>
          </cell>
          <cell r="K1">
            <v>2070</v>
          </cell>
          <cell r="L1">
            <v>2080</v>
          </cell>
          <cell r="M1">
            <v>2090</v>
          </cell>
          <cell r="N1">
            <v>2100</v>
          </cell>
        </row>
        <row r="3">
          <cell r="E3">
            <v>175.46218874617625</v>
          </cell>
        </row>
        <row r="4">
          <cell r="E4">
            <v>-8.1084066118106257E-2</v>
          </cell>
        </row>
        <row r="5">
          <cell r="E5">
            <v>1.8085134537413339E-3</v>
          </cell>
        </row>
        <row r="6">
          <cell r="E6">
            <v>3.1979871320026998E-3</v>
          </cell>
        </row>
        <row r="7">
          <cell r="E7">
            <v>-9.8405830985726084E-2</v>
          </cell>
        </row>
        <row r="8">
          <cell r="E8">
            <v>0</v>
          </cell>
        </row>
        <row r="11">
          <cell r="E11">
            <v>-0.10273022551524225</v>
          </cell>
        </row>
        <row r="12">
          <cell r="E12">
            <v>0.15445668630295017</v>
          </cell>
        </row>
        <row r="16">
          <cell r="E16">
            <v>0</v>
          </cell>
        </row>
        <row r="17">
          <cell r="E17">
            <v>0</v>
          </cell>
        </row>
        <row r="18">
          <cell r="E18">
            <v>0</v>
          </cell>
        </row>
        <row r="19">
          <cell r="E19">
            <v>0</v>
          </cell>
        </row>
        <row r="20">
          <cell r="E20">
            <v>0</v>
          </cell>
        </row>
        <row r="21">
          <cell r="E21">
            <v>0</v>
          </cell>
        </row>
        <row r="24">
          <cell r="E24">
            <v>0</v>
          </cell>
        </row>
        <row r="25">
          <cell r="E25">
            <v>0</v>
          </cell>
        </row>
      </sheetData>
      <sheetData sheetId="37"/>
      <sheetData sheetId="38">
        <row r="12">
          <cell r="C12">
            <v>0</v>
          </cell>
        </row>
        <row r="22">
          <cell r="C22">
            <v>0</v>
          </cell>
        </row>
        <row r="32">
          <cell r="C32">
            <v>-9.8815451996369097E-2</v>
          </cell>
        </row>
        <row r="42">
          <cell r="C42">
            <v>0</v>
          </cell>
        </row>
        <row r="52">
          <cell r="C52">
            <v>-7.873186531817164E-3</v>
          </cell>
        </row>
        <row r="62">
          <cell r="C62">
            <v>0</v>
          </cell>
        </row>
      </sheetData>
      <sheetData sheetId="39"/>
      <sheetData sheetId="40"/>
      <sheetData sheetId="41">
        <row r="2">
          <cell r="A2" t="str">
            <v>Intervention Case</v>
          </cell>
          <cell r="B2">
            <v>2010</v>
          </cell>
          <cell r="C2">
            <v>2020</v>
          </cell>
          <cell r="D2">
            <v>2030</v>
          </cell>
          <cell r="E2">
            <v>2040</v>
          </cell>
          <cell r="F2">
            <v>2050</v>
          </cell>
          <cell r="G2">
            <v>2060</v>
          </cell>
          <cell r="H2">
            <v>2070</v>
          </cell>
          <cell r="I2">
            <v>2080</v>
          </cell>
          <cell r="J2">
            <v>2090</v>
          </cell>
          <cell r="K2">
            <v>2100</v>
          </cell>
        </row>
        <row r="28">
          <cell r="B28">
            <v>51.528845383203837</v>
          </cell>
        </row>
        <row r="31">
          <cell r="A31" t="str">
            <v>Reference Case</v>
          </cell>
          <cell r="B31">
            <v>2010</v>
          </cell>
          <cell r="C31">
            <v>2020</v>
          </cell>
          <cell r="D31">
            <v>2030</v>
          </cell>
          <cell r="E31">
            <v>2040</v>
          </cell>
          <cell r="F31">
            <v>2050</v>
          </cell>
          <cell r="G31">
            <v>2060</v>
          </cell>
          <cell r="H31">
            <v>2070</v>
          </cell>
          <cell r="I31">
            <v>2080</v>
          </cell>
          <cell r="J31">
            <v>2090</v>
          </cell>
          <cell r="K31">
            <v>2100</v>
          </cell>
        </row>
        <row r="58">
          <cell r="B58">
            <v>51.263250600986524</v>
          </cell>
        </row>
        <row r="68">
          <cell r="B68">
            <v>0</v>
          </cell>
        </row>
        <row r="71">
          <cell r="B71">
            <v>-4.9838810477625728E-2</v>
          </cell>
        </row>
        <row r="74">
          <cell r="B74">
            <v>-0.10906733321150819</v>
          </cell>
        </row>
        <row r="77">
          <cell r="B77">
            <v>0</v>
          </cell>
        </row>
        <row r="80">
          <cell r="B80">
            <v>0</v>
          </cell>
        </row>
      </sheetData>
      <sheetData sheetId="42">
        <row r="5">
          <cell r="E5">
            <v>32.110274364550911</v>
          </cell>
        </row>
        <row r="7">
          <cell r="E7">
            <v>1</v>
          </cell>
        </row>
        <row r="9">
          <cell r="E9"/>
        </row>
        <row r="15">
          <cell r="E15">
            <v>0</v>
          </cell>
        </row>
        <row r="17">
          <cell r="E17" t="e">
            <v>#DIV/0!</v>
          </cell>
        </row>
        <row r="19">
          <cell r="E19">
            <v>0</v>
          </cell>
        </row>
        <row r="21">
          <cell r="E21"/>
        </row>
        <row r="28">
          <cell r="E28"/>
        </row>
        <row r="32">
          <cell r="E32"/>
        </row>
        <row r="37">
          <cell r="E37">
            <v>3.5023380000000004</v>
          </cell>
        </row>
        <row r="42">
          <cell r="E42">
            <v>1</v>
          </cell>
        </row>
        <row r="45">
          <cell r="E45">
            <v>0.10907219166792639</v>
          </cell>
        </row>
        <row r="48">
          <cell r="E48"/>
        </row>
        <row r="53">
          <cell r="E53">
            <v>15.650638236435611</v>
          </cell>
        </row>
        <row r="55">
          <cell r="E55">
            <v>1</v>
          </cell>
        </row>
        <row r="57">
          <cell r="E57">
            <v>0.48740281875989194</v>
          </cell>
        </row>
        <row r="59">
          <cell r="E59"/>
        </row>
        <row r="64">
          <cell r="E64">
            <v>51.263250600986524</v>
          </cell>
        </row>
        <row r="66">
          <cell r="E66">
            <v>1</v>
          </cell>
        </row>
        <row r="68">
          <cell r="E68">
            <v>1.5964750104278183</v>
          </cell>
        </row>
        <row r="70">
          <cell r="E70"/>
        </row>
        <row r="78">
          <cell r="E78">
            <v>32.216963003079094</v>
          </cell>
        </row>
        <row r="80">
          <cell r="E80">
            <v>1</v>
          </cell>
        </row>
        <row r="82">
          <cell r="E82"/>
        </row>
        <row r="88">
          <cell r="E88">
            <v>0</v>
          </cell>
        </row>
        <row r="90">
          <cell r="E90" t="e">
            <v>#DIV/0!</v>
          </cell>
        </row>
        <row r="92">
          <cell r="E92">
            <v>0</v>
          </cell>
        </row>
        <row r="101">
          <cell r="E101"/>
        </row>
        <row r="105">
          <cell r="E105"/>
        </row>
        <row r="110">
          <cell r="E110">
            <v>3.6114053332115086</v>
          </cell>
        </row>
        <row r="118">
          <cell r="E118">
            <v>1</v>
          </cell>
        </row>
        <row r="121">
          <cell r="E121">
            <v>0.11246884072714204</v>
          </cell>
        </row>
        <row r="125">
          <cell r="E125"/>
        </row>
        <row r="130">
          <cell r="E130">
            <v>15.700477046913237</v>
          </cell>
        </row>
        <row r="132">
          <cell r="E132">
            <v>1</v>
          </cell>
        </row>
        <row r="134">
          <cell r="E134">
            <v>0.48895493288734537</v>
          </cell>
        </row>
        <row r="136">
          <cell r="E136"/>
        </row>
        <row r="141">
          <cell r="E141">
            <v>51.528845383203837</v>
          </cell>
        </row>
        <row r="143">
          <cell r="E143">
            <v>1</v>
          </cell>
        </row>
        <row r="145">
          <cell r="E145">
            <v>1.6047463437463068</v>
          </cell>
        </row>
        <row r="147">
          <cell r="E147"/>
        </row>
        <row r="153">
          <cell r="E153">
            <v>0.10668863852818333</v>
          </cell>
        </row>
        <row r="156">
          <cell r="E156">
            <v>0</v>
          </cell>
        </row>
        <row r="159">
          <cell r="E159">
            <v>0</v>
          </cell>
        </row>
        <row r="162">
          <cell r="E162" t="e">
            <v>#DIV/0!</v>
          </cell>
        </row>
        <row r="165">
          <cell r="E165">
            <v>0</v>
          </cell>
        </row>
        <row r="169">
          <cell r="E169"/>
        </row>
        <row r="172">
          <cell r="E172"/>
        </row>
        <row r="175">
          <cell r="E175"/>
        </row>
        <row r="178">
          <cell r="E178">
            <v>0.10906733321150819</v>
          </cell>
        </row>
        <row r="181">
          <cell r="E181">
            <v>0</v>
          </cell>
        </row>
        <row r="184">
          <cell r="E184">
            <v>3.3966490592156479E-3</v>
          </cell>
        </row>
        <row r="187">
          <cell r="E187">
            <v>4.9838810477625728E-2</v>
          </cell>
        </row>
        <row r="190">
          <cell r="E190">
            <v>0</v>
          </cell>
        </row>
        <row r="193">
          <cell r="E193">
            <v>1.55211412745343E-3</v>
          </cell>
        </row>
        <row r="196">
          <cell r="E196">
            <v>0.26559478221731325</v>
          </cell>
        </row>
        <row r="199">
          <cell r="E199">
            <v>0</v>
          </cell>
        </row>
        <row r="202">
          <cell r="E202">
            <v>8.2713333184885052E-3</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me"/>
      <sheetName val="Data Download"/>
      <sheetName val="Ref Data input"/>
      <sheetName val="Int Data input"/>
      <sheetName val="Ref Data"/>
      <sheetName val="Int Data"/>
      <sheetName val="Fig3ExpandKAYAfactorsDEq"/>
      <sheetName val="Fig4ExpandKAYAratiosDEq"/>
      <sheetName val="Chart1"/>
      <sheetName val="Chart2"/>
      <sheetName val="Chart3"/>
      <sheetName val="Fig6AdditiveDashboard"/>
      <sheetName val="Chart4"/>
      <sheetName val="Chart5"/>
      <sheetName val="Chart6"/>
      <sheetName val="Chart7"/>
      <sheetName val="Chart8"/>
      <sheetName val="Chart9"/>
      <sheetName val="Chart10"/>
      <sheetName val="Savings"/>
      <sheetName val="Chart11"/>
      <sheetName val="Savings2050"/>
      <sheetName val="EmissionsReductionsTable"/>
      <sheetName val="WaterfallVertData"/>
      <sheetName val="WaterfallVertData2050"/>
      <sheetName val="RefDriversLMDI"/>
      <sheetName val="LMDItabledRefAllSectors"/>
      <sheetName val="CementvsBETindustry"/>
      <sheetName val="IndustryEmissionsAccountingRef"/>
      <sheetName val="IndustryEmissionsAccountingInt"/>
      <sheetName val="FossilEneEmissionsAccountingRef"/>
      <sheetName val="FossilEneEmissionsAccountingInt"/>
      <sheetName val="PEfossilRef"/>
      <sheetName val="PEfossilInt"/>
      <sheetName val="ExpKayaFactorsRef"/>
      <sheetName val="ExpKayaFactorsInt"/>
      <sheetName val="ExpKayaRatiosRef"/>
      <sheetName val="ExpKayaRatiosInt"/>
      <sheetName val="AvAnn%∆"/>
      <sheetName val="HistoricalGrowthRates"/>
      <sheetName val="AreasForDashboardsFactors"/>
      <sheetName val="AreasForDashboardsRatios"/>
      <sheetName val="WaterfallData"/>
      <sheetName val="WaterfallData2050"/>
      <sheetName val="LMDI 1 MethodDEq"/>
      <sheetName val="MitTable(LMDI I)DEq"/>
      <sheetName val="LMDI 1 MethodRefCumulative"/>
      <sheetName val="OtherGasses"/>
      <sheetName val="TotalEmissions"/>
      <sheetName val="AdditiveDashboardData"/>
    </sheetNames>
    <sheetDataSet>
      <sheetData sheetId="0" refreshError="1"/>
      <sheetData sheetId="1" refreshError="1"/>
      <sheetData sheetId="2">
        <row r="1">
          <cell r="A1" t="str">
            <v>model</v>
          </cell>
          <cell r="B1" t="str">
            <v>scenario</v>
          </cell>
          <cell r="C1" t="str">
            <v>region</v>
          </cell>
          <cell r="D1" t="str">
            <v>variable</v>
          </cell>
          <cell r="E1" t="str">
            <v>unit</v>
          </cell>
          <cell r="F1">
            <v>2000</v>
          </cell>
          <cell r="G1">
            <v>2001</v>
          </cell>
          <cell r="H1">
            <v>2002</v>
          </cell>
          <cell r="I1">
            <v>2003</v>
          </cell>
          <cell r="J1">
            <v>2004</v>
          </cell>
          <cell r="K1">
            <v>2005</v>
          </cell>
          <cell r="L1">
            <v>2006</v>
          </cell>
          <cell r="M1">
            <v>2007</v>
          </cell>
          <cell r="N1">
            <v>2008</v>
          </cell>
          <cell r="O1">
            <v>2009</v>
          </cell>
          <cell r="P1">
            <v>2010</v>
          </cell>
          <cell r="Q1">
            <v>2011</v>
          </cell>
          <cell r="R1">
            <v>2012</v>
          </cell>
          <cell r="S1">
            <v>2013</v>
          </cell>
          <cell r="T1">
            <v>2014</v>
          </cell>
          <cell r="U1">
            <v>2015</v>
          </cell>
          <cell r="V1">
            <v>2016</v>
          </cell>
          <cell r="W1">
            <v>2017</v>
          </cell>
          <cell r="X1">
            <v>2018</v>
          </cell>
          <cell r="Y1">
            <v>2019</v>
          </cell>
          <cell r="Z1">
            <v>2020</v>
          </cell>
          <cell r="AA1">
            <v>2021</v>
          </cell>
          <cell r="AB1">
            <v>2022</v>
          </cell>
          <cell r="AC1">
            <v>2023</v>
          </cell>
          <cell r="AD1">
            <v>2024</v>
          </cell>
          <cell r="AE1">
            <v>2025</v>
          </cell>
          <cell r="AF1">
            <v>2026</v>
          </cell>
          <cell r="AG1">
            <v>2027</v>
          </cell>
          <cell r="AH1">
            <v>2028</v>
          </cell>
          <cell r="AI1">
            <v>2029</v>
          </cell>
          <cell r="AJ1">
            <v>2030</v>
          </cell>
          <cell r="AK1">
            <v>2031</v>
          </cell>
          <cell r="AL1">
            <v>2032</v>
          </cell>
          <cell r="AM1">
            <v>2033</v>
          </cell>
          <cell r="AN1">
            <v>2034</v>
          </cell>
          <cell r="AO1">
            <v>2035</v>
          </cell>
          <cell r="AP1">
            <v>2036</v>
          </cell>
          <cell r="AQ1">
            <v>2037</v>
          </cell>
          <cell r="AR1">
            <v>2038</v>
          </cell>
          <cell r="AS1">
            <v>2039</v>
          </cell>
          <cell r="AT1">
            <v>2040</v>
          </cell>
          <cell r="AU1">
            <v>2041</v>
          </cell>
          <cell r="AV1">
            <v>2042</v>
          </cell>
          <cell r="AW1">
            <v>2043</v>
          </cell>
          <cell r="AX1">
            <v>2044</v>
          </cell>
          <cell r="AY1">
            <v>2045</v>
          </cell>
          <cell r="AZ1">
            <v>2046</v>
          </cell>
          <cell r="BA1">
            <v>2047</v>
          </cell>
          <cell r="BB1">
            <v>2048</v>
          </cell>
          <cell r="BC1">
            <v>2049</v>
          </cell>
          <cell r="BD1">
            <v>2050</v>
          </cell>
          <cell r="BE1">
            <v>2051</v>
          </cell>
          <cell r="BF1">
            <v>2052</v>
          </cell>
          <cell r="BG1">
            <v>2053</v>
          </cell>
          <cell r="BH1">
            <v>2054</v>
          </cell>
          <cell r="BI1">
            <v>2055</v>
          </cell>
          <cell r="BJ1">
            <v>2056</v>
          </cell>
          <cell r="BK1">
            <v>2057</v>
          </cell>
          <cell r="BL1">
            <v>2058</v>
          </cell>
          <cell r="BM1">
            <v>2059</v>
          </cell>
          <cell r="BN1">
            <v>2060</v>
          </cell>
          <cell r="BO1">
            <v>2061</v>
          </cell>
          <cell r="BP1">
            <v>2062</v>
          </cell>
          <cell r="BQ1">
            <v>2063</v>
          </cell>
          <cell r="BR1">
            <v>2064</v>
          </cell>
          <cell r="BS1">
            <v>2065</v>
          </cell>
          <cell r="BT1">
            <v>2066</v>
          </cell>
          <cell r="BU1">
            <v>2067</v>
          </cell>
          <cell r="BV1">
            <v>2068</v>
          </cell>
          <cell r="BW1">
            <v>2069</v>
          </cell>
          <cell r="BX1">
            <v>2070</v>
          </cell>
          <cell r="BY1">
            <v>2071</v>
          </cell>
          <cell r="BZ1">
            <v>2072</v>
          </cell>
          <cell r="CA1">
            <v>2073</v>
          </cell>
          <cell r="CB1">
            <v>2074</v>
          </cell>
          <cell r="CC1">
            <v>2075</v>
          </cell>
          <cell r="CD1">
            <v>2076</v>
          </cell>
          <cell r="CE1">
            <v>2077</v>
          </cell>
          <cell r="CF1">
            <v>2078</v>
          </cell>
          <cell r="CG1">
            <v>2079</v>
          </cell>
          <cell r="CH1">
            <v>2080</v>
          </cell>
          <cell r="CI1">
            <v>2081</v>
          </cell>
          <cell r="CJ1">
            <v>2082</v>
          </cell>
          <cell r="CK1">
            <v>2083</v>
          </cell>
          <cell r="CL1">
            <v>2084</v>
          </cell>
          <cell r="CM1">
            <v>2085</v>
          </cell>
          <cell r="CN1">
            <v>2086</v>
          </cell>
          <cell r="CO1">
            <v>2087</v>
          </cell>
          <cell r="CP1">
            <v>2088</v>
          </cell>
          <cell r="CQ1">
            <v>2089</v>
          </cell>
          <cell r="CR1">
            <v>2090</v>
          </cell>
          <cell r="CS1">
            <v>2091</v>
          </cell>
          <cell r="CT1">
            <v>2092</v>
          </cell>
          <cell r="CU1">
            <v>2093</v>
          </cell>
          <cell r="CV1">
            <v>2094</v>
          </cell>
          <cell r="CW1">
            <v>2095</v>
          </cell>
          <cell r="CX1">
            <v>2096</v>
          </cell>
          <cell r="CY1">
            <v>2097</v>
          </cell>
          <cell r="CZ1">
            <v>2098</v>
          </cell>
          <cell r="DA1">
            <v>2099</v>
          </cell>
          <cell r="DB1">
            <v>2100</v>
          </cell>
        </row>
        <row r="2">
          <cell r="D2" t="str">
            <v>AR5 climate diagnostics|Concentration|CO2|FAIR|MED</v>
          </cell>
          <cell r="E2" t="str">
            <v>ppm</v>
          </cell>
          <cell r="P2">
            <v>389.10199999999998</v>
          </cell>
          <cell r="Q2">
            <v>391.53100000000001</v>
          </cell>
          <cell r="R2">
            <v>393.98</v>
          </cell>
          <cell r="S2">
            <v>396.45</v>
          </cell>
          <cell r="T2">
            <v>398.94400000000002</v>
          </cell>
          <cell r="U2">
            <v>401.46300000000002</v>
          </cell>
          <cell r="V2">
            <v>403.91699999999997</v>
          </cell>
          <cell r="W2">
            <v>406.37799999999999</v>
          </cell>
          <cell r="X2">
            <v>408.85899999999998</v>
          </cell>
          <cell r="Y2">
            <v>411.43700000000001</v>
          </cell>
          <cell r="Z2">
            <v>414.04300000000001</v>
          </cell>
          <cell r="AA2">
            <v>416.69600000000003</v>
          </cell>
          <cell r="AB2">
            <v>419.33199999999999</v>
          </cell>
          <cell r="AC2">
            <v>422.01499999999999</v>
          </cell>
          <cell r="AD2">
            <v>424.74599999999998</v>
          </cell>
          <cell r="AE2">
            <v>427.529</v>
          </cell>
          <cell r="AF2">
            <v>430.42099999999999</v>
          </cell>
          <cell r="AG2">
            <v>433.375</v>
          </cell>
          <cell r="AH2">
            <v>436.40699999999998</v>
          </cell>
          <cell r="AI2">
            <v>439.38600000000002</v>
          </cell>
          <cell r="AJ2">
            <v>442.40899999999999</v>
          </cell>
          <cell r="AK2">
            <v>445.60399999999998</v>
          </cell>
          <cell r="AL2">
            <v>448.89600000000002</v>
          </cell>
          <cell r="AM2">
            <v>452.19200000000001</v>
          </cell>
          <cell r="AN2">
            <v>455.50700000000001</v>
          </cell>
          <cell r="AO2">
            <v>458.875</v>
          </cell>
          <cell r="AP2">
            <v>462.298</v>
          </cell>
          <cell r="AQ2">
            <v>465.774</v>
          </cell>
          <cell r="AR2">
            <v>469.29599999999999</v>
          </cell>
          <cell r="AS2">
            <v>472.839</v>
          </cell>
          <cell r="AT2">
            <v>476.43400000000003</v>
          </cell>
          <cell r="AU2">
            <v>480.08499999999998</v>
          </cell>
          <cell r="AV2">
            <v>483.75299999999999</v>
          </cell>
          <cell r="AW2">
            <v>487.553</v>
          </cell>
          <cell r="AX2">
            <v>491.37</v>
          </cell>
          <cell r="AY2">
            <v>495.24299999999999</v>
          </cell>
          <cell r="AZ2">
            <v>499.22699999999998</v>
          </cell>
          <cell r="BA2">
            <v>503.202</v>
          </cell>
          <cell r="BB2">
            <v>507.20100000000002</v>
          </cell>
          <cell r="BC2">
            <v>511.30099999999999</v>
          </cell>
          <cell r="BD2">
            <v>515.45799999999997</v>
          </cell>
          <cell r="BE2">
            <v>519.65599999999995</v>
          </cell>
          <cell r="BF2">
            <v>523.94200000000001</v>
          </cell>
          <cell r="BG2">
            <v>528.31399999999996</v>
          </cell>
          <cell r="BH2">
            <v>532.59699999999998</v>
          </cell>
          <cell r="BI2">
            <v>536.92399999999998</v>
          </cell>
          <cell r="BJ2">
            <v>541.40099999999995</v>
          </cell>
          <cell r="BK2">
            <v>546.02700000000004</v>
          </cell>
          <cell r="BL2">
            <v>550.59400000000005</v>
          </cell>
          <cell r="BM2">
            <v>555.13199999999995</v>
          </cell>
          <cell r="BN2">
            <v>559.71799999999996</v>
          </cell>
          <cell r="BO2">
            <v>564.548</v>
          </cell>
          <cell r="BP2">
            <v>569.22799999999995</v>
          </cell>
          <cell r="BQ2">
            <v>573.95500000000004</v>
          </cell>
          <cell r="BR2">
            <v>578.73</v>
          </cell>
          <cell r="BS2">
            <v>583.62900000000002</v>
          </cell>
          <cell r="BT2">
            <v>588.54700000000003</v>
          </cell>
          <cell r="BU2">
            <v>593.60599999999999</v>
          </cell>
          <cell r="BV2">
            <v>598.55600000000004</v>
          </cell>
          <cell r="BW2">
            <v>603.64099999999996</v>
          </cell>
          <cell r="BX2">
            <v>608.67600000000004</v>
          </cell>
          <cell r="BY2">
            <v>613.80499999999995</v>
          </cell>
          <cell r="BZ2">
            <v>619.10599999999999</v>
          </cell>
          <cell r="CA2">
            <v>624.56600000000003</v>
          </cell>
          <cell r="CB2">
            <v>630.12099999999998</v>
          </cell>
          <cell r="CC2">
            <v>635.77099999999996</v>
          </cell>
          <cell r="CD2">
            <v>641.51700000000005</v>
          </cell>
          <cell r="CE2">
            <v>647.35799999999995</v>
          </cell>
          <cell r="CF2">
            <v>653.31700000000001</v>
          </cell>
          <cell r="CG2">
            <v>659.40800000000002</v>
          </cell>
          <cell r="CH2">
            <v>665.452</v>
          </cell>
          <cell r="CI2">
            <v>671.53800000000001</v>
          </cell>
          <cell r="CJ2">
            <v>677.596</v>
          </cell>
          <cell r="CK2">
            <v>683.774</v>
          </cell>
          <cell r="CL2">
            <v>690.31399999999996</v>
          </cell>
          <cell r="CM2">
            <v>697.06</v>
          </cell>
          <cell r="CN2">
            <v>703.50400000000002</v>
          </cell>
          <cell r="CO2">
            <v>709.93799999999999</v>
          </cell>
          <cell r="CP2">
            <v>716.68200000000002</v>
          </cell>
          <cell r="CQ2">
            <v>723.53599999999994</v>
          </cell>
          <cell r="CR2">
            <v>730.27099999999996</v>
          </cell>
          <cell r="CS2">
            <v>737.24800000000005</v>
          </cell>
          <cell r="CT2">
            <v>744.27800000000002</v>
          </cell>
          <cell r="CU2">
            <v>751.35500000000002</v>
          </cell>
          <cell r="CV2">
            <v>758.51199999999994</v>
          </cell>
          <cell r="CW2">
            <v>765.73</v>
          </cell>
          <cell r="CX2">
            <v>772.75800000000004</v>
          </cell>
          <cell r="CY2">
            <v>779.74800000000005</v>
          </cell>
          <cell r="CZ2">
            <v>786.89800000000002</v>
          </cell>
          <cell r="DA2">
            <v>794.66899999999998</v>
          </cell>
          <cell r="DB2">
            <v>802.04499999999996</v>
          </cell>
        </row>
        <row r="3">
          <cell r="D3" t="str">
            <v>AR5 climate diagnostics|Concentration|CO2|MAGICC6|MED</v>
          </cell>
          <cell r="E3" t="str">
            <v>ppm</v>
          </cell>
          <cell r="F3">
            <v>369.56</v>
          </cell>
          <cell r="G3">
            <v>371.375</v>
          </cell>
          <cell r="H3">
            <v>373.67</v>
          </cell>
          <cell r="I3">
            <v>375.85</v>
          </cell>
          <cell r="J3">
            <v>377.77499999999998</v>
          </cell>
          <cell r="K3">
            <v>379.85</v>
          </cell>
          <cell r="L3">
            <v>381.80500000000001</v>
          </cell>
          <cell r="M3">
            <v>383.75</v>
          </cell>
          <cell r="N3">
            <v>385.85</v>
          </cell>
          <cell r="O3">
            <v>388.40572839999999</v>
          </cell>
          <cell r="P3">
            <v>390.90348110000002</v>
          </cell>
          <cell r="Q3">
            <v>393.43927969999999</v>
          </cell>
          <cell r="R3">
            <v>395.97646959999997</v>
          </cell>
          <cell r="S3">
            <v>398.5385278</v>
          </cell>
          <cell r="T3">
            <v>401.10591040000003</v>
          </cell>
          <cell r="U3">
            <v>403.68884530000003</v>
          </cell>
          <cell r="V3">
            <v>406.27759589999999</v>
          </cell>
          <cell r="W3">
            <v>408.887157</v>
          </cell>
          <cell r="X3">
            <v>411.5089734</v>
          </cell>
          <cell r="Y3">
            <v>414.14452560000001</v>
          </cell>
          <cell r="Z3">
            <v>416.7847423</v>
          </cell>
          <cell r="AA3">
            <v>419.45993129999999</v>
          </cell>
          <cell r="AB3">
            <v>422.2093764</v>
          </cell>
          <cell r="AC3">
            <v>425.00058560000002</v>
          </cell>
          <cell r="AD3">
            <v>427.86018630000001</v>
          </cell>
          <cell r="AE3">
            <v>430.75396410000002</v>
          </cell>
          <cell r="AF3">
            <v>433.66409229999999</v>
          </cell>
          <cell r="AG3">
            <v>436.65251319999999</v>
          </cell>
          <cell r="AH3">
            <v>439.6621829</v>
          </cell>
          <cell r="AI3">
            <v>442.73204449999997</v>
          </cell>
          <cell r="AJ3">
            <v>445.86527330000001</v>
          </cell>
          <cell r="AK3">
            <v>449.02117320000002</v>
          </cell>
          <cell r="AL3">
            <v>452.23170529999999</v>
          </cell>
          <cell r="AM3">
            <v>455.51661869999998</v>
          </cell>
          <cell r="AN3">
            <v>458.80964549999999</v>
          </cell>
          <cell r="AO3">
            <v>462.1904222</v>
          </cell>
          <cell r="AP3">
            <v>465.62101560000002</v>
          </cell>
          <cell r="AQ3">
            <v>469.07915589999999</v>
          </cell>
          <cell r="AR3">
            <v>472.61912339999998</v>
          </cell>
          <cell r="AS3">
            <v>476.1939496</v>
          </cell>
          <cell r="AT3">
            <v>479.81280409999999</v>
          </cell>
          <cell r="AU3">
            <v>483.50326910000001</v>
          </cell>
          <cell r="AV3">
            <v>487.23281270000001</v>
          </cell>
          <cell r="AW3">
            <v>491.05327699999998</v>
          </cell>
          <cell r="AX3">
            <v>494.90908489999998</v>
          </cell>
          <cell r="AY3">
            <v>498.85384479999999</v>
          </cell>
          <cell r="AZ3">
            <v>502.83459190000002</v>
          </cell>
          <cell r="BA3">
            <v>506.90426100000002</v>
          </cell>
          <cell r="BB3">
            <v>511.0193572</v>
          </cell>
          <cell r="BC3">
            <v>515.13921809999999</v>
          </cell>
          <cell r="BD3">
            <v>519.3307575</v>
          </cell>
          <cell r="BE3">
            <v>523.68206599999996</v>
          </cell>
          <cell r="BF3">
            <v>527.97019220000004</v>
          </cell>
          <cell r="BG3">
            <v>532.33623709999995</v>
          </cell>
          <cell r="BH3">
            <v>536.70024330000001</v>
          </cell>
          <cell r="BI3">
            <v>541.11749169999996</v>
          </cell>
          <cell r="BJ3">
            <v>545.65867119999996</v>
          </cell>
          <cell r="BK3">
            <v>550.22784890000003</v>
          </cell>
          <cell r="BL3">
            <v>554.8517147</v>
          </cell>
          <cell r="BM3">
            <v>559.56418180000003</v>
          </cell>
          <cell r="BN3">
            <v>564.28957449999996</v>
          </cell>
          <cell r="BO3">
            <v>569.05755790000001</v>
          </cell>
          <cell r="BP3">
            <v>573.91665139999998</v>
          </cell>
          <cell r="BQ3">
            <v>578.79209960000003</v>
          </cell>
          <cell r="BR3">
            <v>583.7149144</v>
          </cell>
          <cell r="BS3">
            <v>588.68070520000003</v>
          </cell>
          <cell r="BT3">
            <v>593.73320269999999</v>
          </cell>
          <cell r="BU3">
            <v>598.83288870000001</v>
          </cell>
          <cell r="BV3">
            <v>603.97223889999998</v>
          </cell>
          <cell r="BW3">
            <v>609.16993879999995</v>
          </cell>
          <cell r="BX3">
            <v>614.42107550000003</v>
          </cell>
          <cell r="BY3">
            <v>619.74462329999994</v>
          </cell>
          <cell r="BZ3">
            <v>625.17024819999995</v>
          </cell>
          <cell r="CA3">
            <v>630.69383140000002</v>
          </cell>
          <cell r="CB3">
            <v>636.25608339999997</v>
          </cell>
          <cell r="CC3">
            <v>641.91330249999999</v>
          </cell>
          <cell r="CD3">
            <v>647.68141590000005</v>
          </cell>
          <cell r="CE3">
            <v>653.5488795</v>
          </cell>
          <cell r="CF3">
            <v>659.5047879</v>
          </cell>
          <cell r="CG3">
            <v>665.55734359999997</v>
          </cell>
          <cell r="CH3">
            <v>671.73054339999999</v>
          </cell>
          <cell r="CI3">
            <v>678.03167929999995</v>
          </cell>
          <cell r="CJ3">
            <v>684.48439340000004</v>
          </cell>
          <cell r="CK3">
            <v>691.0039438</v>
          </cell>
          <cell r="CL3">
            <v>697.55055430000004</v>
          </cell>
          <cell r="CM3">
            <v>704.30830700000001</v>
          </cell>
          <cell r="CN3">
            <v>711.11638140000002</v>
          </cell>
          <cell r="CO3">
            <v>717.93237490000001</v>
          </cell>
          <cell r="CP3">
            <v>724.81525109999995</v>
          </cell>
          <cell r="CQ3">
            <v>731.77728030000003</v>
          </cell>
          <cell r="CR3">
            <v>738.92556030000003</v>
          </cell>
          <cell r="CS3">
            <v>746.16433089999998</v>
          </cell>
          <cell r="CT3">
            <v>753.46580510000001</v>
          </cell>
          <cell r="CU3">
            <v>760.86779539999998</v>
          </cell>
          <cell r="CV3">
            <v>768.38978310000005</v>
          </cell>
          <cell r="CW3">
            <v>775.90083130000005</v>
          </cell>
          <cell r="CX3">
            <v>783.29736409999998</v>
          </cell>
          <cell r="CY3">
            <v>790.81653510000001</v>
          </cell>
          <cell r="CZ3">
            <v>798.3449971</v>
          </cell>
          <cell r="DA3">
            <v>805.93573189999995</v>
          </cell>
          <cell r="DB3">
            <v>813.66308600000002</v>
          </cell>
        </row>
        <row r="4">
          <cell r="D4" t="str">
            <v>AR5 climate diagnostics|Forcing|Aerosol|Direct|MAGICC6|MED</v>
          </cell>
          <cell r="E4" t="str">
            <v>W/m2</v>
          </cell>
          <cell r="F4">
            <v>-0.36405015400000001</v>
          </cell>
          <cell r="G4">
            <v>-0.36380980400000001</v>
          </cell>
          <cell r="H4">
            <v>-0.36556142200000002</v>
          </cell>
          <cell r="I4">
            <v>-0.36751886900000003</v>
          </cell>
          <cell r="J4">
            <v>-0.36957420499999999</v>
          </cell>
          <cell r="K4">
            <v>-0.364810311</v>
          </cell>
          <cell r="L4">
            <v>-0.35521725900000001</v>
          </cell>
          <cell r="M4">
            <v>-0.34606356500000002</v>
          </cell>
          <cell r="N4">
            <v>-0.33765435399999999</v>
          </cell>
          <cell r="O4">
            <v>-0.32831473</v>
          </cell>
          <cell r="P4">
            <v>-0.321621139</v>
          </cell>
          <cell r="Q4">
            <v>-0.316805051</v>
          </cell>
          <cell r="R4">
            <v>-0.31118870500000001</v>
          </cell>
          <cell r="S4">
            <v>-0.305997191</v>
          </cell>
          <cell r="T4">
            <v>-0.301811147</v>
          </cell>
          <cell r="U4">
            <v>-0.29667550799999998</v>
          </cell>
          <cell r="V4">
            <v>-0.29108629800000002</v>
          </cell>
          <cell r="W4">
            <v>-0.28619041000000001</v>
          </cell>
          <cell r="X4">
            <v>-0.28090965600000001</v>
          </cell>
          <cell r="Y4">
            <v>-0.27659123600000002</v>
          </cell>
          <cell r="Z4">
            <v>-0.27627426700000002</v>
          </cell>
          <cell r="AA4">
            <v>-0.27893540700000002</v>
          </cell>
          <cell r="AB4">
            <v>-0.281596546</v>
          </cell>
          <cell r="AC4">
            <v>-0.28410529699999998</v>
          </cell>
          <cell r="AD4">
            <v>-0.28691882600000002</v>
          </cell>
          <cell r="AE4">
            <v>-0.28957996600000002</v>
          </cell>
          <cell r="AF4">
            <v>-0.29200342400000001</v>
          </cell>
          <cell r="AG4">
            <v>-0.29412738799999999</v>
          </cell>
          <cell r="AH4">
            <v>-0.29626779999999903</v>
          </cell>
          <cell r="AI4">
            <v>-0.29892270100000001</v>
          </cell>
          <cell r="AJ4">
            <v>-0.29892744199999999</v>
          </cell>
          <cell r="AK4">
            <v>-0.29752556800000002</v>
          </cell>
          <cell r="AL4">
            <v>-0.296299492</v>
          </cell>
          <cell r="AM4">
            <v>-0.29471351499999998</v>
          </cell>
          <cell r="AN4">
            <v>-0.29333331800000001</v>
          </cell>
          <cell r="AO4">
            <v>-0.291882898</v>
          </cell>
          <cell r="AP4">
            <v>-0.29069262800000001</v>
          </cell>
          <cell r="AQ4">
            <v>-0.28925080800000003</v>
          </cell>
          <cell r="AR4">
            <v>-0.28803890199999999</v>
          </cell>
          <cell r="AS4">
            <v>-0.28620254699999997</v>
          </cell>
          <cell r="AT4">
            <v>-0.28409732900000001</v>
          </cell>
          <cell r="AU4">
            <v>-0.28301039</v>
          </cell>
          <cell r="AV4">
            <v>-0.28119482000000001</v>
          </cell>
          <cell r="AW4">
            <v>-0.280204224</v>
          </cell>
          <cell r="AX4">
            <v>-0.27915600099999999</v>
          </cell>
          <cell r="AY4">
            <v>-0.27810777800000003</v>
          </cell>
          <cell r="AZ4">
            <v>-0.276927441</v>
          </cell>
          <cell r="BA4">
            <v>-0.27447149700000001</v>
          </cell>
          <cell r="BB4">
            <v>-0.27265795700000001</v>
          </cell>
          <cell r="BC4">
            <v>-0.27122577599999997</v>
          </cell>
          <cell r="BD4">
            <v>-0.27016535800000002</v>
          </cell>
          <cell r="BE4">
            <v>-0.26928112399999998</v>
          </cell>
          <cell r="BF4">
            <v>-0.26840826499999998</v>
          </cell>
          <cell r="BG4">
            <v>-0.26763443199999998</v>
          </cell>
          <cell r="BH4">
            <v>-0.266954674</v>
          </cell>
          <cell r="BI4">
            <v>-0.26637665300000002</v>
          </cell>
          <cell r="BJ4">
            <v>-0.26579863199999998</v>
          </cell>
          <cell r="BK4">
            <v>-0.265239536</v>
          </cell>
          <cell r="BL4">
            <v>-0.26465496599999999</v>
          </cell>
          <cell r="BM4">
            <v>-0.26403587899999997</v>
          </cell>
          <cell r="BN4">
            <v>-0.26408812399999998</v>
          </cell>
          <cell r="BO4">
            <v>-0.263454244</v>
          </cell>
          <cell r="BP4">
            <v>-0.26236775899999998</v>
          </cell>
          <cell r="BQ4">
            <v>-0.262109017</v>
          </cell>
          <cell r="BR4">
            <v>-0.261604642</v>
          </cell>
          <cell r="BS4">
            <v>-0.26065725200000001</v>
          </cell>
          <cell r="BT4">
            <v>-0.25970986299999999</v>
          </cell>
          <cell r="BU4">
            <v>-0.25929544500000001</v>
          </cell>
          <cell r="BV4">
            <v>-0.25874142500000002</v>
          </cell>
          <cell r="BW4">
            <v>-0.258057131</v>
          </cell>
          <cell r="BX4">
            <v>-0.25806596500000001</v>
          </cell>
          <cell r="BY4">
            <v>-0.258377776</v>
          </cell>
          <cell r="BZ4">
            <v>-0.25871121800000002</v>
          </cell>
          <cell r="CA4">
            <v>-0.25914989900000002</v>
          </cell>
          <cell r="CB4">
            <v>-0.25973931</v>
          </cell>
          <cell r="CC4">
            <v>-0.26007311</v>
          </cell>
          <cell r="CD4">
            <v>-0.26035105600000003</v>
          </cell>
          <cell r="CE4">
            <v>-0.26102786100000003</v>
          </cell>
          <cell r="CF4">
            <v>-0.26225768199999999</v>
          </cell>
          <cell r="CG4">
            <v>-0.26348750199999998</v>
          </cell>
          <cell r="CH4">
            <v>-0.26341803400000002</v>
          </cell>
          <cell r="CI4">
            <v>-0.26373721300000003</v>
          </cell>
          <cell r="CJ4">
            <v>-0.26352581200000003</v>
          </cell>
          <cell r="CK4">
            <v>-0.26372653099999999</v>
          </cell>
          <cell r="CL4">
            <v>-0.26424811199999998</v>
          </cell>
          <cell r="CM4">
            <v>-0.26464319999999902</v>
          </cell>
          <cell r="CN4">
            <v>-0.264945555</v>
          </cell>
          <cell r="CO4">
            <v>-0.26540383699999998</v>
          </cell>
          <cell r="CP4">
            <v>-0.26572515000000002</v>
          </cell>
          <cell r="CQ4">
            <v>-0.265517487</v>
          </cell>
          <cell r="CR4">
            <v>-0.265036349</v>
          </cell>
          <cell r="CS4">
            <v>-0.26385842999999998</v>
          </cell>
          <cell r="CT4">
            <v>-0.26248274100000002</v>
          </cell>
          <cell r="CU4">
            <v>-0.260879533</v>
          </cell>
          <cell r="CV4">
            <v>-0.25923576100000001</v>
          </cell>
          <cell r="CW4">
            <v>-0.25754843599999999</v>
          </cell>
          <cell r="CX4">
            <v>-0.25633039000000002</v>
          </cell>
          <cell r="CY4">
            <v>-0.25539397600000002</v>
          </cell>
          <cell r="CZ4">
            <v>-0.253955127</v>
          </cell>
          <cell r="DA4">
            <v>-0.25223138000000001</v>
          </cell>
          <cell r="DB4">
            <v>-0.25179251899999999</v>
          </cell>
        </row>
        <row r="5">
          <cell r="D5" t="str">
            <v>AR5 climate diagnostics|Forcing|Aerosol|MAGICC6|MED</v>
          </cell>
          <cell r="E5" t="str">
            <v>W/m2</v>
          </cell>
          <cell r="F5">
            <v>-1.085907161</v>
          </cell>
          <cell r="G5">
            <v>-1.0892450309999999</v>
          </cell>
          <cell r="H5">
            <v>-1.0945500340000001</v>
          </cell>
          <cell r="I5">
            <v>-1.099959535</v>
          </cell>
          <cell r="J5">
            <v>-1.1057328550000001</v>
          </cell>
          <cell r="K5">
            <v>-1.099484122</v>
          </cell>
          <cell r="L5">
            <v>-1.0839277279999999</v>
          </cell>
          <cell r="M5">
            <v>-1.0690681360000001</v>
          </cell>
          <cell r="N5">
            <v>-1.0552514099999999</v>
          </cell>
          <cell r="O5">
            <v>-1.040463675</v>
          </cell>
          <cell r="P5">
            <v>-1.0281193550000001</v>
          </cell>
          <cell r="Q5">
            <v>-1.016579847</v>
          </cell>
          <cell r="R5">
            <v>-1.003856858</v>
          </cell>
          <cell r="S5">
            <v>-0.99150478200000003</v>
          </cell>
          <cell r="T5">
            <v>-0.97868197400000001</v>
          </cell>
          <cell r="U5">
            <v>-0.96545698599999996</v>
          </cell>
          <cell r="V5">
            <v>-0.95169325900000001</v>
          </cell>
          <cell r="W5">
            <v>-0.93871339200000004</v>
          </cell>
          <cell r="X5">
            <v>-0.92585764999999998</v>
          </cell>
          <cell r="Y5">
            <v>-0.91434286200000003</v>
          </cell>
          <cell r="Z5">
            <v>-0.90973932700000004</v>
          </cell>
          <cell r="AA5">
            <v>-0.911151708</v>
          </cell>
          <cell r="AB5">
            <v>-0.91236113600000002</v>
          </cell>
          <cell r="AC5">
            <v>-0.913378939</v>
          </cell>
          <cell r="AD5">
            <v>-0.91492358900000004</v>
          </cell>
          <cell r="AE5">
            <v>-0.916568991</v>
          </cell>
          <cell r="AF5">
            <v>-0.917975192</v>
          </cell>
          <cell r="AG5">
            <v>-0.91899447199999995</v>
          </cell>
          <cell r="AH5">
            <v>-0.91990181999999998</v>
          </cell>
          <cell r="AI5">
            <v>-0.92138659199999995</v>
          </cell>
          <cell r="AJ5">
            <v>-0.91890840600000001</v>
          </cell>
          <cell r="AK5">
            <v>-0.91369743599999997</v>
          </cell>
          <cell r="AL5">
            <v>-0.90864625700000001</v>
          </cell>
          <cell r="AM5">
            <v>-0.90324947200000005</v>
          </cell>
          <cell r="AN5">
            <v>-0.898038848</v>
          </cell>
          <cell r="AO5">
            <v>-0.89273813999999996</v>
          </cell>
          <cell r="AP5">
            <v>-0.88767747399999997</v>
          </cell>
          <cell r="AQ5">
            <v>-0.88234490099999996</v>
          </cell>
          <cell r="AR5">
            <v>-0.877221629</v>
          </cell>
          <cell r="AS5">
            <v>-0.87144518400000004</v>
          </cell>
          <cell r="AT5">
            <v>-0.865301392</v>
          </cell>
          <cell r="AU5">
            <v>-0.86021913100000003</v>
          </cell>
          <cell r="AV5">
            <v>-0.85444917799999998</v>
          </cell>
          <cell r="AW5">
            <v>-0.84948297699999997</v>
          </cell>
          <cell r="AX5">
            <v>-0.84443765400000004</v>
          </cell>
          <cell r="AY5">
            <v>-0.83937055699999996</v>
          </cell>
          <cell r="AZ5">
            <v>-0.83414928600000005</v>
          </cell>
          <cell r="BA5">
            <v>-0.82763005700000003</v>
          </cell>
          <cell r="BB5">
            <v>-0.82173058200000004</v>
          </cell>
          <cell r="BC5">
            <v>-0.81618951299999998</v>
          </cell>
          <cell r="BD5">
            <v>-0.81181404000000001</v>
          </cell>
          <cell r="BE5">
            <v>-0.80841948399999997</v>
          </cell>
          <cell r="BF5">
            <v>-0.80524865400000001</v>
          </cell>
          <cell r="BG5">
            <v>-0.80213909000000005</v>
          </cell>
          <cell r="BH5">
            <v>-0.79888104500000001</v>
          </cell>
          <cell r="BI5">
            <v>-0.79571530099999999</v>
          </cell>
          <cell r="BJ5">
            <v>-0.79254004</v>
          </cell>
          <cell r="BK5">
            <v>-0.78937410200000002</v>
          </cell>
          <cell r="BL5">
            <v>-0.78617300599999995</v>
          </cell>
          <cell r="BM5">
            <v>-0.78304143999999998</v>
          </cell>
          <cell r="BN5">
            <v>-0.78031668700000001</v>
          </cell>
          <cell r="BO5">
            <v>-0.77652004399999996</v>
          </cell>
          <cell r="BP5">
            <v>-0.77225637599999997</v>
          </cell>
          <cell r="BQ5">
            <v>-0.76880587600000005</v>
          </cell>
          <cell r="BR5">
            <v>-0.76509501000000002</v>
          </cell>
          <cell r="BS5">
            <v>-0.76092623400000003</v>
          </cell>
          <cell r="BT5">
            <v>-0.75675782599999997</v>
          </cell>
          <cell r="BU5">
            <v>-0.75337786100000004</v>
          </cell>
          <cell r="BV5">
            <v>-0.74984499299999996</v>
          </cell>
          <cell r="BW5">
            <v>-0.74616840900000003</v>
          </cell>
          <cell r="BX5">
            <v>-0.74355365100000004</v>
          </cell>
          <cell r="BY5">
            <v>-0.741567859</v>
          </cell>
          <cell r="BZ5">
            <v>-0.73940119599999998</v>
          </cell>
          <cell r="CA5">
            <v>-0.73733004000000002</v>
          </cell>
          <cell r="CB5">
            <v>-0.73523755599999996</v>
          </cell>
          <cell r="CC5">
            <v>-0.73346109999999998</v>
          </cell>
          <cell r="CD5">
            <v>-0.73129072399999995</v>
          </cell>
          <cell r="CE5">
            <v>-0.72946731799999998</v>
          </cell>
          <cell r="CF5">
            <v>-0.72842375800000003</v>
          </cell>
          <cell r="CG5">
            <v>-0.72687600900000005</v>
          </cell>
          <cell r="CH5">
            <v>-0.724018732</v>
          </cell>
          <cell r="CI5">
            <v>-0.72148779900000004</v>
          </cell>
          <cell r="CJ5">
            <v>-0.71821235299999997</v>
          </cell>
          <cell r="CK5">
            <v>-0.71540581800000003</v>
          </cell>
          <cell r="CL5">
            <v>-0.71290738200000003</v>
          </cell>
          <cell r="CM5">
            <v>-0.71026955899999999</v>
          </cell>
          <cell r="CN5">
            <v>-0.70752597699999997</v>
          </cell>
          <cell r="CO5">
            <v>-0.70524546700000001</v>
          </cell>
          <cell r="CP5">
            <v>-0.70291923700000003</v>
          </cell>
          <cell r="CQ5">
            <v>-0.70005358299999998</v>
          </cell>
          <cell r="CR5">
            <v>-0.69704095099999996</v>
          </cell>
          <cell r="CS5">
            <v>-0.69352589399999998</v>
          </cell>
          <cell r="CT5">
            <v>-0.68991820100000001</v>
          </cell>
          <cell r="CU5">
            <v>-0.68623649900000006</v>
          </cell>
          <cell r="CV5">
            <v>-0.68249378299999996</v>
          </cell>
          <cell r="CW5">
            <v>-0.67857524800000002</v>
          </cell>
          <cell r="CX5">
            <v>-0.67511814800000003</v>
          </cell>
          <cell r="CY5">
            <v>-0.67180788499999999</v>
          </cell>
          <cell r="CZ5">
            <v>-0.66796829300000005</v>
          </cell>
          <cell r="DA5">
            <v>-0.66383507500000005</v>
          </cell>
          <cell r="DB5">
            <v>-0.662173126</v>
          </cell>
        </row>
        <row r="6">
          <cell r="D6" t="str">
            <v>AR5 climate diagnostics|Forcing|Aerosol|Total|FAIR|MED</v>
          </cell>
          <cell r="E6" t="str">
            <v>W/m2</v>
          </cell>
          <cell r="P6">
            <v>-1.046</v>
          </cell>
          <cell r="Q6">
            <v>-1.028</v>
          </cell>
          <cell r="R6">
            <v>-1.0109999999999999</v>
          </cell>
          <cell r="S6">
            <v>-0.995</v>
          </cell>
          <cell r="T6">
            <v>-0.97899999999999998</v>
          </cell>
          <cell r="U6">
            <v>-0.96299999999999997</v>
          </cell>
          <cell r="V6">
            <v>-0.94699999999999995</v>
          </cell>
          <cell r="W6">
            <v>-0.93100000000000005</v>
          </cell>
          <cell r="X6">
            <v>-0.91500000000000004</v>
          </cell>
          <cell r="Y6">
            <v>-0.89900000000000002</v>
          </cell>
          <cell r="Z6">
            <v>-0.88300000000000001</v>
          </cell>
          <cell r="AA6">
            <v>-0.88200000000000001</v>
          </cell>
          <cell r="AB6">
            <v>-0.88200000000000001</v>
          </cell>
          <cell r="AC6">
            <v>-0.88200000000000001</v>
          </cell>
          <cell r="AD6">
            <v>-0.88200000000000001</v>
          </cell>
          <cell r="AE6">
            <v>-0.88100000000000001</v>
          </cell>
          <cell r="AF6">
            <v>-0.88100000000000001</v>
          </cell>
          <cell r="AG6">
            <v>-0.88100000000000001</v>
          </cell>
          <cell r="AH6">
            <v>-0.88100000000000001</v>
          </cell>
          <cell r="AI6">
            <v>-0.88</v>
          </cell>
          <cell r="AJ6">
            <v>-0.88</v>
          </cell>
          <cell r="AK6">
            <v>-0.874</v>
          </cell>
          <cell r="AL6">
            <v>-0.86799999999999999</v>
          </cell>
          <cell r="AM6">
            <v>-0.86199999999999999</v>
          </cell>
          <cell r="AN6">
            <v>-0.85599999999999998</v>
          </cell>
          <cell r="AO6">
            <v>-0.85</v>
          </cell>
          <cell r="AP6">
            <v>-0.84399999999999997</v>
          </cell>
          <cell r="AQ6">
            <v>-0.83799999999999997</v>
          </cell>
          <cell r="AR6">
            <v>-0.83199999999999996</v>
          </cell>
          <cell r="AS6">
            <v>-0.82599999999999996</v>
          </cell>
          <cell r="AT6">
            <v>-0.82</v>
          </cell>
          <cell r="AU6">
            <v>-0.81399999999999995</v>
          </cell>
          <cell r="AV6">
            <v>-0.80700000000000005</v>
          </cell>
          <cell r="AW6">
            <v>-0.80100000000000005</v>
          </cell>
          <cell r="AX6">
            <v>-0.79400000000000004</v>
          </cell>
          <cell r="AY6">
            <v>-0.78800000000000003</v>
          </cell>
          <cell r="AZ6">
            <v>-0.78100000000000003</v>
          </cell>
          <cell r="BA6">
            <v>-0.77500000000000002</v>
          </cell>
          <cell r="BB6">
            <v>-0.76800000000000002</v>
          </cell>
          <cell r="BC6">
            <v>-0.76100000000000001</v>
          </cell>
          <cell r="BD6">
            <v>-0.755</v>
          </cell>
          <cell r="BE6">
            <v>-0.751</v>
          </cell>
          <cell r="BF6">
            <v>-0.746</v>
          </cell>
          <cell r="BG6">
            <v>-0.74199999999999999</v>
          </cell>
          <cell r="BH6">
            <v>-0.73799999999999999</v>
          </cell>
          <cell r="BI6">
            <v>-0.73399999999999999</v>
          </cell>
          <cell r="BJ6">
            <v>-0.72899999999999998</v>
          </cell>
          <cell r="BK6">
            <v>-0.72499999999999998</v>
          </cell>
          <cell r="BL6">
            <v>-0.72099999999999997</v>
          </cell>
          <cell r="BM6">
            <v>-0.71599999999999997</v>
          </cell>
          <cell r="BN6">
            <v>-0.71199999999999997</v>
          </cell>
          <cell r="BO6">
            <v>-0.70699999999999996</v>
          </cell>
          <cell r="BP6">
            <v>-0.70199999999999996</v>
          </cell>
          <cell r="BQ6">
            <v>-0.69699999999999995</v>
          </cell>
          <cell r="BR6">
            <v>-0.69199999999999995</v>
          </cell>
          <cell r="BS6">
            <v>-0.68600000000000005</v>
          </cell>
          <cell r="BT6">
            <v>-0.68100000000000005</v>
          </cell>
          <cell r="BU6">
            <v>-0.67600000000000005</v>
          </cell>
          <cell r="BV6">
            <v>-0.67100000000000004</v>
          </cell>
          <cell r="BW6">
            <v>-0.66600000000000004</v>
          </cell>
          <cell r="BX6">
            <v>-0.66</v>
          </cell>
          <cell r="BY6">
            <v>-0.65600000000000003</v>
          </cell>
          <cell r="BZ6">
            <v>-0.65200000000000002</v>
          </cell>
          <cell r="CA6">
            <v>-0.64800000000000002</v>
          </cell>
          <cell r="CB6">
            <v>-0.64400000000000002</v>
          </cell>
          <cell r="CC6">
            <v>-0.64</v>
          </cell>
          <cell r="CD6">
            <v>-0.63600000000000001</v>
          </cell>
          <cell r="CE6">
            <v>-0.63200000000000001</v>
          </cell>
          <cell r="CF6">
            <v>-0.627</v>
          </cell>
          <cell r="CG6">
            <v>-0.623</v>
          </cell>
          <cell r="CH6">
            <v>-0.61899999999999999</v>
          </cell>
          <cell r="CI6">
            <v>-0.61499999999999999</v>
          </cell>
          <cell r="CJ6">
            <v>-0.61099999999999999</v>
          </cell>
          <cell r="CK6">
            <v>-0.60599999999999998</v>
          </cell>
          <cell r="CL6">
            <v>-0.60199999999999998</v>
          </cell>
          <cell r="CM6">
            <v>-0.59799999999999998</v>
          </cell>
          <cell r="CN6">
            <v>-0.59399999999999997</v>
          </cell>
          <cell r="CO6">
            <v>-0.58899999999999997</v>
          </cell>
          <cell r="CP6">
            <v>-0.58499999999999996</v>
          </cell>
          <cell r="CQ6">
            <v>-0.58099999999999996</v>
          </cell>
          <cell r="CR6">
            <v>-0.57699999999999996</v>
          </cell>
          <cell r="CS6">
            <v>-0.57299999999999995</v>
          </cell>
          <cell r="CT6">
            <v>-0.56899999999999995</v>
          </cell>
          <cell r="CU6">
            <v>-0.56499999999999995</v>
          </cell>
          <cell r="CV6">
            <v>-0.56200000000000006</v>
          </cell>
          <cell r="CW6">
            <v>-0.55800000000000005</v>
          </cell>
          <cell r="CX6">
            <v>-0.55400000000000005</v>
          </cell>
          <cell r="CY6">
            <v>-0.55000000000000004</v>
          </cell>
          <cell r="CZ6">
            <v>-0.54700000000000004</v>
          </cell>
          <cell r="DA6">
            <v>-0.54300000000000004</v>
          </cell>
          <cell r="DB6">
            <v>-0.53900000000000003</v>
          </cell>
        </row>
        <row r="7">
          <cell r="D7" t="str">
            <v>AR5 climate diagnostics|Forcing|Aerosol|Total|MAGICC6|MED</v>
          </cell>
          <cell r="E7" t="str">
            <v>W/m2</v>
          </cell>
          <cell r="F7">
            <v>-1.085907161</v>
          </cell>
          <cell r="G7">
            <v>-1.0892450309999999</v>
          </cell>
          <cell r="H7">
            <v>-1.0945500340000001</v>
          </cell>
          <cell r="I7">
            <v>-1.099959535</v>
          </cell>
          <cell r="J7">
            <v>-1.1057328550000001</v>
          </cell>
          <cell r="K7">
            <v>-1.099484122</v>
          </cell>
          <cell r="L7">
            <v>-1.0839277279999999</v>
          </cell>
          <cell r="M7">
            <v>-1.0690681360000001</v>
          </cell>
          <cell r="N7">
            <v>-1.0552514099999999</v>
          </cell>
          <cell r="O7">
            <v>-1.040463675</v>
          </cell>
          <cell r="P7">
            <v>-1.0281193550000001</v>
          </cell>
          <cell r="Q7">
            <v>-1.016579847</v>
          </cell>
          <cell r="R7">
            <v>-1.003856858</v>
          </cell>
          <cell r="S7">
            <v>-0.99150478200000003</v>
          </cell>
          <cell r="T7">
            <v>-0.97868197400000001</v>
          </cell>
          <cell r="U7">
            <v>-0.96545698599999996</v>
          </cell>
          <cell r="V7">
            <v>-0.95169325900000001</v>
          </cell>
          <cell r="W7">
            <v>-0.93871339200000004</v>
          </cell>
          <cell r="X7">
            <v>-0.92585764999999998</v>
          </cell>
          <cell r="Y7">
            <v>-0.91434286200000003</v>
          </cell>
          <cell r="Z7">
            <v>-0.90973932700000004</v>
          </cell>
          <cell r="AA7">
            <v>-0.911151708</v>
          </cell>
          <cell r="AB7">
            <v>-0.91236113600000002</v>
          </cell>
          <cell r="AC7">
            <v>-0.913378939</v>
          </cell>
          <cell r="AD7">
            <v>-0.91492358900000004</v>
          </cell>
          <cell r="AE7">
            <v>-0.916568991</v>
          </cell>
          <cell r="AF7">
            <v>-0.917975192</v>
          </cell>
          <cell r="AG7">
            <v>-0.91899447199999995</v>
          </cell>
          <cell r="AH7">
            <v>-0.91990181999999998</v>
          </cell>
          <cell r="AI7">
            <v>-0.92138659199999995</v>
          </cell>
          <cell r="AJ7">
            <v>-0.91890840600000001</v>
          </cell>
          <cell r="AK7">
            <v>-0.91369743599999997</v>
          </cell>
          <cell r="AL7">
            <v>-0.90864625700000001</v>
          </cell>
          <cell r="AM7">
            <v>-0.90324947200000005</v>
          </cell>
          <cell r="AN7">
            <v>-0.898038848</v>
          </cell>
          <cell r="AO7">
            <v>-0.89273813999999996</v>
          </cell>
          <cell r="AP7">
            <v>-0.88767747399999997</v>
          </cell>
          <cell r="AQ7">
            <v>-0.88234490099999996</v>
          </cell>
          <cell r="AR7">
            <v>-0.877221629</v>
          </cell>
          <cell r="AS7">
            <v>-0.87144518400000004</v>
          </cell>
          <cell r="AT7">
            <v>-0.865301392</v>
          </cell>
          <cell r="AU7">
            <v>-0.86021913100000003</v>
          </cell>
          <cell r="AV7">
            <v>-0.85444917799999998</v>
          </cell>
          <cell r="AW7">
            <v>-0.84948297699999997</v>
          </cell>
          <cell r="AX7">
            <v>-0.84443765400000004</v>
          </cell>
          <cell r="AY7">
            <v>-0.83937055699999996</v>
          </cell>
          <cell r="AZ7">
            <v>-0.83414928600000005</v>
          </cell>
          <cell r="BA7">
            <v>-0.82763005700000003</v>
          </cell>
          <cell r="BB7">
            <v>-0.82173058200000004</v>
          </cell>
          <cell r="BC7">
            <v>-0.81618951299999998</v>
          </cell>
          <cell r="BD7">
            <v>-0.81181404000000001</v>
          </cell>
          <cell r="BE7">
            <v>-0.80841948399999997</v>
          </cell>
          <cell r="BF7">
            <v>-0.80524865400000001</v>
          </cell>
          <cell r="BG7">
            <v>-0.80213909000000005</v>
          </cell>
          <cell r="BH7">
            <v>-0.79888104500000001</v>
          </cell>
          <cell r="BI7">
            <v>-0.79571530099999999</v>
          </cell>
          <cell r="BJ7">
            <v>-0.79254004</v>
          </cell>
          <cell r="BK7">
            <v>-0.78937410200000002</v>
          </cell>
          <cell r="BL7">
            <v>-0.78617300599999995</v>
          </cell>
          <cell r="BM7">
            <v>-0.78304143999999998</v>
          </cell>
          <cell r="BN7">
            <v>-0.78031668700000001</v>
          </cell>
          <cell r="BO7">
            <v>-0.77652004399999996</v>
          </cell>
          <cell r="BP7">
            <v>-0.77225637599999997</v>
          </cell>
          <cell r="BQ7">
            <v>-0.76880587600000005</v>
          </cell>
          <cell r="BR7">
            <v>-0.76509501000000002</v>
          </cell>
          <cell r="BS7">
            <v>-0.76092623400000003</v>
          </cell>
          <cell r="BT7">
            <v>-0.75675782599999997</v>
          </cell>
          <cell r="BU7">
            <v>-0.75337786100000004</v>
          </cell>
          <cell r="BV7">
            <v>-0.74984499299999996</v>
          </cell>
          <cell r="BW7">
            <v>-0.74616840900000003</v>
          </cell>
          <cell r="BX7">
            <v>-0.74355365100000004</v>
          </cell>
          <cell r="BY7">
            <v>-0.741567859</v>
          </cell>
          <cell r="BZ7">
            <v>-0.73940119599999998</v>
          </cell>
          <cell r="CA7">
            <v>-0.73733004000000002</v>
          </cell>
          <cell r="CB7">
            <v>-0.73523755599999996</v>
          </cell>
          <cell r="CC7">
            <v>-0.73346109999999998</v>
          </cell>
          <cell r="CD7">
            <v>-0.73129072399999995</v>
          </cell>
          <cell r="CE7">
            <v>-0.72946731799999998</v>
          </cell>
          <cell r="CF7">
            <v>-0.72842375800000003</v>
          </cell>
          <cell r="CG7">
            <v>-0.72687600900000005</v>
          </cell>
          <cell r="CH7">
            <v>-0.724018732</v>
          </cell>
          <cell r="CI7">
            <v>-0.72148779900000004</v>
          </cell>
          <cell r="CJ7">
            <v>-0.71821235299999997</v>
          </cell>
          <cell r="CK7">
            <v>-0.71540581800000003</v>
          </cell>
          <cell r="CL7">
            <v>-0.71290738200000003</v>
          </cell>
          <cell r="CM7">
            <v>-0.71026955899999999</v>
          </cell>
          <cell r="CN7">
            <v>-0.70752597699999997</v>
          </cell>
          <cell r="CO7">
            <v>-0.70524546700000001</v>
          </cell>
          <cell r="CP7">
            <v>-0.70291923700000003</v>
          </cell>
          <cell r="CQ7">
            <v>-0.70005358299999998</v>
          </cell>
          <cell r="CR7">
            <v>-0.69704095099999996</v>
          </cell>
          <cell r="CS7">
            <v>-0.69352589399999998</v>
          </cell>
          <cell r="CT7">
            <v>-0.68991820100000001</v>
          </cell>
          <cell r="CU7">
            <v>-0.68623649900000006</v>
          </cell>
          <cell r="CV7">
            <v>-0.68249378299999996</v>
          </cell>
          <cell r="CW7">
            <v>-0.67857524800000002</v>
          </cell>
          <cell r="CX7">
            <v>-0.67511814800000003</v>
          </cell>
          <cell r="CY7">
            <v>-0.67180788499999999</v>
          </cell>
          <cell r="CZ7">
            <v>-0.66796829300000005</v>
          </cell>
          <cell r="DA7">
            <v>-0.66383507500000005</v>
          </cell>
          <cell r="DB7">
            <v>-0.662173126</v>
          </cell>
        </row>
        <row r="8">
          <cell r="D8" t="str">
            <v>AR5 climate diagnostics|Forcing|CH4|FAIR|MED</v>
          </cell>
          <cell r="E8" t="str">
            <v>W/m2</v>
          </cell>
          <cell r="P8">
            <v>0.61899999999999999</v>
          </cell>
          <cell r="Q8">
            <v>0.623</v>
          </cell>
          <cell r="R8">
            <v>0.628</v>
          </cell>
          <cell r="S8">
            <v>0.63200000000000001</v>
          </cell>
          <cell r="T8">
            <v>0.63500000000000001</v>
          </cell>
          <cell r="U8">
            <v>0.63900000000000001</v>
          </cell>
          <cell r="V8">
            <v>0.64200000000000002</v>
          </cell>
          <cell r="W8">
            <v>0.64500000000000002</v>
          </cell>
          <cell r="X8">
            <v>0.64700000000000002</v>
          </cell>
          <cell r="Y8">
            <v>0.65</v>
          </cell>
          <cell r="Z8">
            <v>0.65200000000000002</v>
          </cell>
          <cell r="AA8">
            <v>0.65500000000000003</v>
          </cell>
          <cell r="AB8">
            <v>0.65700000000000003</v>
          </cell>
          <cell r="AC8">
            <v>0.65900000000000003</v>
          </cell>
          <cell r="AD8">
            <v>0.66200000000000003</v>
          </cell>
          <cell r="AE8">
            <v>0.66400000000000003</v>
          </cell>
          <cell r="AF8">
            <v>0.66600000000000004</v>
          </cell>
          <cell r="AG8">
            <v>0.66900000000000004</v>
          </cell>
          <cell r="AH8">
            <v>0.67100000000000004</v>
          </cell>
          <cell r="AI8">
            <v>0.67300000000000004</v>
          </cell>
          <cell r="AJ8">
            <v>0.67600000000000005</v>
          </cell>
          <cell r="AK8">
            <v>0.67800000000000005</v>
          </cell>
          <cell r="AL8">
            <v>0.68</v>
          </cell>
          <cell r="AM8">
            <v>0.68200000000000005</v>
          </cell>
          <cell r="AN8">
            <v>0.68400000000000005</v>
          </cell>
          <cell r="AO8">
            <v>0.68600000000000005</v>
          </cell>
          <cell r="AP8">
            <v>0.68799999999999994</v>
          </cell>
          <cell r="AQ8">
            <v>0.68899999999999995</v>
          </cell>
          <cell r="AR8">
            <v>0.69099999999999995</v>
          </cell>
          <cell r="AS8">
            <v>0.69299999999999995</v>
          </cell>
          <cell r="AT8">
            <v>0.69399999999999995</v>
          </cell>
          <cell r="AU8">
            <v>0.69599999999999995</v>
          </cell>
          <cell r="AV8">
            <v>0.69799999999999995</v>
          </cell>
          <cell r="AW8">
            <v>0.69899999999999995</v>
          </cell>
          <cell r="AX8">
            <v>0.7</v>
          </cell>
          <cell r="AY8">
            <v>0.70199999999999996</v>
          </cell>
          <cell r="AZ8">
            <v>0.70299999999999996</v>
          </cell>
          <cell r="BA8">
            <v>0.70399999999999996</v>
          </cell>
          <cell r="BB8">
            <v>0.70499999999999996</v>
          </cell>
          <cell r="BC8">
            <v>0.70699999999999996</v>
          </cell>
          <cell r="BD8">
            <v>0.70799999999999996</v>
          </cell>
          <cell r="BE8">
            <v>0.70899999999999996</v>
          </cell>
          <cell r="BF8">
            <v>0.71</v>
          </cell>
          <cell r="BG8">
            <v>0.71099999999999997</v>
          </cell>
          <cell r="BH8">
            <v>0.71299999999999997</v>
          </cell>
          <cell r="BI8">
            <v>0.71399999999999997</v>
          </cell>
          <cell r="BJ8">
            <v>0.71599999999999997</v>
          </cell>
          <cell r="BK8">
            <v>0.71699999999999997</v>
          </cell>
          <cell r="BL8">
            <v>0.71899999999999997</v>
          </cell>
          <cell r="BM8">
            <v>0.72</v>
          </cell>
          <cell r="BN8">
            <v>0.72199999999999998</v>
          </cell>
          <cell r="BO8">
            <v>0.72399999999999998</v>
          </cell>
          <cell r="BP8">
            <v>0.72499999999999998</v>
          </cell>
          <cell r="BQ8">
            <v>0.72699999999999998</v>
          </cell>
          <cell r="BR8">
            <v>0.72799999999999998</v>
          </cell>
          <cell r="BS8">
            <v>0.73</v>
          </cell>
          <cell r="BT8">
            <v>0.73099999999999998</v>
          </cell>
          <cell r="BU8">
            <v>0.73199999999999998</v>
          </cell>
          <cell r="BV8">
            <v>0.73399999999999999</v>
          </cell>
          <cell r="BW8">
            <v>0.73499999999999999</v>
          </cell>
          <cell r="BX8">
            <v>0.73599999999999999</v>
          </cell>
          <cell r="BY8">
            <v>0.73699999999999999</v>
          </cell>
          <cell r="BZ8">
            <v>0.73799999999999999</v>
          </cell>
          <cell r="CA8">
            <v>0.73899999999999999</v>
          </cell>
          <cell r="CB8">
            <v>0.74</v>
          </cell>
          <cell r="CC8">
            <v>0.74099999999999999</v>
          </cell>
          <cell r="CD8">
            <v>0.74199999999999999</v>
          </cell>
          <cell r="CE8">
            <v>0.74299999999999999</v>
          </cell>
          <cell r="CF8">
            <v>0.74399999999999999</v>
          </cell>
          <cell r="CG8">
            <v>0.745</v>
          </cell>
          <cell r="CH8">
            <v>0.745</v>
          </cell>
          <cell r="CI8">
            <v>0.746</v>
          </cell>
          <cell r="CJ8">
            <v>0.746</v>
          </cell>
          <cell r="CK8">
            <v>0.747</v>
          </cell>
          <cell r="CL8">
            <v>0.747</v>
          </cell>
          <cell r="CM8">
            <v>0.747</v>
          </cell>
          <cell r="CN8">
            <v>0.748</v>
          </cell>
          <cell r="CO8">
            <v>0.748</v>
          </cell>
          <cell r="CP8">
            <v>0.748</v>
          </cell>
          <cell r="CQ8">
            <v>0.748</v>
          </cell>
          <cell r="CR8">
            <v>0.748</v>
          </cell>
          <cell r="CS8">
            <v>0.748</v>
          </cell>
          <cell r="CT8">
            <v>0.747</v>
          </cell>
          <cell r="CU8">
            <v>0.747</v>
          </cell>
          <cell r="CV8">
            <v>0.747</v>
          </cell>
          <cell r="CW8">
            <v>0.746</v>
          </cell>
          <cell r="CX8">
            <v>0.745</v>
          </cell>
          <cell r="CY8">
            <v>0.74399999999999999</v>
          </cell>
          <cell r="CZ8">
            <v>0.74299999999999999</v>
          </cell>
          <cell r="DA8">
            <v>0.74199999999999999</v>
          </cell>
          <cell r="DB8">
            <v>0.74099999999999999</v>
          </cell>
        </row>
        <row r="9">
          <cell r="D9" t="str">
            <v>AR5 climate diagnostics|Forcing|CH4|MAGICC6|MED</v>
          </cell>
          <cell r="E9" t="str">
            <v>W/m2</v>
          </cell>
          <cell r="F9">
            <v>0.47844640799999999</v>
          </cell>
          <cell r="G9">
            <v>0.47842210200000002</v>
          </cell>
          <cell r="H9">
            <v>0.479552741</v>
          </cell>
          <cell r="I9">
            <v>0.48034452300000002</v>
          </cell>
          <cell r="J9">
            <v>0.47978061599999999</v>
          </cell>
          <cell r="K9">
            <v>0.47935098199999998</v>
          </cell>
          <cell r="L9">
            <v>0.48252825500000002</v>
          </cell>
          <cell r="M9">
            <v>0.48737852500000001</v>
          </cell>
          <cell r="N9">
            <v>0.49240772500000002</v>
          </cell>
          <cell r="O9">
            <v>0.49675179000000003</v>
          </cell>
          <cell r="P9">
            <v>0.50143369299999996</v>
          </cell>
          <cell r="Q9">
            <v>0.50559727200000004</v>
          </cell>
          <cell r="R9">
            <v>0.50977081499999999</v>
          </cell>
          <cell r="S9">
            <v>0.51344505799999995</v>
          </cell>
          <cell r="T9">
            <v>0.51679799999999998</v>
          </cell>
          <cell r="U9">
            <v>0.51987762299999996</v>
          </cell>
          <cell r="V9">
            <v>0.52245553099999997</v>
          </cell>
          <cell r="W9">
            <v>0.525010478</v>
          </cell>
          <cell r="X9">
            <v>0.52748600000000001</v>
          </cell>
          <cell r="Y9">
            <v>0.52985835800000003</v>
          </cell>
          <cell r="Z9">
            <v>0.53178060299999996</v>
          </cell>
          <cell r="AA9">
            <v>0.534100664</v>
          </cell>
          <cell r="AB9">
            <v>0.53602654900000002</v>
          </cell>
          <cell r="AC9">
            <v>0.53776840800000003</v>
          </cell>
          <cell r="AD9">
            <v>0.53956875299999996</v>
          </cell>
          <cell r="AE9">
            <v>0.54119125599999995</v>
          </cell>
          <cell r="AF9">
            <v>0.54272471</v>
          </cell>
          <cell r="AG9">
            <v>0.54454413999999995</v>
          </cell>
          <cell r="AH9">
            <v>0.54644128300000006</v>
          </cell>
          <cell r="AI9">
            <v>0.54822170800000003</v>
          </cell>
          <cell r="AJ9">
            <v>0.550221917</v>
          </cell>
          <cell r="AK9">
            <v>0.55186122400000004</v>
          </cell>
          <cell r="AL9">
            <v>0.55366238400000001</v>
          </cell>
          <cell r="AM9">
            <v>0.55510359600000003</v>
          </cell>
          <cell r="AN9">
            <v>0.55625311499999996</v>
          </cell>
          <cell r="AO9">
            <v>0.55777452100000002</v>
          </cell>
          <cell r="AP9">
            <v>0.55939566799999996</v>
          </cell>
          <cell r="AQ9">
            <v>0.56081378800000004</v>
          </cell>
          <cell r="AR9">
            <v>0.56218986400000004</v>
          </cell>
          <cell r="AS9">
            <v>0.56359568000000004</v>
          </cell>
          <cell r="AT9">
            <v>0.564823411</v>
          </cell>
          <cell r="AU9">
            <v>0.56586478699999998</v>
          </cell>
          <cell r="AV9">
            <v>0.56682658799999996</v>
          </cell>
          <cell r="AW9">
            <v>0.567618709</v>
          </cell>
          <cell r="AX9">
            <v>0.56862269300000001</v>
          </cell>
          <cell r="AY9">
            <v>0.56946333699999996</v>
          </cell>
          <cell r="AZ9">
            <v>0.57015871900000004</v>
          </cell>
          <cell r="BA9">
            <v>0.57110379200000005</v>
          </cell>
          <cell r="BB9">
            <v>0.57176243999999998</v>
          </cell>
          <cell r="BC9">
            <v>0.57214993800000002</v>
          </cell>
          <cell r="BD9">
            <v>0.57258485400000003</v>
          </cell>
          <cell r="BE9">
            <v>0.57314981399999998</v>
          </cell>
          <cell r="BF9">
            <v>0.57369744199999995</v>
          </cell>
          <cell r="BG9">
            <v>0.574244215</v>
          </cell>
          <cell r="BH9">
            <v>0.57477957300000004</v>
          </cell>
          <cell r="BI9">
            <v>0.57533761900000002</v>
          </cell>
          <cell r="BJ9">
            <v>0.575958529</v>
          </cell>
          <cell r="BK9">
            <v>0.57655191400000005</v>
          </cell>
          <cell r="BL9">
            <v>0.57715371500000001</v>
          </cell>
          <cell r="BM9">
            <v>0.57779322200000005</v>
          </cell>
          <cell r="BN9">
            <v>0.57852346399999999</v>
          </cell>
          <cell r="BO9">
            <v>0.57925247000000002</v>
          </cell>
          <cell r="BP9">
            <v>0.57985642299999995</v>
          </cell>
          <cell r="BQ9">
            <v>0.58031913700000004</v>
          </cell>
          <cell r="BR9">
            <v>0.58078591400000001</v>
          </cell>
          <cell r="BS9">
            <v>0.58093305900000003</v>
          </cell>
          <cell r="BT9">
            <v>0.580985478</v>
          </cell>
          <cell r="BU9">
            <v>0.58100246499999997</v>
          </cell>
          <cell r="BV9">
            <v>0.58120918200000005</v>
          </cell>
          <cell r="BW9">
            <v>0.58177838299999995</v>
          </cell>
          <cell r="BX9">
            <v>0.58186157699999996</v>
          </cell>
          <cell r="BY9">
            <v>0.58175912500000004</v>
          </cell>
          <cell r="BZ9">
            <v>0.58162431999999997</v>
          </cell>
          <cell r="CA9">
            <v>0.58164344000000001</v>
          </cell>
          <cell r="CB9">
            <v>0.58193506800000006</v>
          </cell>
          <cell r="CC9">
            <v>0.58202654200000004</v>
          </cell>
          <cell r="CD9">
            <v>0.58212552900000003</v>
          </cell>
          <cell r="CE9">
            <v>0.58180252899999996</v>
          </cell>
          <cell r="CF9">
            <v>0.58181579999999999</v>
          </cell>
          <cell r="CG9">
            <v>0.58167360499999998</v>
          </cell>
          <cell r="CH9">
            <v>0.58101574899999997</v>
          </cell>
          <cell r="CI9">
            <v>0.58059006199999996</v>
          </cell>
          <cell r="CJ9">
            <v>0.58017899799999995</v>
          </cell>
          <cell r="CK9">
            <v>0.57957599699999995</v>
          </cell>
          <cell r="CL9">
            <v>0.57899464700000003</v>
          </cell>
          <cell r="CM9">
            <v>0.578177414</v>
          </cell>
          <cell r="CN9">
            <v>0.57738507999999999</v>
          </cell>
          <cell r="CO9">
            <v>0.57648157200000005</v>
          </cell>
          <cell r="CP9">
            <v>0.57566186100000005</v>
          </cell>
          <cell r="CQ9">
            <v>0.57469880799999995</v>
          </cell>
          <cell r="CR9">
            <v>0.57364824599999997</v>
          </cell>
          <cell r="CS9">
            <v>0.57257650500000001</v>
          </cell>
          <cell r="CT9">
            <v>0.57106069599999998</v>
          </cell>
          <cell r="CU9">
            <v>0.56975435699999999</v>
          </cell>
          <cell r="CV9">
            <v>0.56849590800000005</v>
          </cell>
          <cell r="CW9">
            <v>0.567125043</v>
          </cell>
          <cell r="CX9">
            <v>0.56551123299999995</v>
          </cell>
          <cell r="CY9">
            <v>0.56375657599999995</v>
          </cell>
          <cell r="CZ9">
            <v>0.56186819999999904</v>
          </cell>
          <cell r="DA9">
            <v>0.56016692800000001</v>
          </cell>
          <cell r="DB9">
            <v>0.55815124199999999</v>
          </cell>
        </row>
        <row r="10">
          <cell r="D10" t="str">
            <v>AR5 climate diagnostics|Forcing|CO2|FAIR|MED</v>
          </cell>
          <cell r="E10" t="str">
            <v>W/m2</v>
          </cell>
          <cell r="P10">
            <v>1.796</v>
          </cell>
          <cell r="Q10">
            <v>1.8240000000000001</v>
          </cell>
          <cell r="R10">
            <v>1.851</v>
          </cell>
          <cell r="S10">
            <v>1.883</v>
          </cell>
          <cell r="T10">
            <v>1.9139999999999999</v>
          </cell>
          <cell r="U10">
            <v>1.9470000000000001</v>
          </cell>
          <cell r="V10">
            <v>1.98</v>
          </cell>
          <cell r="W10">
            <v>2.012</v>
          </cell>
          <cell r="X10">
            <v>2.0459999999999998</v>
          </cell>
          <cell r="Y10">
            <v>2.08</v>
          </cell>
          <cell r="Z10">
            <v>2.1139999999999999</v>
          </cell>
          <cell r="AA10">
            <v>2.1480000000000001</v>
          </cell>
          <cell r="AB10">
            <v>2.1829999999999998</v>
          </cell>
          <cell r="AC10">
            <v>2.2189999999999999</v>
          </cell>
          <cell r="AD10">
            <v>2.254</v>
          </cell>
          <cell r="AE10">
            <v>2.2930000000000001</v>
          </cell>
          <cell r="AF10">
            <v>2.3319999999999999</v>
          </cell>
          <cell r="AG10">
            <v>2.367</v>
          </cell>
          <cell r="AH10">
            <v>2.403</v>
          </cell>
          <cell r="AI10">
            <v>2.4409999999999998</v>
          </cell>
          <cell r="AJ10">
            <v>2.48</v>
          </cell>
          <cell r="AK10">
            <v>2.52</v>
          </cell>
          <cell r="AL10">
            <v>2.5590000000000002</v>
          </cell>
          <cell r="AM10">
            <v>2.5990000000000002</v>
          </cell>
          <cell r="AN10">
            <v>2.64</v>
          </cell>
          <cell r="AO10">
            <v>2.681</v>
          </cell>
          <cell r="AP10">
            <v>2.722</v>
          </cell>
          <cell r="AQ10">
            <v>2.7639999999999998</v>
          </cell>
          <cell r="AR10">
            <v>2.806</v>
          </cell>
          <cell r="AS10">
            <v>2.8490000000000002</v>
          </cell>
          <cell r="AT10">
            <v>2.8929999999999998</v>
          </cell>
          <cell r="AU10">
            <v>2.9369999999999998</v>
          </cell>
          <cell r="AV10">
            <v>2.9790000000000001</v>
          </cell>
          <cell r="AW10">
            <v>3.0219999999999998</v>
          </cell>
          <cell r="AX10">
            <v>3.0649999999999999</v>
          </cell>
          <cell r="AY10">
            <v>3.1070000000000002</v>
          </cell>
          <cell r="AZ10">
            <v>3.149</v>
          </cell>
          <cell r="BA10">
            <v>3.1949999999999998</v>
          </cell>
          <cell r="BB10">
            <v>3.24</v>
          </cell>
          <cell r="BC10">
            <v>3.2869999999999999</v>
          </cell>
          <cell r="BD10">
            <v>3.3330000000000002</v>
          </cell>
          <cell r="BE10">
            <v>3.3780000000000001</v>
          </cell>
          <cell r="BF10">
            <v>3.4209999999999998</v>
          </cell>
          <cell r="BG10">
            <v>3.4649999999999999</v>
          </cell>
          <cell r="BH10">
            <v>3.51</v>
          </cell>
          <cell r="BI10">
            <v>3.5550000000000002</v>
          </cell>
          <cell r="BJ10">
            <v>3.601</v>
          </cell>
          <cell r="BK10">
            <v>3.6469999999999998</v>
          </cell>
          <cell r="BL10">
            <v>3.6930000000000001</v>
          </cell>
          <cell r="BM10">
            <v>3.74</v>
          </cell>
          <cell r="BN10">
            <v>3.7869999999999999</v>
          </cell>
          <cell r="BO10">
            <v>3.8340000000000001</v>
          </cell>
          <cell r="BP10">
            <v>3.8809999999999998</v>
          </cell>
          <cell r="BQ10">
            <v>3.9279999999999999</v>
          </cell>
          <cell r="BR10">
            <v>3.9750000000000001</v>
          </cell>
          <cell r="BS10">
            <v>4.0229999999999997</v>
          </cell>
          <cell r="BT10">
            <v>4.07</v>
          </cell>
          <cell r="BU10">
            <v>4.1180000000000003</v>
          </cell>
          <cell r="BV10">
            <v>4.1660000000000004</v>
          </cell>
          <cell r="BW10">
            <v>4.2140000000000004</v>
          </cell>
          <cell r="BX10">
            <v>4.2619999999999996</v>
          </cell>
          <cell r="BY10">
            <v>4.3109999999999999</v>
          </cell>
          <cell r="BZ10">
            <v>4.3600000000000003</v>
          </cell>
          <cell r="CA10">
            <v>4.41</v>
          </cell>
          <cell r="CB10">
            <v>4.4589999999999996</v>
          </cell>
          <cell r="CC10">
            <v>4.508</v>
          </cell>
          <cell r="CD10">
            <v>4.5609999999999999</v>
          </cell>
          <cell r="CE10">
            <v>4.6120000000000001</v>
          </cell>
          <cell r="CF10">
            <v>4.6639999999999997</v>
          </cell>
          <cell r="CG10">
            <v>4.7169999999999996</v>
          </cell>
          <cell r="CH10">
            <v>4.7709999999999999</v>
          </cell>
          <cell r="CI10">
            <v>4.8250000000000002</v>
          </cell>
          <cell r="CJ10">
            <v>4.8789999999999996</v>
          </cell>
          <cell r="CK10">
            <v>4.9329999999999998</v>
          </cell>
          <cell r="CL10">
            <v>4.9870000000000001</v>
          </cell>
          <cell r="CM10">
            <v>5.0419999999999998</v>
          </cell>
          <cell r="CN10">
            <v>5.0970000000000004</v>
          </cell>
          <cell r="CO10">
            <v>5.1529999999999996</v>
          </cell>
          <cell r="CP10">
            <v>5.2080000000000002</v>
          </cell>
          <cell r="CQ10">
            <v>5.2640000000000002</v>
          </cell>
          <cell r="CR10">
            <v>5.32</v>
          </cell>
          <cell r="CS10">
            <v>5.3760000000000003</v>
          </cell>
          <cell r="CT10">
            <v>5.4329999999999998</v>
          </cell>
          <cell r="CU10">
            <v>5.49</v>
          </cell>
          <cell r="CV10">
            <v>5.5469999999999997</v>
          </cell>
          <cell r="CW10">
            <v>5.6029999999999998</v>
          </cell>
          <cell r="CX10">
            <v>5.657</v>
          </cell>
          <cell r="CY10">
            <v>5.7130000000000001</v>
          </cell>
          <cell r="CZ10">
            <v>5.77</v>
          </cell>
          <cell r="DA10">
            <v>5.8259999999999996</v>
          </cell>
          <cell r="DB10">
            <v>5.8819999999999997</v>
          </cell>
        </row>
        <row r="11">
          <cell r="D11" t="str">
            <v>AR5 climate diagnostics|Forcing|CO2|MAGICC6|MED</v>
          </cell>
          <cell r="E11" t="str">
            <v>W/m2</v>
          </cell>
          <cell r="F11">
            <v>1.5452312420000001</v>
          </cell>
          <cell r="G11">
            <v>1.5714953469999999</v>
          </cell>
          <cell r="H11">
            <v>1.604522169</v>
          </cell>
          <cell r="I11">
            <v>1.6357067350000001</v>
          </cell>
          <cell r="J11">
            <v>1.6630935549999999</v>
          </cell>
          <cell r="K11">
            <v>1.6924585620000001</v>
          </cell>
          <cell r="L11">
            <v>1.7199789560000001</v>
          </cell>
          <cell r="M11">
            <v>1.747219098</v>
          </cell>
          <cell r="N11">
            <v>1.7764754739999999</v>
          </cell>
          <cell r="O11">
            <v>1.8109352080000001</v>
          </cell>
          <cell r="P11">
            <v>1.8463196470000001</v>
          </cell>
          <cell r="Q11">
            <v>1.8812040649999999</v>
          </cell>
          <cell r="R11">
            <v>1.91688513</v>
          </cell>
          <cell r="S11">
            <v>1.949030697</v>
          </cell>
          <cell r="T11">
            <v>1.983248436</v>
          </cell>
          <cell r="U11">
            <v>2.0165795430000002</v>
          </cell>
          <cell r="V11">
            <v>2.0539652890000002</v>
          </cell>
          <cell r="W11">
            <v>2.0890396710000001</v>
          </cell>
          <cell r="X11">
            <v>2.1230468579999999</v>
          </cell>
          <cell r="Y11">
            <v>2.1575906950000001</v>
          </cell>
          <cell r="Z11">
            <v>2.1902183489999998</v>
          </cell>
          <cell r="AA11">
            <v>2.2262750160000002</v>
          </cell>
          <cell r="AB11">
            <v>2.2632181949999999</v>
          </cell>
          <cell r="AC11">
            <v>2.29788024</v>
          </cell>
          <cell r="AD11">
            <v>2.3324568280000002</v>
          </cell>
          <cell r="AE11">
            <v>2.3691307730000002</v>
          </cell>
          <cell r="AF11">
            <v>2.4054972019999998</v>
          </cell>
          <cell r="AG11">
            <v>2.4404615249999999</v>
          </cell>
          <cell r="AH11">
            <v>2.4809468109999999</v>
          </cell>
          <cell r="AI11">
            <v>2.5197190819999999</v>
          </cell>
          <cell r="AJ11">
            <v>2.5567733559999999</v>
          </cell>
          <cell r="AK11">
            <v>2.5932980670000001</v>
          </cell>
          <cell r="AL11">
            <v>2.6318105639999998</v>
          </cell>
          <cell r="AM11">
            <v>2.6710814169999999</v>
          </cell>
          <cell r="AN11">
            <v>2.7115614510000001</v>
          </cell>
          <cell r="AO11">
            <v>2.7512882460000001</v>
          </cell>
          <cell r="AP11">
            <v>2.7926964330000001</v>
          </cell>
          <cell r="AQ11">
            <v>2.8338826259999998</v>
          </cell>
          <cell r="AR11">
            <v>2.8737051619999998</v>
          </cell>
          <cell r="AS11">
            <v>2.916016607</v>
          </cell>
          <cell r="AT11">
            <v>2.9573527180000001</v>
          </cell>
          <cell r="AU11">
            <v>2.99823635</v>
          </cell>
          <cell r="AV11">
            <v>3.0412344189999998</v>
          </cell>
          <cell r="AW11">
            <v>3.0843663380000002</v>
          </cell>
          <cell r="AX11">
            <v>3.1274789439999999</v>
          </cell>
          <cell r="AY11">
            <v>3.1697110340000001</v>
          </cell>
          <cell r="AZ11">
            <v>3.2124391139999999</v>
          </cell>
          <cell r="BA11">
            <v>3.2558714499999999</v>
          </cell>
          <cell r="BB11">
            <v>3.2989988540000001</v>
          </cell>
          <cell r="BC11">
            <v>3.342122909</v>
          </cell>
          <cell r="BD11">
            <v>3.38547749</v>
          </cell>
          <cell r="BE11">
            <v>3.4289324670000001</v>
          </cell>
          <cell r="BF11">
            <v>3.4719703399999999</v>
          </cell>
          <cell r="BG11">
            <v>3.5152800169999998</v>
          </cell>
          <cell r="BH11">
            <v>3.560447006</v>
          </cell>
          <cell r="BI11">
            <v>3.606393658</v>
          </cell>
          <cell r="BJ11">
            <v>3.6511181939999999</v>
          </cell>
          <cell r="BK11">
            <v>3.694132717</v>
          </cell>
          <cell r="BL11">
            <v>3.7376413839999998</v>
          </cell>
          <cell r="BM11">
            <v>3.7829989149999999</v>
          </cell>
          <cell r="BN11">
            <v>3.8288464520000001</v>
          </cell>
          <cell r="BO11">
            <v>3.8734737250000002</v>
          </cell>
          <cell r="BP11">
            <v>3.9185635890000001</v>
          </cell>
          <cell r="BQ11">
            <v>3.962800804</v>
          </cell>
          <cell r="BR11">
            <v>4.0087866270000001</v>
          </cell>
          <cell r="BS11">
            <v>4.0549281050000001</v>
          </cell>
          <cell r="BT11">
            <v>4.0998817860000001</v>
          </cell>
          <cell r="BU11">
            <v>4.1446361679999999</v>
          </cell>
          <cell r="BV11">
            <v>4.1899743340000004</v>
          </cell>
          <cell r="BW11">
            <v>4.2348928319999999</v>
          </cell>
          <cell r="BX11">
            <v>4.2805700389999997</v>
          </cell>
          <cell r="BY11">
            <v>4.3262528969999998</v>
          </cell>
          <cell r="BZ11">
            <v>4.3726242360000001</v>
          </cell>
          <cell r="CA11">
            <v>4.4196839079999997</v>
          </cell>
          <cell r="CB11">
            <v>4.4671268629999998</v>
          </cell>
          <cell r="CC11">
            <v>4.5149349589999996</v>
          </cell>
          <cell r="CD11">
            <v>4.5630910619999998</v>
          </cell>
          <cell r="CE11">
            <v>4.6115792320000004</v>
          </cell>
          <cell r="CF11">
            <v>4.6611973210000004</v>
          </cell>
          <cell r="CG11">
            <v>4.7101146170000003</v>
          </cell>
          <cell r="CH11">
            <v>4.7568450880000004</v>
          </cell>
          <cell r="CI11">
            <v>4.8064764240000004</v>
          </cell>
          <cell r="CJ11">
            <v>4.8563253120000001</v>
          </cell>
          <cell r="CK11">
            <v>4.907195465</v>
          </cell>
          <cell r="CL11">
            <v>4.9566201689999998</v>
          </cell>
          <cell r="CM11">
            <v>5.0072823450000001</v>
          </cell>
          <cell r="CN11">
            <v>5.0557805580000004</v>
          </cell>
          <cell r="CO11">
            <v>5.1049148320000004</v>
          </cell>
          <cell r="CP11">
            <v>5.1575922649999999</v>
          </cell>
          <cell r="CQ11">
            <v>5.2079648880000002</v>
          </cell>
          <cell r="CR11">
            <v>5.2584498110000002</v>
          </cell>
          <cell r="CS11">
            <v>5.3082506399999998</v>
          </cell>
          <cell r="CT11">
            <v>5.3603940840000002</v>
          </cell>
          <cell r="CU11">
            <v>5.4105530489999998</v>
          </cell>
          <cell r="CV11">
            <v>5.4587043179999997</v>
          </cell>
          <cell r="CW11">
            <v>5.5077256410000004</v>
          </cell>
          <cell r="CX11">
            <v>5.5574737619999999</v>
          </cell>
          <cell r="CY11">
            <v>5.6071438889999996</v>
          </cell>
          <cell r="CZ11">
            <v>5.6569449150000004</v>
          </cell>
          <cell r="DA11">
            <v>5.7078750600000001</v>
          </cell>
          <cell r="DB11">
            <v>5.7571024749999999</v>
          </cell>
        </row>
        <row r="12">
          <cell r="D12" t="str">
            <v>AR5 climate diagnostics|Forcing|F-Gases|MAGICC6|MED</v>
          </cell>
          <cell r="E12" t="str">
            <v>W/m2</v>
          </cell>
          <cell r="F12">
            <v>1.3493409E-2</v>
          </cell>
          <cell r="G12">
            <v>1.4659307999999999E-2</v>
          </cell>
          <cell r="H12">
            <v>1.5909260000000001E-2</v>
          </cell>
          <cell r="I12">
            <v>1.7233054000000001E-2</v>
          </cell>
          <cell r="J12">
            <v>1.8652854E-2</v>
          </cell>
          <cell r="K12">
            <v>2.0104673E-2</v>
          </cell>
          <cell r="L12">
            <v>2.1541807E-2</v>
          </cell>
          <cell r="M12">
            <v>2.3111955E-2</v>
          </cell>
          <cell r="N12">
            <v>2.4696216E-2</v>
          </cell>
          <cell r="O12">
            <v>2.6378394999999999E-2</v>
          </cell>
          <cell r="P12">
            <v>2.8153858E-2</v>
          </cell>
          <cell r="Q12">
            <v>3.0598918999999999E-2</v>
          </cell>
          <cell r="R12">
            <v>3.3194729999999999E-2</v>
          </cell>
          <cell r="S12">
            <v>3.5931545000000002E-2</v>
          </cell>
          <cell r="T12">
            <v>3.8802009999999998E-2</v>
          </cell>
          <cell r="U12">
            <v>4.1799374E-2</v>
          </cell>
          <cell r="V12">
            <v>4.4917835000000003E-2</v>
          </cell>
          <cell r="W12">
            <v>4.8151346999999997E-2</v>
          </cell>
          <cell r="X12">
            <v>5.1496856000000001E-2</v>
          </cell>
          <cell r="Y12">
            <v>5.4949126000000001E-2</v>
          </cell>
          <cell r="Z12">
            <v>5.8504995999999997E-2</v>
          </cell>
          <cell r="AA12">
            <v>6.2159523000000001E-2</v>
          </cell>
          <cell r="AB12">
            <v>6.5684044999999996E-2</v>
          </cell>
          <cell r="AC12">
            <v>6.9095194999999998E-2</v>
          </cell>
          <cell r="AD12">
            <v>7.2405867999999998E-2</v>
          </cell>
          <cell r="AE12">
            <v>7.5628382999999993E-2</v>
          </cell>
          <cell r="AF12">
            <v>7.8773669000000004E-2</v>
          </cell>
          <cell r="AG12">
            <v>8.1853123E-2</v>
          </cell>
          <cell r="AH12">
            <v>8.4874660000000005E-2</v>
          </cell>
          <cell r="AI12">
            <v>8.7846473999999994E-2</v>
          </cell>
          <cell r="AJ12">
            <v>9.077114E-2</v>
          </cell>
          <cell r="AK12">
            <v>9.3657612000000001E-2</v>
          </cell>
          <cell r="AL12">
            <v>9.6592333000000002E-2</v>
          </cell>
          <cell r="AM12">
            <v>9.9571829000000001E-2</v>
          </cell>
          <cell r="AN12">
            <v>0.10259246499999999</v>
          </cell>
          <cell r="AO12">
            <v>0.105649548</v>
          </cell>
          <cell r="AP12">
            <v>0.108742846</v>
          </cell>
          <cell r="AQ12">
            <v>0.111870181</v>
          </cell>
          <cell r="AR12">
            <v>0.11502744299999999</v>
          </cell>
          <cell r="AS12">
            <v>0.118213832</v>
          </cell>
          <cell r="AT12">
            <v>0.121424354</v>
          </cell>
          <cell r="AU12">
            <v>0.12465699</v>
          </cell>
          <cell r="AV12">
            <v>0.12793827999999999</v>
          </cell>
          <cell r="AW12">
            <v>0.13126489799999999</v>
          </cell>
          <cell r="AX12">
            <v>0.134626212</v>
          </cell>
          <cell r="AY12">
            <v>0.13802479200000001</v>
          </cell>
          <cell r="AZ12">
            <v>0.14145421899999999</v>
          </cell>
          <cell r="BA12">
            <v>0.14491808</v>
          </cell>
          <cell r="BB12">
            <v>0.14841028000000001</v>
          </cell>
          <cell r="BC12">
            <v>0.15192291399999999</v>
          </cell>
          <cell r="BD12">
            <v>0.15545542200000001</v>
          </cell>
          <cell r="BE12">
            <v>0.15901933400000001</v>
          </cell>
          <cell r="BF12">
            <v>0.16261790100000001</v>
          </cell>
          <cell r="BG12">
            <v>0.16625084700000001</v>
          </cell>
          <cell r="BH12">
            <v>0.169949452</v>
          </cell>
          <cell r="BI12">
            <v>0.17367918299999999</v>
          </cell>
          <cell r="BJ12">
            <v>0.17742966399999999</v>
          </cell>
          <cell r="BK12">
            <v>0.18122632899999999</v>
          </cell>
          <cell r="BL12">
            <v>0.18503151500000001</v>
          </cell>
          <cell r="BM12">
            <v>0.18887321300000001</v>
          </cell>
          <cell r="BN12">
            <v>0.19274545200000001</v>
          </cell>
          <cell r="BO12">
            <v>0.196628571</v>
          </cell>
          <cell r="BP12">
            <v>0.200620884</v>
          </cell>
          <cell r="BQ12">
            <v>0.20469417600000001</v>
          </cell>
          <cell r="BR12">
            <v>0.20886960099999999</v>
          </cell>
          <cell r="BS12">
            <v>0.213096123</v>
          </cell>
          <cell r="BT12">
            <v>0.21740842199999999</v>
          </cell>
          <cell r="BU12">
            <v>0.221765343</v>
          </cell>
          <cell r="BV12">
            <v>0.226191117</v>
          </cell>
          <cell r="BW12">
            <v>0.23063692699999999</v>
          </cell>
          <cell r="BX12">
            <v>0.23514265000000001</v>
          </cell>
          <cell r="BY12">
            <v>0.23971381999999999</v>
          </cell>
          <cell r="BZ12">
            <v>0.24430279299999999</v>
          </cell>
          <cell r="CA12">
            <v>0.248939146</v>
          </cell>
          <cell r="CB12">
            <v>0.25363737400000003</v>
          </cell>
          <cell r="CC12">
            <v>0.25837175400000001</v>
          </cell>
          <cell r="CD12">
            <v>0.26315740799999998</v>
          </cell>
          <cell r="CE12">
            <v>0.267966553</v>
          </cell>
          <cell r="CF12">
            <v>0.272785053</v>
          </cell>
          <cell r="CG12">
            <v>0.27764385800000002</v>
          </cell>
          <cell r="CH12">
            <v>0.28249592200000001</v>
          </cell>
          <cell r="CI12">
            <v>0.28743898200000001</v>
          </cell>
          <cell r="CJ12">
            <v>0.29237576700000001</v>
          </cell>
          <cell r="CK12">
            <v>0.29737941499999998</v>
          </cell>
          <cell r="CL12">
            <v>0.30244637899999999</v>
          </cell>
          <cell r="CM12">
            <v>0.30745404399999998</v>
          </cell>
          <cell r="CN12">
            <v>0.31254641700000002</v>
          </cell>
          <cell r="CO12">
            <v>0.31763894300000001</v>
          </cell>
          <cell r="CP12">
            <v>0.322762094</v>
          </cell>
          <cell r="CQ12">
            <v>0.327817786</v>
          </cell>
          <cell r="CR12">
            <v>0.332848859</v>
          </cell>
          <cell r="CS12">
            <v>0.338004154</v>
          </cell>
          <cell r="CT12">
            <v>0.34318717199999998</v>
          </cell>
          <cell r="CU12">
            <v>0.348312181</v>
          </cell>
          <cell r="CV12">
            <v>0.35347193100000002</v>
          </cell>
          <cell r="CW12">
            <v>0.35863789800000001</v>
          </cell>
          <cell r="CX12">
            <v>0.36379786200000003</v>
          </cell>
          <cell r="CY12">
            <v>0.369013604</v>
          </cell>
          <cell r="CZ12">
            <v>0.37420885799999998</v>
          </cell>
          <cell r="DA12">
            <v>0.37943244100000001</v>
          </cell>
          <cell r="DB12">
            <v>0.38464285799999998</v>
          </cell>
        </row>
        <row r="13">
          <cell r="D13" t="str">
            <v>AR5 climate diagnostics|Forcing|FAIR|MED</v>
          </cell>
          <cell r="E13" t="str">
            <v>W/m2</v>
          </cell>
          <cell r="P13">
            <v>2.242</v>
          </cell>
          <cell r="Q13">
            <v>2.294</v>
          </cell>
          <cell r="R13">
            <v>2.3490000000000002</v>
          </cell>
          <cell r="S13">
            <v>2.41</v>
          </cell>
          <cell r="T13">
            <v>2.4700000000000002</v>
          </cell>
          <cell r="U13">
            <v>2.524</v>
          </cell>
          <cell r="V13">
            <v>2.58699999999999</v>
          </cell>
          <cell r="W13">
            <v>2.6440000000000001</v>
          </cell>
          <cell r="X13">
            <v>2.6909999999999998</v>
          </cell>
          <cell r="Y13">
            <v>2.742</v>
          </cell>
          <cell r="Z13">
            <v>2.8069999999999999</v>
          </cell>
          <cell r="AA13">
            <v>2.85</v>
          </cell>
          <cell r="AB13">
            <v>2.891</v>
          </cell>
          <cell r="AC13">
            <v>2.9319999999999999</v>
          </cell>
          <cell r="AD13">
            <v>2.9729999999999999</v>
          </cell>
          <cell r="AE13">
            <v>3.0110000000000001</v>
          </cell>
          <cell r="AF13">
            <v>3.0510000000000002</v>
          </cell>
          <cell r="AG13">
            <v>3.0910000000000002</v>
          </cell>
          <cell r="AH13">
            <v>3.1269999999999998</v>
          </cell>
          <cell r="AI13">
            <v>3.1659999999999999</v>
          </cell>
          <cell r="AJ13">
            <v>3.2080000000000002</v>
          </cell>
          <cell r="AK13">
            <v>3.2559999999999998</v>
          </cell>
          <cell r="AL13">
            <v>3.302</v>
          </cell>
          <cell r="AM13">
            <v>3.3450000000000002</v>
          </cell>
          <cell r="AN13">
            <v>3.387</v>
          </cell>
          <cell r="AO13">
            <v>3.431</v>
          </cell>
          <cell r="AP13">
            <v>3.47</v>
          </cell>
          <cell r="AQ13">
            <v>3.52</v>
          </cell>
          <cell r="AR13">
            <v>3.57</v>
          </cell>
          <cell r="AS13">
            <v>3.62</v>
          </cell>
          <cell r="AT13">
            <v>3.67</v>
          </cell>
          <cell r="AU13">
            <v>3.7149999999999999</v>
          </cell>
          <cell r="AV13">
            <v>3.7610000000000001</v>
          </cell>
          <cell r="AW13">
            <v>3.8069999999999999</v>
          </cell>
          <cell r="AX13">
            <v>3.8580000000000001</v>
          </cell>
          <cell r="AY13">
            <v>3.9129999999999998</v>
          </cell>
          <cell r="AZ13">
            <v>3.9630000000000001</v>
          </cell>
          <cell r="BA13">
            <v>4.01</v>
          </cell>
          <cell r="BB13">
            <v>4.0620000000000003</v>
          </cell>
          <cell r="BC13">
            <v>4.1020000000000003</v>
          </cell>
          <cell r="BD13">
            <v>4.1500000000000004</v>
          </cell>
          <cell r="BE13">
            <v>4.2080000000000002</v>
          </cell>
          <cell r="BF13">
            <v>4.258</v>
          </cell>
          <cell r="BG13">
            <v>4.3079999999999998</v>
          </cell>
          <cell r="BH13">
            <v>4.3579999999999997</v>
          </cell>
          <cell r="BI13">
            <v>4.4080000000000004</v>
          </cell>
          <cell r="BJ13">
            <v>4.4589999999999996</v>
          </cell>
          <cell r="BK13">
            <v>4.5069999999999997</v>
          </cell>
          <cell r="BL13">
            <v>4.5579999999999998</v>
          </cell>
          <cell r="BM13">
            <v>4.6079999999999997</v>
          </cell>
          <cell r="BN13">
            <v>4.6589999999999998</v>
          </cell>
          <cell r="BO13">
            <v>4.7080000000000002</v>
          </cell>
          <cell r="BP13">
            <v>4.758</v>
          </cell>
          <cell r="BQ13">
            <v>4.8079999999999998</v>
          </cell>
          <cell r="BR13">
            <v>4.8620000000000001</v>
          </cell>
          <cell r="BS13">
            <v>4.9180000000000001</v>
          </cell>
          <cell r="BT13">
            <v>4.97</v>
          </cell>
          <cell r="BU13">
            <v>5.0229999999999997</v>
          </cell>
          <cell r="BV13">
            <v>5.0720000000000001</v>
          </cell>
          <cell r="BW13">
            <v>5.1210000000000004</v>
          </cell>
          <cell r="BX13">
            <v>5.1779999999999999</v>
          </cell>
          <cell r="BY13">
            <v>5.2359999999999998</v>
          </cell>
          <cell r="BZ13">
            <v>5.2960000000000003</v>
          </cell>
          <cell r="CA13">
            <v>5.359</v>
          </cell>
          <cell r="CB13">
            <v>5.4160000000000004</v>
          </cell>
          <cell r="CC13">
            <v>5.4710000000000001</v>
          </cell>
          <cell r="CD13">
            <v>5.5330000000000004</v>
          </cell>
          <cell r="CE13">
            <v>5.5960000000000001</v>
          </cell>
          <cell r="CF13">
            <v>5.6589999999999998</v>
          </cell>
          <cell r="CG13">
            <v>5.7229999999999999</v>
          </cell>
          <cell r="CH13">
            <v>5.7839999999999998</v>
          </cell>
          <cell r="CI13">
            <v>5.8449999999999998</v>
          </cell>
          <cell r="CJ13">
            <v>5.9109999999999996</v>
          </cell>
          <cell r="CK13">
            <v>5.9740000000000002</v>
          </cell>
          <cell r="CL13">
            <v>6.0309999999999997</v>
          </cell>
          <cell r="CM13">
            <v>6.0970000000000004</v>
          </cell>
          <cell r="CN13">
            <v>6.1660000000000004</v>
          </cell>
          <cell r="CO13">
            <v>6.2249999999999996</v>
          </cell>
          <cell r="CP13">
            <v>6.2850000000000001</v>
          </cell>
          <cell r="CQ13">
            <v>6.3479999999999999</v>
          </cell>
          <cell r="CR13">
            <v>6.4139999999999997</v>
          </cell>
          <cell r="CS13">
            <v>6.4749999999999996</v>
          </cell>
          <cell r="CT13">
            <v>6.5430000000000001</v>
          </cell>
          <cell r="CU13">
            <v>6.609</v>
          </cell>
          <cell r="CV13">
            <v>6.67</v>
          </cell>
          <cell r="CW13">
            <v>6.7249999999999996</v>
          </cell>
          <cell r="CX13">
            <v>6.7889999999999997</v>
          </cell>
          <cell r="CY13">
            <v>6.8529999999999998</v>
          </cell>
          <cell r="CZ13">
            <v>6.9169999999999998</v>
          </cell>
          <cell r="DA13">
            <v>6.9809999999999999</v>
          </cell>
          <cell r="DB13">
            <v>7.0449999999999999</v>
          </cell>
        </row>
        <row r="14">
          <cell r="D14" t="str">
            <v>AR5 climate diagnostics|Forcing|Kyoto Gases|MAGICC6|MED</v>
          </cell>
          <cell r="E14" t="str">
            <v>W/m2</v>
          </cell>
          <cell r="F14">
            <v>2.510326536</v>
          </cell>
          <cell r="G14">
            <v>2.5407232209999999</v>
          </cell>
          <cell r="H14">
            <v>2.5789962549999998</v>
          </cell>
          <cell r="I14">
            <v>2.6141860179999998</v>
          </cell>
          <cell r="J14">
            <v>2.6444838700000002</v>
          </cell>
          <cell r="K14">
            <v>2.6775090490000002</v>
          </cell>
          <cell r="L14">
            <v>2.7113265480000002</v>
          </cell>
          <cell r="M14">
            <v>2.7468848609999998</v>
          </cell>
          <cell r="N14">
            <v>2.7847788260000002</v>
          </cell>
          <cell r="O14">
            <v>2.8286851720000001</v>
          </cell>
          <cell r="P14">
            <v>2.8715256990000002</v>
          </cell>
          <cell r="Q14">
            <v>2.9159311149999998</v>
          </cell>
          <cell r="R14">
            <v>2.9577389840000001</v>
          </cell>
          <cell r="S14">
            <v>3.0005393929999999</v>
          </cell>
          <cell r="T14">
            <v>3.0400246900000001</v>
          </cell>
          <cell r="U14">
            <v>3.0822159249999999</v>
          </cell>
          <cell r="V14">
            <v>3.1243358350000001</v>
          </cell>
          <cell r="W14">
            <v>3.165935213</v>
          </cell>
          <cell r="X14">
            <v>3.208313247</v>
          </cell>
          <cell r="Y14">
            <v>3.251036832</v>
          </cell>
          <cell r="Z14">
            <v>3.2916844369999998</v>
          </cell>
          <cell r="AA14">
            <v>3.3316580980000001</v>
          </cell>
          <cell r="AB14">
            <v>3.3709389569999999</v>
          </cell>
          <cell r="AC14">
            <v>3.4119851309999998</v>
          </cell>
          <cell r="AD14">
            <v>3.4546305880000001</v>
          </cell>
          <cell r="AE14">
            <v>3.4967217640000001</v>
          </cell>
          <cell r="AF14">
            <v>3.537092415</v>
          </cell>
          <cell r="AG14">
            <v>3.5781564260000001</v>
          </cell>
          <cell r="AH14">
            <v>3.6207093540000002</v>
          </cell>
          <cell r="AI14">
            <v>3.6652153630000002</v>
          </cell>
          <cell r="AJ14">
            <v>3.7071883959999998</v>
          </cell>
          <cell r="AK14">
            <v>3.749563572</v>
          </cell>
          <cell r="AL14">
            <v>3.7922722719999999</v>
          </cell>
          <cell r="AM14">
            <v>3.8359663479999999</v>
          </cell>
          <cell r="AN14">
            <v>3.881858571</v>
          </cell>
          <cell r="AO14">
            <v>3.9258723899999999</v>
          </cell>
          <cell r="AP14">
            <v>3.9712458700000002</v>
          </cell>
          <cell r="AQ14">
            <v>4.0145479340000003</v>
          </cell>
          <cell r="AR14">
            <v>4.0554512789999997</v>
          </cell>
          <cell r="AS14">
            <v>4.098589273</v>
          </cell>
          <cell r="AT14">
            <v>4.142492743</v>
          </cell>
          <cell r="AU14">
            <v>4.1881331490000004</v>
          </cell>
          <cell r="AV14">
            <v>4.232487946</v>
          </cell>
          <cell r="AW14">
            <v>4.2765782720000001</v>
          </cell>
          <cell r="AX14">
            <v>4.3214010360000001</v>
          </cell>
          <cell r="AY14">
            <v>4.3665732000000004</v>
          </cell>
          <cell r="AZ14">
            <v>4.4108482520000001</v>
          </cell>
          <cell r="BA14">
            <v>4.4550129500000004</v>
          </cell>
          <cell r="BB14">
            <v>4.4997392859999996</v>
          </cell>
          <cell r="BC14">
            <v>4.543395415</v>
          </cell>
          <cell r="BD14">
            <v>4.587521776</v>
          </cell>
          <cell r="BE14">
            <v>4.6330038079999998</v>
          </cell>
          <cell r="BF14">
            <v>4.6786999170000003</v>
          </cell>
          <cell r="BG14">
            <v>4.7261032429999998</v>
          </cell>
          <cell r="BH14">
            <v>4.7740561069999998</v>
          </cell>
          <cell r="BI14">
            <v>4.8195468159999999</v>
          </cell>
          <cell r="BJ14">
            <v>4.8649837360000001</v>
          </cell>
          <cell r="BK14">
            <v>4.9148955159999996</v>
          </cell>
          <cell r="BL14">
            <v>4.9626779560000003</v>
          </cell>
          <cell r="BM14">
            <v>5.0092291619999996</v>
          </cell>
          <cell r="BN14">
            <v>5.0570421300000001</v>
          </cell>
          <cell r="BO14">
            <v>5.1049084599999999</v>
          </cell>
          <cell r="BP14">
            <v>5.1537911080000001</v>
          </cell>
          <cell r="BQ14">
            <v>5.2024747710000003</v>
          </cell>
          <cell r="BR14">
            <v>5.2516070969999999</v>
          </cell>
          <cell r="BS14">
            <v>5.3005318719999996</v>
          </cell>
          <cell r="BT14">
            <v>5.3503908410000003</v>
          </cell>
          <cell r="BU14">
            <v>5.4005137740000002</v>
          </cell>
          <cell r="BV14">
            <v>5.4501779849999998</v>
          </cell>
          <cell r="BW14">
            <v>5.4993226670000004</v>
          </cell>
          <cell r="BX14">
            <v>5.5507060739999998</v>
          </cell>
          <cell r="BY14">
            <v>5.601638393</v>
          </cell>
          <cell r="BZ14">
            <v>5.6534922429999996</v>
          </cell>
          <cell r="CA14">
            <v>5.7040648120000004</v>
          </cell>
          <cell r="CB14">
            <v>5.7550503920000002</v>
          </cell>
          <cell r="CC14">
            <v>5.8053501399999998</v>
          </cell>
          <cell r="CD14">
            <v>5.8559541360000003</v>
          </cell>
          <cell r="CE14">
            <v>5.9072611510000002</v>
          </cell>
          <cell r="CF14">
            <v>5.9603538519999999</v>
          </cell>
          <cell r="CG14">
            <v>6.0138406470000003</v>
          </cell>
          <cell r="CH14">
            <v>6.0675699620000003</v>
          </cell>
          <cell r="CI14">
            <v>6.1223274820000002</v>
          </cell>
          <cell r="CJ14">
            <v>6.1771830599999999</v>
          </cell>
          <cell r="CK14">
            <v>6.2321088729999996</v>
          </cell>
          <cell r="CL14">
            <v>6.2871013319999998</v>
          </cell>
          <cell r="CM14">
            <v>6.3421574200000004</v>
          </cell>
          <cell r="CN14">
            <v>6.3970538120000002</v>
          </cell>
          <cell r="CO14">
            <v>6.452376074</v>
          </cell>
          <cell r="CP14">
            <v>6.5078955780000003</v>
          </cell>
          <cell r="CQ14">
            <v>6.5635498400000003</v>
          </cell>
          <cell r="CR14">
            <v>6.6200198449999998</v>
          </cell>
          <cell r="CS14">
            <v>6.6744273979999997</v>
          </cell>
          <cell r="CT14">
            <v>6.7306137379999997</v>
          </cell>
          <cell r="CU14">
            <v>6.7865404810000003</v>
          </cell>
          <cell r="CV14">
            <v>6.8429805149999998</v>
          </cell>
          <cell r="CW14">
            <v>6.8967300690000002</v>
          </cell>
          <cell r="CX14">
            <v>6.9505286670000004</v>
          </cell>
          <cell r="CY14">
            <v>7.0059686299999999</v>
          </cell>
          <cell r="CZ14">
            <v>7.0599958020000004</v>
          </cell>
          <cell r="DA14">
            <v>7.1155679860000003</v>
          </cell>
          <cell r="DB14">
            <v>7.1694686079999999</v>
          </cell>
        </row>
        <row r="15">
          <cell r="D15" t="str">
            <v>AR5 climate diagnostics|Forcing|MAGICC6|MED</v>
          </cell>
          <cell r="E15" t="str">
            <v>W/m2</v>
          </cell>
          <cell r="F15">
            <v>1.8234672240000001</v>
          </cell>
          <cell r="G15">
            <v>1.8513987249999999</v>
          </cell>
          <cell r="H15">
            <v>1.892749281</v>
          </cell>
          <cell r="I15">
            <v>1.9257579199999999</v>
          </cell>
          <cell r="J15">
            <v>1.9543798699999999</v>
          </cell>
          <cell r="K15">
            <v>1.9953941369999999</v>
          </cell>
          <cell r="L15">
            <v>2.0445204499999998</v>
          </cell>
          <cell r="M15">
            <v>2.0945157349999999</v>
          </cell>
          <cell r="N15">
            <v>2.1477332179999999</v>
          </cell>
          <cell r="O15">
            <v>2.2122549600000001</v>
          </cell>
          <cell r="P15">
            <v>2.2689018889999999</v>
          </cell>
          <cell r="Q15">
            <v>2.3248115199999999</v>
          </cell>
          <cell r="R15">
            <v>2.3834402899999998</v>
          </cell>
          <cell r="S15">
            <v>2.4331520129999999</v>
          </cell>
          <cell r="T15">
            <v>2.4872390470000001</v>
          </cell>
          <cell r="U15">
            <v>2.53591637999999</v>
          </cell>
          <cell r="V15">
            <v>2.587586655</v>
          </cell>
          <cell r="W15">
            <v>2.6397380610000001</v>
          </cell>
          <cell r="X15">
            <v>2.6901489760000001</v>
          </cell>
          <cell r="Y15">
            <v>2.742380109</v>
          </cell>
          <cell r="Z15">
            <v>2.786405807</v>
          </cell>
          <cell r="AA15">
            <v>2.8315235080000001</v>
          </cell>
          <cell r="AB15">
            <v>2.8721041999999999</v>
          </cell>
          <cell r="AC15">
            <v>2.909870857</v>
          </cell>
          <cell r="AD15">
            <v>2.947734531</v>
          </cell>
          <cell r="AE15">
            <v>2.9891178379999999</v>
          </cell>
          <cell r="AF15">
            <v>3.0323858709999998</v>
          </cell>
          <cell r="AG15">
            <v>3.0707923300000002</v>
          </cell>
          <cell r="AH15">
            <v>3.1102015359999999</v>
          </cell>
          <cell r="AI15">
            <v>3.1536537899999999</v>
          </cell>
          <cell r="AJ15">
            <v>3.2014832000000002</v>
          </cell>
          <cell r="AK15">
            <v>3.2486588159999998</v>
          </cell>
          <cell r="AL15">
            <v>3.294619306</v>
          </cell>
          <cell r="AM15">
            <v>3.3400955570000002</v>
          </cell>
          <cell r="AN15">
            <v>3.3858030440000002</v>
          </cell>
          <cell r="AO15">
            <v>3.4328140820000002</v>
          </cell>
          <cell r="AP15">
            <v>3.4821235590000001</v>
          </cell>
          <cell r="AQ15">
            <v>3.5281281130000002</v>
          </cell>
          <cell r="AR15">
            <v>3.5727511829999998</v>
          </cell>
          <cell r="AS15">
            <v>3.6199386179999999</v>
          </cell>
          <cell r="AT15">
            <v>3.6657725380000001</v>
          </cell>
          <cell r="AU15">
            <v>3.7139825050000002</v>
          </cell>
          <cell r="AV15">
            <v>3.7589995809999999</v>
          </cell>
          <cell r="AW15">
            <v>3.8036441980000002</v>
          </cell>
          <cell r="AX15">
            <v>3.8477942249999999</v>
          </cell>
          <cell r="AY15">
            <v>3.8943134430000002</v>
          </cell>
          <cell r="AZ15">
            <v>3.942549638</v>
          </cell>
          <cell r="BA15">
            <v>3.9905659949999999</v>
          </cell>
          <cell r="BB15">
            <v>4.038567413</v>
          </cell>
          <cell r="BC15">
            <v>4.0859354290000001</v>
          </cell>
          <cell r="BD15">
            <v>4.1328656590000001</v>
          </cell>
          <cell r="BE15">
            <v>4.177828817</v>
          </cell>
          <cell r="BF15">
            <v>4.226976617</v>
          </cell>
          <cell r="BG15">
            <v>4.2754466720000002</v>
          </cell>
          <cell r="BH15">
            <v>4.3221012520000004</v>
          </cell>
          <cell r="BI15">
            <v>4.3701341669999998</v>
          </cell>
          <cell r="BJ15">
            <v>4.4170498589999996</v>
          </cell>
          <cell r="BK15">
            <v>4.4641644180000002</v>
          </cell>
          <cell r="BL15">
            <v>4.5127306650000003</v>
          </cell>
          <cell r="BM15">
            <v>4.5635085110000002</v>
          </cell>
          <cell r="BN15">
            <v>4.6188676260000001</v>
          </cell>
          <cell r="BO15">
            <v>4.6709688890000001</v>
          </cell>
          <cell r="BP15">
            <v>4.7194173199999998</v>
          </cell>
          <cell r="BQ15">
            <v>4.769733939</v>
          </cell>
          <cell r="BR15">
            <v>4.8195667889999996</v>
          </cell>
          <cell r="BS15">
            <v>4.8691946689999996</v>
          </cell>
          <cell r="BT15">
            <v>4.92123416</v>
          </cell>
          <cell r="BU15">
            <v>4.9738301390000004</v>
          </cell>
          <cell r="BV15">
            <v>5.0244762429999996</v>
          </cell>
          <cell r="BW15">
            <v>5.0765451099999996</v>
          </cell>
          <cell r="BX15">
            <v>5.1294580109999997</v>
          </cell>
          <cell r="BY15">
            <v>5.176991149</v>
          </cell>
          <cell r="BZ15">
            <v>5.2289317190000002</v>
          </cell>
          <cell r="CA15">
            <v>5.2854490270000003</v>
          </cell>
          <cell r="CB15">
            <v>5.335949287</v>
          </cell>
          <cell r="CC15">
            <v>5.3868192449999999</v>
          </cell>
          <cell r="CD15">
            <v>5.4388778919999998</v>
          </cell>
          <cell r="CE15">
            <v>5.4901684919999996</v>
          </cell>
          <cell r="CF15">
            <v>5.5484991900000002</v>
          </cell>
          <cell r="CG15">
            <v>5.6088066679999997</v>
          </cell>
          <cell r="CH15">
            <v>5.6666752059999999</v>
          </cell>
          <cell r="CI15">
            <v>5.7245099699999997</v>
          </cell>
          <cell r="CJ15">
            <v>5.7780663729999997</v>
          </cell>
          <cell r="CK15">
            <v>5.8356426270000004</v>
          </cell>
          <cell r="CL15">
            <v>5.8949285250000001</v>
          </cell>
          <cell r="CM15">
            <v>5.9531618990000004</v>
          </cell>
          <cell r="CN15">
            <v>6.0089976429999998</v>
          </cell>
          <cell r="CO15">
            <v>6.0670926669999998</v>
          </cell>
          <cell r="CP15">
            <v>6.123975948</v>
          </cell>
          <cell r="CQ15">
            <v>6.1777437470000001</v>
          </cell>
          <cell r="CR15">
            <v>6.23335712</v>
          </cell>
          <cell r="CS15">
            <v>6.2902939460000002</v>
          </cell>
          <cell r="CT15">
            <v>6.3450355490000003</v>
          </cell>
          <cell r="CU15">
            <v>6.4024988870000001</v>
          </cell>
          <cell r="CV15">
            <v>6.4583861669999996</v>
          </cell>
          <cell r="CW15">
            <v>6.5153784520000002</v>
          </cell>
          <cell r="CX15">
            <v>6.5752243459999997</v>
          </cell>
          <cell r="CY15">
            <v>6.6332614999999997</v>
          </cell>
          <cell r="CZ15">
            <v>6.6892577209999997</v>
          </cell>
          <cell r="DA15">
            <v>6.7460495739999997</v>
          </cell>
          <cell r="DB15">
            <v>6.7996601779999999</v>
          </cell>
        </row>
        <row r="16">
          <cell r="D16" t="str">
            <v>AR5 climate diagnostics|Forcing|Montreal Protocol (orig.) gases|MAGICC6|MED</v>
          </cell>
          <cell r="E16" t="str">
            <v>W/m2</v>
          </cell>
          <cell r="F16">
            <v>0.31745511900000001</v>
          </cell>
          <cell r="G16">
            <v>0.31821250899999998</v>
          </cell>
          <cell r="H16">
            <v>0.318839761</v>
          </cell>
          <cell r="I16">
            <v>0.31871379999999999</v>
          </cell>
          <cell r="J16">
            <v>0.31879126200000002</v>
          </cell>
          <cell r="K16">
            <v>0.31849339199999999</v>
          </cell>
          <cell r="L16">
            <v>0.31748713699999997</v>
          </cell>
          <cell r="M16">
            <v>0.31659136500000001</v>
          </cell>
          <cell r="N16">
            <v>0.31568222699999998</v>
          </cell>
          <cell r="O16">
            <v>0.31468008200000003</v>
          </cell>
          <cell r="P16">
            <v>0.31364093799999998</v>
          </cell>
          <cell r="Q16">
            <v>0.31254888600000003</v>
          </cell>
          <cell r="R16">
            <v>0.31142576700000002</v>
          </cell>
          <cell r="S16">
            <v>0.31030136699999999</v>
          </cell>
          <cell r="T16">
            <v>0.30913238500000001</v>
          </cell>
          <cell r="U16">
            <v>0.307859726</v>
          </cell>
          <cell r="V16">
            <v>0.30650041</v>
          </cell>
          <cell r="W16">
            <v>0.30515166599999999</v>
          </cell>
          <cell r="X16">
            <v>0.30375744500000001</v>
          </cell>
          <cell r="Y16">
            <v>0.30228270699999998</v>
          </cell>
          <cell r="Z16">
            <v>0.30075465299999998</v>
          </cell>
          <cell r="AA16">
            <v>0.29920008300000001</v>
          </cell>
          <cell r="AB16">
            <v>0.29759339499999998</v>
          </cell>
          <cell r="AC16">
            <v>0.29583048000000001</v>
          </cell>
          <cell r="AD16">
            <v>0.29414210099999999</v>
          </cell>
          <cell r="AE16">
            <v>0.29246881899999999</v>
          </cell>
          <cell r="AF16">
            <v>0.29066298299999999</v>
          </cell>
          <cell r="AG16">
            <v>0.28871065800000001</v>
          </cell>
          <cell r="AH16">
            <v>0.28685292800000001</v>
          </cell>
          <cell r="AI16">
            <v>0.28489156599999998</v>
          </cell>
          <cell r="AJ16">
            <v>0.28290776400000001</v>
          </cell>
          <cell r="AK16">
            <v>0.28084593499999999</v>
          </cell>
          <cell r="AL16">
            <v>0.27873351699999999</v>
          </cell>
          <cell r="AM16">
            <v>0.27642794500000001</v>
          </cell>
          <cell r="AN16">
            <v>0.27388864899999998</v>
          </cell>
          <cell r="AO16">
            <v>0.27113695100000001</v>
          </cell>
          <cell r="AP16">
            <v>0.268111349</v>
          </cell>
          <cell r="AQ16">
            <v>0.26476893299999998</v>
          </cell>
          <cell r="AR16">
            <v>0.26103354899999998</v>
          </cell>
          <cell r="AS16">
            <v>0.25692201999999997</v>
          </cell>
          <cell r="AT16">
            <v>0.25257961200000001</v>
          </cell>
          <cell r="AU16">
            <v>0.247985023</v>
          </cell>
          <cell r="AV16">
            <v>0.24310923400000001</v>
          </cell>
          <cell r="AW16">
            <v>0.23813010900000001</v>
          </cell>
          <cell r="AX16">
            <v>0.23294800900000001</v>
          </cell>
          <cell r="AY16">
            <v>0.22768686799999999</v>
          </cell>
          <cell r="AZ16">
            <v>0.22247171099999999</v>
          </cell>
          <cell r="BA16">
            <v>0.217322235</v>
          </cell>
          <cell r="BB16">
            <v>0.212189813</v>
          </cell>
          <cell r="BC16">
            <v>0.20723625700000001</v>
          </cell>
          <cell r="BD16">
            <v>0.202385544</v>
          </cell>
          <cell r="BE16">
            <v>0.19757586999999999</v>
          </cell>
          <cell r="BF16">
            <v>0.192727071</v>
          </cell>
          <cell r="BG16">
            <v>0.18808554599999999</v>
          </cell>
          <cell r="BH16">
            <v>0.183679119</v>
          </cell>
          <cell r="BI16">
            <v>0.17933368499999999</v>
          </cell>
          <cell r="BJ16">
            <v>0.175102961</v>
          </cell>
          <cell r="BK16">
            <v>0.17102379500000001</v>
          </cell>
          <cell r="BL16">
            <v>0.167164959</v>
          </cell>
          <cell r="BM16">
            <v>0.16348406700000001</v>
          </cell>
          <cell r="BN16">
            <v>0.159872247</v>
          </cell>
          <cell r="BO16">
            <v>0.15633565099999999</v>
          </cell>
          <cell r="BP16">
            <v>0.152914208</v>
          </cell>
          <cell r="BQ16">
            <v>0.14955094299999999</v>
          </cell>
          <cell r="BR16">
            <v>0.14632171499999999</v>
          </cell>
          <cell r="BS16">
            <v>0.14325607100000001</v>
          </cell>
          <cell r="BT16">
            <v>0.14024131300000001</v>
          </cell>
          <cell r="BU16">
            <v>0.13730938500000001</v>
          </cell>
          <cell r="BV16">
            <v>0.134460041</v>
          </cell>
          <cell r="BW16">
            <v>0.1317094</v>
          </cell>
          <cell r="BX16">
            <v>0.12914265</v>
          </cell>
          <cell r="BY16">
            <v>0.12660869499999999</v>
          </cell>
          <cell r="BZ16">
            <v>0.1241688</v>
          </cell>
          <cell r="CA16">
            <v>0.12182048600000001</v>
          </cell>
          <cell r="CB16">
            <v>0.119514712</v>
          </cell>
          <cell r="CC16">
            <v>0.117218584</v>
          </cell>
          <cell r="CD16">
            <v>0.11497926999999999</v>
          </cell>
          <cell r="CE16">
            <v>0.112755695</v>
          </cell>
          <cell r="CF16">
            <v>0.110642779</v>
          </cell>
          <cell r="CG16">
            <v>0.108612257</v>
          </cell>
          <cell r="CH16">
            <v>0.106705338</v>
          </cell>
          <cell r="CI16">
            <v>0.10480735300000001</v>
          </cell>
          <cell r="CJ16">
            <v>0.102888865</v>
          </cell>
          <cell r="CK16">
            <v>0.101042067</v>
          </cell>
          <cell r="CL16">
            <v>9.9273855999999994E-2</v>
          </cell>
          <cell r="CM16">
            <v>9.7533784999999998E-2</v>
          </cell>
          <cell r="CN16">
            <v>9.5795353E-2</v>
          </cell>
          <cell r="CO16">
            <v>9.4112881999999995E-2</v>
          </cell>
          <cell r="CP16">
            <v>9.2442129999999997E-2</v>
          </cell>
          <cell r="CQ16">
            <v>9.0771139000000001E-2</v>
          </cell>
          <cell r="CR16">
            <v>8.9252401999999995E-2</v>
          </cell>
          <cell r="CS16">
            <v>8.7728668999999995E-2</v>
          </cell>
          <cell r="CT16">
            <v>8.6248869000000006E-2</v>
          </cell>
          <cell r="CU16">
            <v>8.4781516000000001E-2</v>
          </cell>
          <cell r="CV16">
            <v>8.3315780000000006E-2</v>
          </cell>
          <cell r="CW16">
            <v>8.1898203000000003E-2</v>
          </cell>
          <cell r="CX16">
            <v>8.0520280999999999E-2</v>
          </cell>
          <cell r="CY16">
            <v>7.9169840000000005E-2</v>
          </cell>
          <cell r="CZ16">
            <v>7.7822567999999995E-2</v>
          </cell>
          <cell r="DA16">
            <v>7.6504863000000006E-2</v>
          </cell>
          <cell r="DB16">
            <v>7.5199401999999999E-2</v>
          </cell>
        </row>
        <row r="17">
          <cell r="D17" t="str">
            <v>AR5 climate diagnostics|Forcing|N2O|FAIR|MED</v>
          </cell>
          <cell r="E17" t="str">
            <v>W/m2</v>
          </cell>
          <cell r="P17">
            <v>0.14899999999999999</v>
          </cell>
          <cell r="Q17">
            <v>0.151</v>
          </cell>
          <cell r="R17">
            <v>0.152</v>
          </cell>
          <cell r="S17">
            <v>0.154</v>
          </cell>
          <cell r="T17">
            <v>0.155</v>
          </cell>
          <cell r="U17">
            <v>0.157</v>
          </cell>
          <cell r="V17">
            <v>0.158</v>
          </cell>
          <cell r="W17">
            <v>0.16</v>
          </cell>
          <cell r="X17">
            <v>0.161</v>
          </cell>
          <cell r="Y17">
            <v>0.16300000000000001</v>
          </cell>
          <cell r="Z17">
            <v>0.16400000000000001</v>
          </cell>
          <cell r="AA17">
            <v>0.16600000000000001</v>
          </cell>
          <cell r="AB17">
            <v>0.16800000000000001</v>
          </cell>
          <cell r="AC17">
            <v>0.16900000000000001</v>
          </cell>
          <cell r="AD17">
            <v>0.17100000000000001</v>
          </cell>
          <cell r="AE17">
            <v>0.17199999999999999</v>
          </cell>
          <cell r="AF17">
            <v>0.17399999999999999</v>
          </cell>
          <cell r="AG17">
            <v>0.17599999999999999</v>
          </cell>
          <cell r="AH17">
            <v>0.17699999999999999</v>
          </cell>
          <cell r="AI17">
            <v>0.17899999999999999</v>
          </cell>
          <cell r="AJ17">
            <v>0.18099999999999999</v>
          </cell>
          <cell r="AK17">
            <v>0.183</v>
          </cell>
          <cell r="AL17">
            <v>0.184</v>
          </cell>
          <cell r="AM17">
            <v>0.186</v>
          </cell>
          <cell r="AN17">
            <v>0.188</v>
          </cell>
          <cell r="AO17">
            <v>0.189</v>
          </cell>
          <cell r="AP17">
            <v>0.191</v>
          </cell>
          <cell r="AQ17">
            <v>0.193</v>
          </cell>
          <cell r="AR17">
            <v>0.19500000000000001</v>
          </cell>
          <cell r="AS17">
            <v>0.19600000000000001</v>
          </cell>
          <cell r="AT17">
            <v>0.19800000000000001</v>
          </cell>
          <cell r="AU17">
            <v>0.2</v>
          </cell>
          <cell r="AV17">
            <v>0.20200000000000001</v>
          </cell>
          <cell r="AW17">
            <v>0.20399999999999999</v>
          </cell>
          <cell r="AX17">
            <v>0.20499999999999999</v>
          </cell>
          <cell r="AY17">
            <v>0.20699999999999999</v>
          </cell>
          <cell r="AZ17">
            <v>0.20899999999999999</v>
          </cell>
          <cell r="BA17">
            <v>0.21099999999999999</v>
          </cell>
          <cell r="BB17">
            <v>0.21199999999999999</v>
          </cell>
          <cell r="BC17">
            <v>0.214</v>
          </cell>
          <cell r="BD17">
            <v>0.216</v>
          </cell>
          <cell r="BE17">
            <v>0.217</v>
          </cell>
          <cell r="BF17">
            <v>0.219</v>
          </cell>
          <cell r="BG17">
            <v>0.221</v>
          </cell>
          <cell r="BH17">
            <v>0.223</v>
          </cell>
          <cell r="BI17">
            <v>0.224</v>
          </cell>
          <cell r="BJ17">
            <v>0.22600000000000001</v>
          </cell>
          <cell r="BK17">
            <v>0.22800000000000001</v>
          </cell>
          <cell r="BL17">
            <v>0.23</v>
          </cell>
          <cell r="BM17">
            <v>0.23100000000000001</v>
          </cell>
          <cell r="BN17">
            <v>0.23300000000000001</v>
          </cell>
          <cell r="BO17">
            <v>0.23499999999999999</v>
          </cell>
          <cell r="BP17">
            <v>0.23699999999999999</v>
          </cell>
          <cell r="BQ17">
            <v>0.23799999999999999</v>
          </cell>
          <cell r="BR17">
            <v>0.24</v>
          </cell>
          <cell r="BS17">
            <v>0.24199999999999999</v>
          </cell>
          <cell r="BT17">
            <v>0.24299999999999999</v>
          </cell>
          <cell r="BU17">
            <v>0.245</v>
          </cell>
          <cell r="BV17">
            <v>0.247</v>
          </cell>
          <cell r="BW17">
            <v>0.248</v>
          </cell>
          <cell r="BX17">
            <v>0.25</v>
          </cell>
          <cell r="BY17">
            <v>0.252</v>
          </cell>
          <cell r="BZ17">
            <v>0.253</v>
          </cell>
          <cell r="CA17">
            <v>0.255</v>
          </cell>
          <cell r="CB17">
            <v>0.25700000000000001</v>
          </cell>
          <cell r="CC17">
            <v>0.25800000000000001</v>
          </cell>
          <cell r="CD17">
            <v>0.26</v>
          </cell>
          <cell r="CE17">
            <v>0.26200000000000001</v>
          </cell>
          <cell r="CF17">
            <v>0.26300000000000001</v>
          </cell>
          <cell r="CG17">
            <v>0.26500000000000001</v>
          </cell>
          <cell r="CH17">
            <v>0.26700000000000002</v>
          </cell>
          <cell r="CI17">
            <v>0.26800000000000002</v>
          </cell>
          <cell r="CJ17">
            <v>0.27</v>
          </cell>
          <cell r="CK17">
            <v>0.27200000000000002</v>
          </cell>
          <cell r="CL17">
            <v>0.27300000000000002</v>
          </cell>
          <cell r="CM17">
            <v>0.27500000000000002</v>
          </cell>
          <cell r="CN17">
            <v>0.27700000000000002</v>
          </cell>
          <cell r="CO17">
            <v>0.27800000000000002</v>
          </cell>
          <cell r="CP17">
            <v>0.28000000000000003</v>
          </cell>
          <cell r="CQ17">
            <v>0.28199999999999997</v>
          </cell>
          <cell r="CR17">
            <v>0.28299999999999997</v>
          </cell>
          <cell r="CS17">
            <v>0.28499999999999998</v>
          </cell>
          <cell r="CT17">
            <v>0.28699999999999998</v>
          </cell>
          <cell r="CU17">
            <v>0.28899999999999998</v>
          </cell>
          <cell r="CV17">
            <v>0.28999999999999998</v>
          </cell>
          <cell r="CW17">
            <v>0.29199999999999998</v>
          </cell>
          <cell r="CX17">
            <v>0.29399999999999998</v>
          </cell>
          <cell r="CY17">
            <v>0.29499999999999998</v>
          </cell>
          <cell r="CZ17">
            <v>0.29699999999999999</v>
          </cell>
          <cell r="DA17">
            <v>0.29899999999999999</v>
          </cell>
          <cell r="DB17">
            <v>0.30099999999999999</v>
          </cell>
        </row>
        <row r="18">
          <cell r="D18" t="str">
            <v>AR5 climate diagnostics|Forcing|N2O|MAGICC6|MED</v>
          </cell>
          <cell r="E18" t="str">
            <v>W/m2</v>
          </cell>
          <cell r="F18">
            <v>0.15188416099999999</v>
          </cell>
          <cell r="G18">
            <v>0.15431829999999999</v>
          </cell>
          <cell r="H18">
            <v>0.156967459</v>
          </cell>
          <cell r="I18">
            <v>0.15949613000000001</v>
          </cell>
          <cell r="J18">
            <v>0.16160382000000001</v>
          </cell>
          <cell r="K18">
            <v>0.16437739900000001</v>
          </cell>
          <cell r="L18">
            <v>0.166831957</v>
          </cell>
          <cell r="M18">
            <v>0.16945911699999999</v>
          </cell>
          <cell r="N18">
            <v>0.17229850299999999</v>
          </cell>
          <cell r="O18">
            <v>0.17477538100000001</v>
          </cell>
          <cell r="P18">
            <v>0.17728049200000001</v>
          </cell>
          <cell r="Q18">
            <v>0.179783779</v>
          </cell>
          <cell r="R18">
            <v>0.18228593000000001</v>
          </cell>
          <cell r="S18">
            <v>0.18479095200000001</v>
          </cell>
          <cell r="T18">
            <v>0.18730548</v>
          </cell>
          <cell r="U18">
            <v>0.18981206</v>
          </cell>
          <cell r="V18">
            <v>0.19231884099999999</v>
          </cell>
          <cell r="W18">
            <v>0.19482644700000001</v>
          </cell>
          <cell r="X18">
            <v>0.197324579</v>
          </cell>
          <cell r="Y18">
            <v>0.19981883</v>
          </cell>
          <cell r="Z18">
            <v>0.20231300999999999</v>
          </cell>
          <cell r="AA18">
            <v>0.204807089</v>
          </cell>
          <cell r="AB18">
            <v>0.20731823999999999</v>
          </cell>
          <cell r="AC18">
            <v>0.20985036800000001</v>
          </cell>
          <cell r="AD18">
            <v>0.21239986699999999</v>
          </cell>
          <cell r="AE18">
            <v>0.214961496</v>
          </cell>
          <cell r="AF18">
            <v>0.21753386899999999</v>
          </cell>
          <cell r="AG18">
            <v>0.22011682399999999</v>
          </cell>
          <cell r="AH18">
            <v>0.22271183999999999</v>
          </cell>
          <cell r="AI18">
            <v>0.225322886</v>
          </cell>
          <cell r="AJ18">
            <v>0.22791604100000001</v>
          </cell>
          <cell r="AK18">
            <v>0.230516466</v>
          </cell>
          <cell r="AL18">
            <v>0.233115348</v>
          </cell>
          <cell r="AM18">
            <v>0.23568542000000001</v>
          </cell>
          <cell r="AN18">
            <v>0.23825811</v>
          </cell>
          <cell r="AO18">
            <v>0.24084277500000001</v>
          </cell>
          <cell r="AP18">
            <v>0.24342808899999999</v>
          </cell>
          <cell r="AQ18">
            <v>0.246033638</v>
          </cell>
          <cell r="AR18">
            <v>0.248637724</v>
          </cell>
          <cell r="AS18">
            <v>0.25124033299999998</v>
          </cell>
          <cell r="AT18">
            <v>0.25384145299999999</v>
          </cell>
          <cell r="AU18">
            <v>0.25643125</v>
          </cell>
          <cell r="AV18">
            <v>0.25898680699999999</v>
          </cell>
          <cell r="AW18">
            <v>0.26157808700000001</v>
          </cell>
          <cell r="AX18">
            <v>0.264159333</v>
          </cell>
          <cell r="AY18">
            <v>0.266730564</v>
          </cell>
          <cell r="AZ18">
            <v>0.26928528600000001</v>
          </cell>
          <cell r="BA18">
            <v>0.27184786900000002</v>
          </cell>
          <cell r="BB18">
            <v>0.27440092900000002</v>
          </cell>
          <cell r="BC18">
            <v>0.27694455400000001</v>
          </cell>
          <cell r="BD18">
            <v>0.27947882800000001</v>
          </cell>
          <cell r="BE18">
            <v>0.28200383800000001</v>
          </cell>
          <cell r="BF18">
            <v>0.28452402199999999</v>
          </cell>
          <cell r="BG18">
            <v>0.28702803500000001</v>
          </cell>
          <cell r="BH18">
            <v>0.28949030999999997</v>
          </cell>
          <cell r="BI18">
            <v>0.291932784</v>
          </cell>
          <cell r="BJ18">
            <v>0.29434613100000001</v>
          </cell>
          <cell r="BK18">
            <v>0.296753457</v>
          </cell>
          <cell r="BL18">
            <v>0.29915481399999999</v>
          </cell>
          <cell r="BM18">
            <v>0.301591418</v>
          </cell>
          <cell r="BN18">
            <v>0.30407815799999999</v>
          </cell>
          <cell r="BO18">
            <v>0.30651520799999998</v>
          </cell>
          <cell r="BP18">
            <v>0.30896541500000002</v>
          </cell>
          <cell r="BQ18">
            <v>0.31142836200000001</v>
          </cell>
          <cell r="BR18">
            <v>0.31387528399999998</v>
          </cell>
          <cell r="BS18">
            <v>0.31630776199999999</v>
          </cell>
          <cell r="BT18">
            <v>0.31872925299999999</v>
          </cell>
          <cell r="BU18">
            <v>0.321139862</v>
          </cell>
          <cell r="BV18">
            <v>0.32353969300000002</v>
          </cell>
          <cell r="BW18">
            <v>0.32592618099999998</v>
          </cell>
          <cell r="BX18">
            <v>0.328271125</v>
          </cell>
          <cell r="BY18">
            <v>0.33064306199999999</v>
          </cell>
          <cell r="BZ18">
            <v>0.333016435</v>
          </cell>
          <cell r="CA18">
            <v>0.33538413500000003</v>
          </cell>
          <cell r="CB18">
            <v>0.337746241</v>
          </cell>
          <cell r="CC18">
            <v>0.34010283200000002</v>
          </cell>
          <cell r="CD18">
            <v>0.342453966</v>
          </cell>
          <cell r="CE18">
            <v>0.34480054500000001</v>
          </cell>
          <cell r="CF18">
            <v>0.34714308399999999</v>
          </cell>
          <cell r="CG18">
            <v>0.34946603799999998</v>
          </cell>
          <cell r="CH18">
            <v>0.35179657800000003</v>
          </cell>
          <cell r="CI18">
            <v>0.35412046899999999</v>
          </cell>
          <cell r="CJ18">
            <v>0.35642647599999999</v>
          </cell>
          <cell r="CK18">
            <v>0.35873033599999998</v>
          </cell>
          <cell r="CL18">
            <v>0.36102467799999999</v>
          </cell>
          <cell r="CM18">
            <v>0.36332133900000002</v>
          </cell>
          <cell r="CN18">
            <v>0.36562030099999998</v>
          </cell>
          <cell r="CO18">
            <v>0.36794049400000001</v>
          </cell>
          <cell r="CP18">
            <v>0.370266451</v>
          </cell>
          <cell r="CQ18">
            <v>0.37259473500000001</v>
          </cell>
          <cell r="CR18">
            <v>0.37494301000000002</v>
          </cell>
          <cell r="CS18">
            <v>0.37728494699999998</v>
          </cell>
          <cell r="CT18">
            <v>0.37959099200000002</v>
          </cell>
          <cell r="CU18">
            <v>0.38189991200000001</v>
          </cell>
          <cell r="CV18">
            <v>0.38424561299999999</v>
          </cell>
          <cell r="CW18">
            <v>0.38659741800000003</v>
          </cell>
          <cell r="CX18">
            <v>0.38895162100000003</v>
          </cell>
          <cell r="CY18">
            <v>0.39130817000000001</v>
          </cell>
          <cell r="CZ18">
            <v>0.393639346</v>
          </cell>
          <cell r="DA18">
            <v>0.39593876099999997</v>
          </cell>
          <cell r="DB18">
            <v>0.39823998799999999</v>
          </cell>
        </row>
        <row r="19">
          <cell r="D19" t="str">
            <v>AR5 climate diagnostics|Forcing|OtherGHGs|FAIR|MED</v>
          </cell>
          <cell r="E19" t="str">
            <v>W/m2</v>
          </cell>
          <cell r="P19">
            <v>0.33300000000000002</v>
          </cell>
          <cell r="Q19">
            <v>0.33500000000000002</v>
          </cell>
          <cell r="R19">
            <v>0.33600000000000002</v>
          </cell>
          <cell r="S19">
            <v>0.33800000000000002</v>
          </cell>
          <cell r="T19">
            <v>0.33900000000000002</v>
          </cell>
          <cell r="U19">
            <v>0.34100000000000003</v>
          </cell>
          <cell r="V19">
            <v>0.34200000000000003</v>
          </cell>
          <cell r="W19">
            <v>0.34300000000000003</v>
          </cell>
          <cell r="X19">
            <v>0.34499999999999997</v>
          </cell>
          <cell r="Y19">
            <v>0.34599999999999997</v>
          </cell>
          <cell r="Z19">
            <v>0.34799999999999998</v>
          </cell>
          <cell r="AA19">
            <v>0.34899999999999998</v>
          </cell>
          <cell r="AB19">
            <v>0.35</v>
          </cell>
          <cell r="AC19">
            <v>0.35</v>
          </cell>
          <cell r="AD19">
            <v>0.35099999999999998</v>
          </cell>
          <cell r="AE19">
            <v>0.35099999999999998</v>
          </cell>
          <cell r="AF19">
            <v>0.35099999999999998</v>
          </cell>
          <cell r="AG19">
            <v>0.35</v>
          </cell>
          <cell r="AH19">
            <v>0.35</v>
          </cell>
          <cell r="AI19">
            <v>0.34899999999999998</v>
          </cell>
          <cell r="AJ19">
            <v>0.34799999999999998</v>
          </cell>
          <cell r="AK19">
            <v>0.34699999999999998</v>
          </cell>
          <cell r="AL19">
            <v>0.34599999999999997</v>
          </cell>
          <cell r="AM19">
            <v>0.34499999999999997</v>
          </cell>
          <cell r="AN19">
            <v>0.34399999999999997</v>
          </cell>
          <cell r="AO19">
            <v>0.34300000000000003</v>
          </cell>
          <cell r="AP19">
            <v>0.34200000000000003</v>
          </cell>
          <cell r="AQ19">
            <v>0.34200000000000003</v>
          </cell>
          <cell r="AR19">
            <v>0.34100000000000003</v>
          </cell>
          <cell r="AS19">
            <v>0.34</v>
          </cell>
          <cell r="AT19">
            <v>0.33900000000000002</v>
          </cell>
          <cell r="AU19">
            <v>0.33800000000000002</v>
          </cell>
          <cell r="AV19">
            <v>0.33700000000000002</v>
          </cell>
          <cell r="AW19">
            <v>0.33700000000000002</v>
          </cell>
          <cell r="AX19">
            <v>0.33700000000000002</v>
          </cell>
          <cell r="AY19">
            <v>0.33600000000000002</v>
          </cell>
          <cell r="AZ19">
            <v>0.33600000000000002</v>
          </cell>
          <cell r="BA19">
            <v>0.33600000000000002</v>
          </cell>
          <cell r="BB19">
            <v>0.33700000000000002</v>
          </cell>
          <cell r="BC19">
            <v>0.33700000000000002</v>
          </cell>
          <cell r="BD19">
            <v>0.33700000000000002</v>
          </cell>
          <cell r="BE19">
            <v>0.33800000000000002</v>
          </cell>
          <cell r="BF19">
            <v>0.33800000000000002</v>
          </cell>
          <cell r="BG19">
            <v>0.33900000000000002</v>
          </cell>
          <cell r="BH19">
            <v>0.34</v>
          </cell>
          <cell r="BI19">
            <v>0.34100000000000003</v>
          </cell>
          <cell r="BJ19">
            <v>0.34200000000000003</v>
          </cell>
          <cell r="BK19">
            <v>0.34399999999999997</v>
          </cell>
          <cell r="BL19">
            <v>0.34499999999999997</v>
          </cell>
          <cell r="BM19">
            <v>0.34599999999999997</v>
          </cell>
          <cell r="BN19">
            <v>0.34799999999999998</v>
          </cell>
          <cell r="BO19">
            <v>0.35</v>
          </cell>
          <cell r="BP19">
            <v>0.35199999999999998</v>
          </cell>
          <cell r="BQ19">
            <v>0.35399999999999998</v>
          </cell>
          <cell r="BR19">
            <v>0.35599999999999998</v>
          </cell>
          <cell r="BS19">
            <v>0.35799999999999998</v>
          </cell>
          <cell r="BT19">
            <v>0.36</v>
          </cell>
          <cell r="BU19">
            <v>0.36299999999999999</v>
          </cell>
          <cell r="BV19">
            <v>0.36599999999999999</v>
          </cell>
          <cell r="BW19">
            <v>0.36799999999999999</v>
          </cell>
          <cell r="BX19">
            <v>0.371</v>
          </cell>
          <cell r="BY19">
            <v>0.374</v>
          </cell>
          <cell r="BZ19">
            <v>0.377</v>
          </cell>
          <cell r="CA19">
            <v>0.38</v>
          </cell>
          <cell r="CB19">
            <v>0.38300000000000001</v>
          </cell>
          <cell r="CC19">
            <v>0.38700000000000001</v>
          </cell>
          <cell r="CD19">
            <v>0.39</v>
          </cell>
          <cell r="CE19">
            <v>0.39400000000000002</v>
          </cell>
          <cell r="CF19">
            <v>0.39700000000000002</v>
          </cell>
          <cell r="CG19">
            <v>0.40100000000000002</v>
          </cell>
          <cell r="CH19">
            <v>0.40500000000000003</v>
          </cell>
          <cell r="CI19">
            <v>0.40799999999999997</v>
          </cell>
          <cell r="CJ19">
            <v>0.41199999999999998</v>
          </cell>
          <cell r="CK19">
            <v>0.41599999999999998</v>
          </cell>
          <cell r="CL19">
            <v>0.42</v>
          </cell>
          <cell r="CM19">
            <v>0.42399999999999999</v>
          </cell>
          <cell r="CN19">
            <v>0.42799999999999999</v>
          </cell>
          <cell r="CO19">
            <v>0.432</v>
          </cell>
          <cell r="CP19">
            <v>0.436</v>
          </cell>
          <cell r="CQ19">
            <v>0.441</v>
          </cell>
          <cell r="CR19">
            <v>0.44500000000000001</v>
          </cell>
          <cell r="CS19">
            <v>0.44900000000000001</v>
          </cell>
          <cell r="CT19">
            <v>0.45400000000000001</v>
          </cell>
          <cell r="CU19">
            <v>0.45800000000000002</v>
          </cell>
          <cell r="CV19">
            <v>0.46200000000000002</v>
          </cell>
          <cell r="CW19">
            <v>0.46700000000000003</v>
          </cell>
          <cell r="CX19">
            <v>0.47099999999999997</v>
          </cell>
          <cell r="CY19">
            <v>0.47599999999999998</v>
          </cell>
          <cell r="CZ19">
            <v>0.48099999999999998</v>
          </cell>
          <cell r="DA19">
            <v>0.48499999999999999</v>
          </cell>
          <cell r="DB19">
            <v>0.49</v>
          </cell>
        </row>
        <row r="20">
          <cell r="D20" t="str">
            <v>AR5 climate diagnostics|Forcing|Tropospheric Ozone|FAIR|MED</v>
          </cell>
          <cell r="E20" t="str">
            <v>W/m2</v>
          </cell>
          <cell r="P20">
            <v>0.42899999999999999</v>
          </cell>
          <cell r="Q20">
            <v>0.43099999999999999</v>
          </cell>
          <cell r="R20">
            <v>0.433</v>
          </cell>
          <cell r="S20">
            <v>0.43099999999999999</v>
          </cell>
          <cell r="T20">
            <v>0.43</v>
          </cell>
          <cell r="U20">
            <v>0.42799999999999999</v>
          </cell>
          <cell r="V20">
            <v>0.42699999999999999</v>
          </cell>
          <cell r="W20">
            <v>0.42499999999999999</v>
          </cell>
          <cell r="X20">
            <v>0.42299999999999999</v>
          </cell>
          <cell r="Y20">
            <v>0.42099999999999999</v>
          </cell>
          <cell r="Z20">
            <v>0.41899999999999998</v>
          </cell>
          <cell r="AA20">
            <v>0.41799999999999998</v>
          </cell>
          <cell r="AB20">
            <v>0.41699999999999998</v>
          </cell>
          <cell r="AC20">
            <v>0.41699999999999998</v>
          </cell>
          <cell r="AD20">
            <v>0.41599999999999998</v>
          </cell>
          <cell r="AE20">
            <v>0.41499999999999998</v>
          </cell>
          <cell r="AF20">
            <v>0.41399999999999998</v>
          </cell>
          <cell r="AG20">
            <v>0.41399999999999998</v>
          </cell>
          <cell r="AH20">
            <v>0.41299999999999998</v>
          </cell>
          <cell r="AI20">
            <v>0.41199999999999998</v>
          </cell>
          <cell r="AJ20">
            <v>0.41199999999999998</v>
          </cell>
          <cell r="AK20">
            <v>0.41</v>
          </cell>
          <cell r="AL20">
            <v>0.40799999999999997</v>
          </cell>
          <cell r="AM20">
            <v>0.40600000000000003</v>
          </cell>
          <cell r="AN20">
            <v>0.40500000000000003</v>
          </cell>
          <cell r="AO20">
            <v>0.40300000000000002</v>
          </cell>
          <cell r="AP20">
            <v>0.40100000000000002</v>
          </cell>
          <cell r="AQ20">
            <v>0.39900000000000002</v>
          </cell>
          <cell r="AR20">
            <v>0.39700000000000002</v>
          </cell>
          <cell r="AS20">
            <v>0.39500000000000002</v>
          </cell>
          <cell r="AT20">
            <v>0.39300000000000002</v>
          </cell>
          <cell r="AU20">
            <v>0.39100000000000001</v>
          </cell>
          <cell r="AV20">
            <v>0.38900000000000001</v>
          </cell>
          <cell r="AW20">
            <v>0.38700000000000001</v>
          </cell>
          <cell r="AX20">
            <v>0.38600000000000001</v>
          </cell>
          <cell r="AY20">
            <v>0.38400000000000001</v>
          </cell>
          <cell r="AZ20">
            <v>0.38200000000000001</v>
          </cell>
          <cell r="BA20">
            <v>0.38</v>
          </cell>
          <cell r="BB20">
            <v>0.378</v>
          </cell>
          <cell r="BC20">
            <v>0.376</v>
          </cell>
          <cell r="BD20">
            <v>0.374</v>
          </cell>
          <cell r="BE20">
            <v>0.373</v>
          </cell>
          <cell r="BF20">
            <v>0.372</v>
          </cell>
          <cell r="BG20">
            <v>0.371</v>
          </cell>
          <cell r="BH20">
            <v>0.37</v>
          </cell>
          <cell r="BI20">
            <v>0.37</v>
          </cell>
          <cell r="BJ20">
            <v>0.36899999999999999</v>
          </cell>
          <cell r="BK20">
            <v>0.36799999999999999</v>
          </cell>
          <cell r="BL20">
            <v>0.36799999999999999</v>
          </cell>
          <cell r="BM20">
            <v>0.36699999999999999</v>
          </cell>
          <cell r="BN20">
            <v>0.36599999999999999</v>
          </cell>
          <cell r="BO20">
            <v>0.36599999999999999</v>
          </cell>
          <cell r="BP20">
            <v>0.36499999999999999</v>
          </cell>
          <cell r="BQ20">
            <v>0.36399999999999999</v>
          </cell>
          <cell r="BR20">
            <v>0.36299999999999999</v>
          </cell>
          <cell r="BS20">
            <v>0.36299999999999999</v>
          </cell>
          <cell r="BT20">
            <v>0.36199999999999999</v>
          </cell>
          <cell r="BU20">
            <v>0.36099999999999999</v>
          </cell>
          <cell r="BV20">
            <v>0.36</v>
          </cell>
          <cell r="BW20">
            <v>0.35899999999999999</v>
          </cell>
          <cell r="BX20">
            <v>0.35799999999999998</v>
          </cell>
          <cell r="BY20">
            <v>0.35799999999999998</v>
          </cell>
          <cell r="BZ20">
            <v>0.35799999999999998</v>
          </cell>
          <cell r="CA20">
            <v>0.35699999999999998</v>
          </cell>
          <cell r="CB20">
            <v>0.35699999999999998</v>
          </cell>
          <cell r="CC20">
            <v>0.35699999999999998</v>
          </cell>
          <cell r="CD20">
            <v>0.35599999999999998</v>
          </cell>
          <cell r="CE20">
            <v>0.35599999999999998</v>
          </cell>
          <cell r="CF20">
            <v>0.35499999999999998</v>
          </cell>
          <cell r="CG20">
            <v>0.35499999999999998</v>
          </cell>
          <cell r="CH20">
            <v>0.35399999999999998</v>
          </cell>
          <cell r="CI20">
            <v>0.35399999999999998</v>
          </cell>
          <cell r="CJ20">
            <v>0.35299999999999998</v>
          </cell>
          <cell r="CK20">
            <v>0.35299999999999998</v>
          </cell>
          <cell r="CL20">
            <v>0.35199999999999998</v>
          </cell>
          <cell r="CM20">
            <v>0.35199999999999998</v>
          </cell>
          <cell r="CN20">
            <v>0.35099999999999998</v>
          </cell>
          <cell r="CO20">
            <v>0.35</v>
          </cell>
          <cell r="CP20">
            <v>0.35</v>
          </cell>
          <cell r="CQ20">
            <v>0.34899999999999998</v>
          </cell>
          <cell r="CR20">
            <v>0.34799999999999998</v>
          </cell>
          <cell r="CS20">
            <v>0.34799999999999998</v>
          </cell>
          <cell r="CT20">
            <v>0.34699999999999998</v>
          </cell>
          <cell r="CU20">
            <v>0.34599999999999997</v>
          </cell>
          <cell r="CV20">
            <v>0.34499999999999997</v>
          </cell>
          <cell r="CW20">
            <v>0.34399999999999997</v>
          </cell>
          <cell r="CX20">
            <v>0.34300000000000003</v>
          </cell>
          <cell r="CY20">
            <v>0.34200000000000003</v>
          </cell>
          <cell r="CZ20">
            <v>0.34100000000000003</v>
          </cell>
          <cell r="DA20">
            <v>0.34</v>
          </cell>
          <cell r="DB20">
            <v>0.33900000000000002</v>
          </cell>
        </row>
        <row r="21">
          <cell r="D21" t="str">
            <v>AR5 climate diagnostics|Forcing|Tropospheric Ozone|MAGICC6|MED</v>
          </cell>
          <cell r="E21" t="str">
            <v>W/m2</v>
          </cell>
          <cell r="F21">
            <v>0.44382680800000002</v>
          </cell>
          <cell r="G21">
            <v>0.44375425699999999</v>
          </cell>
          <cell r="H21">
            <v>0.444736876</v>
          </cell>
          <cell r="I21">
            <v>0.44562716899999999</v>
          </cell>
          <cell r="J21">
            <v>0.44615268200000002</v>
          </cell>
          <cell r="K21">
            <v>0.446871356</v>
          </cell>
          <cell r="L21">
            <v>0.44856201899999998</v>
          </cell>
          <cell r="M21">
            <v>0.45018803699999999</v>
          </cell>
          <cell r="N21">
            <v>0.45166404799999998</v>
          </cell>
          <cell r="O21">
            <v>0.45301913500000002</v>
          </cell>
          <cell r="P21">
            <v>0.454423562</v>
          </cell>
          <cell r="Q21">
            <v>0.45578849199999999</v>
          </cell>
          <cell r="R21">
            <v>0.45387541999999997</v>
          </cell>
          <cell r="S21">
            <v>0.45190303799999998</v>
          </cell>
          <cell r="T21">
            <v>0.450114762</v>
          </cell>
          <cell r="U21">
            <v>0.44936150699999999</v>
          </cell>
          <cell r="V21">
            <v>0.44779795700000002</v>
          </cell>
          <cell r="W21">
            <v>0.44597800199999998</v>
          </cell>
          <cell r="X21">
            <v>0.44409654900000001</v>
          </cell>
          <cell r="Y21">
            <v>0.44196023400000001</v>
          </cell>
          <cell r="Z21">
            <v>0.439526892</v>
          </cell>
          <cell r="AA21">
            <v>0.43767927000000001</v>
          </cell>
          <cell r="AB21">
            <v>0.43708329200000001</v>
          </cell>
          <cell r="AC21">
            <v>0.43622787800000001</v>
          </cell>
          <cell r="AD21">
            <v>0.43509308600000002</v>
          </cell>
          <cell r="AE21">
            <v>0.43395291499999999</v>
          </cell>
          <cell r="AF21">
            <v>0.43280771899999998</v>
          </cell>
          <cell r="AG21">
            <v>0.43165780599999998</v>
          </cell>
          <cell r="AH21">
            <v>0.43041095600000001</v>
          </cell>
          <cell r="AI21">
            <v>0.42926092999999999</v>
          </cell>
          <cell r="AJ21">
            <v>0.42841104400000002</v>
          </cell>
          <cell r="AK21">
            <v>0.42736259399999998</v>
          </cell>
          <cell r="AL21">
            <v>0.42556902600000002</v>
          </cell>
          <cell r="AM21">
            <v>0.423116983</v>
          </cell>
          <cell r="AN21">
            <v>0.42044417299999998</v>
          </cell>
          <cell r="AO21">
            <v>0.41822647000000002</v>
          </cell>
          <cell r="AP21">
            <v>0.41582322900000002</v>
          </cell>
          <cell r="AQ21">
            <v>0.41289223800000002</v>
          </cell>
          <cell r="AR21">
            <v>0.40996842</v>
          </cell>
          <cell r="AS21">
            <v>0.40784469099999998</v>
          </cell>
          <cell r="AT21">
            <v>0.405266556</v>
          </cell>
          <cell r="AU21">
            <v>0.40248552300000001</v>
          </cell>
          <cell r="AV21">
            <v>0.40075066799999998</v>
          </cell>
          <cell r="AW21">
            <v>0.39863479299999999</v>
          </cell>
          <cell r="AX21">
            <v>0.39591638699999998</v>
          </cell>
          <cell r="AY21">
            <v>0.39365839400000002</v>
          </cell>
          <cell r="AZ21">
            <v>0.39153413500000001</v>
          </cell>
          <cell r="BA21">
            <v>0.38924311299999997</v>
          </cell>
          <cell r="BB21">
            <v>0.38729261199999998</v>
          </cell>
          <cell r="BC21">
            <v>0.38510620299999998</v>
          </cell>
          <cell r="BD21">
            <v>0.38327333499999999</v>
          </cell>
          <cell r="BE21">
            <v>0.38142237299999998</v>
          </cell>
          <cell r="BF21">
            <v>0.38020814800000002</v>
          </cell>
          <cell r="BG21">
            <v>0.379109588</v>
          </cell>
          <cell r="BH21">
            <v>0.378289192</v>
          </cell>
          <cell r="BI21">
            <v>0.37720395099999998</v>
          </cell>
          <cell r="BJ21">
            <v>0.37628947400000001</v>
          </cell>
          <cell r="BK21">
            <v>0.375269994</v>
          </cell>
          <cell r="BL21">
            <v>0.37400568099999998</v>
          </cell>
          <cell r="BM21">
            <v>0.37290137899999998</v>
          </cell>
          <cell r="BN21">
            <v>0.37173910500000001</v>
          </cell>
          <cell r="BO21">
            <v>0.37079511999999998</v>
          </cell>
          <cell r="BP21">
            <v>0.36977589100000002</v>
          </cell>
          <cell r="BQ21">
            <v>0.36855766299999998</v>
          </cell>
          <cell r="BR21">
            <v>0.36758917899999999</v>
          </cell>
          <cell r="BS21">
            <v>0.36620911499999997</v>
          </cell>
          <cell r="BT21">
            <v>0.36473692299999999</v>
          </cell>
          <cell r="BU21">
            <v>0.36346878900000001</v>
          </cell>
          <cell r="BV21">
            <v>0.36247767600000003</v>
          </cell>
          <cell r="BW21">
            <v>0.36156883099999998</v>
          </cell>
          <cell r="BX21">
            <v>0.36084417000000002</v>
          </cell>
          <cell r="BY21">
            <v>0.35973838400000002</v>
          </cell>
          <cell r="BZ21">
            <v>0.35925517299999998</v>
          </cell>
          <cell r="CA21">
            <v>0.35858593999999999</v>
          </cell>
          <cell r="CB21">
            <v>0.35786772500000003</v>
          </cell>
          <cell r="CC21">
            <v>0.35713386400000002</v>
          </cell>
          <cell r="CD21">
            <v>0.35638550099999999</v>
          </cell>
          <cell r="CE21">
            <v>0.35562368599999999</v>
          </cell>
          <cell r="CF21">
            <v>0.35484938399999999</v>
          </cell>
          <cell r="CG21">
            <v>0.35406348500000001</v>
          </cell>
          <cell r="CH21">
            <v>0.35326680700000002</v>
          </cell>
          <cell r="CI21">
            <v>0.35246002100000001</v>
          </cell>
          <cell r="CJ21">
            <v>0.35160053000000002</v>
          </cell>
          <cell r="CK21">
            <v>0.350724009</v>
          </cell>
          <cell r="CL21">
            <v>0.34983173899999997</v>
          </cell>
          <cell r="CM21">
            <v>0.34892489100000001</v>
          </cell>
          <cell r="CN21">
            <v>0.348004549</v>
          </cell>
          <cell r="CO21">
            <v>0.347071713</v>
          </cell>
          <cell r="CP21">
            <v>0.34612730600000002</v>
          </cell>
          <cell r="CQ21">
            <v>0.34517218399999999</v>
          </cell>
          <cell r="CR21">
            <v>0.34427070999999998</v>
          </cell>
          <cell r="CS21">
            <v>0.343317914</v>
          </cell>
          <cell r="CT21">
            <v>0.34241267399999997</v>
          </cell>
          <cell r="CU21">
            <v>0.341430497</v>
          </cell>
          <cell r="CV21">
            <v>0.34045186799999999</v>
          </cell>
          <cell r="CW21">
            <v>0.33939037599999999</v>
          </cell>
          <cell r="CX21">
            <v>0.33831107599999999</v>
          </cell>
          <cell r="CY21">
            <v>0.33721522999999998</v>
          </cell>
          <cell r="CZ21">
            <v>0.33610400699999998</v>
          </cell>
          <cell r="DA21">
            <v>0.33497849299999999</v>
          </cell>
          <cell r="DB21">
            <v>0.33383279399999999</v>
          </cell>
        </row>
        <row r="22">
          <cell r="D22" t="str">
            <v>AR5 climate diagnostics|Temperature|Exceedance Probability|1.0 ¬∞C|FAIR</v>
          </cell>
          <cell r="E22" t="str">
            <v>-</v>
          </cell>
          <cell r="P22">
            <v>0</v>
          </cell>
          <cell r="Q22">
            <v>0</v>
          </cell>
          <cell r="R22">
            <v>0</v>
          </cell>
          <cell r="S22">
            <v>0</v>
          </cell>
          <cell r="T22">
            <v>4.5999999999999999E-2</v>
          </cell>
          <cell r="U22">
            <v>0.192</v>
          </cell>
          <cell r="V22">
            <v>0.40200000000000002</v>
          </cell>
          <cell r="W22">
            <v>0.60099999999999998</v>
          </cell>
          <cell r="X22">
            <v>0.79300000000000004</v>
          </cell>
          <cell r="Y22">
            <v>0.90100000000000002</v>
          </cell>
          <cell r="Z22">
            <v>0.95399999999999996</v>
          </cell>
          <cell r="AA22">
            <v>0.98499999999999999</v>
          </cell>
          <cell r="AB22">
            <v>0.98799999999999999</v>
          </cell>
          <cell r="AC22">
            <v>0.997</v>
          </cell>
          <cell r="AD22">
            <v>1</v>
          </cell>
          <cell r="AE22">
            <v>1</v>
          </cell>
          <cell r="AF22">
            <v>1</v>
          </cell>
          <cell r="AG22">
            <v>1</v>
          </cell>
          <cell r="AH22">
            <v>1</v>
          </cell>
          <cell r="AI22">
            <v>1</v>
          </cell>
          <cell r="AJ22">
            <v>1</v>
          </cell>
          <cell r="AK22">
            <v>1</v>
          </cell>
          <cell r="AL22">
            <v>1</v>
          </cell>
          <cell r="AM22">
            <v>1</v>
          </cell>
          <cell r="AN22">
            <v>1</v>
          </cell>
          <cell r="AO22">
            <v>1</v>
          </cell>
          <cell r="AP22">
            <v>1</v>
          </cell>
          <cell r="AQ22">
            <v>1</v>
          </cell>
          <cell r="AR22">
            <v>1</v>
          </cell>
          <cell r="AS22">
            <v>1</v>
          </cell>
          <cell r="AT22">
            <v>1</v>
          </cell>
          <cell r="AU22">
            <v>1</v>
          </cell>
          <cell r="AV22">
            <v>1</v>
          </cell>
          <cell r="AW22">
            <v>1</v>
          </cell>
          <cell r="AX22">
            <v>1</v>
          </cell>
          <cell r="AY22">
            <v>1</v>
          </cell>
          <cell r="AZ22">
            <v>1</v>
          </cell>
          <cell r="BA22">
            <v>1</v>
          </cell>
          <cell r="BB22">
            <v>1</v>
          </cell>
          <cell r="BC22">
            <v>1</v>
          </cell>
          <cell r="BD22">
            <v>1</v>
          </cell>
          <cell r="BE22">
            <v>1</v>
          </cell>
          <cell r="BF22">
            <v>1</v>
          </cell>
          <cell r="BG22">
            <v>1</v>
          </cell>
          <cell r="BH22">
            <v>1</v>
          </cell>
          <cell r="BI22">
            <v>1</v>
          </cell>
          <cell r="BJ22">
            <v>1</v>
          </cell>
          <cell r="BK22">
            <v>1</v>
          </cell>
          <cell r="BL22">
            <v>1</v>
          </cell>
          <cell r="BM22">
            <v>1</v>
          </cell>
          <cell r="BN22">
            <v>1</v>
          </cell>
          <cell r="BO22">
            <v>1</v>
          </cell>
          <cell r="BP22">
            <v>1</v>
          </cell>
          <cell r="BQ22">
            <v>1</v>
          </cell>
          <cell r="BR22">
            <v>1</v>
          </cell>
          <cell r="BS22">
            <v>1</v>
          </cell>
          <cell r="BT22">
            <v>1</v>
          </cell>
          <cell r="BU22">
            <v>1</v>
          </cell>
          <cell r="BV22">
            <v>1</v>
          </cell>
          <cell r="BW22">
            <v>1</v>
          </cell>
          <cell r="BX22">
            <v>1</v>
          </cell>
          <cell r="BY22">
            <v>1</v>
          </cell>
          <cell r="BZ22">
            <v>1</v>
          </cell>
          <cell r="CA22">
            <v>1</v>
          </cell>
          <cell r="CB22">
            <v>1</v>
          </cell>
          <cell r="CC22">
            <v>1</v>
          </cell>
          <cell r="CD22">
            <v>1</v>
          </cell>
          <cell r="CE22">
            <v>1</v>
          </cell>
          <cell r="CF22">
            <v>1</v>
          </cell>
          <cell r="CG22">
            <v>1</v>
          </cell>
          <cell r="CH22">
            <v>1</v>
          </cell>
          <cell r="CI22">
            <v>1</v>
          </cell>
          <cell r="CJ22">
            <v>1</v>
          </cell>
          <cell r="CK22">
            <v>1</v>
          </cell>
          <cell r="CL22">
            <v>1</v>
          </cell>
          <cell r="CM22">
            <v>1</v>
          </cell>
          <cell r="CN22">
            <v>1</v>
          </cell>
          <cell r="CO22">
            <v>1</v>
          </cell>
          <cell r="CP22">
            <v>1</v>
          </cell>
          <cell r="CQ22">
            <v>1</v>
          </cell>
          <cell r="CR22">
            <v>1</v>
          </cell>
          <cell r="CS22">
            <v>1</v>
          </cell>
          <cell r="CT22">
            <v>1</v>
          </cell>
          <cell r="CU22">
            <v>1</v>
          </cell>
          <cell r="CV22">
            <v>1</v>
          </cell>
          <cell r="CW22">
            <v>1</v>
          </cell>
          <cell r="CX22">
            <v>1</v>
          </cell>
          <cell r="CY22">
            <v>1</v>
          </cell>
          <cell r="CZ22">
            <v>1</v>
          </cell>
          <cell r="DA22">
            <v>1</v>
          </cell>
          <cell r="DB22">
            <v>1</v>
          </cell>
        </row>
        <row r="23">
          <cell r="D23" t="str">
            <v>AR5 climate diagnostics|Temperature|Exceedance Probability|1.0 ¬∞C|MAGICC6</v>
          </cell>
          <cell r="E23" t="str">
            <v>-</v>
          </cell>
          <cell r="F23">
            <v>0</v>
          </cell>
          <cell r="G23">
            <v>0</v>
          </cell>
          <cell r="H23">
            <v>0</v>
          </cell>
          <cell r="I23">
            <v>0</v>
          </cell>
          <cell r="J23">
            <v>0</v>
          </cell>
          <cell r="K23">
            <v>0</v>
          </cell>
          <cell r="L23">
            <v>0</v>
          </cell>
          <cell r="M23">
            <v>0</v>
          </cell>
          <cell r="N23">
            <v>0</v>
          </cell>
          <cell r="O23">
            <v>3.333333E-3</v>
          </cell>
          <cell r="P23">
            <v>2.1666667000000001E-2</v>
          </cell>
          <cell r="Q23">
            <v>6.3333333000000006E-2</v>
          </cell>
          <cell r="R23">
            <v>0.17499999999999999</v>
          </cell>
          <cell r="S23">
            <v>0.31333333299999999</v>
          </cell>
          <cell r="T23">
            <v>0.486666667</v>
          </cell>
          <cell r="U23">
            <v>0.63166666699999996</v>
          </cell>
          <cell r="V23">
            <v>0.72833333300000003</v>
          </cell>
          <cell r="W23">
            <v>0.81499999999999995</v>
          </cell>
          <cell r="X23">
            <v>0.87833333300000005</v>
          </cell>
          <cell r="Y23">
            <v>0.92500000000000004</v>
          </cell>
          <cell r="Z23">
            <v>0.95</v>
          </cell>
          <cell r="AA23">
            <v>0.96</v>
          </cell>
          <cell r="AB23">
            <v>0.97</v>
          </cell>
          <cell r="AC23">
            <v>0.97166666700000004</v>
          </cell>
          <cell r="AD23">
            <v>0.98333333300000003</v>
          </cell>
          <cell r="AE23">
            <v>0.98666666700000005</v>
          </cell>
          <cell r="AF23">
            <v>0.995</v>
          </cell>
          <cell r="AG23">
            <v>1</v>
          </cell>
          <cell r="AH23">
            <v>1</v>
          </cell>
          <cell r="AI23">
            <v>1</v>
          </cell>
          <cell r="AJ23">
            <v>1</v>
          </cell>
          <cell r="AK23">
            <v>1</v>
          </cell>
          <cell r="AL23">
            <v>1</v>
          </cell>
          <cell r="AM23">
            <v>1</v>
          </cell>
          <cell r="AN23">
            <v>1</v>
          </cell>
          <cell r="AO23">
            <v>1</v>
          </cell>
          <cell r="AP23">
            <v>1</v>
          </cell>
          <cell r="AQ23">
            <v>1</v>
          </cell>
          <cell r="AR23">
            <v>1</v>
          </cell>
          <cell r="AS23">
            <v>1</v>
          </cell>
          <cell r="AT23">
            <v>1</v>
          </cell>
          <cell r="AU23">
            <v>1</v>
          </cell>
          <cell r="AV23">
            <v>1</v>
          </cell>
          <cell r="AW23">
            <v>1</v>
          </cell>
          <cell r="AX23">
            <v>1</v>
          </cell>
          <cell r="AY23">
            <v>1</v>
          </cell>
          <cell r="AZ23">
            <v>1</v>
          </cell>
          <cell r="BA23">
            <v>1</v>
          </cell>
          <cell r="BB23">
            <v>1</v>
          </cell>
          <cell r="BC23">
            <v>1</v>
          </cell>
          <cell r="BD23">
            <v>1</v>
          </cell>
          <cell r="BE23">
            <v>1</v>
          </cell>
          <cell r="BF23">
            <v>1</v>
          </cell>
          <cell r="BG23">
            <v>1</v>
          </cell>
          <cell r="BH23">
            <v>1</v>
          </cell>
          <cell r="BI23">
            <v>1</v>
          </cell>
          <cell r="BJ23">
            <v>1</v>
          </cell>
          <cell r="BK23">
            <v>1</v>
          </cell>
          <cell r="BL23">
            <v>1</v>
          </cell>
          <cell r="BM23">
            <v>1</v>
          </cell>
          <cell r="BN23">
            <v>1</v>
          </cell>
          <cell r="BO23">
            <v>1</v>
          </cell>
          <cell r="BP23">
            <v>1</v>
          </cell>
          <cell r="BQ23">
            <v>1</v>
          </cell>
          <cell r="BR23">
            <v>1</v>
          </cell>
          <cell r="BS23">
            <v>1</v>
          </cell>
          <cell r="BT23">
            <v>1</v>
          </cell>
          <cell r="BU23">
            <v>1</v>
          </cell>
          <cell r="BV23">
            <v>1</v>
          </cell>
          <cell r="BW23">
            <v>1</v>
          </cell>
          <cell r="BX23">
            <v>1</v>
          </cell>
          <cell r="BY23">
            <v>1</v>
          </cell>
          <cell r="BZ23">
            <v>1</v>
          </cell>
          <cell r="CA23">
            <v>1</v>
          </cell>
          <cell r="CB23">
            <v>1</v>
          </cell>
          <cell r="CC23">
            <v>1</v>
          </cell>
          <cell r="CD23">
            <v>1</v>
          </cell>
          <cell r="CE23">
            <v>1</v>
          </cell>
          <cell r="CF23">
            <v>1</v>
          </cell>
          <cell r="CG23">
            <v>1</v>
          </cell>
          <cell r="CH23">
            <v>1</v>
          </cell>
          <cell r="CI23">
            <v>1</v>
          </cell>
          <cell r="CJ23">
            <v>1</v>
          </cell>
          <cell r="CK23">
            <v>1</v>
          </cell>
          <cell r="CL23">
            <v>1</v>
          </cell>
          <cell r="CM23">
            <v>1</v>
          </cell>
          <cell r="CN23">
            <v>1</v>
          </cell>
          <cell r="CO23">
            <v>1</v>
          </cell>
          <cell r="CP23">
            <v>1</v>
          </cell>
          <cell r="CQ23">
            <v>1</v>
          </cell>
          <cell r="CR23">
            <v>1</v>
          </cell>
          <cell r="CS23">
            <v>1</v>
          </cell>
          <cell r="CT23">
            <v>1</v>
          </cell>
          <cell r="CU23">
            <v>1</v>
          </cell>
          <cell r="CV23">
            <v>1</v>
          </cell>
          <cell r="CW23">
            <v>1</v>
          </cell>
          <cell r="CX23">
            <v>1</v>
          </cell>
          <cell r="CY23">
            <v>1</v>
          </cell>
          <cell r="CZ23">
            <v>1</v>
          </cell>
          <cell r="DA23">
            <v>1</v>
          </cell>
          <cell r="DB23">
            <v>1</v>
          </cell>
        </row>
        <row r="24">
          <cell r="D24" t="str">
            <v>AR5 climate diagnostics|Temperature|Exceedance Probability|1.5 ¬∞C|FAIR</v>
          </cell>
          <cell r="E24" t="str">
            <v>-</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6.0000000000000001E-3</v>
          </cell>
          <cell r="AE24">
            <v>8.9999999999999993E-3</v>
          </cell>
          <cell r="AF24">
            <v>2.1999999999999999E-2</v>
          </cell>
          <cell r="AG24">
            <v>3.1E-2</v>
          </cell>
          <cell r="AH24">
            <v>5.2999999999999999E-2</v>
          </cell>
          <cell r="AI24">
            <v>7.3999999999999996E-2</v>
          </cell>
          <cell r="AJ24">
            <v>9.2999999999999999E-2</v>
          </cell>
          <cell r="AK24">
            <v>0.108</v>
          </cell>
          <cell r="AL24">
            <v>0.11799999999999999</v>
          </cell>
          <cell r="AM24">
            <v>0.16700000000000001</v>
          </cell>
          <cell r="AN24">
            <v>0.22</v>
          </cell>
          <cell r="AO24">
            <v>0.254</v>
          </cell>
          <cell r="AP24">
            <v>0.29099999999999998</v>
          </cell>
          <cell r="AQ24">
            <v>0.32800000000000001</v>
          </cell>
          <cell r="AR24">
            <v>0.36199999999999999</v>
          </cell>
          <cell r="AS24">
            <v>0.42099999999999999</v>
          </cell>
          <cell r="AT24">
            <v>0.47099999999999997</v>
          </cell>
          <cell r="AU24">
            <v>0.52300000000000002</v>
          </cell>
          <cell r="AV24">
            <v>0.58499999999999996</v>
          </cell>
          <cell r="AW24">
            <v>0.61599999999999999</v>
          </cell>
          <cell r="AX24">
            <v>0.65600000000000003</v>
          </cell>
          <cell r="AY24">
            <v>0.70899999999999996</v>
          </cell>
          <cell r="AZ24">
            <v>0.75900000000000001</v>
          </cell>
          <cell r="BA24">
            <v>0.79300000000000004</v>
          </cell>
          <cell r="BB24">
            <v>0.82399999999999995</v>
          </cell>
          <cell r="BC24">
            <v>0.84499999999999997</v>
          </cell>
          <cell r="BD24">
            <v>0.86699999999999999</v>
          </cell>
          <cell r="BE24">
            <v>0.89800000000000002</v>
          </cell>
          <cell r="BF24">
            <v>0.92</v>
          </cell>
          <cell r="BG24">
            <v>0.93500000000000005</v>
          </cell>
          <cell r="BH24">
            <v>0.94699999999999995</v>
          </cell>
          <cell r="BI24">
            <v>0.95</v>
          </cell>
          <cell r="BJ24">
            <v>0.96599999999999997</v>
          </cell>
          <cell r="BK24">
            <v>0.98099999999999998</v>
          </cell>
          <cell r="BL24">
            <v>0.98799999999999999</v>
          </cell>
          <cell r="BM24">
            <v>0.98799999999999999</v>
          </cell>
          <cell r="BN24">
            <v>0.98799999999999999</v>
          </cell>
          <cell r="BO24">
            <v>0.98799999999999999</v>
          </cell>
          <cell r="BP24">
            <v>0.98799999999999999</v>
          </cell>
          <cell r="BQ24">
            <v>0.99099999999999999</v>
          </cell>
          <cell r="BR24">
            <v>0.99399999999999999</v>
          </cell>
          <cell r="BS24">
            <v>0.997</v>
          </cell>
          <cell r="BT24">
            <v>1</v>
          </cell>
          <cell r="BU24">
            <v>1</v>
          </cell>
          <cell r="BV24">
            <v>1</v>
          </cell>
          <cell r="BW24">
            <v>1</v>
          </cell>
          <cell r="BX24">
            <v>1</v>
          </cell>
          <cell r="BY24">
            <v>1</v>
          </cell>
          <cell r="BZ24">
            <v>1</v>
          </cell>
          <cell r="CA24">
            <v>1</v>
          </cell>
          <cell r="CB24">
            <v>1</v>
          </cell>
          <cell r="CC24">
            <v>1</v>
          </cell>
          <cell r="CD24">
            <v>1</v>
          </cell>
          <cell r="CE24">
            <v>1</v>
          </cell>
          <cell r="CF24">
            <v>1</v>
          </cell>
          <cell r="CG24">
            <v>1</v>
          </cell>
          <cell r="CH24">
            <v>1</v>
          </cell>
          <cell r="CI24">
            <v>1</v>
          </cell>
          <cell r="CJ24">
            <v>1</v>
          </cell>
          <cell r="CK24">
            <v>1</v>
          </cell>
          <cell r="CL24">
            <v>1</v>
          </cell>
          <cell r="CM24">
            <v>1</v>
          </cell>
          <cell r="CN24">
            <v>1</v>
          </cell>
          <cell r="CO24">
            <v>1</v>
          </cell>
          <cell r="CP24">
            <v>1</v>
          </cell>
          <cell r="CQ24">
            <v>1</v>
          </cell>
          <cell r="CR24">
            <v>1</v>
          </cell>
          <cell r="CS24">
            <v>1</v>
          </cell>
          <cell r="CT24">
            <v>1</v>
          </cell>
          <cell r="CU24">
            <v>1</v>
          </cell>
          <cell r="CV24">
            <v>1</v>
          </cell>
          <cell r="CW24">
            <v>1</v>
          </cell>
          <cell r="CX24">
            <v>1</v>
          </cell>
          <cell r="CY24">
            <v>1</v>
          </cell>
          <cell r="CZ24">
            <v>1</v>
          </cell>
          <cell r="DA24">
            <v>1</v>
          </cell>
          <cell r="DB24">
            <v>1</v>
          </cell>
        </row>
        <row r="25">
          <cell r="D25" t="str">
            <v>AR5 climate diagnostics|Temperature|Exceedance Probability|1.5 ¬∞C|MAGICC6</v>
          </cell>
          <cell r="E25" t="str">
            <v>-</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1.6666669999999999E-3</v>
          </cell>
          <cell r="X25">
            <v>5.0000000000000001E-3</v>
          </cell>
          <cell r="Y25">
            <v>8.3333330000000001E-3</v>
          </cell>
          <cell r="Z25">
            <v>1.6666667E-2</v>
          </cell>
          <cell r="AA25">
            <v>2.3333333000000001E-2</v>
          </cell>
          <cell r="AB25">
            <v>3.1666667000000003E-2</v>
          </cell>
          <cell r="AC25">
            <v>5.8333333000000001E-2</v>
          </cell>
          <cell r="AD25">
            <v>7.4999999999999997E-2</v>
          </cell>
          <cell r="AE25">
            <v>0.10666666700000001</v>
          </cell>
          <cell r="AF25">
            <v>0.12166666700000001</v>
          </cell>
          <cell r="AG25">
            <v>0.16</v>
          </cell>
          <cell r="AH25">
            <v>0.21666666700000001</v>
          </cell>
          <cell r="AI25">
            <v>0.27333333300000001</v>
          </cell>
          <cell r="AJ25">
            <v>0.31</v>
          </cell>
          <cell r="AK25">
            <v>0.37</v>
          </cell>
          <cell r="AL25">
            <v>0.42499999999999999</v>
          </cell>
          <cell r="AM25">
            <v>0.495</v>
          </cell>
          <cell r="AN25">
            <v>0.54</v>
          </cell>
          <cell r="AO25">
            <v>0.59666666700000004</v>
          </cell>
          <cell r="AP25">
            <v>0.65</v>
          </cell>
          <cell r="AQ25">
            <v>0.69166666700000001</v>
          </cell>
          <cell r="AR25">
            <v>0.73333333300000003</v>
          </cell>
          <cell r="AS25">
            <v>0.76333333299999995</v>
          </cell>
          <cell r="AT25">
            <v>0.79500000000000004</v>
          </cell>
          <cell r="AU25">
            <v>0.83166666700000003</v>
          </cell>
          <cell r="AV25">
            <v>0.85333333300000003</v>
          </cell>
          <cell r="AW25">
            <v>0.875</v>
          </cell>
          <cell r="AX25">
            <v>0.89500000000000002</v>
          </cell>
          <cell r="AY25">
            <v>0.91500000000000004</v>
          </cell>
          <cell r="AZ25">
            <v>0.92500000000000004</v>
          </cell>
          <cell r="BA25">
            <v>0.93333333299999999</v>
          </cell>
          <cell r="BB25">
            <v>0.943333333</v>
          </cell>
          <cell r="BC25">
            <v>0.948333333</v>
          </cell>
          <cell r="BD25">
            <v>0.95666666700000003</v>
          </cell>
          <cell r="BE25">
            <v>0.96333333300000001</v>
          </cell>
          <cell r="BF25">
            <v>0.96666666700000003</v>
          </cell>
          <cell r="BG25">
            <v>0.96833333300000002</v>
          </cell>
          <cell r="BH25">
            <v>0.97166666700000004</v>
          </cell>
          <cell r="BI25">
            <v>0.97666666700000004</v>
          </cell>
          <cell r="BJ25">
            <v>0.97833333300000003</v>
          </cell>
          <cell r="BK25">
            <v>0.98</v>
          </cell>
          <cell r="BL25">
            <v>0.98499999999999999</v>
          </cell>
          <cell r="BM25">
            <v>0.98833333300000004</v>
          </cell>
          <cell r="BN25">
            <v>0.99166666699999995</v>
          </cell>
          <cell r="BO25">
            <v>0.995</v>
          </cell>
          <cell r="BP25">
            <v>0.995</v>
          </cell>
          <cell r="BQ25">
            <v>1</v>
          </cell>
          <cell r="BR25">
            <v>1</v>
          </cell>
          <cell r="BS25">
            <v>1</v>
          </cell>
          <cell r="BT25">
            <v>1</v>
          </cell>
          <cell r="BU25">
            <v>1</v>
          </cell>
          <cell r="BV25">
            <v>1</v>
          </cell>
          <cell r="BW25">
            <v>1</v>
          </cell>
          <cell r="BX25">
            <v>1</v>
          </cell>
          <cell r="BY25">
            <v>1</v>
          </cell>
          <cell r="BZ25">
            <v>1</v>
          </cell>
          <cell r="CA25">
            <v>1</v>
          </cell>
          <cell r="CB25">
            <v>1</v>
          </cell>
          <cell r="CC25">
            <v>1</v>
          </cell>
          <cell r="CD25">
            <v>1</v>
          </cell>
          <cell r="CE25">
            <v>1</v>
          </cell>
          <cell r="CF25">
            <v>1</v>
          </cell>
          <cell r="CG25">
            <v>1</v>
          </cell>
          <cell r="CH25">
            <v>1</v>
          </cell>
          <cell r="CI25">
            <v>1</v>
          </cell>
          <cell r="CJ25">
            <v>1</v>
          </cell>
          <cell r="CK25">
            <v>1</v>
          </cell>
          <cell r="CL25">
            <v>1</v>
          </cell>
          <cell r="CM25">
            <v>1</v>
          </cell>
          <cell r="CN25">
            <v>1</v>
          </cell>
          <cell r="CO25">
            <v>1</v>
          </cell>
          <cell r="CP25">
            <v>1</v>
          </cell>
          <cell r="CQ25">
            <v>1</v>
          </cell>
          <cell r="CR25">
            <v>1</v>
          </cell>
          <cell r="CS25">
            <v>1</v>
          </cell>
          <cell r="CT25">
            <v>1</v>
          </cell>
          <cell r="CU25">
            <v>1</v>
          </cell>
          <cell r="CV25">
            <v>1</v>
          </cell>
          <cell r="CW25">
            <v>1</v>
          </cell>
          <cell r="CX25">
            <v>1</v>
          </cell>
          <cell r="CY25">
            <v>1</v>
          </cell>
          <cell r="CZ25">
            <v>1</v>
          </cell>
          <cell r="DA25">
            <v>1</v>
          </cell>
          <cell r="DB25">
            <v>1</v>
          </cell>
        </row>
        <row r="26">
          <cell r="D26" t="str">
            <v>AR5 climate diagnostics|Temperature|Exceedance Probability|2.0 ¬∞C|FAIR</v>
          </cell>
          <cell r="E26" t="str">
            <v>-</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3.0000000000000001E-3</v>
          </cell>
          <cell r="AQ26">
            <v>3.0000000000000001E-3</v>
          </cell>
          <cell r="AR26">
            <v>6.0000000000000001E-3</v>
          </cell>
          <cell r="AS26">
            <v>6.0000000000000001E-3</v>
          </cell>
          <cell r="AT26">
            <v>2.1999999999999999E-2</v>
          </cell>
          <cell r="AU26">
            <v>2.5000000000000001E-2</v>
          </cell>
          <cell r="AV26">
            <v>3.4000000000000002E-2</v>
          </cell>
          <cell r="AW26">
            <v>5.2999999999999999E-2</v>
          </cell>
          <cell r="AX26">
            <v>6.8000000000000005E-2</v>
          </cell>
          <cell r="AY26">
            <v>0.08</v>
          </cell>
          <cell r="AZ26">
            <v>9.2999999999999999E-2</v>
          </cell>
          <cell r="BA26">
            <v>0.108</v>
          </cell>
          <cell r="BB26">
            <v>0.11799999999999999</v>
          </cell>
          <cell r="BC26">
            <v>0.124</v>
          </cell>
          <cell r="BD26">
            <v>0.158</v>
          </cell>
          <cell r="BE26">
            <v>0.186</v>
          </cell>
          <cell r="BF26">
            <v>0.22</v>
          </cell>
          <cell r="BG26">
            <v>0.248</v>
          </cell>
          <cell r="BH26">
            <v>0.27900000000000003</v>
          </cell>
          <cell r="BI26">
            <v>0.29699999999999999</v>
          </cell>
          <cell r="BJ26">
            <v>0.32500000000000001</v>
          </cell>
          <cell r="BK26">
            <v>0.35</v>
          </cell>
          <cell r="BL26">
            <v>0.378</v>
          </cell>
          <cell r="BM26">
            <v>0.42099999999999999</v>
          </cell>
          <cell r="BN26">
            <v>0.44900000000000001</v>
          </cell>
          <cell r="BO26">
            <v>0.48899999999999999</v>
          </cell>
          <cell r="BP26">
            <v>0.51100000000000001</v>
          </cell>
          <cell r="BQ26">
            <v>0.55100000000000005</v>
          </cell>
          <cell r="BR26">
            <v>0.57599999999999996</v>
          </cell>
          <cell r="BS26">
            <v>0.60699999999999998</v>
          </cell>
          <cell r="BT26">
            <v>0.63500000000000001</v>
          </cell>
          <cell r="BU26">
            <v>0.65900000000000003</v>
          </cell>
          <cell r="BV26">
            <v>0.68700000000000006</v>
          </cell>
          <cell r="BW26">
            <v>0.71799999999999997</v>
          </cell>
          <cell r="BX26">
            <v>0.76200000000000001</v>
          </cell>
          <cell r="BY26">
            <v>0.78600000000000003</v>
          </cell>
          <cell r="BZ26">
            <v>0.80500000000000005</v>
          </cell>
          <cell r="CA26">
            <v>0.81399999999999995</v>
          </cell>
          <cell r="CB26">
            <v>0.84199999999999997</v>
          </cell>
          <cell r="CC26">
            <v>0.84799999999999998</v>
          </cell>
          <cell r="CD26">
            <v>0.86699999999999999</v>
          </cell>
          <cell r="CE26">
            <v>0.879</v>
          </cell>
          <cell r="CF26">
            <v>0.89500000000000002</v>
          </cell>
          <cell r="CG26">
            <v>0.91</v>
          </cell>
          <cell r="CH26">
            <v>0.92900000000000005</v>
          </cell>
          <cell r="CI26">
            <v>0.93799999999999994</v>
          </cell>
          <cell r="CJ26">
            <v>0.94699999999999995</v>
          </cell>
          <cell r="CK26">
            <v>0.94699999999999995</v>
          </cell>
          <cell r="CL26">
            <v>0.96299999999999997</v>
          </cell>
          <cell r="CM26">
            <v>0.96899999999999997</v>
          </cell>
          <cell r="CN26">
            <v>0.97799999999999998</v>
          </cell>
          <cell r="CO26">
            <v>0.98499999999999999</v>
          </cell>
          <cell r="CP26">
            <v>0.98799999999999999</v>
          </cell>
          <cell r="CQ26">
            <v>0.98799999999999999</v>
          </cell>
          <cell r="CR26">
            <v>0.98799999999999999</v>
          </cell>
          <cell r="CS26">
            <v>0.98799999999999999</v>
          </cell>
          <cell r="CT26">
            <v>0.98799999999999999</v>
          </cell>
          <cell r="CU26">
            <v>0.98799999999999999</v>
          </cell>
          <cell r="CV26">
            <v>0.99399999999999999</v>
          </cell>
          <cell r="CW26">
            <v>0.99399999999999999</v>
          </cell>
          <cell r="CX26">
            <v>0.99399999999999999</v>
          </cell>
          <cell r="CY26">
            <v>0.997</v>
          </cell>
          <cell r="CZ26">
            <v>1</v>
          </cell>
          <cell r="DA26">
            <v>1</v>
          </cell>
          <cell r="DB26">
            <v>1</v>
          </cell>
        </row>
        <row r="27">
          <cell r="D27" t="str">
            <v>AR5 climate diagnostics|Temperature|Exceedance Probability|2.0 ¬∞C|MAGICC6</v>
          </cell>
          <cell r="E27" t="str">
            <v>-</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3.333333E-3</v>
          </cell>
          <cell r="AE27">
            <v>5.0000000000000001E-3</v>
          </cell>
          <cell r="AF27">
            <v>5.0000000000000001E-3</v>
          </cell>
          <cell r="AG27">
            <v>8.3333330000000001E-3</v>
          </cell>
          <cell r="AH27">
            <v>0.01</v>
          </cell>
          <cell r="AI27">
            <v>1.3333332999999999E-2</v>
          </cell>
          <cell r="AJ27">
            <v>1.8333333E-2</v>
          </cell>
          <cell r="AK27">
            <v>2.1666667000000001E-2</v>
          </cell>
          <cell r="AL27">
            <v>2.3333333000000001E-2</v>
          </cell>
          <cell r="AM27">
            <v>2.6666667000000002E-2</v>
          </cell>
          <cell r="AN27">
            <v>3.8333332999999997E-2</v>
          </cell>
          <cell r="AO27">
            <v>5.8333333000000001E-2</v>
          </cell>
          <cell r="AP27">
            <v>6.8333332999999996E-2</v>
          </cell>
          <cell r="AQ27">
            <v>8.1666666999999998E-2</v>
          </cell>
          <cell r="AR27">
            <v>0.101666667</v>
          </cell>
          <cell r="AS27">
            <v>0.111666667</v>
          </cell>
          <cell r="AT27">
            <v>0.13166666699999999</v>
          </cell>
          <cell r="AU27">
            <v>0.16</v>
          </cell>
          <cell r="AV27">
            <v>0.2</v>
          </cell>
          <cell r="AW27">
            <v>0.22666666699999999</v>
          </cell>
          <cell r="AX27">
            <v>0.27500000000000002</v>
          </cell>
          <cell r="AY27">
            <v>0.30333333299999998</v>
          </cell>
          <cell r="AZ27">
            <v>0.33833333300000001</v>
          </cell>
          <cell r="BA27">
            <v>0.375</v>
          </cell>
          <cell r="BB27">
            <v>0.41</v>
          </cell>
          <cell r="BC27">
            <v>0.44500000000000001</v>
          </cell>
          <cell r="BD27">
            <v>0.491666667</v>
          </cell>
          <cell r="BE27">
            <v>0.52333333299999996</v>
          </cell>
          <cell r="BF27">
            <v>0.56166666700000001</v>
          </cell>
          <cell r="BG27">
            <v>0.59833333300000002</v>
          </cell>
          <cell r="BH27">
            <v>0.63</v>
          </cell>
          <cell r="BI27">
            <v>0.66333333299999997</v>
          </cell>
          <cell r="BJ27">
            <v>0.69166666700000001</v>
          </cell>
          <cell r="BK27">
            <v>0.71666666700000003</v>
          </cell>
          <cell r="BL27">
            <v>0.745</v>
          </cell>
          <cell r="BM27">
            <v>0.76833333299999995</v>
          </cell>
          <cell r="BN27">
            <v>0.78333333299999997</v>
          </cell>
          <cell r="BO27">
            <v>0.80500000000000005</v>
          </cell>
          <cell r="BP27">
            <v>0.82499999999999996</v>
          </cell>
          <cell r="BQ27">
            <v>0.84333333300000002</v>
          </cell>
          <cell r="BR27">
            <v>0.86</v>
          </cell>
          <cell r="BS27">
            <v>0.875</v>
          </cell>
          <cell r="BT27">
            <v>0.88666666699999996</v>
          </cell>
          <cell r="BU27">
            <v>0.90166666699999998</v>
          </cell>
          <cell r="BV27">
            <v>0.91333333299999997</v>
          </cell>
          <cell r="BW27">
            <v>0.92333333299999998</v>
          </cell>
          <cell r="BX27">
            <v>0.92833333299999998</v>
          </cell>
          <cell r="BY27">
            <v>0.93833333299999999</v>
          </cell>
          <cell r="BZ27">
            <v>0.94166666700000001</v>
          </cell>
          <cell r="CA27">
            <v>0.94666666700000002</v>
          </cell>
          <cell r="CB27">
            <v>0.95</v>
          </cell>
          <cell r="CC27">
            <v>0.95666666700000003</v>
          </cell>
          <cell r="CD27">
            <v>0.96166666700000003</v>
          </cell>
          <cell r="CE27">
            <v>0.96333333300000001</v>
          </cell>
          <cell r="CF27">
            <v>0.96666666700000003</v>
          </cell>
          <cell r="CG27">
            <v>0.97166666700000004</v>
          </cell>
          <cell r="CH27">
            <v>0.97166666700000004</v>
          </cell>
          <cell r="CI27">
            <v>0.97499999999999998</v>
          </cell>
          <cell r="CJ27">
            <v>0.97833333300000003</v>
          </cell>
          <cell r="CK27">
            <v>0.98166666700000005</v>
          </cell>
          <cell r="CL27">
            <v>0.98166666700000005</v>
          </cell>
          <cell r="CM27">
            <v>0.98499999999999999</v>
          </cell>
          <cell r="CN27">
            <v>0.98833333300000004</v>
          </cell>
          <cell r="CO27">
            <v>0.99</v>
          </cell>
          <cell r="CP27">
            <v>0.99166666699999995</v>
          </cell>
          <cell r="CQ27">
            <v>0.99333333300000004</v>
          </cell>
          <cell r="CR27">
            <v>0.99333333300000004</v>
          </cell>
          <cell r="CS27">
            <v>0.99666666699999995</v>
          </cell>
          <cell r="CT27">
            <v>1</v>
          </cell>
          <cell r="CU27">
            <v>1</v>
          </cell>
          <cell r="CV27">
            <v>1</v>
          </cell>
          <cell r="CW27">
            <v>1</v>
          </cell>
          <cell r="CX27">
            <v>1</v>
          </cell>
          <cell r="CY27">
            <v>1</v>
          </cell>
          <cell r="CZ27">
            <v>1</v>
          </cell>
          <cell r="DA27">
            <v>1</v>
          </cell>
          <cell r="DB27">
            <v>1</v>
          </cell>
        </row>
        <row r="28">
          <cell r="D28" t="str">
            <v>AR5 climate diagnostics|Temperature|Exceedance Probability|2.5 ¬∞C|FAIR</v>
          </cell>
          <cell r="E28" t="str">
            <v>-</v>
          </cell>
          <cell r="P28">
            <v>0</v>
          </cell>
          <cell r="Q28">
            <v>0</v>
          </cell>
          <cell r="R28">
            <v>0</v>
          </cell>
          <cell r="S28">
            <v>0</v>
          </cell>
          <cell r="T28">
            <v>0</v>
          </cell>
          <cell r="U28">
            <v>0</v>
          </cell>
          <cell r="V28">
            <v>0</v>
          </cell>
          <cell r="W28">
            <v>0</v>
          </cell>
          <cell r="X28">
            <v>0</v>
          </cell>
          <cell r="Y28">
            <v>0</v>
          </cell>
          <cell r="Z28">
            <v>0</v>
          </cell>
          <cell r="AA28">
            <v>0</v>
          </cell>
          <cell r="AB28">
            <v>0</v>
          </cell>
          <cell r="AC28">
            <v>0</v>
          </cell>
          <cell r="AD28">
            <v>0</v>
          </cell>
          <cell r="AE28">
            <v>0</v>
          </cell>
          <cell r="AF28">
            <v>0</v>
          </cell>
          <cell r="AG28">
            <v>0</v>
          </cell>
          <cell r="AH28">
            <v>0</v>
          </cell>
          <cell r="AI28">
            <v>0</v>
          </cell>
          <cell r="AJ28">
            <v>0</v>
          </cell>
          <cell r="AK28">
            <v>0</v>
          </cell>
          <cell r="AL28">
            <v>0</v>
          </cell>
          <cell r="AM28">
            <v>0</v>
          </cell>
          <cell r="AN28">
            <v>0</v>
          </cell>
          <cell r="AO28">
            <v>0</v>
          </cell>
          <cell r="AP28">
            <v>0</v>
          </cell>
          <cell r="AQ28">
            <v>0</v>
          </cell>
          <cell r="AR28">
            <v>0</v>
          </cell>
          <cell r="AS28">
            <v>0</v>
          </cell>
          <cell r="AT28">
            <v>0</v>
          </cell>
          <cell r="AU28">
            <v>0</v>
          </cell>
          <cell r="AV28">
            <v>0</v>
          </cell>
          <cell r="AW28">
            <v>0</v>
          </cell>
          <cell r="AX28">
            <v>0</v>
          </cell>
          <cell r="AY28">
            <v>0</v>
          </cell>
          <cell r="AZ28">
            <v>3.0000000000000001E-3</v>
          </cell>
          <cell r="BA28">
            <v>3.0000000000000001E-3</v>
          </cell>
          <cell r="BB28">
            <v>3.0000000000000001E-3</v>
          </cell>
          <cell r="BC28">
            <v>6.0000000000000001E-3</v>
          </cell>
          <cell r="BD28">
            <v>6.0000000000000001E-3</v>
          </cell>
          <cell r="BE28">
            <v>8.9999999999999993E-3</v>
          </cell>
          <cell r="BF28">
            <v>2.1999999999999999E-2</v>
          </cell>
          <cell r="BG28">
            <v>2.5000000000000001E-2</v>
          </cell>
          <cell r="BH28">
            <v>3.1E-2</v>
          </cell>
          <cell r="BI28">
            <v>4.2999999999999997E-2</v>
          </cell>
          <cell r="BJ28">
            <v>5.6000000000000001E-2</v>
          </cell>
          <cell r="BK28">
            <v>6.2E-2</v>
          </cell>
          <cell r="BL28">
            <v>7.0999999999999994E-2</v>
          </cell>
          <cell r="BM28">
            <v>0.08</v>
          </cell>
          <cell r="BN28">
            <v>8.6999999999999994E-2</v>
          </cell>
          <cell r="BO28">
            <v>0.10199999999999999</v>
          </cell>
          <cell r="BP28">
            <v>0.111</v>
          </cell>
          <cell r="BQ28">
            <v>0.11799999999999999</v>
          </cell>
          <cell r="BR28">
            <v>0.124</v>
          </cell>
          <cell r="BS28">
            <v>0.14599999999999999</v>
          </cell>
          <cell r="BT28">
            <v>0.16700000000000001</v>
          </cell>
          <cell r="BU28">
            <v>0.192</v>
          </cell>
          <cell r="BV28">
            <v>0.21099999999999999</v>
          </cell>
          <cell r="BW28">
            <v>0.248</v>
          </cell>
          <cell r="BX28">
            <v>0.26300000000000001</v>
          </cell>
          <cell r="BY28">
            <v>0.28499999999999998</v>
          </cell>
          <cell r="BZ28">
            <v>0.31</v>
          </cell>
          <cell r="CA28">
            <v>0.32200000000000001</v>
          </cell>
          <cell r="CB28">
            <v>0.33700000000000002</v>
          </cell>
          <cell r="CC28">
            <v>0.372</v>
          </cell>
          <cell r="CD28">
            <v>0.39300000000000002</v>
          </cell>
          <cell r="CE28">
            <v>0.42399999999999999</v>
          </cell>
          <cell r="CF28">
            <v>0.45800000000000002</v>
          </cell>
          <cell r="CG28">
            <v>0.47699999999999998</v>
          </cell>
          <cell r="CH28">
            <v>0.498</v>
          </cell>
          <cell r="CI28">
            <v>0.52900000000000003</v>
          </cell>
          <cell r="CJ28">
            <v>0.55100000000000005</v>
          </cell>
          <cell r="CK28">
            <v>0.58499999999999996</v>
          </cell>
          <cell r="CL28">
            <v>0.60099999999999998</v>
          </cell>
          <cell r="CM28">
            <v>0.61899999999999999</v>
          </cell>
          <cell r="CN28">
            <v>0.63800000000000001</v>
          </cell>
          <cell r="CO28">
            <v>0.67500000000000004</v>
          </cell>
          <cell r="CP28">
            <v>0.69299999999999995</v>
          </cell>
          <cell r="CQ28">
            <v>0.72099999999999997</v>
          </cell>
          <cell r="CR28">
            <v>0.749</v>
          </cell>
          <cell r="CS28">
            <v>0.78300000000000003</v>
          </cell>
          <cell r="CT28">
            <v>0.79300000000000004</v>
          </cell>
          <cell r="CU28">
            <v>0.80500000000000005</v>
          </cell>
          <cell r="CV28">
            <v>0.81399999999999995</v>
          </cell>
          <cell r="CW28">
            <v>0.83899999999999997</v>
          </cell>
          <cell r="CX28">
            <v>0.84799999999999998</v>
          </cell>
          <cell r="CY28">
            <v>0.85399999999999998</v>
          </cell>
          <cell r="CZ28">
            <v>0.86699999999999999</v>
          </cell>
          <cell r="DA28">
            <v>0.879</v>
          </cell>
          <cell r="DB28">
            <v>0.89500000000000002</v>
          </cell>
        </row>
        <row r="29">
          <cell r="D29" t="str">
            <v>AR5 climate diagnostics|Temperature|Exceedance Probability|2.5 ¬∞C|MAGICC6</v>
          </cell>
          <cell r="E29" t="str">
            <v>-</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cell r="AI29">
            <v>0</v>
          </cell>
          <cell r="AJ29">
            <v>0</v>
          </cell>
          <cell r="AK29">
            <v>0</v>
          </cell>
          <cell r="AL29">
            <v>0</v>
          </cell>
          <cell r="AM29">
            <v>5.0000000000000001E-3</v>
          </cell>
          <cell r="AN29">
            <v>6.6666670000000003E-3</v>
          </cell>
          <cell r="AO29">
            <v>6.6666670000000003E-3</v>
          </cell>
          <cell r="AP29">
            <v>6.6666670000000003E-3</v>
          </cell>
          <cell r="AQ29">
            <v>8.3333330000000001E-3</v>
          </cell>
          <cell r="AR29">
            <v>0.01</v>
          </cell>
          <cell r="AS29">
            <v>0.01</v>
          </cell>
          <cell r="AT29">
            <v>1.3333332999999999E-2</v>
          </cell>
          <cell r="AU29">
            <v>2.1666667000000001E-2</v>
          </cell>
          <cell r="AV29">
            <v>2.6666667000000002E-2</v>
          </cell>
          <cell r="AW29">
            <v>3.5000000000000003E-2</v>
          </cell>
          <cell r="AX29">
            <v>4.4999999999999998E-2</v>
          </cell>
          <cell r="AY29">
            <v>4.8333332999999999E-2</v>
          </cell>
          <cell r="AZ29">
            <v>5.8333333000000001E-2</v>
          </cell>
          <cell r="BA29">
            <v>7.3333333000000001E-2</v>
          </cell>
          <cell r="BB29">
            <v>8.1666666999999998E-2</v>
          </cell>
          <cell r="BC29">
            <v>9.1666666999999993E-2</v>
          </cell>
          <cell r="BD29">
            <v>9.8333332999999995E-2</v>
          </cell>
          <cell r="BE29">
            <v>0.111666667</v>
          </cell>
          <cell r="BF29">
            <v>0.13</v>
          </cell>
          <cell r="BG29">
            <v>0.15166666700000001</v>
          </cell>
          <cell r="BH29">
            <v>0.17333333300000001</v>
          </cell>
          <cell r="BI29">
            <v>0.20166666699999999</v>
          </cell>
          <cell r="BJ29">
            <v>0.228333333</v>
          </cell>
          <cell r="BK29">
            <v>0.255</v>
          </cell>
          <cell r="BL29">
            <v>0.28666666699999999</v>
          </cell>
          <cell r="BM29">
            <v>0.31333333299999999</v>
          </cell>
          <cell r="BN29">
            <v>0.33833333300000001</v>
          </cell>
          <cell r="BO29">
            <v>0.35833333299999998</v>
          </cell>
          <cell r="BP29">
            <v>0.383333333</v>
          </cell>
          <cell r="BQ29">
            <v>0.40833333300000002</v>
          </cell>
          <cell r="BR29">
            <v>0.44</v>
          </cell>
          <cell r="BS29">
            <v>0.47166666699999998</v>
          </cell>
          <cell r="BT29">
            <v>0.505</v>
          </cell>
          <cell r="BU29">
            <v>0.54166666699999999</v>
          </cell>
          <cell r="BV29">
            <v>0.568333333</v>
          </cell>
          <cell r="BW29">
            <v>0.59333333300000002</v>
          </cell>
          <cell r="BX29">
            <v>0.61833333300000004</v>
          </cell>
          <cell r="BY29">
            <v>0.64</v>
          </cell>
          <cell r="BZ29">
            <v>0.66333333299999997</v>
          </cell>
          <cell r="CA29">
            <v>0.69</v>
          </cell>
          <cell r="CB29">
            <v>0.71166666700000003</v>
          </cell>
          <cell r="CC29">
            <v>0.73833333300000004</v>
          </cell>
          <cell r="CD29">
            <v>0.76166666699999996</v>
          </cell>
          <cell r="CE29">
            <v>0.77500000000000002</v>
          </cell>
          <cell r="CF29">
            <v>0.78333333299999997</v>
          </cell>
          <cell r="CG29">
            <v>0.79833333299999998</v>
          </cell>
          <cell r="CH29">
            <v>0.81666666700000001</v>
          </cell>
          <cell r="CI29">
            <v>0.82666666700000002</v>
          </cell>
          <cell r="CJ29">
            <v>0.84499999999999997</v>
          </cell>
          <cell r="CK29">
            <v>0.86</v>
          </cell>
          <cell r="CL29">
            <v>0.87166666699999995</v>
          </cell>
          <cell r="CM29">
            <v>0.88333333300000005</v>
          </cell>
          <cell r="CN29">
            <v>0.89500000000000002</v>
          </cell>
          <cell r="CO29">
            <v>0.90333333299999996</v>
          </cell>
          <cell r="CP29">
            <v>0.91666666699999999</v>
          </cell>
          <cell r="CQ29">
            <v>0.92333333299999998</v>
          </cell>
          <cell r="CR29">
            <v>0.926666667</v>
          </cell>
          <cell r="CS29">
            <v>0.931666667</v>
          </cell>
          <cell r="CT29">
            <v>0.93833333299999999</v>
          </cell>
          <cell r="CU29">
            <v>0.93833333299999999</v>
          </cell>
          <cell r="CV29">
            <v>0.94666666700000002</v>
          </cell>
          <cell r="CW29">
            <v>0.953333333</v>
          </cell>
          <cell r="CX29">
            <v>0.95666666700000003</v>
          </cell>
          <cell r="CY29">
            <v>0.96</v>
          </cell>
          <cell r="CZ29">
            <v>0.96666666700000003</v>
          </cell>
          <cell r="DA29">
            <v>0.96833333300000002</v>
          </cell>
          <cell r="DB29">
            <v>0.96833333300000002</v>
          </cell>
        </row>
        <row r="30">
          <cell r="D30" t="str">
            <v>AR5 climate diagnostics|Temperature|Exceedance Probability|3.0 ¬∞C|FAIR</v>
          </cell>
          <cell r="E30" t="str">
            <v>-</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v>
          </cell>
          <cell r="AR30">
            <v>0</v>
          </cell>
          <cell r="AS30">
            <v>0</v>
          </cell>
          <cell r="AT30">
            <v>0</v>
          </cell>
          <cell r="AU30">
            <v>0</v>
          </cell>
          <cell r="AV30">
            <v>0</v>
          </cell>
          <cell r="AW30">
            <v>0</v>
          </cell>
          <cell r="AX30">
            <v>0</v>
          </cell>
          <cell r="AY30">
            <v>0</v>
          </cell>
          <cell r="AZ30">
            <v>0</v>
          </cell>
          <cell r="BA30">
            <v>0</v>
          </cell>
          <cell r="BB30">
            <v>0</v>
          </cell>
          <cell r="BC30">
            <v>0</v>
          </cell>
          <cell r="BD30">
            <v>0</v>
          </cell>
          <cell r="BE30">
            <v>0</v>
          </cell>
          <cell r="BF30">
            <v>0</v>
          </cell>
          <cell r="BG30">
            <v>0</v>
          </cell>
          <cell r="BH30">
            <v>0</v>
          </cell>
          <cell r="BI30">
            <v>0</v>
          </cell>
          <cell r="BJ30">
            <v>3.0000000000000001E-3</v>
          </cell>
          <cell r="BK30">
            <v>3.0000000000000001E-3</v>
          </cell>
          <cell r="BL30">
            <v>3.0000000000000001E-3</v>
          </cell>
          <cell r="BM30">
            <v>3.0000000000000001E-3</v>
          </cell>
          <cell r="BN30">
            <v>6.0000000000000001E-3</v>
          </cell>
          <cell r="BO30">
            <v>6.0000000000000001E-3</v>
          </cell>
          <cell r="BP30">
            <v>8.9999999999999993E-3</v>
          </cell>
          <cell r="BQ30">
            <v>1.4999999999999999E-2</v>
          </cell>
          <cell r="BR30">
            <v>2.1999999999999999E-2</v>
          </cell>
          <cell r="BS30">
            <v>2.8000000000000001E-2</v>
          </cell>
          <cell r="BT30">
            <v>3.4000000000000002E-2</v>
          </cell>
          <cell r="BU30">
            <v>4.2999999999999997E-2</v>
          </cell>
          <cell r="BV30">
            <v>5.2999999999999999E-2</v>
          </cell>
          <cell r="BW30">
            <v>5.8999999999999997E-2</v>
          </cell>
          <cell r="BX30">
            <v>6.8000000000000005E-2</v>
          </cell>
          <cell r="BY30">
            <v>7.0999999999999994E-2</v>
          </cell>
          <cell r="BZ30">
            <v>0.08</v>
          </cell>
          <cell r="CA30">
            <v>0.09</v>
          </cell>
          <cell r="CB30">
            <v>0.09</v>
          </cell>
          <cell r="CC30">
            <v>9.9000000000000005E-2</v>
          </cell>
          <cell r="CD30">
            <v>0.115</v>
          </cell>
          <cell r="CE30">
            <v>0.124</v>
          </cell>
          <cell r="CF30">
            <v>0.13</v>
          </cell>
          <cell r="CG30">
            <v>0.14899999999999999</v>
          </cell>
          <cell r="CH30">
            <v>0.16400000000000001</v>
          </cell>
          <cell r="CI30">
            <v>0.189</v>
          </cell>
          <cell r="CJ30">
            <v>0.20399999999999999</v>
          </cell>
          <cell r="CK30">
            <v>0.223</v>
          </cell>
          <cell r="CL30">
            <v>0.25700000000000001</v>
          </cell>
          <cell r="CM30">
            <v>0.27900000000000003</v>
          </cell>
          <cell r="CN30">
            <v>0.29099999999999998</v>
          </cell>
          <cell r="CO30">
            <v>0.307</v>
          </cell>
          <cell r="CP30">
            <v>0.32200000000000001</v>
          </cell>
          <cell r="CQ30">
            <v>0.34100000000000003</v>
          </cell>
          <cell r="CR30">
            <v>0.35899999999999999</v>
          </cell>
          <cell r="CS30">
            <v>0.39600000000000002</v>
          </cell>
          <cell r="CT30">
            <v>0.41199999999999998</v>
          </cell>
          <cell r="CU30">
            <v>0.44600000000000001</v>
          </cell>
          <cell r="CV30">
            <v>0.46100000000000002</v>
          </cell>
          <cell r="CW30">
            <v>0.48</v>
          </cell>
          <cell r="CX30">
            <v>0.502</v>
          </cell>
          <cell r="CY30">
            <v>0.52</v>
          </cell>
          <cell r="CZ30">
            <v>0.54800000000000004</v>
          </cell>
          <cell r="DA30">
            <v>0.56999999999999995</v>
          </cell>
          <cell r="DB30">
            <v>0.58499999999999996</v>
          </cell>
        </row>
        <row r="31">
          <cell r="D31" t="str">
            <v>AR5 climate diagnostics|Temperature|Exceedance Probability|3.0 ¬∞C|MAGICC6</v>
          </cell>
          <cell r="E31" t="str">
            <v>-</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cell r="AP31">
            <v>1.6666669999999999E-3</v>
          </cell>
          <cell r="AQ31">
            <v>1.6666669999999999E-3</v>
          </cell>
          <cell r="AR31">
            <v>1.6666669999999999E-3</v>
          </cell>
          <cell r="AS31">
            <v>1.6666669999999999E-3</v>
          </cell>
          <cell r="AT31">
            <v>1.6666669999999999E-3</v>
          </cell>
          <cell r="AU31">
            <v>3.333333E-3</v>
          </cell>
          <cell r="AV31">
            <v>5.0000000000000001E-3</v>
          </cell>
          <cell r="AW31">
            <v>6.6666670000000003E-3</v>
          </cell>
          <cell r="AX31">
            <v>6.6666670000000003E-3</v>
          </cell>
          <cell r="AY31">
            <v>6.6666670000000003E-3</v>
          </cell>
          <cell r="AZ31">
            <v>6.6666670000000003E-3</v>
          </cell>
          <cell r="BA31">
            <v>1.1666667E-2</v>
          </cell>
          <cell r="BB31">
            <v>1.6666667E-2</v>
          </cell>
          <cell r="BC31">
            <v>1.8333333E-2</v>
          </cell>
          <cell r="BD31">
            <v>2.1666667000000001E-2</v>
          </cell>
          <cell r="BE31">
            <v>2.5000000000000001E-2</v>
          </cell>
          <cell r="BF31">
            <v>3.3333333E-2</v>
          </cell>
          <cell r="BG31">
            <v>0.04</v>
          </cell>
          <cell r="BH31">
            <v>4.6666667000000002E-2</v>
          </cell>
          <cell r="BI31">
            <v>5.1666666999999999E-2</v>
          </cell>
          <cell r="BJ31">
            <v>0.06</v>
          </cell>
          <cell r="BK31">
            <v>6.6666666999999999E-2</v>
          </cell>
          <cell r="BL31">
            <v>8.1666666999999998E-2</v>
          </cell>
          <cell r="BM31">
            <v>8.3333332999999996E-2</v>
          </cell>
          <cell r="BN31">
            <v>9.3333333000000004E-2</v>
          </cell>
          <cell r="BO31">
            <v>0.103333333</v>
          </cell>
          <cell r="BP31">
            <v>0.116666667</v>
          </cell>
          <cell r="BQ31">
            <v>0.13</v>
          </cell>
          <cell r="BR31">
            <v>0.14499999999999999</v>
          </cell>
          <cell r="BS31">
            <v>0.16500000000000001</v>
          </cell>
          <cell r="BT31">
            <v>0.181666667</v>
          </cell>
          <cell r="BU31">
            <v>0.211666667</v>
          </cell>
          <cell r="BV31">
            <v>0.233333333</v>
          </cell>
          <cell r="BW31">
            <v>0.25</v>
          </cell>
          <cell r="BX31">
            <v>0.27500000000000002</v>
          </cell>
          <cell r="BY31">
            <v>0.3</v>
          </cell>
          <cell r="BZ31">
            <v>0.32666666700000002</v>
          </cell>
          <cell r="CA31">
            <v>0.34499999999999997</v>
          </cell>
          <cell r="CB31">
            <v>0.35833333299999998</v>
          </cell>
          <cell r="CC31">
            <v>0.383333333</v>
          </cell>
          <cell r="CD31">
            <v>0.40666666699999998</v>
          </cell>
          <cell r="CE31">
            <v>0.42833333299999998</v>
          </cell>
          <cell r="CF31">
            <v>0.45166666700000002</v>
          </cell>
          <cell r="CG31">
            <v>0.47666666699999999</v>
          </cell>
          <cell r="CH31">
            <v>0.505</v>
          </cell>
          <cell r="CI31">
            <v>0.53833333299999997</v>
          </cell>
          <cell r="CJ31">
            <v>0.56000000000000005</v>
          </cell>
          <cell r="CK31">
            <v>0.58333333300000001</v>
          </cell>
          <cell r="CL31">
            <v>0.60833333300000003</v>
          </cell>
          <cell r="CM31">
            <v>0.62166666699999995</v>
          </cell>
          <cell r="CN31">
            <v>0.64166666699999997</v>
          </cell>
          <cell r="CO31">
            <v>0.66</v>
          </cell>
          <cell r="CP31">
            <v>0.681666667</v>
          </cell>
          <cell r="CQ31">
            <v>0.70166666700000002</v>
          </cell>
          <cell r="CR31">
            <v>0.73833333300000004</v>
          </cell>
          <cell r="CS31">
            <v>0.75166666699999996</v>
          </cell>
          <cell r="CT31">
            <v>0.76666666699999997</v>
          </cell>
          <cell r="CU31">
            <v>0.78</v>
          </cell>
          <cell r="CV31">
            <v>0.78666666699999999</v>
          </cell>
          <cell r="CW31">
            <v>0.80500000000000005</v>
          </cell>
          <cell r="CX31">
            <v>0.81333333299999999</v>
          </cell>
          <cell r="CY31">
            <v>0.82666666700000002</v>
          </cell>
          <cell r="CZ31">
            <v>0.83666666700000003</v>
          </cell>
          <cell r="DA31">
            <v>0.84499999999999997</v>
          </cell>
          <cell r="DB31">
            <v>0.86166666700000005</v>
          </cell>
        </row>
        <row r="32">
          <cell r="D32" t="str">
            <v>AR5 climate diagnostics|Temperature|Exceedance Probability|3.5 ¬∞C|FAIR</v>
          </cell>
          <cell r="E32" t="str">
            <v>-</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cell r="BF32">
            <v>0</v>
          </cell>
          <cell r="BG32">
            <v>0</v>
          </cell>
          <cell r="BH32">
            <v>0</v>
          </cell>
          <cell r="BI32">
            <v>0</v>
          </cell>
          <cell r="BJ32">
            <v>0</v>
          </cell>
          <cell r="BK32">
            <v>0</v>
          </cell>
          <cell r="BL32">
            <v>0</v>
          </cell>
          <cell r="BM32">
            <v>0</v>
          </cell>
          <cell r="BN32">
            <v>0</v>
          </cell>
          <cell r="BO32">
            <v>0</v>
          </cell>
          <cell r="BP32">
            <v>0</v>
          </cell>
          <cell r="BQ32">
            <v>0</v>
          </cell>
          <cell r="BR32">
            <v>0</v>
          </cell>
          <cell r="BS32">
            <v>3.0000000000000001E-3</v>
          </cell>
          <cell r="BT32">
            <v>3.0000000000000001E-3</v>
          </cell>
          <cell r="BU32">
            <v>3.0000000000000001E-3</v>
          </cell>
          <cell r="BV32">
            <v>3.0000000000000001E-3</v>
          </cell>
          <cell r="BW32">
            <v>3.0000000000000001E-3</v>
          </cell>
          <cell r="BX32">
            <v>3.0000000000000001E-3</v>
          </cell>
          <cell r="BY32">
            <v>6.0000000000000001E-3</v>
          </cell>
          <cell r="BZ32">
            <v>6.0000000000000001E-3</v>
          </cell>
          <cell r="CA32">
            <v>1.2E-2</v>
          </cell>
          <cell r="CB32">
            <v>1.9E-2</v>
          </cell>
          <cell r="CC32">
            <v>2.5000000000000001E-2</v>
          </cell>
          <cell r="CD32">
            <v>2.8000000000000001E-2</v>
          </cell>
          <cell r="CE32">
            <v>3.4000000000000002E-2</v>
          </cell>
          <cell r="CF32">
            <v>4.5999999999999999E-2</v>
          </cell>
          <cell r="CG32">
            <v>4.5999999999999999E-2</v>
          </cell>
          <cell r="CH32">
            <v>5.8999999999999997E-2</v>
          </cell>
          <cell r="CI32">
            <v>6.5000000000000002E-2</v>
          </cell>
          <cell r="CJ32">
            <v>7.0999999999999994E-2</v>
          </cell>
          <cell r="CK32">
            <v>7.6999999999999999E-2</v>
          </cell>
          <cell r="CL32">
            <v>0.08</v>
          </cell>
          <cell r="CM32">
            <v>0.09</v>
          </cell>
          <cell r="CN32">
            <v>9.2999999999999999E-2</v>
          </cell>
          <cell r="CO32">
            <v>0.10199999999999999</v>
          </cell>
          <cell r="CP32">
            <v>0.121</v>
          </cell>
          <cell r="CQ32">
            <v>0.121</v>
          </cell>
          <cell r="CR32">
            <v>0.13</v>
          </cell>
          <cell r="CS32">
            <v>0.14199999999999999</v>
          </cell>
          <cell r="CT32">
            <v>0.158</v>
          </cell>
          <cell r="CU32">
            <v>0.17599999999999999</v>
          </cell>
          <cell r="CV32">
            <v>0.189</v>
          </cell>
          <cell r="CW32">
            <v>0.20699999999999999</v>
          </cell>
          <cell r="CX32">
            <v>0.223</v>
          </cell>
          <cell r="CY32">
            <v>0.254</v>
          </cell>
          <cell r="CZ32">
            <v>0.26900000000000002</v>
          </cell>
          <cell r="DA32">
            <v>0.28799999999999998</v>
          </cell>
          <cell r="DB32">
            <v>0.29699999999999999</v>
          </cell>
        </row>
        <row r="33">
          <cell r="D33" t="str">
            <v>AR5 climate diagnostics|Temperature|Exceedance Probability|3.5 ¬∞C|MAGICC6</v>
          </cell>
          <cell r="E33" t="str">
            <v>-</v>
          </cell>
          <cell r="F33">
            <v>0</v>
          </cell>
          <cell r="G33">
            <v>0</v>
          </cell>
          <cell r="H33">
            <v>0</v>
          </cell>
          <cell r="I33">
            <v>0</v>
          </cell>
          <cell r="J33">
            <v>0</v>
          </cell>
          <cell r="K33">
            <v>0</v>
          </cell>
          <cell r="L33">
            <v>0</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1.6666669999999999E-3</v>
          </cell>
          <cell r="AW33">
            <v>1.6666669999999999E-3</v>
          </cell>
          <cell r="AX33">
            <v>1.6666669999999999E-3</v>
          </cell>
          <cell r="AY33">
            <v>1.6666669999999999E-3</v>
          </cell>
          <cell r="AZ33">
            <v>1.6666669999999999E-3</v>
          </cell>
          <cell r="BA33">
            <v>1.6666669999999999E-3</v>
          </cell>
          <cell r="BB33">
            <v>3.333333E-3</v>
          </cell>
          <cell r="BC33">
            <v>3.333333E-3</v>
          </cell>
          <cell r="BD33">
            <v>5.0000000000000001E-3</v>
          </cell>
          <cell r="BE33">
            <v>6.6666670000000003E-3</v>
          </cell>
          <cell r="BF33">
            <v>6.6666670000000003E-3</v>
          </cell>
          <cell r="BG33">
            <v>0.01</v>
          </cell>
          <cell r="BH33">
            <v>1.1666667E-2</v>
          </cell>
          <cell r="BI33">
            <v>1.1666667E-2</v>
          </cell>
          <cell r="BJ33">
            <v>1.3333332999999999E-2</v>
          </cell>
          <cell r="BK33">
            <v>1.6666667E-2</v>
          </cell>
          <cell r="BL33">
            <v>0.02</v>
          </cell>
          <cell r="BM33">
            <v>2.5000000000000001E-2</v>
          </cell>
          <cell r="BN33">
            <v>3.1666667000000003E-2</v>
          </cell>
          <cell r="BO33">
            <v>3.6666667E-2</v>
          </cell>
          <cell r="BP33">
            <v>4.1666666999999998E-2</v>
          </cell>
          <cell r="BQ33">
            <v>4.6666667000000002E-2</v>
          </cell>
          <cell r="BR33">
            <v>0.05</v>
          </cell>
          <cell r="BS33">
            <v>5.6666666999999997E-2</v>
          </cell>
          <cell r="BT33">
            <v>6.1666667000000001E-2</v>
          </cell>
          <cell r="BU33">
            <v>7.3333333000000001E-2</v>
          </cell>
          <cell r="BV33">
            <v>8.5000000000000006E-2</v>
          </cell>
          <cell r="BW33">
            <v>9.1666666999999993E-2</v>
          </cell>
          <cell r="BX33">
            <v>9.8333332999999995E-2</v>
          </cell>
          <cell r="BY33">
            <v>0.108333333</v>
          </cell>
          <cell r="BZ33">
            <v>0.12</v>
          </cell>
          <cell r="CA33">
            <v>0.13166666699999999</v>
          </cell>
          <cell r="CB33">
            <v>0.141666667</v>
          </cell>
          <cell r="CC33">
            <v>0.155</v>
          </cell>
          <cell r="CD33">
            <v>0.17</v>
          </cell>
          <cell r="CE33">
            <v>0.18833333299999999</v>
          </cell>
          <cell r="CF33">
            <v>0.20499999999999999</v>
          </cell>
          <cell r="CG33">
            <v>0.22666666699999999</v>
          </cell>
          <cell r="CH33">
            <v>0.245</v>
          </cell>
          <cell r="CI33">
            <v>0.27</v>
          </cell>
          <cell r="CJ33">
            <v>0.28666666699999999</v>
          </cell>
          <cell r="CK33">
            <v>0.31666666700000001</v>
          </cell>
          <cell r="CL33">
            <v>0.33500000000000002</v>
          </cell>
          <cell r="CM33">
            <v>0.34666666699999998</v>
          </cell>
          <cell r="CN33">
            <v>0.36</v>
          </cell>
          <cell r="CO33">
            <v>0.388333333</v>
          </cell>
          <cell r="CP33">
            <v>0.41</v>
          </cell>
          <cell r="CQ33">
            <v>0.43333333299999999</v>
          </cell>
          <cell r="CR33">
            <v>0.448333333</v>
          </cell>
          <cell r="CS33">
            <v>0.47</v>
          </cell>
          <cell r="CT33">
            <v>0.48166666699999999</v>
          </cell>
          <cell r="CU33">
            <v>0.505</v>
          </cell>
          <cell r="CV33">
            <v>0.54500000000000004</v>
          </cell>
          <cell r="CW33">
            <v>0.56499999999999995</v>
          </cell>
          <cell r="CX33">
            <v>0.58333333300000001</v>
          </cell>
          <cell r="CY33">
            <v>0.60333333300000003</v>
          </cell>
          <cell r="CZ33">
            <v>0.61499999999999999</v>
          </cell>
          <cell r="DA33">
            <v>0.63500000000000001</v>
          </cell>
          <cell r="DB33">
            <v>0.65333333299999996</v>
          </cell>
        </row>
        <row r="34">
          <cell r="D34" t="str">
            <v>AR5 climate diagnostics|Temperature|Exceedance Probability|4.0 ¬∞C|FAIR</v>
          </cell>
          <cell r="E34" t="str">
            <v>-</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B34">
            <v>0</v>
          </cell>
          <cell r="BC34">
            <v>0</v>
          </cell>
          <cell r="BD34">
            <v>0</v>
          </cell>
          <cell r="BE34">
            <v>0</v>
          </cell>
          <cell r="BF34">
            <v>0</v>
          </cell>
          <cell r="BG34">
            <v>0</v>
          </cell>
          <cell r="BH34">
            <v>0</v>
          </cell>
          <cell r="BI34">
            <v>0</v>
          </cell>
          <cell r="BJ34">
            <v>0</v>
          </cell>
          <cell r="BK34">
            <v>0</v>
          </cell>
          <cell r="BL34">
            <v>0</v>
          </cell>
          <cell r="BM34">
            <v>0</v>
          </cell>
          <cell r="BN34">
            <v>0</v>
          </cell>
          <cell r="BO34">
            <v>0</v>
          </cell>
          <cell r="BP34">
            <v>0</v>
          </cell>
          <cell r="BQ34">
            <v>0</v>
          </cell>
          <cell r="BR34">
            <v>0</v>
          </cell>
          <cell r="BS34">
            <v>0</v>
          </cell>
          <cell r="BT34">
            <v>0</v>
          </cell>
          <cell r="BU34">
            <v>0</v>
          </cell>
          <cell r="BV34">
            <v>0</v>
          </cell>
          <cell r="BW34">
            <v>0</v>
          </cell>
          <cell r="BX34">
            <v>0</v>
          </cell>
          <cell r="BY34">
            <v>0</v>
          </cell>
          <cell r="BZ34">
            <v>0</v>
          </cell>
          <cell r="CA34">
            <v>0</v>
          </cell>
          <cell r="CB34">
            <v>3.0000000000000001E-3</v>
          </cell>
          <cell r="CC34">
            <v>3.0000000000000001E-3</v>
          </cell>
          <cell r="CD34">
            <v>3.0000000000000001E-3</v>
          </cell>
          <cell r="CE34">
            <v>3.0000000000000001E-3</v>
          </cell>
          <cell r="CF34">
            <v>3.0000000000000001E-3</v>
          </cell>
          <cell r="CG34">
            <v>3.0000000000000001E-3</v>
          </cell>
          <cell r="CH34">
            <v>6.0000000000000001E-3</v>
          </cell>
          <cell r="CI34">
            <v>6.0000000000000001E-3</v>
          </cell>
          <cell r="CJ34">
            <v>8.9999999999999993E-3</v>
          </cell>
          <cell r="CK34">
            <v>1.2E-2</v>
          </cell>
          <cell r="CL34">
            <v>1.9E-2</v>
          </cell>
          <cell r="CM34">
            <v>2.5000000000000001E-2</v>
          </cell>
          <cell r="CN34">
            <v>2.8000000000000001E-2</v>
          </cell>
          <cell r="CO34">
            <v>3.6999999999999998E-2</v>
          </cell>
          <cell r="CP34">
            <v>4.2999999999999997E-2</v>
          </cell>
          <cell r="CQ34">
            <v>4.5999999999999999E-2</v>
          </cell>
          <cell r="CR34">
            <v>5.6000000000000001E-2</v>
          </cell>
          <cell r="CS34">
            <v>6.5000000000000002E-2</v>
          </cell>
          <cell r="CT34">
            <v>6.8000000000000005E-2</v>
          </cell>
          <cell r="CU34">
            <v>7.0999999999999994E-2</v>
          </cell>
          <cell r="CV34">
            <v>7.6999999999999999E-2</v>
          </cell>
          <cell r="CW34">
            <v>0.08</v>
          </cell>
          <cell r="CX34">
            <v>8.6999999999999994E-2</v>
          </cell>
          <cell r="CY34">
            <v>9.2999999999999999E-2</v>
          </cell>
          <cell r="CZ34">
            <v>9.9000000000000005E-2</v>
          </cell>
          <cell r="DA34">
            <v>0.115</v>
          </cell>
          <cell r="DB34">
            <v>0.11799999999999999</v>
          </cell>
        </row>
        <row r="35">
          <cell r="D35" t="str">
            <v>AR5 climate diagnostics|Temperature|Exceedance Probability|4.0 ¬∞C|MAGICC6</v>
          </cell>
          <cell r="E35" t="str">
            <v>-</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0</v>
          </cell>
          <cell r="AR35">
            <v>0</v>
          </cell>
          <cell r="AS35">
            <v>0</v>
          </cell>
          <cell r="AT35">
            <v>0</v>
          </cell>
          <cell r="AU35">
            <v>0</v>
          </cell>
          <cell r="AV35">
            <v>0</v>
          </cell>
          <cell r="AW35">
            <v>0</v>
          </cell>
          <cell r="AX35">
            <v>0</v>
          </cell>
          <cell r="AY35">
            <v>0</v>
          </cell>
          <cell r="AZ35">
            <v>0</v>
          </cell>
          <cell r="BA35">
            <v>0</v>
          </cell>
          <cell r="BB35">
            <v>1.6666669999999999E-3</v>
          </cell>
          <cell r="BC35">
            <v>1.6666669999999999E-3</v>
          </cell>
          <cell r="BD35">
            <v>1.6666669999999999E-3</v>
          </cell>
          <cell r="BE35">
            <v>1.6666669999999999E-3</v>
          </cell>
          <cell r="BF35">
            <v>1.6666669999999999E-3</v>
          </cell>
          <cell r="BG35">
            <v>1.6666669999999999E-3</v>
          </cell>
          <cell r="BH35">
            <v>1.6666669999999999E-3</v>
          </cell>
          <cell r="BI35">
            <v>3.333333E-3</v>
          </cell>
          <cell r="BJ35">
            <v>3.333333E-3</v>
          </cell>
          <cell r="BK35">
            <v>5.0000000000000001E-3</v>
          </cell>
          <cell r="BL35">
            <v>8.3333330000000001E-3</v>
          </cell>
          <cell r="BM35">
            <v>8.3333330000000001E-3</v>
          </cell>
          <cell r="BN35">
            <v>8.3333330000000001E-3</v>
          </cell>
          <cell r="BO35">
            <v>8.3333330000000001E-3</v>
          </cell>
          <cell r="BP35">
            <v>0.01</v>
          </cell>
          <cell r="BQ35">
            <v>1.4999999999999999E-2</v>
          </cell>
          <cell r="BR35">
            <v>1.4999999999999999E-2</v>
          </cell>
          <cell r="BS35">
            <v>2.1666667000000001E-2</v>
          </cell>
          <cell r="BT35">
            <v>2.6666667000000002E-2</v>
          </cell>
          <cell r="BU35">
            <v>0.03</v>
          </cell>
          <cell r="BV35">
            <v>3.1666667000000003E-2</v>
          </cell>
          <cell r="BW35">
            <v>3.6666667E-2</v>
          </cell>
          <cell r="BX35">
            <v>3.8333332999999997E-2</v>
          </cell>
          <cell r="BY35">
            <v>4.4999999999999998E-2</v>
          </cell>
          <cell r="BZ35">
            <v>4.8333332999999999E-2</v>
          </cell>
          <cell r="CA35">
            <v>5.3333332999999997E-2</v>
          </cell>
          <cell r="CB35">
            <v>5.8333333000000001E-2</v>
          </cell>
          <cell r="CC35">
            <v>7.0000000000000007E-2</v>
          </cell>
          <cell r="CD35">
            <v>7.1666667000000003E-2</v>
          </cell>
          <cell r="CE35">
            <v>8.5000000000000006E-2</v>
          </cell>
          <cell r="CF35">
            <v>8.8333333E-2</v>
          </cell>
          <cell r="CG35">
            <v>9.3333333000000004E-2</v>
          </cell>
          <cell r="CH35">
            <v>0.108333333</v>
          </cell>
          <cell r="CI35">
            <v>0.115</v>
          </cell>
          <cell r="CJ35">
            <v>0.12833333299999999</v>
          </cell>
          <cell r="CK35">
            <v>0.138333333</v>
          </cell>
          <cell r="CL35">
            <v>0.14499999999999999</v>
          </cell>
          <cell r="CM35">
            <v>0.15833333299999999</v>
          </cell>
          <cell r="CN35">
            <v>0.17333333300000001</v>
          </cell>
          <cell r="CO35">
            <v>0.18666666700000001</v>
          </cell>
          <cell r="CP35">
            <v>0.21333333300000001</v>
          </cell>
          <cell r="CQ35">
            <v>0.23</v>
          </cell>
          <cell r="CR35">
            <v>0.24</v>
          </cell>
          <cell r="CS35">
            <v>0.25333333299999999</v>
          </cell>
          <cell r="CT35">
            <v>0.27333333300000001</v>
          </cell>
          <cell r="CU35">
            <v>0.29833333299999998</v>
          </cell>
          <cell r="CV35">
            <v>0.31666666700000001</v>
          </cell>
          <cell r="CW35">
            <v>0.33333333300000001</v>
          </cell>
          <cell r="CX35">
            <v>0.35499999999999998</v>
          </cell>
          <cell r="CY35">
            <v>0.36499999999999999</v>
          </cell>
          <cell r="CZ35">
            <v>0.39333333300000001</v>
          </cell>
          <cell r="DA35">
            <v>0.40833333300000002</v>
          </cell>
          <cell r="DB35">
            <v>0.426666667</v>
          </cell>
        </row>
        <row r="36">
          <cell r="D36" t="str">
            <v>AR5 climate diagnostics|Temperature|Global Mean|FAIR|Expected value</v>
          </cell>
          <cell r="E36" t="str">
            <v>¬∞C</v>
          </cell>
          <cell r="P36">
            <v>0.85599999999999998</v>
          </cell>
          <cell r="Q36">
            <v>0.879</v>
          </cell>
          <cell r="R36">
            <v>0.90300000000000002</v>
          </cell>
          <cell r="S36">
            <v>0.92600000000000005</v>
          </cell>
          <cell r="T36">
            <v>0.95</v>
          </cell>
          <cell r="U36">
            <v>0.97299999999999998</v>
          </cell>
          <cell r="V36">
            <v>0.997</v>
          </cell>
          <cell r="W36">
            <v>1.0209999999999999</v>
          </cell>
          <cell r="X36">
            <v>1.0449999999999999</v>
          </cell>
          <cell r="Y36">
            <v>1.07</v>
          </cell>
          <cell r="Z36">
            <v>1.0940000000000001</v>
          </cell>
          <cell r="AA36">
            <v>1.117</v>
          </cell>
          <cell r="AB36">
            <v>1.139</v>
          </cell>
          <cell r="AC36">
            <v>1.161</v>
          </cell>
          <cell r="AD36">
            <v>1.1819999999999999</v>
          </cell>
          <cell r="AE36">
            <v>1.202</v>
          </cell>
          <cell r="AF36">
            <v>1.2230000000000001</v>
          </cell>
          <cell r="AG36">
            <v>1.2429999999999899</v>
          </cell>
          <cell r="AH36">
            <v>1.2629999999999999</v>
          </cell>
          <cell r="AI36">
            <v>1.2829999999999999</v>
          </cell>
          <cell r="AJ36">
            <v>1.3029999999999999</v>
          </cell>
          <cell r="AK36">
            <v>1.323</v>
          </cell>
          <cell r="AL36">
            <v>1.3440000000000001</v>
          </cell>
          <cell r="AM36">
            <v>1.3660000000000001</v>
          </cell>
          <cell r="AN36">
            <v>1.387</v>
          </cell>
          <cell r="AO36">
            <v>1.409</v>
          </cell>
          <cell r="AP36">
            <v>1.431</v>
          </cell>
          <cell r="AQ36">
            <v>1.454</v>
          </cell>
          <cell r="AR36">
            <v>1.476</v>
          </cell>
          <cell r="AS36">
            <v>1.4990000000000001</v>
          </cell>
          <cell r="AT36">
            <v>1.522</v>
          </cell>
          <cell r="AU36">
            <v>1.5449999999999999</v>
          </cell>
          <cell r="AV36">
            <v>1.5680000000000001</v>
          </cell>
          <cell r="AW36">
            <v>1.5920000000000001</v>
          </cell>
          <cell r="AX36">
            <v>1.6160000000000001</v>
          </cell>
          <cell r="AY36">
            <v>1.64</v>
          </cell>
          <cell r="AZ36">
            <v>1.6639999999999999</v>
          </cell>
          <cell r="BA36">
            <v>1.6879999999999999</v>
          </cell>
          <cell r="BB36">
            <v>1.7130000000000001</v>
          </cell>
          <cell r="BC36">
            <v>1.7370000000000001</v>
          </cell>
          <cell r="BD36">
            <v>1.762</v>
          </cell>
          <cell r="BE36">
            <v>1.7869999999999999</v>
          </cell>
          <cell r="BF36">
            <v>1.8120000000000001</v>
          </cell>
          <cell r="BG36">
            <v>1.837</v>
          </cell>
          <cell r="BH36">
            <v>1.8620000000000001</v>
          </cell>
          <cell r="BI36">
            <v>1.887</v>
          </cell>
          <cell r="BJ36">
            <v>1.913</v>
          </cell>
          <cell r="BK36">
            <v>1.9379999999999999</v>
          </cell>
          <cell r="BL36">
            <v>1.964</v>
          </cell>
          <cell r="BM36">
            <v>1.99</v>
          </cell>
          <cell r="BN36">
            <v>2.016</v>
          </cell>
          <cell r="BO36">
            <v>2.0419999999999998</v>
          </cell>
          <cell r="BP36">
            <v>2.069</v>
          </cell>
          <cell r="BQ36">
            <v>2.0950000000000002</v>
          </cell>
          <cell r="BR36">
            <v>2.1219999999999999</v>
          </cell>
          <cell r="BS36">
            <v>2.149</v>
          </cell>
          <cell r="BT36">
            <v>2.1760000000000002</v>
          </cell>
          <cell r="BU36">
            <v>2.2029999999999998</v>
          </cell>
          <cell r="BV36">
            <v>2.2309999999999999</v>
          </cell>
          <cell r="BW36">
            <v>2.258</v>
          </cell>
          <cell r="BX36">
            <v>2.286</v>
          </cell>
          <cell r="BY36">
            <v>2.3140000000000001</v>
          </cell>
          <cell r="BZ36">
            <v>2.343</v>
          </cell>
          <cell r="CA36">
            <v>2.371</v>
          </cell>
          <cell r="CB36">
            <v>2.4</v>
          </cell>
          <cell r="CC36">
            <v>2.4300000000000002</v>
          </cell>
          <cell r="CD36">
            <v>2.4590000000000001</v>
          </cell>
          <cell r="CE36">
            <v>2.4889999999999999</v>
          </cell>
          <cell r="CF36">
            <v>2.5190000000000001</v>
          </cell>
          <cell r="CG36">
            <v>2.5489999999999999</v>
          </cell>
          <cell r="CH36">
            <v>2.58</v>
          </cell>
          <cell r="CI36">
            <v>2.61099999999999</v>
          </cell>
          <cell r="CJ36">
            <v>2.6419999999999999</v>
          </cell>
          <cell r="CK36">
            <v>2.673</v>
          </cell>
          <cell r="CL36">
            <v>2.7050000000000001</v>
          </cell>
          <cell r="CM36">
            <v>2.7370000000000001</v>
          </cell>
          <cell r="CN36">
            <v>2.7690000000000001</v>
          </cell>
          <cell r="CO36">
            <v>2.8010000000000002</v>
          </cell>
          <cell r="CP36">
            <v>2.8340000000000001</v>
          </cell>
          <cell r="CQ36">
            <v>2.867</v>
          </cell>
          <cell r="CR36">
            <v>2.899</v>
          </cell>
          <cell r="CS36">
            <v>2.9329999999999998</v>
          </cell>
          <cell r="CT36">
            <v>2.9660000000000002</v>
          </cell>
          <cell r="CU36">
            <v>2.9990000000000001</v>
          </cell>
          <cell r="CV36">
            <v>3.032</v>
          </cell>
          <cell r="CW36">
            <v>3.0659999999999998</v>
          </cell>
          <cell r="CX36">
            <v>3.0990000000000002</v>
          </cell>
          <cell r="CY36">
            <v>3.133</v>
          </cell>
          <cell r="CZ36">
            <v>3.1659999999999999</v>
          </cell>
          <cell r="DA36">
            <v>3.2</v>
          </cell>
          <cell r="DB36">
            <v>3.234</v>
          </cell>
        </row>
        <row r="37">
          <cell r="D37" t="str">
            <v>AR5 climate diagnostics|Temperature|Global Mean|FAIR|Expected value|Non CO2</v>
          </cell>
          <cell r="E37" t="str">
            <v>¬∞C</v>
          </cell>
          <cell r="P37">
            <v>-6.0000000000000001E-3</v>
          </cell>
          <cell r="Q37">
            <v>4.0000000000000001E-3</v>
          </cell>
          <cell r="R37">
            <v>1.4E-2</v>
          </cell>
          <cell r="S37">
            <v>2.4E-2</v>
          </cell>
          <cell r="T37">
            <v>3.4000000000000002E-2</v>
          </cell>
          <cell r="U37">
            <v>4.2999999999999997E-2</v>
          </cell>
          <cell r="V37">
            <v>5.2999999999999999E-2</v>
          </cell>
          <cell r="W37">
            <v>6.3E-2</v>
          </cell>
          <cell r="X37">
            <v>7.1999999999999995E-2</v>
          </cell>
          <cell r="Y37">
            <v>8.1000000000000003E-2</v>
          </cell>
          <cell r="Z37">
            <v>0.09</v>
          </cell>
          <cell r="AA37">
            <v>9.8000000000000004E-2</v>
          </cell>
          <cell r="AB37">
            <v>0.105</v>
          </cell>
          <cell r="AC37">
            <v>0.111</v>
          </cell>
          <cell r="AD37">
            <v>0.11600000000000001</v>
          </cell>
          <cell r="AE37">
            <v>0.121</v>
          </cell>
          <cell r="AF37">
            <v>0.125</v>
          </cell>
          <cell r="AG37">
            <v>0.129</v>
          </cell>
          <cell r="AH37">
            <v>0.13200000000000001</v>
          </cell>
          <cell r="AI37">
            <v>0.13600000000000001</v>
          </cell>
          <cell r="AJ37">
            <v>0.13900000000000001</v>
          </cell>
          <cell r="AK37">
            <v>0.14199999999999999</v>
          </cell>
          <cell r="AL37">
            <v>0.14599999999999999</v>
          </cell>
          <cell r="AM37">
            <v>0.15</v>
          </cell>
          <cell r="AN37">
            <v>0.154</v>
          </cell>
          <cell r="AO37">
            <v>0.158</v>
          </cell>
          <cell r="AP37">
            <v>0.16200000000000001</v>
          </cell>
          <cell r="AQ37">
            <v>0.16600000000000001</v>
          </cell>
          <cell r="AR37">
            <v>0.17</v>
          </cell>
          <cell r="AS37">
            <v>0.17399999999999999</v>
          </cell>
          <cell r="AT37">
            <v>0.17799999999999999</v>
          </cell>
          <cell r="AU37">
            <v>0.183</v>
          </cell>
          <cell r="AV37">
            <v>0.187</v>
          </cell>
          <cell r="AW37">
            <v>0.191</v>
          </cell>
          <cell r="AX37">
            <v>0.19500000000000001</v>
          </cell>
          <cell r="AY37">
            <v>0.19900000000000001</v>
          </cell>
          <cell r="AZ37">
            <v>0.20399999999999999</v>
          </cell>
          <cell r="BA37">
            <v>0.20799999999999999</v>
          </cell>
          <cell r="BB37">
            <v>0.21199999999999999</v>
          </cell>
          <cell r="BC37">
            <v>0.217</v>
          </cell>
          <cell r="BD37">
            <v>0.221</v>
          </cell>
          <cell r="BE37">
            <v>0.22600000000000001</v>
          </cell>
          <cell r="BF37">
            <v>0.23</v>
          </cell>
          <cell r="BG37">
            <v>0.23400000000000001</v>
          </cell>
          <cell r="BH37">
            <v>0.23799999999999999</v>
          </cell>
          <cell r="BI37">
            <v>0.24199999999999999</v>
          </cell>
          <cell r="BJ37">
            <v>0.246</v>
          </cell>
          <cell r="BK37">
            <v>0.25</v>
          </cell>
          <cell r="BL37">
            <v>0.254</v>
          </cell>
          <cell r="BM37">
            <v>0.25900000000000001</v>
          </cell>
          <cell r="BN37">
            <v>0.26300000000000001</v>
          </cell>
          <cell r="BO37">
            <v>0.26700000000000002</v>
          </cell>
          <cell r="BP37">
            <v>0.27200000000000002</v>
          </cell>
          <cell r="BQ37">
            <v>0.27600000000000002</v>
          </cell>
          <cell r="BR37">
            <v>0.28100000000000003</v>
          </cell>
          <cell r="BS37">
            <v>0.28599999999999998</v>
          </cell>
          <cell r="BT37">
            <v>0.29099999999999998</v>
          </cell>
          <cell r="BU37">
            <v>0.29599999999999999</v>
          </cell>
          <cell r="BV37">
            <v>0.30099999999999999</v>
          </cell>
          <cell r="BW37">
            <v>0.30599999999999999</v>
          </cell>
          <cell r="BX37">
            <v>0.311</v>
          </cell>
          <cell r="BY37">
            <v>0.316</v>
          </cell>
          <cell r="BZ37">
            <v>0.32200000000000001</v>
          </cell>
          <cell r="CA37">
            <v>0.32700000000000001</v>
          </cell>
          <cell r="CB37">
            <v>0.33300000000000002</v>
          </cell>
          <cell r="CC37">
            <v>0.33900000000000002</v>
          </cell>
          <cell r="CD37">
            <v>0.34399999999999997</v>
          </cell>
          <cell r="CE37">
            <v>0.35</v>
          </cell>
          <cell r="CF37">
            <v>0.35599999999999998</v>
          </cell>
          <cell r="CG37">
            <v>0.36199999999999999</v>
          </cell>
          <cell r="CH37">
            <v>0.36899999999999999</v>
          </cell>
          <cell r="CI37">
            <v>0.375</v>
          </cell>
          <cell r="CJ37">
            <v>0.38200000000000001</v>
          </cell>
          <cell r="CK37">
            <v>0.38800000000000001</v>
          </cell>
          <cell r="CL37">
            <v>0.39500000000000002</v>
          </cell>
          <cell r="CM37">
            <v>0.40200000000000002</v>
          </cell>
          <cell r="CN37">
            <v>0.40899999999999997</v>
          </cell>
          <cell r="CO37">
            <v>0.41599999999999998</v>
          </cell>
          <cell r="CP37">
            <v>0.42299999999999999</v>
          </cell>
          <cell r="CQ37">
            <v>0.43</v>
          </cell>
          <cell r="CR37">
            <v>0.437</v>
          </cell>
          <cell r="CS37">
            <v>0.44400000000000001</v>
          </cell>
          <cell r="CT37">
            <v>0.45100000000000001</v>
          </cell>
          <cell r="CU37">
            <v>0.45800000000000002</v>
          </cell>
          <cell r="CV37">
            <v>0.46600000000000003</v>
          </cell>
          <cell r="CW37">
            <v>0.47299999999999998</v>
          </cell>
          <cell r="CX37">
            <v>0.48</v>
          </cell>
          <cell r="CY37">
            <v>0.48699999999999999</v>
          </cell>
          <cell r="CZ37">
            <v>0.495</v>
          </cell>
          <cell r="DA37">
            <v>0.502</v>
          </cell>
          <cell r="DB37">
            <v>0.50900000000000001</v>
          </cell>
        </row>
        <row r="38">
          <cell r="D38" t="str">
            <v>AR5 climate diagnostics|Temperature|Global Mean|FAIR|MED</v>
          </cell>
          <cell r="E38" t="str">
            <v>¬∞C</v>
          </cell>
          <cell r="P38">
            <v>0.85699999999999998</v>
          </cell>
          <cell r="Q38">
            <v>0.879</v>
          </cell>
          <cell r="R38">
            <v>0.90100000000000002</v>
          </cell>
          <cell r="S38">
            <v>0.92300000000000004</v>
          </cell>
          <cell r="T38">
            <v>0.94499999999999995</v>
          </cell>
          <cell r="U38">
            <v>0.96699999999999997</v>
          </cell>
          <cell r="V38">
            <v>0.98899999999999999</v>
          </cell>
          <cell r="W38">
            <v>1.012</v>
          </cell>
          <cell r="X38">
            <v>1.0349999999999999</v>
          </cell>
          <cell r="Y38">
            <v>1.0580000000000001</v>
          </cell>
          <cell r="Z38">
            <v>1.081</v>
          </cell>
          <cell r="AA38">
            <v>1.1020000000000001</v>
          </cell>
          <cell r="AB38">
            <v>1.1219999999999899</v>
          </cell>
          <cell r="AC38">
            <v>1.143</v>
          </cell>
          <cell r="AD38">
            <v>1.163</v>
          </cell>
          <cell r="AE38">
            <v>1.1839999999999999</v>
          </cell>
          <cell r="AF38">
            <v>1.204</v>
          </cell>
          <cell r="AG38">
            <v>1.2230000000000001</v>
          </cell>
          <cell r="AH38">
            <v>1.242</v>
          </cell>
          <cell r="AI38">
            <v>1.26</v>
          </cell>
          <cell r="AJ38">
            <v>1.2789999999999999</v>
          </cell>
          <cell r="AK38">
            <v>1.298</v>
          </cell>
          <cell r="AL38">
            <v>1.3169999999999999</v>
          </cell>
          <cell r="AM38">
            <v>1.337</v>
          </cell>
          <cell r="AN38">
            <v>1.357</v>
          </cell>
          <cell r="AO38">
            <v>1.3779999999999999</v>
          </cell>
          <cell r="AP38">
            <v>1.4</v>
          </cell>
          <cell r="AQ38">
            <v>1.421</v>
          </cell>
          <cell r="AR38">
            <v>1.4419999999999999</v>
          </cell>
          <cell r="AS38">
            <v>1.464</v>
          </cell>
          <cell r="AT38">
            <v>1.4870000000000001</v>
          </cell>
          <cell r="AU38">
            <v>1.5089999999999999</v>
          </cell>
          <cell r="AV38">
            <v>1.532</v>
          </cell>
          <cell r="AW38">
            <v>1.5549999999999999</v>
          </cell>
          <cell r="AX38">
            <v>1.579</v>
          </cell>
          <cell r="AY38">
            <v>1.6019999999999901</v>
          </cell>
          <cell r="AZ38">
            <v>1.625</v>
          </cell>
          <cell r="BA38">
            <v>1.649</v>
          </cell>
          <cell r="BB38">
            <v>1.673</v>
          </cell>
          <cell r="BC38">
            <v>1.6970000000000001</v>
          </cell>
          <cell r="BD38">
            <v>1.7210000000000001</v>
          </cell>
          <cell r="BE38">
            <v>1.7450000000000001</v>
          </cell>
          <cell r="BF38">
            <v>1.77</v>
          </cell>
          <cell r="BG38">
            <v>1.794</v>
          </cell>
          <cell r="BH38">
            <v>1.819</v>
          </cell>
          <cell r="BI38">
            <v>1.8439999999999901</v>
          </cell>
          <cell r="BJ38">
            <v>1.869</v>
          </cell>
          <cell r="BK38">
            <v>1.893</v>
          </cell>
          <cell r="BL38">
            <v>1.9159999999999999</v>
          </cell>
          <cell r="BM38">
            <v>1.94</v>
          </cell>
          <cell r="BN38">
            <v>1.964</v>
          </cell>
          <cell r="BO38">
            <v>1.988</v>
          </cell>
          <cell r="BP38">
            <v>2.0110000000000001</v>
          </cell>
          <cell r="BQ38">
            <v>2.0350000000000001</v>
          </cell>
          <cell r="BR38">
            <v>2.0590000000000002</v>
          </cell>
          <cell r="BS38">
            <v>2.0840000000000001</v>
          </cell>
          <cell r="BT38">
            <v>2.11</v>
          </cell>
          <cell r="BU38">
            <v>2.1360000000000001</v>
          </cell>
          <cell r="BV38">
            <v>2.161</v>
          </cell>
          <cell r="BW38">
            <v>2.1859999999999999</v>
          </cell>
          <cell r="BX38">
            <v>2.2120000000000002</v>
          </cell>
          <cell r="BY38">
            <v>2.2400000000000002</v>
          </cell>
          <cell r="BZ38">
            <v>2.2679999999999998</v>
          </cell>
          <cell r="CA38">
            <v>2.2959999999999998</v>
          </cell>
          <cell r="CB38">
            <v>2.3239999999999998</v>
          </cell>
          <cell r="CC38">
            <v>2.35299999999999</v>
          </cell>
          <cell r="CD38">
            <v>2.3809999999999998</v>
          </cell>
          <cell r="CE38">
            <v>2.41</v>
          </cell>
          <cell r="CF38">
            <v>2.4390000000000001</v>
          </cell>
          <cell r="CG38">
            <v>2.4689999999999999</v>
          </cell>
          <cell r="CH38">
            <v>2.4990000000000001</v>
          </cell>
          <cell r="CI38">
            <v>2.5289999999999999</v>
          </cell>
          <cell r="CJ38">
            <v>2.5590000000000002</v>
          </cell>
          <cell r="CK38">
            <v>2.59</v>
          </cell>
          <cell r="CL38">
            <v>2.621</v>
          </cell>
          <cell r="CM38">
            <v>2.653</v>
          </cell>
          <cell r="CN38">
            <v>2.6850000000000001</v>
          </cell>
          <cell r="CO38">
            <v>2.7170000000000001</v>
          </cell>
          <cell r="CP38">
            <v>2.7490000000000001</v>
          </cell>
          <cell r="CQ38">
            <v>2.7810000000000001</v>
          </cell>
          <cell r="CR38">
            <v>2.8140000000000001</v>
          </cell>
          <cell r="CS38">
            <v>2.847</v>
          </cell>
          <cell r="CT38">
            <v>2.88</v>
          </cell>
          <cell r="CU38">
            <v>2.9129999999999998</v>
          </cell>
          <cell r="CV38">
            <v>2.9460000000000002</v>
          </cell>
          <cell r="CW38">
            <v>2.9769999999999999</v>
          </cell>
          <cell r="CX38">
            <v>3.0089999999999999</v>
          </cell>
          <cell r="CY38">
            <v>3.0409999999999999</v>
          </cell>
          <cell r="CZ38">
            <v>3.073</v>
          </cell>
          <cell r="DA38">
            <v>3.1040000000000001</v>
          </cell>
          <cell r="DB38">
            <v>3.1360000000000001</v>
          </cell>
        </row>
        <row r="39">
          <cell r="D39" t="str">
            <v>AR5 climate diagnostics|Temperature|Global Mean|FAIR|MED|Non CO2</v>
          </cell>
          <cell r="E39" t="str">
            <v>¬∞C</v>
          </cell>
          <cell r="P39">
            <v>-6.0000000000000001E-3</v>
          </cell>
          <cell r="Q39">
            <v>3.0000000000000001E-3</v>
          </cell>
          <cell r="R39">
            <v>1.2999999999999999E-2</v>
          </cell>
          <cell r="S39">
            <v>2.1999999999999999E-2</v>
          </cell>
          <cell r="T39">
            <v>3.1E-2</v>
          </cell>
          <cell r="U39">
            <v>0.04</v>
          </cell>
          <cell r="V39">
            <v>4.8000000000000001E-2</v>
          </cell>
          <cell r="W39">
            <v>5.7000000000000002E-2</v>
          </cell>
          <cell r="X39">
            <v>6.5000000000000002E-2</v>
          </cell>
          <cell r="Y39">
            <v>7.3999999999999996E-2</v>
          </cell>
          <cell r="Z39">
            <v>8.2000000000000003E-2</v>
          </cell>
          <cell r="AA39">
            <v>8.7999999999999995E-2</v>
          </cell>
          <cell r="AB39">
            <v>9.5000000000000001E-2</v>
          </cell>
          <cell r="AC39">
            <v>0.1</v>
          </cell>
          <cell r="AD39">
            <v>0.105</v>
          </cell>
          <cell r="AE39">
            <v>0.109</v>
          </cell>
          <cell r="AF39">
            <v>0.112</v>
          </cell>
          <cell r="AG39">
            <v>0.11600000000000001</v>
          </cell>
          <cell r="AH39">
            <v>0.11899999999999999</v>
          </cell>
          <cell r="AI39">
            <v>0.122</v>
          </cell>
          <cell r="AJ39">
            <v>0.126</v>
          </cell>
          <cell r="AK39">
            <v>0.129</v>
          </cell>
          <cell r="AL39">
            <v>0.13300000000000001</v>
          </cell>
          <cell r="AM39">
            <v>0.13700000000000001</v>
          </cell>
          <cell r="AN39">
            <v>0.14099999999999999</v>
          </cell>
          <cell r="AO39">
            <v>0.14499999999999999</v>
          </cell>
          <cell r="AP39">
            <v>0.14899999999999999</v>
          </cell>
          <cell r="AQ39">
            <v>0.154</v>
          </cell>
          <cell r="AR39">
            <v>0.158</v>
          </cell>
          <cell r="AS39">
            <v>0.16200000000000001</v>
          </cell>
          <cell r="AT39">
            <v>0.16600000000000001</v>
          </cell>
          <cell r="AU39">
            <v>0.17</v>
          </cell>
          <cell r="AV39">
            <v>0.17399999999999999</v>
          </cell>
          <cell r="AW39">
            <v>0.17799999999999999</v>
          </cell>
          <cell r="AX39">
            <v>0.183</v>
          </cell>
          <cell r="AY39">
            <v>0.187</v>
          </cell>
          <cell r="AZ39">
            <v>0.192</v>
          </cell>
          <cell r="BA39">
            <v>0.19600000000000001</v>
          </cell>
          <cell r="BB39">
            <v>0.2</v>
          </cell>
          <cell r="BC39">
            <v>0.20399999999999999</v>
          </cell>
          <cell r="BD39">
            <v>0.20899999999999999</v>
          </cell>
          <cell r="BE39">
            <v>0.21299999999999999</v>
          </cell>
          <cell r="BF39">
            <v>0.217</v>
          </cell>
          <cell r="BG39">
            <v>0.221</v>
          </cell>
          <cell r="BH39">
            <v>0.224</v>
          </cell>
          <cell r="BI39">
            <v>0.22800000000000001</v>
          </cell>
          <cell r="BJ39">
            <v>0.23300000000000001</v>
          </cell>
          <cell r="BK39">
            <v>0.23599999999999999</v>
          </cell>
          <cell r="BL39">
            <v>0.24</v>
          </cell>
          <cell r="BM39">
            <v>0.24399999999999999</v>
          </cell>
          <cell r="BN39">
            <v>0.249</v>
          </cell>
          <cell r="BO39">
            <v>0.252</v>
          </cell>
          <cell r="BP39">
            <v>0.255</v>
          </cell>
          <cell r="BQ39">
            <v>0.26</v>
          </cell>
          <cell r="BR39">
            <v>0.26500000000000001</v>
          </cell>
          <cell r="BS39">
            <v>0.27</v>
          </cell>
          <cell r="BT39">
            <v>0.27500000000000002</v>
          </cell>
          <cell r="BU39">
            <v>0.27900000000000003</v>
          </cell>
          <cell r="BV39">
            <v>0.28299999999999997</v>
          </cell>
          <cell r="BW39">
            <v>0.28699999999999998</v>
          </cell>
          <cell r="BX39">
            <v>0.29199999999999998</v>
          </cell>
          <cell r="BY39">
            <v>0.29799999999999999</v>
          </cell>
          <cell r="BZ39">
            <v>0.30299999999999999</v>
          </cell>
          <cell r="CA39">
            <v>0.309</v>
          </cell>
          <cell r="CB39">
            <v>0.315</v>
          </cell>
          <cell r="CC39">
            <v>0.318</v>
          </cell>
          <cell r="CD39">
            <v>0.32400000000000001</v>
          </cell>
          <cell r="CE39">
            <v>0.32900000000000001</v>
          </cell>
          <cell r="CF39">
            <v>0.33500000000000002</v>
          </cell>
          <cell r="CG39">
            <v>0.34200000000000003</v>
          </cell>
          <cell r="CH39">
            <v>0.34799999999999998</v>
          </cell>
          <cell r="CI39">
            <v>0.35399999999999998</v>
          </cell>
          <cell r="CJ39">
            <v>0.36099999999999999</v>
          </cell>
          <cell r="CK39">
            <v>0.36699999999999999</v>
          </cell>
          <cell r="CL39">
            <v>0.373</v>
          </cell>
          <cell r="CM39">
            <v>0.38</v>
          </cell>
          <cell r="CN39">
            <v>0.38700000000000001</v>
          </cell>
          <cell r="CO39">
            <v>0.39400000000000002</v>
          </cell>
          <cell r="CP39">
            <v>0.40100000000000002</v>
          </cell>
          <cell r="CQ39">
            <v>0.40699999999999997</v>
          </cell>
          <cell r="CR39">
            <v>0.41399999999999998</v>
          </cell>
          <cell r="CS39">
            <v>0.42099999999999999</v>
          </cell>
          <cell r="CT39">
            <v>0.42899999999999999</v>
          </cell>
          <cell r="CU39">
            <v>0.436</v>
          </cell>
          <cell r="CV39">
            <v>0.443</v>
          </cell>
          <cell r="CW39">
            <v>0.44900000000000001</v>
          </cell>
          <cell r="CX39">
            <v>0.45600000000000002</v>
          </cell>
          <cell r="CY39">
            <v>0.46300000000000002</v>
          </cell>
          <cell r="CZ39">
            <v>0.47</v>
          </cell>
          <cell r="DA39">
            <v>0.47599999999999998</v>
          </cell>
          <cell r="DB39">
            <v>0.48299999999999998</v>
          </cell>
        </row>
        <row r="40">
          <cell r="D40" t="str">
            <v>AR5 climate diagnostics|Temperature|Global Mean|FAIR|P5</v>
          </cell>
          <cell r="E40" t="str">
            <v>¬∞C</v>
          </cell>
          <cell r="P40">
            <v>0.84599999999999997</v>
          </cell>
          <cell r="Q40">
            <v>0.876</v>
          </cell>
          <cell r="R40">
            <v>0.89100000000000001</v>
          </cell>
          <cell r="S40">
            <v>0.90400000000000003</v>
          </cell>
          <cell r="T40">
            <v>0.91800000000000004</v>
          </cell>
          <cell r="U40">
            <v>0.93100000000000005</v>
          </cell>
          <cell r="V40">
            <v>0.94499999999999995</v>
          </cell>
          <cell r="W40">
            <v>0.95899999999999996</v>
          </cell>
          <cell r="X40">
            <v>0.97299999999999998</v>
          </cell>
          <cell r="Y40">
            <v>0.98699999999999999</v>
          </cell>
          <cell r="Z40">
            <v>1.002</v>
          </cell>
          <cell r="AA40">
            <v>1.016</v>
          </cell>
          <cell r="AB40">
            <v>1.03</v>
          </cell>
          <cell r="AC40">
            <v>1.044</v>
          </cell>
          <cell r="AD40">
            <v>1.0569999999999999</v>
          </cell>
          <cell r="AE40">
            <v>1.07</v>
          </cell>
          <cell r="AF40">
            <v>1.083</v>
          </cell>
          <cell r="AG40">
            <v>1.0960000000000001</v>
          </cell>
          <cell r="AH40">
            <v>1.109</v>
          </cell>
          <cell r="AI40">
            <v>1.123</v>
          </cell>
          <cell r="AJ40">
            <v>1.137</v>
          </cell>
          <cell r="AK40">
            <v>1.1519999999999999</v>
          </cell>
          <cell r="AL40">
            <v>1.1659999999999999</v>
          </cell>
          <cell r="AM40">
            <v>1.181</v>
          </cell>
          <cell r="AN40">
            <v>1.196</v>
          </cell>
          <cell r="AO40">
            <v>1.2110000000000001</v>
          </cell>
          <cell r="AP40">
            <v>1.2250000000000001</v>
          </cell>
          <cell r="AQ40">
            <v>1.24</v>
          </cell>
          <cell r="AR40">
            <v>1.254</v>
          </cell>
          <cell r="AS40">
            <v>1.268</v>
          </cell>
          <cell r="AT40">
            <v>1.2829999999999999</v>
          </cell>
          <cell r="AU40">
            <v>1.298</v>
          </cell>
          <cell r="AV40">
            <v>1.3120000000000001</v>
          </cell>
          <cell r="AW40">
            <v>1.327</v>
          </cell>
          <cell r="AX40">
            <v>1.3420000000000001</v>
          </cell>
          <cell r="AY40">
            <v>1.3559999999999901</v>
          </cell>
          <cell r="AZ40">
            <v>1.371</v>
          </cell>
          <cell r="BA40">
            <v>1.3859999999999999</v>
          </cell>
          <cell r="BB40">
            <v>1.401</v>
          </cell>
          <cell r="BC40">
            <v>1.417</v>
          </cell>
          <cell r="BD40">
            <v>1.4319999999999999</v>
          </cell>
          <cell r="BE40">
            <v>1.4470000000000001</v>
          </cell>
          <cell r="BF40">
            <v>1.462</v>
          </cell>
          <cell r="BG40">
            <v>1.478</v>
          </cell>
          <cell r="BH40">
            <v>1.4929999999999899</v>
          </cell>
          <cell r="BI40">
            <v>1.5089999999999999</v>
          </cell>
          <cell r="BJ40">
            <v>1.524</v>
          </cell>
          <cell r="BK40">
            <v>1.54</v>
          </cell>
          <cell r="BL40">
            <v>1.556</v>
          </cell>
          <cell r="BM40">
            <v>1.5720000000000001</v>
          </cell>
          <cell r="BN40">
            <v>1.5880000000000001</v>
          </cell>
          <cell r="BO40">
            <v>1.6040000000000001</v>
          </cell>
          <cell r="BP40">
            <v>1.62</v>
          </cell>
          <cell r="BQ40">
            <v>1.6359999999999999</v>
          </cell>
          <cell r="BR40">
            <v>1.653</v>
          </cell>
          <cell r="BS40">
            <v>1.669</v>
          </cell>
          <cell r="BT40">
            <v>1.6850000000000001</v>
          </cell>
          <cell r="BU40">
            <v>1.702</v>
          </cell>
          <cell r="BV40">
            <v>1.7189999999999901</v>
          </cell>
          <cell r="BW40">
            <v>1.736</v>
          </cell>
          <cell r="BX40">
            <v>1.754</v>
          </cell>
          <cell r="BY40">
            <v>1.772</v>
          </cell>
          <cell r="BZ40">
            <v>1.79</v>
          </cell>
          <cell r="CA40">
            <v>1.8080000000000001</v>
          </cell>
          <cell r="CB40">
            <v>1.827</v>
          </cell>
          <cell r="CC40">
            <v>1.845</v>
          </cell>
          <cell r="CD40">
            <v>1.8639999999999901</v>
          </cell>
          <cell r="CE40">
            <v>1.883</v>
          </cell>
          <cell r="CF40">
            <v>1.9019999999999999</v>
          </cell>
          <cell r="CG40">
            <v>1.9219999999999999</v>
          </cell>
          <cell r="CH40">
            <v>1.9410000000000001</v>
          </cell>
          <cell r="CI40">
            <v>1.9609999999999901</v>
          </cell>
          <cell r="CJ40">
            <v>1.98</v>
          </cell>
          <cell r="CK40">
            <v>2</v>
          </cell>
          <cell r="CL40">
            <v>2.02</v>
          </cell>
          <cell r="CM40">
            <v>2.04</v>
          </cell>
          <cell r="CN40">
            <v>2.0609999999999999</v>
          </cell>
          <cell r="CO40">
            <v>2.081</v>
          </cell>
          <cell r="CP40">
            <v>2.101</v>
          </cell>
          <cell r="CQ40">
            <v>2.1219999999999999</v>
          </cell>
          <cell r="CR40">
            <v>2.1429999999999998</v>
          </cell>
          <cell r="CS40">
            <v>2.1629999999999998</v>
          </cell>
          <cell r="CT40">
            <v>2.1840000000000002</v>
          </cell>
          <cell r="CU40">
            <v>2.2050000000000001</v>
          </cell>
          <cell r="CV40">
            <v>2.226</v>
          </cell>
          <cell r="CW40">
            <v>2.2469999999999999</v>
          </cell>
          <cell r="CX40">
            <v>2.2690000000000001</v>
          </cell>
          <cell r="CY40">
            <v>2.29</v>
          </cell>
          <cell r="CZ40">
            <v>2.3109999999999999</v>
          </cell>
          <cell r="DA40">
            <v>2.3319999999999999</v>
          </cell>
          <cell r="DB40">
            <v>2.3540000000000001</v>
          </cell>
        </row>
        <row r="41">
          <cell r="D41" t="str">
            <v>AR5 climate diagnostics|Temperature|Global Mean|FAIR|P5|Non CO2</v>
          </cell>
          <cell r="E41" t="str">
            <v>¬∞C</v>
          </cell>
          <cell r="P41">
            <v>-1.2999999999999999E-2</v>
          </cell>
          <cell r="Q41">
            <v>2E-3</v>
          </cell>
          <cell r="R41">
            <v>7.0000000000000001E-3</v>
          </cell>
          <cell r="S41">
            <v>1.2E-2</v>
          </cell>
          <cell r="T41">
            <v>1.7000000000000001E-2</v>
          </cell>
          <cell r="U41">
            <v>2.1000000000000001E-2</v>
          </cell>
          <cell r="V41">
            <v>2.5000000000000001E-2</v>
          </cell>
          <cell r="W41">
            <v>2.9000000000000001E-2</v>
          </cell>
          <cell r="X41">
            <v>3.2000000000000001E-2</v>
          </cell>
          <cell r="Y41">
            <v>3.5999999999999997E-2</v>
          </cell>
          <cell r="Z41">
            <v>0.04</v>
          </cell>
          <cell r="AA41">
            <v>4.3999999999999997E-2</v>
          </cell>
          <cell r="AB41">
            <v>4.7E-2</v>
          </cell>
          <cell r="AC41">
            <v>0.05</v>
          </cell>
          <cell r="AD41">
            <v>5.1999999999999998E-2</v>
          </cell>
          <cell r="AE41">
            <v>5.5E-2</v>
          </cell>
          <cell r="AF41">
            <v>5.7000000000000002E-2</v>
          </cell>
          <cell r="AG41">
            <v>0.06</v>
          </cell>
          <cell r="AH41">
            <v>6.2E-2</v>
          </cell>
          <cell r="AI41">
            <v>6.4000000000000001E-2</v>
          </cell>
          <cell r="AJ41">
            <v>6.6000000000000003E-2</v>
          </cell>
          <cell r="AK41">
            <v>6.8000000000000005E-2</v>
          </cell>
          <cell r="AL41">
            <v>7.0999999999999994E-2</v>
          </cell>
          <cell r="AM41">
            <v>7.2999999999999995E-2</v>
          </cell>
          <cell r="AN41">
            <v>7.5999999999999998E-2</v>
          </cell>
          <cell r="AO41">
            <v>7.8E-2</v>
          </cell>
          <cell r="AP41">
            <v>0.08</v>
          </cell>
          <cell r="AQ41">
            <v>8.3000000000000004E-2</v>
          </cell>
          <cell r="AR41">
            <v>8.5000000000000006E-2</v>
          </cell>
          <cell r="AS41">
            <v>8.6999999999999994E-2</v>
          </cell>
          <cell r="AT41">
            <v>8.8999999999999996E-2</v>
          </cell>
          <cell r="AU41">
            <v>9.0999999999999998E-2</v>
          </cell>
          <cell r="AV41">
            <v>9.2999999999999999E-2</v>
          </cell>
          <cell r="AW41">
            <v>9.4E-2</v>
          </cell>
          <cell r="AX41">
            <v>9.7000000000000003E-2</v>
          </cell>
          <cell r="AY41">
            <v>9.9000000000000005E-2</v>
          </cell>
          <cell r="AZ41">
            <v>0.10100000000000001</v>
          </cell>
          <cell r="BA41">
            <v>0.10299999999999999</v>
          </cell>
          <cell r="BB41">
            <v>0.105</v>
          </cell>
          <cell r="BC41">
            <v>0.108</v>
          </cell>
          <cell r="BD41">
            <v>0.11</v>
          </cell>
          <cell r="BE41">
            <v>0.112</v>
          </cell>
          <cell r="BF41">
            <v>0.114</v>
          </cell>
          <cell r="BG41">
            <v>0.11700000000000001</v>
          </cell>
          <cell r="BH41">
            <v>0.11899999999999999</v>
          </cell>
          <cell r="BI41">
            <v>0.121</v>
          </cell>
          <cell r="BJ41">
            <v>0.123</v>
          </cell>
          <cell r="BK41">
            <v>0.125</v>
          </cell>
          <cell r="BL41">
            <v>0.127</v>
          </cell>
          <cell r="BM41">
            <v>0.129</v>
          </cell>
          <cell r="BN41">
            <v>0.13200000000000001</v>
          </cell>
          <cell r="BO41">
            <v>0.13400000000000001</v>
          </cell>
          <cell r="BP41">
            <v>0.13700000000000001</v>
          </cell>
          <cell r="BQ41">
            <v>0.13900000000000001</v>
          </cell>
          <cell r="BR41">
            <v>0.14099999999999999</v>
          </cell>
          <cell r="BS41">
            <v>0.14299999999999999</v>
          </cell>
          <cell r="BT41">
            <v>0.14599999999999999</v>
          </cell>
          <cell r="BU41">
            <v>0.14799999999999999</v>
          </cell>
          <cell r="BV41">
            <v>0.151</v>
          </cell>
          <cell r="BW41">
            <v>0.153</v>
          </cell>
          <cell r="BX41">
            <v>0.156</v>
          </cell>
          <cell r="BY41">
            <v>0.159</v>
          </cell>
          <cell r="BZ41">
            <v>0.16200000000000001</v>
          </cell>
          <cell r="CA41">
            <v>0.16500000000000001</v>
          </cell>
          <cell r="CB41">
            <v>0.16800000000000001</v>
          </cell>
          <cell r="CC41">
            <v>0.17100000000000001</v>
          </cell>
          <cell r="CD41">
            <v>0.17399999999999999</v>
          </cell>
          <cell r="CE41">
            <v>0.17699999999999999</v>
          </cell>
          <cell r="CF41">
            <v>0.18099999999999999</v>
          </cell>
          <cell r="CG41">
            <v>0.184</v>
          </cell>
          <cell r="CH41">
            <v>0.187</v>
          </cell>
          <cell r="CI41">
            <v>0.19</v>
          </cell>
          <cell r="CJ41">
            <v>0.19400000000000001</v>
          </cell>
          <cell r="CK41">
            <v>0.19700000000000001</v>
          </cell>
          <cell r="CL41">
            <v>0.20100000000000001</v>
          </cell>
          <cell r="CM41">
            <v>0.20599999999999999</v>
          </cell>
          <cell r="CN41">
            <v>0.20899999999999999</v>
          </cell>
          <cell r="CO41">
            <v>0.21299999999999999</v>
          </cell>
          <cell r="CP41">
            <v>0.217</v>
          </cell>
          <cell r="CQ41">
            <v>0.221</v>
          </cell>
          <cell r="CR41">
            <v>0.22500000000000001</v>
          </cell>
          <cell r="CS41">
            <v>0.22800000000000001</v>
          </cell>
          <cell r="CT41">
            <v>0.23200000000000001</v>
          </cell>
          <cell r="CU41">
            <v>0.23599999999999999</v>
          </cell>
          <cell r="CV41">
            <v>0.24</v>
          </cell>
          <cell r="CW41">
            <v>0.24399999999999999</v>
          </cell>
          <cell r="CX41">
            <v>0.248</v>
          </cell>
          <cell r="CY41">
            <v>0.252</v>
          </cell>
          <cell r="CZ41">
            <v>0.25600000000000001</v>
          </cell>
          <cell r="DA41">
            <v>0.26</v>
          </cell>
          <cell r="DB41">
            <v>0.26400000000000001</v>
          </cell>
        </row>
        <row r="42">
          <cell r="D42" t="str">
            <v>AR5 climate diagnostics|Temperature|Global Mean|FAIR|P66</v>
          </cell>
          <cell r="E42" t="str">
            <v>¬∞C</v>
          </cell>
          <cell r="P42">
            <v>0.85899999999999999</v>
          </cell>
          <cell r="Q42">
            <v>0.88</v>
          </cell>
          <cell r="R42">
            <v>0.90500000000000003</v>
          </cell>
          <cell r="S42">
            <v>0.93</v>
          </cell>
          <cell r="T42">
            <v>0.95499999999999996</v>
          </cell>
          <cell r="U42">
            <v>0.98</v>
          </cell>
          <cell r="V42">
            <v>1.0049999999999999</v>
          </cell>
          <cell r="W42">
            <v>1.0309999999999999</v>
          </cell>
          <cell r="X42">
            <v>1.0569999999999999</v>
          </cell>
          <cell r="Y42">
            <v>1.083</v>
          </cell>
          <cell r="Z42">
            <v>1.109</v>
          </cell>
          <cell r="AA42">
            <v>1.133</v>
          </cell>
          <cell r="AB42">
            <v>1.157</v>
          </cell>
          <cell r="AC42">
            <v>1.179</v>
          </cell>
          <cell r="AD42">
            <v>1.202</v>
          </cell>
          <cell r="AE42">
            <v>1.224</v>
          </cell>
          <cell r="AF42">
            <v>1.246</v>
          </cell>
          <cell r="AG42">
            <v>1.2669999999999999</v>
          </cell>
          <cell r="AH42">
            <v>1.288</v>
          </cell>
          <cell r="AI42">
            <v>1.31</v>
          </cell>
          <cell r="AJ42">
            <v>1.331</v>
          </cell>
          <cell r="AK42">
            <v>1.353</v>
          </cell>
          <cell r="AL42">
            <v>1.377</v>
          </cell>
          <cell r="AM42">
            <v>1.4</v>
          </cell>
          <cell r="AN42">
            <v>1.423</v>
          </cell>
          <cell r="AO42">
            <v>1.446</v>
          </cell>
          <cell r="AP42">
            <v>1.47</v>
          </cell>
          <cell r="AQ42">
            <v>1.494</v>
          </cell>
          <cell r="AR42">
            <v>1.5189999999999999</v>
          </cell>
          <cell r="AS42">
            <v>1.544</v>
          </cell>
          <cell r="AT42">
            <v>1.569</v>
          </cell>
          <cell r="AU42">
            <v>1.5939999999999901</v>
          </cell>
          <cell r="AV42">
            <v>1.6179999999999899</v>
          </cell>
          <cell r="AW42">
            <v>1.643</v>
          </cell>
          <cell r="AX42">
            <v>1.6679999999999999</v>
          </cell>
          <cell r="AY42">
            <v>1.6930000000000001</v>
          </cell>
          <cell r="AZ42">
            <v>1.718</v>
          </cell>
          <cell r="BA42">
            <v>1.744</v>
          </cell>
          <cell r="BB42">
            <v>1.77</v>
          </cell>
          <cell r="BC42">
            <v>1.796</v>
          </cell>
          <cell r="BD42">
            <v>1.8220000000000001</v>
          </cell>
          <cell r="BE42">
            <v>1.849</v>
          </cell>
          <cell r="BF42">
            <v>1.8759999999999999</v>
          </cell>
          <cell r="BG42">
            <v>1.9019999999999999</v>
          </cell>
          <cell r="BH42">
            <v>1.929</v>
          </cell>
          <cell r="BI42">
            <v>1.9550000000000001</v>
          </cell>
          <cell r="BJ42">
            <v>1.982</v>
          </cell>
          <cell r="BK42">
            <v>2.008</v>
          </cell>
          <cell r="BL42">
            <v>2.0350000000000001</v>
          </cell>
          <cell r="BM42">
            <v>2.0630000000000002</v>
          </cell>
          <cell r="BN42">
            <v>2.09</v>
          </cell>
          <cell r="BO42">
            <v>2.1179999999999999</v>
          </cell>
          <cell r="BP42">
            <v>2.145</v>
          </cell>
          <cell r="BQ42">
            <v>2.173</v>
          </cell>
          <cell r="BR42">
            <v>2.2010000000000001</v>
          </cell>
          <cell r="BS42">
            <v>2.23</v>
          </cell>
          <cell r="BT42">
            <v>2.2589999999999999</v>
          </cell>
          <cell r="BU42">
            <v>2.2879999999999998</v>
          </cell>
          <cell r="BV42">
            <v>2.3170000000000002</v>
          </cell>
          <cell r="BW42">
            <v>2.347</v>
          </cell>
          <cell r="BX42">
            <v>2.3780000000000001</v>
          </cell>
          <cell r="BY42">
            <v>2.4079999999999999</v>
          </cell>
          <cell r="BZ42">
            <v>2.4380000000000002</v>
          </cell>
          <cell r="CA42">
            <v>2.4689999999999999</v>
          </cell>
          <cell r="CB42">
            <v>2.4990000000000001</v>
          </cell>
          <cell r="CC42">
            <v>2.5299999999999998</v>
          </cell>
          <cell r="CD42">
            <v>2.5619999999999998</v>
          </cell>
          <cell r="CE42">
            <v>2.593</v>
          </cell>
          <cell r="CF42">
            <v>2.625</v>
          </cell>
          <cell r="CG42">
            <v>2.657</v>
          </cell>
          <cell r="CH42">
            <v>2.6890000000000001</v>
          </cell>
          <cell r="CI42">
            <v>2.722</v>
          </cell>
          <cell r="CJ42">
            <v>2.7559999999999998</v>
          </cell>
          <cell r="CK42">
            <v>2.79</v>
          </cell>
          <cell r="CL42">
            <v>2.8239999999999998</v>
          </cell>
          <cell r="CM42">
            <v>2.8580000000000001</v>
          </cell>
          <cell r="CN42">
            <v>2.8919999999999999</v>
          </cell>
          <cell r="CO42">
            <v>2.927</v>
          </cell>
          <cell r="CP42">
            <v>2.96199999999999</v>
          </cell>
          <cell r="CQ42">
            <v>2.9969999999999999</v>
          </cell>
          <cell r="CR42">
            <v>3.032</v>
          </cell>
          <cell r="CS42">
            <v>3.0670000000000002</v>
          </cell>
          <cell r="CT42">
            <v>3.1019999999999999</v>
          </cell>
          <cell r="CU42">
            <v>3.1360000000000001</v>
          </cell>
          <cell r="CV42">
            <v>3.1709999999999998</v>
          </cell>
          <cell r="CW42">
            <v>3.206</v>
          </cell>
          <cell r="CX42">
            <v>3.2410000000000001</v>
          </cell>
          <cell r="CY42">
            <v>3.2759999999999998</v>
          </cell>
          <cell r="CZ42">
            <v>3.3119999999999998</v>
          </cell>
          <cell r="DA42">
            <v>3.347</v>
          </cell>
          <cell r="DB42">
            <v>3.3820000000000001</v>
          </cell>
        </row>
        <row r="43">
          <cell r="D43" t="str">
            <v>AR5 climate diagnostics|Temperature|Global Mean|FAIR|P66|Non CO2</v>
          </cell>
          <cell r="E43" t="str">
            <v>¬∞C</v>
          </cell>
          <cell r="P43">
            <v>-4.0000000000000001E-3</v>
          </cell>
          <cell r="Q43">
            <v>4.0000000000000001E-3</v>
          </cell>
          <cell r="R43">
            <v>1.4999999999999999E-2</v>
          </cell>
          <cell r="S43">
            <v>2.5999999999999999E-2</v>
          </cell>
          <cell r="T43">
            <v>3.7999999999999999E-2</v>
          </cell>
          <cell r="U43">
            <v>4.9000000000000002E-2</v>
          </cell>
          <cell r="V43">
            <v>5.8999999999999997E-2</v>
          </cell>
          <cell r="W43">
            <v>7.0000000000000007E-2</v>
          </cell>
          <cell r="X43">
            <v>0.08</v>
          </cell>
          <cell r="Y43">
            <v>0.09</v>
          </cell>
          <cell r="Z43">
            <v>0.1</v>
          </cell>
          <cell r="AA43">
            <v>0.108</v>
          </cell>
          <cell r="AB43">
            <v>0.115</v>
          </cell>
          <cell r="AC43">
            <v>0.121</v>
          </cell>
          <cell r="AD43">
            <v>0.127</v>
          </cell>
          <cell r="AE43">
            <v>0.13100000000000001</v>
          </cell>
          <cell r="AF43">
            <v>0.13500000000000001</v>
          </cell>
          <cell r="AG43">
            <v>0.13800000000000001</v>
          </cell>
          <cell r="AH43">
            <v>0.14199999999999999</v>
          </cell>
          <cell r="AI43">
            <v>0.14599999999999999</v>
          </cell>
          <cell r="AJ43">
            <v>0.15</v>
          </cell>
          <cell r="AK43">
            <v>0.153</v>
          </cell>
          <cell r="AL43">
            <v>0.157</v>
          </cell>
          <cell r="AM43">
            <v>0.16200000000000001</v>
          </cell>
          <cell r="AN43">
            <v>0.16600000000000001</v>
          </cell>
          <cell r="AO43">
            <v>0.17100000000000001</v>
          </cell>
          <cell r="AP43">
            <v>0.17499999999999999</v>
          </cell>
          <cell r="AQ43">
            <v>0.18</v>
          </cell>
          <cell r="AR43">
            <v>0.184</v>
          </cell>
          <cell r="AS43">
            <v>0.189</v>
          </cell>
          <cell r="AT43">
            <v>0.19400000000000001</v>
          </cell>
          <cell r="AU43">
            <v>0.19800000000000001</v>
          </cell>
          <cell r="AV43">
            <v>0.20200000000000001</v>
          </cell>
          <cell r="AW43">
            <v>0.20699999999999999</v>
          </cell>
          <cell r="AX43">
            <v>0.21099999999999999</v>
          </cell>
          <cell r="AY43">
            <v>0.216</v>
          </cell>
          <cell r="AZ43">
            <v>0.221</v>
          </cell>
          <cell r="BA43">
            <v>0.22600000000000001</v>
          </cell>
          <cell r="BB43">
            <v>0.23100000000000001</v>
          </cell>
          <cell r="BC43">
            <v>0.23599999999999999</v>
          </cell>
          <cell r="BD43">
            <v>0.24099999999999999</v>
          </cell>
          <cell r="BE43">
            <v>0.246</v>
          </cell>
          <cell r="BF43">
            <v>0.25</v>
          </cell>
          <cell r="BG43">
            <v>0.255</v>
          </cell>
          <cell r="BH43">
            <v>0.25900000000000001</v>
          </cell>
          <cell r="BI43">
            <v>0.26300000000000001</v>
          </cell>
          <cell r="BJ43">
            <v>0.26800000000000002</v>
          </cell>
          <cell r="BK43">
            <v>0.27200000000000002</v>
          </cell>
          <cell r="BL43">
            <v>0.27700000000000002</v>
          </cell>
          <cell r="BM43">
            <v>0.28199999999999997</v>
          </cell>
          <cell r="BN43">
            <v>0.28699999999999998</v>
          </cell>
          <cell r="BO43">
            <v>0.29099999999999998</v>
          </cell>
          <cell r="BP43">
            <v>0.29599999999999999</v>
          </cell>
          <cell r="BQ43">
            <v>0.30099999999999999</v>
          </cell>
          <cell r="BR43">
            <v>0.30599999999999999</v>
          </cell>
          <cell r="BS43">
            <v>0.312</v>
          </cell>
          <cell r="BT43">
            <v>0.316</v>
          </cell>
          <cell r="BU43">
            <v>0.32</v>
          </cell>
          <cell r="BV43">
            <v>0.32500000000000001</v>
          </cell>
          <cell r="BW43">
            <v>0.33</v>
          </cell>
          <cell r="BX43">
            <v>0.33400000000000002</v>
          </cell>
          <cell r="BY43">
            <v>0.34</v>
          </cell>
          <cell r="BZ43">
            <v>0.34499999999999997</v>
          </cell>
          <cell r="CA43">
            <v>0.35199999999999998</v>
          </cell>
          <cell r="CB43">
            <v>0.35899999999999999</v>
          </cell>
          <cell r="CC43">
            <v>0.36499999999999999</v>
          </cell>
          <cell r="CD43">
            <v>0.372</v>
          </cell>
          <cell r="CE43">
            <v>0.378</v>
          </cell>
          <cell r="CF43">
            <v>0.38500000000000001</v>
          </cell>
          <cell r="CG43">
            <v>0.39200000000000002</v>
          </cell>
          <cell r="CH43">
            <v>0.39800000000000002</v>
          </cell>
          <cell r="CI43">
            <v>0.40500000000000003</v>
          </cell>
          <cell r="CJ43">
            <v>0.41299999999999998</v>
          </cell>
          <cell r="CK43">
            <v>0.42</v>
          </cell>
          <cell r="CL43">
            <v>0.42699999999999999</v>
          </cell>
          <cell r="CM43">
            <v>0.435</v>
          </cell>
          <cell r="CN43">
            <v>0.443</v>
          </cell>
          <cell r="CO43">
            <v>0.45100000000000001</v>
          </cell>
          <cell r="CP43">
            <v>0.45800000000000002</v>
          </cell>
          <cell r="CQ43">
            <v>0.46600000000000003</v>
          </cell>
          <cell r="CR43">
            <v>0.47399999999999998</v>
          </cell>
          <cell r="CS43">
            <v>0.48199999999999998</v>
          </cell>
          <cell r="CT43">
            <v>0.49</v>
          </cell>
          <cell r="CU43">
            <v>0.498</v>
          </cell>
          <cell r="CV43">
            <v>0.50600000000000001</v>
          </cell>
          <cell r="CW43">
            <v>0.51400000000000001</v>
          </cell>
          <cell r="CX43">
            <v>0.52100000000000002</v>
          </cell>
          <cell r="CY43">
            <v>0.52900000000000003</v>
          </cell>
          <cell r="CZ43">
            <v>0.53700000000000003</v>
          </cell>
          <cell r="DA43">
            <v>0.54600000000000004</v>
          </cell>
          <cell r="DB43">
            <v>0.55400000000000005</v>
          </cell>
        </row>
        <row r="44">
          <cell r="D44" t="str">
            <v>AR5 climate diagnostics|Temperature|Global Mean|FAIR|P90</v>
          </cell>
          <cell r="E44" t="str">
            <v>¬∞C</v>
          </cell>
          <cell r="P44">
            <v>0.86199999999999999</v>
          </cell>
          <cell r="Q44">
            <v>0.88300000000000001</v>
          </cell>
          <cell r="R44">
            <v>0.91600000000000004</v>
          </cell>
          <cell r="S44">
            <v>0.95</v>
          </cell>
          <cell r="T44">
            <v>0.98299999999999998</v>
          </cell>
          <cell r="U44">
            <v>1.018</v>
          </cell>
          <cell r="V44">
            <v>1.052</v>
          </cell>
          <cell r="W44">
            <v>1.0860000000000001</v>
          </cell>
          <cell r="X44">
            <v>1.119</v>
          </cell>
          <cell r="Y44">
            <v>1.1539999999999999</v>
          </cell>
          <cell r="Z44">
            <v>1.19</v>
          </cell>
          <cell r="AA44">
            <v>1.2250000000000001</v>
          </cell>
          <cell r="AB44">
            <v>1.2589999999999999</v>
          </cell>
          <cell r="AC44">
            <v>1.292</v>
          </cell>
          <cell r="AD44">
            <v>1.3220000000000001</v>
          </cell>
          <cell r="AE44">
            <v>1.35</v>
          </cell>
          <cell r="AF44">
            <v>1.377</v>
          </cell>
          <cell r="AG44">
            <v>1.405</v>
          </cell>
          <cell r="AH44">
            <v>1.431</v>
          </cell>
          <cell r="AI44">
            <v>1.4570000000000001</v>
          </cell>
          <cell r="AJ44">
            <v>1.4830000000000001</v>
          </cell>
          <cell r="AK44">
            <v>1.51</v>
          </cell>
          <cell r="AL44">
            <v>1.538</v>
          </cell>
          <cell r="AM44">
            <v>1.5669999999999999</v>
          </cell>
          <cell r="AN44">
            <v>1.597</v>
          </cell>
          <cell r="AO44">
            <v>1.627</v>
          </cell>
          <cell r="AP44">
            <v>1.657</v>
          </cell>
          <cell r="AQ44">
            <v>1.6879999999999999</v>
          </cell>
          <cell r="AR44">
            <v>1.7189999999999901</v>
          </cell>
          <cell r="AS44">
            <v>1.7509999999999999</v>
          </cell>
          <cell r="AT44">
            <v>1.7829999999999999</v>
          </cell>
          <cell r="AU44">
            <v>1.8149999999999999</v>
          </cell>
          <cell r="AV44">
            <v>1.8479999999999901</v>
          </cell>
          <cell r="AW44">
            <v>1.8819999999999999</v>
          </cell>
          <cell r="AX44">
            <v>1.9159999999999999</v>
          </cell>
          <cell r="AY44">
            <v>1.95</v>
          </cell>
          <cell r="AZ44">
            <v>1.9849999999999901</v>
          </cell>
          <cell r="BA44">
            <v>2.0190000000000001</v>
          </cell>
          <cell r="BB44">
            <v>2.0550000000000002</v>
          </cell>
          <cell r="BC44">
            <v>2.09</v>
          </cell>
          <cell r="BD44">
            <v>2.1259999999999999</v>
          </cell>
          <cell r="BE44">
            <v>2.16</v>
          </cell>
          <cell r="BF44">
            <v>2.194</v>
          </cell>
          <cell r="BG44">
            <v>2.2280000000000002</v>
          </cell>
          <cell r="BH44">
            <v>2.262</v>
          </cell>
          <cell r="BI44">
            <v>2.2949999999999999</v>
          </cell>
          <cell r="BJ44">
            <v>2.33</v>
          </cell>
          <cell r="BK44">
            <v>2.3639999999999999</v>
          </cell>
          <cell r="BL44">
            <v>2.3980000000000001</v>
          </cell>
          <cell r="BM44">
            <v>2.4329999999999998</v>
          </cell>
          <cell r="BN44">
            <v>2.4670000000000001</v>
          </cell>
          <cell r="BO44">
            <v>2.5019999999999998</v>
          </cell>
          <cell r="BP44">
            <v>2.5369999999999999</v>
          </cell>
          <cell r="BQ44">
            <v>2.5710000000000002</v>
          </cell>
          <cell r="BR44">
            <v>2.6059999999999999</v>
          </cell>
          <cell r="BS44">
            <v>2.64</v>
          </cell>
          <cell r="BT44">
            <v>2.6749999999999998</v>
          </cell>
          <cell r="BU44">
            <v>2.7090000000000001</v>
          </cell>
          <cell r="BV44">
            <v>2.7450000000000001</v>
          </cell>
          <cell r="BW44">
            <v>2.78</v>
          </cell>
          <cell r="BX44">
            <v>2.8149999999999999</v>
          </cell>
          <cell r="BY44">
            <v>2.851</v>
          </cell>
          <cell r="BZ44">
            <v>2.887</v>
          </cell>
          <cell r="CA44">
            <v>2.9239999999999999</v>
          </cell>
          <cell r="CB44">
            <v>2.9609999999999999</v>
          </cell>
          <cell r="CC44">
            <v>2.9980000000000002</v>
          </cell>
          <cell r="CD44">
            <v>3.036</v>
          </cell>
          <cell r="CE44">
            <v>3.0760000000000001</v>
          </cell>
          <cell r="CF44">
            <v>3.1160000000000001</v>
          </cell>
          <cell r="CG44">
            <v>3.157</v>
          </cell>
          <cell r="CH44">
            <v>3.1989999999999998</v>
          </cell>
          <cell r="CI44">
            <v>3.2410000000000001</v>
          </cell>
          <cell r="CJ44">
            <v>3.2839999999999998</v>
          </cell>
          <cell r="CK44">
            <v>3.3260000000000001</v>
          </cell>
          <cell r="CL44">
            <v>3.37</v>
          </cell>
          <cell r="CM44">
            <v>3.4129999999999998</v>
          </cell>
          <cell r="CN44">
            <v>3.4569999999999999</v>
          </cell>
          <cell r="CO44">
            <v>3.5009999999999999</v>
          </cell>
          <cell r="CP44">
            <v>3.5449999999999999</v>
          </cell>
          <cell r="CQ44">
            <v>3.59</v>
          </cell>
          <cell r="CR44">
            <v>3.6339999999999999</v>
          </cell>
          <cell r="CS44">
            <v>3.6789999999999998</v>
          </cell>
          <cell r="CT44">
            <v>3.7240000000000002</v>
          </cell>
          <cell r="CU44">
            <v>3.77</v>
          </cell>
          <cell r="CV44">
            <v>3.8149999999999999</v>
          </cell>
          <cell r="CW44">
            <v>3.86</v>
          </cell>
          <cell r="CX44">
            <v>3.9039999999999999</v>
          </cell>
          <cell r="CY44">
            <v>3.9489999999999998</v>
          </cell>
          <cell r="CZ44">
            <v>3.99399999999999</v>
          </cell>
          <cell r="DA44">
            <v>4.0389999999999997</v>
          </cell>
          <cell r="DB44">
            <v>4.0839999999999996</v>
          </cell>
        </row>
        <row r="45">
          <cell r="D45" t="str">
            <v>AR5 climate diagnostics|Temperature|Global Mean|FAIR|P90|Non CO2</v>
          </cell>
          <cell r="E45" t="str">
            <v>¬∞C</v>
          </cell>
          <cell r="P45">
            <v>-3.0000000000000001E-3</v>
          </cell>
          <cell r="Q45">
            <v>6.0000000000000001E-3</v>
          </cell>
          <cell r="R45">
            <v>2.1000000000000001E-2</v>
          </cell>
          <cell r="S45">
            <v>3.6999999999999998E-2</v>
          </cell>
          <cell r="T45">
            <v>5.2999999999999999E-2</v>
          </cell>
          <cell r="U45">
            <v>6.8000000000000005E-2</v>
          </cell>
          <cell r="V45">
            <v>8.4000000000000005E-2</v>
          </cell>
          <cell r="W45">
            <v>9.9000000000000005E-2</v>
          </cell>
          <cell r="X45">
            <v>0.115</v>
          </cell>
          <cell r="Y45">
            <v>0.13100000000000001</v>
          </cell>
          <cell r="Z45">
            <v>0.14599999999999999</v>
          </cell>
          <cell r="AA45">
            <v>0.157</v>
          </cell>
          <cell r="AB45">
            <v>0.16700000000000001</v>
          </cell>
          <cell r="AC45">
            <v>0.17599999999999999</v>
          </cell>
          <cell r="AD45">
            <v>0.185</v>
          </cell>
          <cell r="AE45">
            <v>0.193</v>
          </cell>
          <cell r="AF45">
            <v>0.19900000000000001</v>
          </cell>
          <cell r="AG45">
            <v>0.20399999999999999</v>
          </cell>
          <cell r="AH45">
            <v>0.21</v>
          </cell>
          <cell r="AI45">
            <v>0.215</v>
          </cell>
          <cell r="AJ45">
            <v>0.219</v>
          </cell>
          <cell r="AK45">
            <v>0.224</v>
          </cell>
          <cell r="AL45">
            <v>0.22900000000000001</v>
          </cell>
          <cell r="AM45">
            <v>0.23400000000000001</v>
          </cell>
          <cell r="AN45">
            <v>0.24</v>
          </cell>
          <cell r="AO45">
            <v>0.246</v>
          </cell>
          <cell r="AP45">
            <v>0.252</v>
          </cell>
          <cell r="AQ45">
            <v>0.25700000000000001</v>
          </cell>
          <cell r="AR45">
            <v>0.26300000000000001</v>
          </cell>
          <cell r="AS45">
            <v>0.26900000000000002</v>
          </cell>
          <cell r="AT45">
            <v>0.27400000000000002</v>
          </cell>
          <cell r="AU45">
            <v>0.28000000000000003</v>
          </cell>
          <cell r="AV45">
            <v>0.28599999999999998</v>
          </cell>
          <cell r="AW45">
            <v>0.29199999999999998</v>
          </cell>
          <cell r="AX45">
            <v>0.29799999999999999</v>
          </cell>
          <cell r="AY45">
            <v>0.30399999999999999</v>
          </cell>
          <cell r="AZ45">
            <v>0.31</v>
          </cell>
          <cell r="BA45">
            <v>0.317</v>
          </cell>
          <cell r="BB45">
            <v>0.32300000000000001</v>
          </cell>
          <cell r="BC45">
            <v>0.33</v>
          </cell>
          <cell r="BD45">
            <v>0.33600000000000002</v>
          </cell>
          <cell r="BE45">
            <v>0.34300000000000003</v>
          </cell>
          <cell r="BF45">
            <v>0.35</v>
          </cell>
          <cell r="BG45">
            <v>0.35599999999999998</v>
          </cell>
          <cell r="BH45">
            <v>0.36199999999999999</v>
          </cell>
          <cell r="BI45">
            <v>0.36899999999999999</v>
          </cell>
          <cell r="BJ45">
            <v>0.375</v>
          </cell>
          <cell r="BK45">
            <v>0.38100000000000001</v>
          </cell>
          <cell r="BL45">
            <v>0.38900000000000001</v>
          </cell>
          <cell r="BM45">
            <v>0.39400000000000002</v>
          </cell>
          <cell r="BN45">
            <v>0.40200000000000002</v>
          </cell>
          <cell r="BO45">
            <v>0.40899999999999997</v>
          </cell>
          <cell r="BP45">
            <v>0.41699999999999998</v>
          </cell>
          <cell r="BQ45">
            <v>0.42499999999999999</v>
          </cell>
          <cell r="BR45">
            <v>0.432</v>
          </cell>
          <cell r="BS45">
            <v>0.439</v>
          </cell>
          <cell r="BT45">
            <v>0.44700000000000001</v>
          </cell>
          <cell r="BU45">
            <v>0.45500000000000002</v>
          </cell>
          <cell r="BV45">
            <v>0.46100000000000002</v>
          </cell>
          <cell r="BW45">
            <v>0.46700000000000003</v>
          </cell>
          <cell r="BX45">
            <v>0.47599999999999998</v>
          </cell>
          <cell r="BY45">
            <v>0.48499999999999999</v>
          </cell>
          <cell r="BZ45">
            <v>0.49399999999999999</v>
          </cell>
          <cell r="CA45">
            <v>0.503</v>
          </cell>
          <cell r="CB45">
            <v>0.51200000000000001</v>
          </cell>
          <cell r="CC45">
            <v>0.52100000000000002</v>
          </cell>
          <cell r="CD45">
            <v>0.53</v>
          </cell>
          <cell r="CE45">
            <v>0.54</v>
          </cell>
          <cell r="CF45">
            <v>0.55000000000000004</v>
          </cell>
          <cell r="CG45">
            <v>0.55900000000000005</v>
          </cell>
          <cell r="CH45">
            <v>0.56899999999999995</v>
          </cell>
          <cell r="CI45">
            <v>0.57899999999999996</v>
          </cell>
          <cell r="CJ45">
            <v>0.58899999999999997</v>
          </cell>
          <cell r="CK45">
            <v>0.6</v>
          </cell>
          <cell r="CL45">
            <v>0.61</v>
          </cell>
          <cell r="CM45">
            <v>0.621</v>
          </cell>
          <cell r="CN45">
            <v>0.63100000000000001</v>
          </cell>
          <cell r="CO45">
            <v>0.64200000000000002</v>
          </cell>
          <cell r="CP45">
            <v>0.65200000000000002</v>
          </cell>
          <cell r="CQ45">
            <v>0.66200000000000003</v>
          </cell>
          <cell r="CR45">
            <v>0.67200000000000004</v>
          </cell>
          <cell r="CS45">
            <v>0.68200000000000005</v>
          </cell>
          <cell r="CT45">
            <v>0.69299999999999995</v>
          </cell>
          <cell r="CU45">
            <v>0.70299999999999996</v>
          </cell>
          <cell r="CV45">
            <v>0.71299999999999997</v>
          </cell>
          <cell r="CW45">
            <v>0.72299999999999998</v>
          </cell>
          <cell r="CX45">
            <v>0.73399999999999999</v>
          </cell>
          <cell r="CY45">
            <v>0.74399999999999999</v>
          </cell>
          <cell r="CZ45">
            <v>0.754</v>
          </cell>
          <cell r="DA45">
            <v>0.76400000000000001</v>
          </cell>
          <cell r="DB45">
            <v>0.77400000000000002</v>
          </cell>
        </row>
        <row r="46">
          <cell r="D46" t="str">
            <v>AR5 climate diagnostics|Temperature|Global Mean|FAIR|P95</v>
          </cell>
          <cell r="E46" t="str">
            <v>¬∞C</v>
          </cell>
          <cell r="P46">
            <v>0.86299999999999999</v>
          </cell>
          <cell r="Q46">
            <v>0.88400000000000001</v>
          </cell>
          <cell r="R46">
            <v>0.92</v>
          </cell>
          <cell r="S46">
            <v>0.95899999999999996</v>
          </cell>
          <cell r="T46">
            <v>0.998</v>
          </cell>
          <cell r="U46">
            <v>1.0369999999999999</v>
          </cell>
          <cell r="V46">
            <v>1.077</v>
          </cell>
          <cell r="W46">
            <v>1.117</v>
          </cell>
          <cell r="X46">
            <v>1.157</v>
          </cell>
          <cell r="Y46">
            <v>1.198</v>
          </cell>
          <cell r="Z46">
            <v>1.238</v>
          </cell>
          <cell r="AA46">
            <v>1.2769999999999999</v>
          </cell>
          <cell r="AB46">
            <v>1.3120000000000001</v>
          </cell>
          <cell r="AC46">
            <v>1.347</v>
          </cell>
          <cell r="AD46">
            <v>1.381</v>
          </cell>
          <cell r="AE46">
            <v>1.413</v>
          </cell>
          <cell r="AF46">
            <v>1.4430000000000001</v>
          </cell>
          <cell r="AG46">
            <v>1.4730000000000001</v>
          </cell>
          <cell r="AH46">
            <v>1.502</v>
          </cell>
          <cell r="AI46">
            <v>1.5309999999999999</v>
          </cell>
          <cell r="AJ46">
            <v>1.56</v>
          </cell>
          <cell r="AK46">
            <v>1.5899999999999901</v>
          </cell>
          <cell r="AL46">
            <v>1.621</v>
          </cell>
          <cell r="AM46">
            <v>1.653</v>
          </cell>
          <cell r="AN46">
            <v>1.6850000000000001</v>
          </cell>
          <cell r="AO46">
            <v>1.7189999999999901</v>
          </cell>
          <cell r="AP46">
            <v>1.754</v>
          </cell>
          <cell r="AQ46">
            <v>1.79</v>
          </cell>
          <cell r="AR46">
            <v>1.8260000000000001</v>
          </cell>
          <cell r="AS46">
            <v>1.8620000000000001</v>
          </cell>
          <cell r="AT46">
            <v>1.8979999999999999</v>
          </cell>
          <cell r="AU46">
            <v>1.9330000000000001</v>
          </cell>
          <cell r="AV46">
            <v>1.9689999999999901</v>
          </cell>
          <cell r="AW46">
            <v>2.0059999999999998</v>
          </cell>
          <cell r="AX46">
            <v>2.0430000000000001</v>
          </cell>
          <cell r="AY46">
            <v>2.08</v>
          </cell>
          <cell r="AZ46">
            <v>2.117</v>
          </cell>
          <cell r="BA46">
            <v>2.1549999999999998</v>
          </cell>
          <cell r="BB46">
            <v>2.1930000000000001</v>
          </cell>
          <cell r="BC46">
            <v>2.2320000000000002</v>
          </cell>
          <cell r="BD46">
            <v>2.2709999999999999</v>
          </cell>
          <cell r="BE46">
            <v>2.31</v>
          </cell>
          <cell r="BF46">
            <v>2.3490000000000002</v>
          </cell>
          <cell r="BG46">
            <v>2.3879999999999999</v>
          </cell>
          <cell r="BH46">
            <v>2.427</v>
          </cell>
          <cell r="BI46">
            <v>2.4660000000000002</v>
          </cell>
          <cell r="BJ46">
            <v>2.5059999999999998</v>
          </cell>
          <cell r="BK46">
            <v>2.5449999999999999</v>
          </cell>
          <cell r="BL46">
            <v>2.585</v>
          </cell>
          <cell r="BM46">
            <v>2.625</v>
          </cell>
          <cell r="BN46">
            <v>2.665</v>
          </cell>
          <cell r="BO46">
            <v>2.706</v>
          </cell>
          <cell r="BP46">
            <v>2.7469999999999999</v>
          </cell>
          <cell r="BQ46">
            <v>2.7879999999999998</v>
          </cell>
          <cell r="BR46">
            <v>2.83</v>
          </cell>
          <cell r="BS46">
            <v>2.871</v>
          </cell>
          <cell r="BT46">
            <v>2.9140000000000001</v>
          </cell>
          <cell r="BU46">
            <v>2.956</v>
          </cell>
          <cell r="BV46">
            <v>2.9990000000000001</v>
          </cell>
          <cell r="BW46">
            <v>3.0409999999999999</v>
          </cell>
          <cell r="BX46">
            <v>3.085</v>
          </cell>
          <cell r="BY46">
            <v>3.1280000000000001</v>
          </cell>
          <cell r="BZ46">
            <v>3.1720000000000002</v>
          </cell>
          <cell r="CA46">
            <v>3.2160000000000002</v>
          </cell>
          <cell r="CB46">
            <v>3.2610000000000001</v>
          </cell>
          <cell r="CC46">
            <v>3.306</v>
          </cell>
          <cell r="CD46">
            <v>3.351</v>
          </cell>
          <cell r="CE46">
            <v>3.3959999999999999</v>
          </cell>
          <cell r="CF46">
            <v>3.4420000000000002</v>
          </cell>
          <cell r="CG46">
            <v>3.4889999999999999</v>
          </cell>
          <cell r="CH46">
            <v>3.5350000000000001</v>
          </cell>
          <cell r="CI46">
            <v>3.5819999999999999</v>
          </cell>
          <cell r="CJ46">
            <v>3.63</v>
          </cell>
          <cell r="CK46">
            <v>3.6779999999999999</v>
          </cell>
          <cell r="CL46">
            <v>3.726</v>
          </cell>
          <cell r="CM46">
            <v>3.774</v>
          </cell>
          <cell r="CN46">
            <v>3.823</v>
          </cell>
          <cell r="CO46">
            <v>3.8719999999999999</v>
          </cell>
          <cell r="CP46">
            <v>3.9209999999999998</v>
          </cell>
          <cell r="CQ46">
            <v>3.9710000000000001</v>
          </cell>
          <cell r="CR46">
            <v>4.0199999999999996</v>
          </cell>
          <cell r="CS46">
            <v>4.07</v>
          </cell>
          <cell r="CT46">
            <v>4.12</v>
          </cell>
          <cell r="CU46">
            <v>4.1689999999999996</v>
          </cell>
          <cell r="CV46">
            <v>4.2190000000000003</v>
          </cell>
          <cell r="CW46">
            <v>4.2690000000000001</v>
          </cell>
          <cell r="CX46">
            <v>4.319</v>
          </cell>
          <cell r="CY46">
            <v>4.3680000000000003</v>
          </cell>
          <cell r="CZ46">
            <v>4.4189999999999996</v>
          </cell>
          <cell r="DA46">
            <v>4.47</v>
          </cell>
          <cell r="DB46">
            <v>4.5209999999999999</v>
          </cell>
        </row>
        <row r="47">
          <cell r="D47" t="str">
            <v>AR5 climate diagnostics|Temperature|Global Mean|FAIR|P95|Non CO2</v>
          </cell>
          <cell r="E47" t="str">
            <v>¬∞C</v>
          </cell>
          <cell r="P47">
            <v>-2E-3</v>
          </cell>
          <cell r="Q47">
            <v>6.0000000000000001E-3</v>
          </cell>
          <cell r="R47">
            <v>2.5000000000000001E-2</v>
          </cell>
          <cell r="S47">
            <v>4.2999999999999997E-2</v>
          </cell>
          <cell r="T47">
            <v>6.0999999999999999E-2</v>
          </cell>
          <cell r="U47">
            <v>7.9000000000000001E-2</v>
          </cell>
          <cell r="V47">
            <v>9.8000000000000004E-2</v>
          </cell>
          <cell r="W47">
            <v>0.11600000000000001</v>
          </cell>
          <cell r="X47">
            <v>0.13400000000000001</v>
          </cell>
          <cell r="Y47">
            <v>0.15</v>
          </cell>
          <cell r="Z47">
            <v>0.16700000000000001</v>
          </cell>
          <cell r="AA47">
            <v>0.18099999999999999</v>
          </cell>
          <cell r="AB47">
            <v>0.19400000000000001</v>
          </cell>
          <cell r="AC47">
            <v>0.20599999999999999</v>
          </cell>
          <cell r="AD47">
            <v>0.216</v>
          </cell>
          <cell r="AE47">
            <v>0.222</v>
          </cell>
          <cell r="AF47">
            <v>0.22700000000000001</v>
          </cell>
          <cell r="AG47">
            <v>0.23200000000000001</v>
          </cell>
          <cell r="AH47">
            <v>0.23699999999999999</v>
          </cell>
          <cell r="AI47">
            <v>0.24199999999999999</v>
          </cell>
          <cell r="AJ47">
            <v>0.245</v>
          </cell>
          <cell r="AK47">
            <v>0.25</v>
          </cell>
          <cell r="AL47">
            <v>0.255</v>
          </cell>
          <cell r="AM47">
            <v>0.26200000000000001</v>
          </cell>
          <cell r="AN47">
            <v>0.26900000000000002</v>
          </cell>
          <cell r="AO47">
            <v>0.27500000000000002</v>
          </cell>
          <cell r="AP47">
            <v>0.28100000000000003</v>
          </cell>
          <cell r="AQ47">
            <v>0.28799999999999998</v>
          </cell>
          <cell r="AR47">
            <v>0.29399999999999998</v>
          </cell>
          <cell r="AS47">
            <v>0.30099999999999999</v>
          </cell>
          <cell r="AT47">
            <v>0.307</v>
          </cell>
          <cell r="AU47">
            <v>0.314</v>
          </cell>
          <cell r="AV47">
            <v>0.32100000000000001</v>
          </cell>
          <cell r="AW47">
            <v>0.32800000000000001</v>
          </cell>
          <cell r="AX47">
            <v>0.33500000000000002</v>
          </cell>
          <cell r="AY47">
            <v>0.34300000000000003</v>
          </cell>
          <cell r="AZ47">
            <v>0.35099999999999998</v>
          </cell>
          <cell r="BA47">
            <v>0.35899999999999999</v>
          </cell>
          <cell r="BB47">
            <v>0.36699999999999999</v>
          </cell>
          <cell r="BC47">
            <v>0.376</v>
          </cell>
          <cell r="BD47">
            <v>0.38500000000000001</v>
          </cell>
          <cell r="BE47">
            <v>0.39400000000000002</v>
          </cell>
          <cell r="BF47">
            <v>0.40300000000000002</v>
          </cell>
          <cell r="BG47">
            <v>0.41099999999999998</v>
          </cell>
          <cell r="BH47">
            <v>0.41699999999999998</v>
          </cell>
          <cell r="BI47">
            <v>0.42299999999999999</v>
          </cell>
          <cell r="BJ47">
            <v>0.42899999999999999</v>
          </cell>
          <cell r="BK47">
            <v>0.435</v>
          </cell>
          <cell r="BL47">
            <v>0.441</v>
          </cell>
          <cell r="BM47">
            <v>0.44800000000000001</v>
          </cell>
          <cell r="BN47">
            <v>0.45500000000000002</v>
          </cell>
          <cell r="BO47">
            <v>0.46100000000000002</v>
          </cell>
          <cell r="BP47">
            <v>0.46600000000000003</v>
          </cell>
          <cell r="BQ47">
            <v>0.47499999999999998</v>
          </cell>
          <cell r="BR47">
            <v>0.48399999999999999</v>
          </cell>
          <cell r="BS47">
            <v>0.49399999999999999</v>
          </cell>
          <cell r="BT47">
            <v>0.503</v>
          </cell>
          <cell r="BU47">
            <v>0.51300000000000001</v>
          </cell>
          <cell r="BV47">
            <v>0.52300000000000002</v>
          </cell>
          <cell r="BW47">
            <v>0.53200000000000003</v>
          </cell>
          <cell r="BX47">
            <v>0.54100000000000004</v>
          </cell>
          <cell r="BY47">
            <v>0.55100000000000005</v>
          </cell>
          <cell r="BZ47">
            <v>0.56100000000000005</v>
          </cell>
          <cell r="CA47">
            <v>0.56999999999999995</v>
          </cell>
          <cell r="CB47">
            <v>0.57899999999999996</v>
          </cell>
          <cell r="CC47">
            <v>0.58799999999999997</v>
          </cell>
          <cell r="CD47">
            <v>0.59699999999999998</v>
          </cell>
          <cell r="CE47">
            <v>0.60699999999999998</v>
          </cell>
          <cell r="CF47">
            <v>0.61599999999999999</v>
          </cell>
          <cell r="CG47">
            <v>0.626</v>
          </cell>
          <cell r="CH47">
            <v>0.63600000000000001</v>
          </cell>
          <cell r="CI47">
            <v>0.64600000000000002</v>
          </cell>
          <cell r="CJ47">
            <v>0.65700000000000003</v>
          </cell>
          <cell r="CK47">
            <v>0.66800000000000004</v>
          </cell>
          <cell r="CL47">
            <v>0.67900000000000005</v>
          </cell>
          <cell r="CM47">
            <v>0.69099999999999995</v>
          </cell>
          <cell r="CN47">
            <v>0.70299999999999996</v>
          </cell>
          <cell r="CO47">
            <v>0.71399999999999997</v>
          </cell>
          <cell r="CP47">
            <v>0.72599999999999998</v>
          </cell>
          <cell r="CQ47">
            <v>0.73799999999999999</v>
          </cell>
          <cell r="CR47">
            <v>0.751</v>
          </cell>
          <cell r="CS47">
            <v>0.76300000000000001</v>
          </cell>
          <cell r="CT47">
            <v>0.77500000000000002</v>
          </cell>
          <cell r="CU47">
            <v>0.78700000000000003</v>
          </cell>
          <cell r="CV47">
            <v>0.79800000000000004</v>
          </cell>
          <cell r="CW47">
            <v>0.80900000000000005</v>
          </cell>
          <cell r="CX47">
            <v>0.81899999999999995</v>
          </cell>
          <cell r="CY47">
            <v>0.83</v>
          </cell>
          <cell r="CZ47">
            <v>0.84</v>
          </cell>
          <cell r="DA47">
            <v>0.85</v>
          </cell>
          <cell r="DB47">
            <v>0.86199999999999999</v>
          </cell>
        </row>
        <row r="48">
          <cell r="D48" t="str">
            <v>AR5 climate diagnostics|Temperature|Global Mean|MAGICC6|Expected value</v>
          </cell>
          <cell r="E48" t="str">
            <v>¬∞C</v>
          </cell>
          <cell r="F48">
            <v>0.71235058600000001</v>
          </cell>
          <cell r="G48">
            <v>0.73861783299999995</v>
          </cell>
          <cell r="H48">
            <v>0.76058000299999995</v>
          </cell>
          <cell r="I48">
            <v>0.77741354900000004</v>
          </cell>
          <cell r="J48">
            <v>0.79209276900000003</v>
          </cell>
          <cell r="K48">
            <v>0.80799973800000002</v>
          </cell>
          <cell r="L48">
            <v>0.82663863900000001</v>
          </cell>
          <cell r="M48">
            <v>0.82479876399999996</v>
          </cell>
          <cell r="N48">
            <v>0.83899609500000005</v>
          </cell>
          <cell r="O48">
            <v>0.86658299500000002</v>
          </cell>
          <cell r="P48">
            <v>0.89381189800000005</v>
          </cell>
          <cell r="Q48">
            <v>0.92017955699999998</v>
          </cell>
          <cell r="R48">
            <v>0.94624172100000004</v>
          </cell>
          <cell r="S48">
            <v>0.97288383099999998</v>
          </cell>
          <cell r="T48">
            <v>1.000035279</v>
          </cell>
          <cell r="U48">
            <v>1.028286418</v>
          </cell>
          <cell r="V48">
            <v>1.056168379</v>
          </cell>
          <cell r="W48">
            <v>1.0841351159999999</v>
          </cell>
          <cell r="X48">
            <v>1.112377516</v>
          </cell>
          <cell r="Y48">
            <v>1.1412682999999999</v>
          </cell>
          <cell r="Z48">
            <v>1.169447208</v>
          </cell>
          <cell r="AA48">
            <v>1.1962765929999899</v>
          </cell>
          <cell r="AB48">
            <v>1.222540752</v>
          </cell>
          <cell r="AC48">
            <v>1.248662556</v>
          </cell>
          <cell r="AD48">
            <v>1.274435091</v>
          </cell>
          <cell r="AE48">
            <v>1.3005289330000001</v>
          </cell>
          <cell r="AF48">
            <v>1.326226959</v>
          </cell>
          <cell r="AG48">
            <v>1.3528490449999999</v>
          </cell>
          <cell r="AH48">
            <v>1.3790719650000001</v>
          </cell>
          <cell r="AI48">
            <v>1.404953672</v>
          </cell>
          <cell r="AJ48">
            <v>1.4313466530000001</v>
          </cell>
          <cell r="AK48">
            <v>1.459343354</v>
          </cell>
          <cell r="AL48">
            <v>1.487418044</v>
          </cell>
          <cell r="AM48">
            <v>1.5155933429999999</v>
          </cell>
          <cell r="AN48">
            <v>1.5446346</v>
          </cell>
          <cell r="AO48">
            <v>1.5741535600000001</v>
          </cell>
          <cell r="AP48">
            <v>1.603737725</v>
          </cell>
          <cell r="AQ48">
            <v>1.6333210460000001</v>
          </cell>
          <cell r="AR48">
            <v>1.6628245879999899</v>
          </cell>
          <cell r="AS48">
            <v>1.6914283590000001</v>
          </cell>
          <cell r="AT48">
            <v>1.721124868</v>
          </cell>
          <cell r="AU48">
            <v>1.751603131</v>
          </cell>
          <cell r="AV48">
            <v>1.7824542839999999</v>
          </cell>
          <cell r="AW48">
            <v>1.8130895490000001</v>
          </cell>
          <cell r="AX48">
            <v>1.843869921</v>
          </cell>
          <cell r="AY48">
            <v>1.8743367209999999</v>
          </cell>
          <cell r="AZ48">
            <v>1.906817631</v>
          </cell>
          <cell r="BA48">
            <v>1.9374201339999999</v>
          </cell>
          <cell r="BB48">
            <v>1.9689445409999999</v>
          </cell>
          <cell r="BC48">
            <v>2.000767519</v>
          </cell>
          <cell r="BD48">
            <v>2.032501747</v>
          </cell>
          <cell r="BE48">
            <v>2.0649085829999998</v>
          </cell>
          <cell r="BF48">
            <v>2.0978772459999999</v>
          </cell>
          <cell r="BG48">
            <v>2.1310840729999998</v>
          </cell>
          <cell r="BH48">
            <v>2.1630101220000002</v>
          </cell>
          <cell r="BI48">
            <v>2.19511579</v>
          </cell>
          <cell r="BJ48">
            <v>2.2282638229999998</v>
          </cell>
          <cell r="BK48">
            <v>2.261981966</v>
          </cell>
          <cell r="BL48">
            <v>2.2960438170000002</v>
          </cell>
          <cell r="BM48">
            <v>2.32948567</v>
          </cell>
          <cell r="BN48">
            <v>2.3648884899999998</v>
          </cell>
          <cell r="BO48">
            <v>2.3988994789999998</v>
          </cell>
          <cell r="BP48">
            <v>2.4333684880000002</v>
          </cell>
          <cell r="BQ48">
            <v>2.4673255350000001</v>
          </cell>
          <cell r="BR48">
            <v>2.5018586699999998</v>
          </cell>
          <cell r="BS48">
            <v>2.537956002</v>
          </cell>
          <cell r="BT48">
            <v>2.5747348900000002</v>
          </cell>
          <cell r="BU48">
            <v>2.6109980130000001</v>
          </cell>
          <cell r="BV48">
            <v>2.6470463729999998</v>
          </cell>
          <cell r="BW48">
            <v>2.683738253</v>
          </cell>
          <cell r="BX48">
            <v>2.7210499339999998</v>
          </cell>
          <cell r="BY48">
            <v>2.7590576580000001</v>
          </cell>
          <cell r="BZ48">
            <v>2.7946422910000002</v>
          </cell>
          <cell r="CA48">
            <v>2.832380959</v>
          </cell>
          <cell r="CB48">
            <v>2.8705949780000002</v>
          </cell>
          <cell r="CC48">
            <v>2.9089138299999999</v>
          </cell>
          <cell r="CD48">
            <v>2.946046935</v>
          </cell>
          <cell r="CE48">
            <v>2.9862163069999998</v>
          </cell>
          <cell r="CF48">
            <v>3.0251332780000002</v>
          </cell>
          <cell r="CG48">
            <v>3.0630984269999999</v>
          </cell>
          <cell r="CH48">
            <v>3.1040977000000001</v>
          </cell>
          <cell r="CI48">
            <v>3.1436907760000001</v>
          </cell>
          <cell r="CJ48">
            <v>3.183510268</v>
          </cell>
          <cell r="CK48">
            <v>3.2246164679999998</v>
          </cell>
          <cell r="CL48">
            <v>3.267048784</v>
          </cell>
          <cell r="CM48">
            <v>3.309279783</v>
          </cell>
          <cell r="CN48">
            <v>3.3514995760000001</v>
          </cell>
          <cell r="CO48">
            <v>3.39363035</v>
          </cell>
          <cell r="CP48">
            <v>3.43815662</v>
          </cell>
          <cell r="CQ48">
            <v>3.4796690909999999</v>
          </cell>
          <cell r="CR48">
            <v>3.52334005999999</v>
          </cell>
          <cell r="CS48">
            <v>3.5671222239999998</v>
          </cell>
          <cell r="CT48">
            <v>3.6119444409999999</v>
          </cell>
          <cell r="CU48">
            <v>3.6580881989999998</v>
          </cell>
          <cell r="CV48">
            <v>3.7026557449999999</v>
          </cell>
          <cell r="CW48">
            <v>3.7492477239999999</v>
          </cell>
          <cell r="CX48">
            <v>3.7955734310000002</v>
          </cell>
          <cell r="CY48">
            <v>3.841602994</v>
          </cell>
          <cell r="CZ48">
            <v>3.8901868089999998</v>
          </cell>
          <cell r="DA48">
            <v>3.9376725690000001</v>
          </cell>
          <cell r="DB48">
            <v>3.9889906069999999</v>
          </cell>
        </row>
        <row r="49">
          <cell r="D49" t="str">
            <v>AR5 climate diagnostics|Temperature|Global Mean|MAGICC6|MED</v>
          </cell>
          <cell r="E49" t="str">
            <v>¬∞C</v>
          </cell>
          <cell r="F49">
            <v>0.71101935699999996</v>
          </cell>
          <cell r="G49">
            <v>0.73766668899999999</v>
          </cell>
          <cell r="H49">
            <v>0.75993302500000004</v>
          </cell>
          <cell r="I49">
            <v>0.77651398500000002</v>
          </cell>
          <cell r="J49">
            <v>0.79030678099999996</v>
          </cell>
          <cell r="K49">
            <v>0.80456433900000002</v>
          </cell>
          <cell r="L49">
            <v>0.822495227</v>
          </cell>
          <cell r="M49">
            <v>0.82249719600000004</v>
          </cell>
          <cell r="N49">
            <v>0.83682336599999996</v>
          </cell>
          <cell r="O49">
            <v>0.86557830499999999</v>
          </cell>
          <cell r="P49">
            <v>0.89283441699999999</v>
          </cell>
          <cell r="Q49">
            <v>0.91811564700000003</v>
          </cell>
          <cell r="R49">
            <v>0.94594569299999998</v>
          </cell>
          <cell r="S49">
            <v>0.97289907399999997</v>
          </cell>
          <cell r="T49">
            <v>0.99857062699999999</v>
          </cell>
          <cell r="U49">
            <v>1.0247379649999999</v>
          </cell>
          <cell r="V49">
            <v>1.05130116</v>
          </cell>
          <cell r="W49">
            <v>1.0783114920000001</v>
          </cell>
          <cell r="X49">
            <v>1.1058293910000001</v>
          </cell>
          <cell r="Y49">
            <v>1.134116269</v>
          </cell>
          <cell r="Z49">
            <v>1.1616814639999999</v>
          </cell>
          <cell r="AA49">
            <v>1.188537972</v>
          </cell>
          <cell r="AB49">
            <v>1.214597567</v>
          </cell>
          <cell r="AC49">
            <v>1.2412305939999999</v>
          </cell>
          <cell r="AD49">
            <v>1.264924814</v>
          </cell>
          <cell r="AE49">
            <v>1.290200639</v>
          </cell>
          <cell r="AF49">
            <v>1.314282111</v>
          </cell>
          <cell r="AG49">
            <v>1.3384405100000001</v>
          </cell>
          <cell r="AH49">
            <v>1.3633032899999999</v>
          </cell>
          <cell r="AI49">
            <v>1.38886409</v>
          </cell>
          <cell r="AJ49">
            <v>1.4152082269999999</v>
          </cell>
          <cell r="AK49">
            <v>1.442223515</v>
          </cell>
          <cell r="AL49">
            <v>1.469084788</v>
          </cell>
          <cell r="AM49">
            <v>1.49665896</v>
          </cell>
          <cell r="AN49">
            <v>1.5246105679999999</v>
          </cell>
          <cell r="AO49">
            <v>1.5533030240000001</v>
          </cell>
          <cell r="AP49">
            <v>1.582085236</v>
          </cell>
          <cell r="AQ49">
            <v>1.611267558</v>
          </cell>
          <cell r="AR49">
            <v>1.6402919979999999</v>
          </cell>
          <cell r="AS49">
            <v>1.668683481</v>
          </cell>
          <cell r="AT49">
            <v>1.699332077</v>
          </cell>
          <cell r="AU49">
            <v>1.728561072</v>
          </cell>
          <cell r="AV49">
            <v>1.7584910599999899</v>
          </cell>
          <cell r="AW49">
            <v>1.7886310379999999</v>
          </cell>
          <cell r="AX49">
            <v>1.817948948</v>
          </cell>
          <cell r="AY49">
            <v>1.8466491599999999</v>
          </cell>
          <cell r="AZ49">
            <v>1.8760638190000001</v>
          </cell>
          <cell r="BA49">
            <v>1.906703995</v>
          </cell>
          <cell r="BB49">
            <v>1.936139864</v>
          </cell>
          <cell r="BC49">
            <v>1.963439138</v>
          </cell>
          <cell r="BD49">
            <v>1.9928848649999999</v>
          </cell>
          <cell r="BE49">
            <v>2.0220318210000001</v>
          </cell>
          <cell r="BF49">
            <v>2.0526212350000002</v>
          </cell>
          <cell r="BG49">
            <v>2.0828897629999998</v>
          </cell>
          <cell r="BH49">
            <v>2.1134986499999999</v>
          </cell>
          <cell r="BI49">
            <v>2.1441919399999998</v>
          </cell>
          <cell r="BJ49">
            <v>2.1748379359999999</v>
          </cell>
          <cell r="BK49">
            <v>2.20525555</v>
          </cell>
          <cell r="BL49">
            <v>2.2391111650000002</v>
          </cell>
          <cell r="BM49">
            <v>2.271959909</v>
          </cell>
          <cell r="BN49">
            <v>2.3048756209999999</v>
          </cell>
          <cell r="BO49">
            <v>2.3377445479999999</v>
          </cell>
          <cell r="BP49">
            <v>2.3703377109999999</v>
          </cell>
          <cell r="BQ49">
            <v>2.4027556570000002</v>
          </cell>
          <cell r="BR49">
            <v>2.4363291380000001</v>
          </cell>
          <cell r="BS49">
            <v>2.4700326600000002</v>
          </cell>
          <cell r="BT49">
            <v>2.50495088</v>
          </cell>
          <cell r="BU49">
            <v>2.5378509710000001</v>
          </cell>
          <cell r="BV49">
            <v>2.5705422740000001</v>
          </cell>
          <cell r="BW49">
            <v>2.6047980900000001</v>
          </cell>
          <cell r="BX49">
            <v>2.6403343420000001</v>
          </cell>
          <cell r="BY49">
            <v>2.675657749</v>
          </cell>
          <cell r="BZ49">
            <v>2.7112083930000002</v>
          </cell>
          <cell r="CA49">
            <v>2.747948289</v>
          </cell>
          <cell r="CB49">
            <v>2.7848898399999999</v>
          </cell>
          <cell r="CC49">
            <v>2.8230040729999999</v>
          </cell>
          <cell r="CD49">
            <v>2.8578832859999999</v>
          </cell>
          <cell r="CE49">
            <v>2.8969056059999998</v>
          </cell>
          <cell r="CF49">
            <v>2.9341404070000001</v>
          </cell>
          <cell r="CG49">
            <v>2.9711545720000001</v>
          </cell>
          <cell r="CH49">
            <v>3.007404851</v>
          </cell>
          <cell r="CI49">
            <v>3.044045788</v>
          </cell>
          <cell r="CJ49">
            <v>3.083441487</v>
          </cell>
          <cell r="CK49">
            <v>3.1208058379999999</v>
          </cell>
          <cell r="CL49">
            <v>3.1561062240000002</v>
          </cell>
          <cell r="CM49">
            <v>3.1922722600000002</v>
          </cell>
          <cell r="CN49">
            <v>3.2290758429999999</v>
          </cell>
          <cell r="CO49">
            <v>3.2672957230000002</v>
          </cell>
          <cell r="CP49">
            <v>3.3051848800000001</v>
          </cell>
          <cell r="CQ49">
            <v>3.3436458060000001</v>
          </cell>
          <cell r="CR49">
            <v>3.3820286500000001</v>
          </cell>
          <cell r="CS49">
            <v>3.4250010569999998</v>
          </cell>
          <cell r="CT49">
            <v>3.4653820419999999</v>
          </cell>
          <cell r="CU49">
            <v>3.50450303299999</v>
          </cell>
          <cell r="CV49">
            <v>3.5465146459999999</v>
          </cell>
          <cell r="CW49">
            <v>3.587180654</v>
          </cell>
          <cell r="CX49">
            <v>3.6284102040000001</v>
          </cell>
          <cell r="CY49">
            <v>3.6697891660000002</v>
          </cell>
          <cell r="CZ49">
            <v>3.712785105</v>
          </cell>
          <cell r="DA49">
            <v>3.755124227</v>
          </cell>
          <cell r="DB49">
            <v>3.7994445899999998</v>
          </cell>
        </row>
        <row r="50">
          <cell r="D50" t="str">
            <v>AR5 climate diagnostics|Temperature|Global Mean|MAGICC6|P5</v>
          </cell>
          <cell r="E50" t="str">
            <v>¬∞C</v>
          </cell>
          <cell r="F50">
            <v>0.68814304400000004</v>
          </cell>
          <cell r="G50">
            <v>0.70806804700000003</v>
          </cell>
          <cell r="H50">
            <v>0.725291134</v>
          </cell>
          <cell r="I50">
            <v>0.73813671000000003</v>
          </cell>
          <cell r="J50">
            <v>0.74901405099999996</v>
          </cell>
          <cell r="K50">
            <v>0.75952341400000001</v>
          </cell>
          <cell r="L50">
            <v>0.77144199099999999</v>
          </cell>
          <cell r="M50">
            <v>0.76903924300000004</v>
          </cell>
          <cell r="N50">
            <v>0.777568551</v>
          </cell>
          <cell r="O50">
            <v>0.80103528300000004</v>
          </cell>
          <cell r="P50">
            <v>0.82111865500000003</v>
          </cell>
          <cell r="Q50">
            <v>0.83923123200000005</v>
          </cell>
          <cell r="R50">
            <v>0.85687519199999995</v>
          </cell>
          <cell r="S50">
            <v>0.87450296500000002</v>
          </cell>
          <cell r="T50">
            <v>0.89147029999999905</v>
          </cell>
          <cell r="U50">
            <v>0.90988558600000002</v>
          </cell>
          <cell r="V50">
            <v>0.92785222899999997</v>
          </cell>
          <cell r="W50">
            <v>0.94573653199999996</v>
          </cell>
          <cell r="X50">
            <v>0.96374188299999997</v>
          </cell>
          <cell r="Y50">
            <v>0.98187179499999999</v>
          </cell>
          <cell r="Z50">
            <v>0.99968688500000003</v>
          </cell>
          <cell r="AA50">
            <v>1.0169751970000001</v>
          </cell>
          <cell r="AB50">
            <v>1.0340354119999999</v>
          </cell>
          <cell r="AC50">
            <v>1.0503116969999999</v>
          </cell>
          <cell r="AD50">
            <v>1.06638587</v>
          </cell>
          <cell r="AE50">
            <v>1.082105651</v>
          </cell>
          <cell r="AF50">
            <v>1.0976668679999999</v>
          </cell>
          <cell r="AG50">
            <v>1.113866923</v>
          </cell>
          <cell r="AH50">
            <v>1.130105718</v>
          </cell>
          <cell r="AI50">
            <v>1.1460106139999999</v>
          </cell>
          <cell r="AJ50">
            <v>1.161721131</v>
          </cell>
          <cell r="AK50">
            <v>1.1782937579999999</v>
          </cell>
          <cell r="AL50">
            <v>1.1951588580000001</v>
          </cell>
          <cell r="AM50">
            <v>1.212219586</v>
          </cell>
          <cell r="AN50">
            <v>1.2294481829999999</v>
          </cell>
          <cell r="AO50">
            <v>1.246818904</v>
          </cell>
          <cell r="AP50">
            <v>1.2643115279999999</v>
          </cell>
          <cell r="AQ50">
            <v>1.281910017</v>
          </cell>
          <cell r="AR50">
            <v>1.299601521</v>
          </cell>
          <cell r="AS50">
            <v>1.317375712</v>
          </cell>
          <cell r="AT50">
            <v>1.3352232470000001</v>
          </cell>
          <cell r="AU50">
            <v>1.3531429500000001</v>
          </cell>
          <cell r="AV50">
            <v>1.3714544929999899</v>
          </cell>
          <cell r="AW50">
            <v>1.3895359869999999</v>
          </cell>
          <cell r="AX50">
            <v>1.40748213</v>
          </cell>
          <cell r="AY50">
            <v>1.425524032</v>
          </cell>
          <cell r="AZ50">
            <v>1.4436707870000001</v>
          </cell>
          <cell r="BA50">
            <v>1.4619312820000001</v>
          </cell>
          <cell r="BB50">
            <v>1.4803136830000001</v>
          </cell>
          <cell r="BC50">
            <v>1.4984201370000001</v>
          </cell>
          <cell r="BD50">
            <v>1.516573758</v>
          </cell>
          <cell r="BE50">
            <v>1.535231674</v>
          </cell>
          <cell r="BF50">
            <v>1.5544621860000001</v>
          </cell>
          <cell r="BG50">
            <v>1.5739414540000001</v>
          </cell>
          <cell r="BH50">
            <v>1.592910176</v>
          </cell>
          <cell r="BI50">
            <v>1.611672505</v>
          </cell>
          <cell r="BJ50">
            <v>1.6306389910000001</v>
          </cell>
          <cell r="BK50">
            <v>1.6498069369999999</v>
          </cell>
          <cell r="BL50">
            <v>1.669177176</v>
          </cell>
          <cell r="BM50">
            <v>1.6887521109999999</v>
          </cell>
          <cell r="BN50">
            <v>1.7088717689999999</v>
          </cell>
          <cell r="BO50">
            <v>1.7293029790000001</v>
          </cell>
          <cell r="BP50">
            <v>1.7499484439999999</v>
          </cell>
          <cell r="BQ50">
            <v>1.7708130769999999</v>
          </cell>
          <cell r="BR50">
            <v>1.791910232</v>
          </cell>
          <cell r="BS50">
            <v>1.8132516999999999</v>
          </cell>
          <cell r="BT50">
            <v>1.8348501589999999</v>
          </cell>
          <cell r="BU50">
            <v>1.856044145</v>
          </cell>
          <cell r="BV50">
            <v>1.877376889</v>
          </cell>
          <cell r="BW50">
            <v>1.8988572189999999</v>
          </cell>
          <cell r="BX50">
            <v>1.9195445820000001</v>
          </cell>
          <cell r="BY50">
            <v>1.9400263769999999</v>
          </cell>
          <cell r="BZ50">
            <v>1.960628268</v>
          </cell>
          <cell r="CA50">
            <v>1.981443842</v>
          </cell>
          <cell r="CB50">
            <v>2.0024809710000002</v>
          </cell>
          <cell r="CC50">
            <v>2.0238895179999998</v>
          </cell>
          <cell r="CD50">
            <v>2.0455631890000001</v>
          </cell>
          <cell r="CE50">
            <v>2.0674766039999999</v>
          </cell>
          <cell r="CF50">
            <v>2.0896322629999999</v>
          </cell>
          <cell r="CG50">
            <v>2.1120323089999999</v>
          </cell>
          <cell r="CH50">
            <v>2.1347261130000001</v>
          </cell>
          <cell r="CI50">
            <v>2.1577523689999998</v>
          </cell>
          <cell r="CJ50">
            <v>2.1810650589999998</v>
          </cell>
          <cell r="CK50">
            <v>2.2046244420000001</v>
          </cell>
          <cell r="CL50">
            <v>2.228413609</v>
          </cell>
          <cell r="CM50">
            <v>2.2525141190000002</v>
          </cell>
          <cell r="CN50">
            <v>2.27726256199999</v>
          </cell>
          <cell r="CO50">
            <v>2.3022314850000001</v>
          </cell>
          <cell r="CP50">
            <v>2.3275650219999999</v>
          </cell>
          <cell r="CQ50">
            <v>2.3530979890000001</v>
          </cell>
          <cell r="CR50">
            <v>2.3789455899999998</v>
          </cell>
          <cell r="CS50">
            <v>2.4043983369999999</v>
          </cell>
          <cell r="CT50">
            <v>2.4293006070000001</v>
          </cell>
          <cell r="CU50">
            <v>2.4543128840000001</v>
          </cell>
          <cell r="CV50">
            <v>2.4802890620000002</v>
          </cell>
          <cell r="CW50">
            <v>2.5069677229999998</v>
          </cell>
          <cell r="CX50">
            <v>2.533775458</v>
          </cell>
          <cell r="CY50">
            <v>2.560705247</v>
          </cell>
          <cell r="CZ50">
            <v>2.5877524009999999</v>
          </cell>
          <cell r="DA50">
            <v>2.614913794</v>
          </cell>
          <cell r="DB50">
            <v>2.643595264</v>
          </cell>
        </row>
        <row r="51">
          <cell r="D51" t="str">
            <v>AR5 climate diagnostics|Temperature|Global Mean|MAGICC6|P66</v>
          </cell>
          <cell r="E51" t="str">
            <v>¬∞C</v>
          </cell>
          <cell r="F51">
            <v>0.71879779899999996</v>
          </cell>
          <cell r="G51">
            <v>0.747337539</v>
          </cell>
          <cell r="H51">
            <v>0.77086890600000002</v>
          </cell>
          <cell r="I51">
            <v>0.78909459900000001</v>
          </cell>
          <cell r="J51">
            <v>0.80457654199999995</v>
          </cell>
          <cell r="K51">
            <v>0.82221749200000005</v>
          </cell>
          <cell r="L51">
            <v>0.84284598300000002</v>
          </cell>
          <cell r="M51">
            <v>0.84137597200000003</v>
          </cell>
          <cell r="N51">
            <v>0.85515439500000001</v>
          </cell>
          <cell r="O51">
            <v>0.88399409100000004</v>
          </cell>
          <cell r="P51">
            <v>0.91087848199999999</v>
          </cell>
          <cell r="Q51">
            <v>0.93873548399999995</v>
          </cell>
          <cell r="R51">
            <v>0.96706382999999996</v>
          </cell>
          <cell r="S51">
            <v>0.99598039999999999</v>
          </cell>
          <cell r="T51">
            <v>1.0244397119999999</v>
          </cell>
          <cell r="U51">
            <v>1.0543236899999999</v>
          </cell>
          <cell r="V51">
            <v>1.083703906</v>
          </cell>
          <cell r="W51">
            <v>1.112540651</v>
          </cell>
          <cell r="X51">
            <v>1.143181362</v>
          </cell>
          <cell r="Y51">
            <v>1.174584362</v>
          </cell>
          <cell r="Z51">
            <v>1.2044393870000001</v>
          </cell>
          <cell r="AA51">
            <v>1.2329968529999999</v>
          </cell>
          <cell r="AB51">
            <v>1.2607649759999999</v>
          </cell>
          <cell r="AC51">
            <v>1.289096201</v>
          </cell>
          <cell r="AD51">
            <v>1.31635273</v>
          </cell>
          <cell r="AE51">
            <v>1.3453546780000001</v>
          </cell>
          <cell r="AF51">
            <v>1.3755959680000001</v>
          </cell>
          <cell r="AG51">
            <v>1.4050390610000001</v>
          </cell>
          <cell r="AH51">
            <v>1.4331494229999999</v>
          </cell>
          <cell r="AI51">
            <v>1.462349583</v>
          </cell>
          <cell r="AJ51">
            <v>1.491407792</v>
          </cell>
          <cell r="AK51">
            <v>1.520517165</v>
          </cell>
          <cell r="AL51">
            <v>1.5510997399999999</v>
          </cell>
          <cell r="AM51">
            <v>1.581752678</v>
          </cell>
          <cell r="AN51">
            <v>1.61220896</v>
          </cell>
          <cell r="AO51">
            <v>1.642667959</v>
          </cell>
          <cell r="AP51">
            <v>1.6729503489999999</v>
          </cell>
          <cell r="AQ51">
            <v>1.705254442</v>
          </cell>
          <cell r="AR51">
            <v>1.7373413499999999</v>
          </cell>
          <cell r="AS51">
            <v>1.7686888000000001</v>
          </cell>
          <cell r="AT51">
            <v>1.8005378409999999</v>
          </cell>
          <cell r="AU51">
            <v>1.8302998539999999</v>
          </cell>
          <cell r="AV51">
            <v>1.860218704</v>
          </cell>
          <cell r="AW51">
            <v>1.89293599</v>
          </cell>
          <cell r="AX51">
            <v>1.9274104409999999</v>
          </cell>
          <cell r="AY51">
            <v>1.964299622</v>
          </cell>
          <cell r="AZ51">
            <v>1.9991789760000001</v>
          </cell>
          <cell r="BA51">
            <v>2.0326294389999999</v>
          </cell>
          <cell r="BB51">
            <v>2.064743118</v>
          </cell>
          <cell r="BC51">
            <v>2.0988975719999998</v>
          </cell>
          <cell r="BD51">
            <v>2.1317732729999999</v>
          </cell>
          <cell r="BE51">
            <v>2.1653617860000001</v>
          </cell>
          <cell r="BF51">
            <v>2.200274206</v>
          </cell>
          <cell r="BG51">
            <v>2.2351874070000002</v>
          </cell>
          <cell r="BH51">
            <v>2.2710294590000002</v>
          </cell>
          <cell r="BI51">
            <v>2.3078810600000002</v>
          </cell>
          <cell r="BJ51">
            <v>2.3480641050000002</v>
          </cell>
          <cell r="BK51">
            <v>2.3836909589999999</v>
          </cell>
          <cell r="BL51">
            <v>2.4202592410000001</v>
          </cell>
          <cell r="BM51">
            <v>2.4551004700000001</v>
          </cell>
          <cell r="BN51">
            <v>2.492813081</v>
          </cell>
          <cell r="BO51">
            <v>2.5313369020000001</v>
          </cell>
          <cell r="BP51">
            <v>2.5702230770000001</v>
          </cell>
          <cell r="BQ51">
            <v>2.6093911410000001</v>
          </cell>
          <cell r="BR51">
            <v>2.6453971599999999</v>
          </cell>
          <cell r="BS51">
            <v>2.6839837310000001</v>
          </cell>
          <cell r="BT51">
            <v>2.7214248959999998</v>
          </cell>
          <cell r="BU51">
            <v>2.7597619409999998</v>
          </cell>
          <cell r="BV51">
            <v>2.7999221940000001</v>
          </cell>
          <cell r="BW51">
            <v>2.839526137</v>
          </cell>
          <cell r="BX51">
            <v>2.8825532859999998</v>
          </cell>
          <cell r="BY51">
            <v>2.9235722559999999</v>
          </cell>
          <cell r="BZ51">
            <v>2.965487719</v>
          </cell>
          <cell r="CA51">
            <v>3.0093098610000002</v>
          </cell>
          <cell r="CB51">
            <v>3.051864423</v>
          </cell>
          <cell r="CC51">
            <v>3.0955324919999998</v>
          </cell>
          <cell r="CD51">
            <v>3.1370765550000002</v>
          </cell>
          <cell r="CE51">
            <v>3.1776198020000002</v>
          </cell>
          <cell r="CF51">
            <v>3.218418336</v>
          </cell>
          <cell r="CG51">
            <v>3.2700696310000001</v>
          </cell>
          <cell r="CH51">
            <v>3.3101218399999999</v>
          </cell>
          <cell r="CI51">
            <v>3.351144004</v>
          </cell>
          <cell r="CJ51">
            <v>3.3944697270000002</v>
          </cell>
          <cell r="CK51">
            <v>3.4398160070000001</v>
          </cell>
          <cell r="CL51">
            <v>3.485563956</v>
          </cell>
          <cell r="CM51">
            <v>3.5314998270000002</v>
          </cell>
          <cell r="CN51">
            <v>3.5751457640000002</v>
          </cell>
          <cell r="CO51">
            <v>3.6251618269999999</v>
          </cell>
          <cell r="CP51">
            <v>3.6724705790000001</v>
          </cell>
          <cell r="CQ51">
            <v>3.7174072319999998</v>
          </cell>
          <cell r="CR51">
            <v>3.7597776980000002</v>
          </cell>
          <cell r="CS51">
            <v>3.8070499099999999</v>
          </cell>
          <cell r="CT51">
            <v>3.8555723290000001</v>
          </cell>
          <cell r="CU51">
            <v>3.899320474</v>
          </cell>
          <cell r="CV51">
            <v>3.942688371</v>
          </cell>
          <cell r="CW51">
            <v>3.985003539</v>
          </cell>
          <cell r="CX51">
            <v>4.0260935990000002</v>
          </cell>
          <cell r="CY51">
            <v>4.0749270849999997</v>
          </cell>
          <cell r="CZ51">
            <v>4.127756443</v>
          </cell>
          <cell r="DA51">
            <v>4.1729559539999999</v>
          </cell>
          <cell r="DB51">
            <v>4.2264505610000001</v>
          </cell>
        </row>
        <row r="52">
          <cell r="D52" t="str">
            <v>AR5 climate diagnostics|Temperature|Global Mean|MAGICC6|P90</v>
          </cell>
          <cell r="E52" t="str">
            <v>¬∞C</v>
          </cell>
          <cell r="F52">
            <v>0.73287422499999999</v>
          </cell>
          <cell r="G52">
            <v>0.76460505999999995</v>
          </cell>
          <cell r="H52">
            <v>0.791000017</v>
          </cell>
          <cell r="I52">
            <v>0.81167711600000003</v>
          </cell>
          <cell r="J52">
            <v>0.82928265400000001</v>
          </cell>
          <cell r="K52">
            <v>0.85042820600000002</v>
          </cell>
          <cell r="L52">
            <v>0.872966833</v>
          </cell>
          <cell r="M52">
            <v>0.87193613199999997</v>
          </cell>
          <cell r="N52">
            <v>0.88977898</v>
          </cell>
          <cell r="O52">
            <v>0.918738587</v>
          </cell>
          <cell r="P52">
            <v>0.95258287900000005</v>
          </cell>
          <cell r="Q52">
            <v>0.98677473900000001</v>
          </cell>
          <cell r="R52">
            <v>1.021565335</v>
          </cell>
          <cell r="S52">
            <v>1.0582991209999999</v>
          </cell>
          <cell r="T52">
            <v>1.092288318</v>
          </cell>
          <cell r="U52">
            <v>1.1289294409999999</v>
          </cell>
          <cell r="V52">
            <v>1.165018721</v>
          </cell>
          <cell r="W52">
            <v>1.20385838</v>
          </cell>
          <cell r="X52">
            <v>1.243682446</v>
          </cell>
          <cell r="Y52">
            <v>1.2842989929999999</v>
          </cell>
          <cell r="Z52">
            <v>1.3247186390000001</v>
          </cell>
          <cell r="AA52">
            <v>1.3624812449999999</v>
          </cell>
          <cell r="AB52">
            <v>1.3990926429999999</v>
          </cell>
          <cell r="AC52">
            <v>1.43478295</v>
          </cell>
          <cell r="AD52">
            <v>1.4705772720000001</v>
          </cell>
          <cell r="AE52">
            <v>1.5074873529999999</v>
          </cell>
          <cell r="AF52">
            <v>1.544128707</v>
          </cell>
          <cell r="AG52">
            <v>1.5819573170000001</v>
          </cell>
          <cell r="AH52">
            <v>1.61910738</v>
          </cell>
          <cell r="AI52">
            <v>1.653109894</v>
          </cell>
          <cell r="AJ52">
            <v>1.6893569509999999</v>
          </cell>
          <cell r="AK52">
            <v>1.7267530499999999</v>
          </cell>
          <cell r="AL52">
            <v>1.7613493570000001</v>
          </cell>
          <cell r="AM52">
            <v>1.7963794209999999</v>
          </cell>
          <cell r="AN52">
            <v>1.837021188</v>
          </cell>
          <cell r="AO52">
            <v>1.878825341</v>
          </cell>
          <cell r="AP52">
            <v>1.923010476</v>
          </cell>
          <cell r="AQ52">
            <v>1.9662200679999999</v>
          </cell>
          <cell r="AR52">
            <v>2.0085329220000001</v>
          </cell>
          <cell r="AS52">
            <v>2.0485777610000002</v>
          </cell>
          <cell r="AT52">
            <v>2.0866841460000001</v>
          </cell>
          <cell r="AU52">
            <v>2.1231155519999998</v>
          </cell>
          <cell r="AV52">
            <v>2.1591284829999999</v>
          </cell>
          <cell r="AW52">
            <v>2.1973215709999998</v>
          </cell>
          <cell r="AX52">
            <v>2.2357506900000002</v>
          </cell>
          <cell r="AY52">
            <v>2.272721513</v>
          </cell>
          <cell r="AZ52">
            <v>2.3145723899999999</v>
          </cell>
          <cell r="BA52">
            <v>2.3566734469999999</v>
          </cell>
          <cell r="BB52">
            <v>2.40051178</v>
          </cell>
          <cell r="BC52">
            <v>2.449033869</v>
          </cell>
          <cell r="BD52">
            <v>2.4956081750000001</v>
          </cell>
          <cell r="BE52">
            <v>2.5414190680000002</v>
          </cell>
          <cell r="BF52">
            <v>2.5918367170000001</v>
          </cell>
          <cell r="BG52">
            <v>2.6456833729999998</v>
          </cell>
          <cell r="BH52">
            <v>2.6909988789999999</v>
          </cell>
          <cell r="BI52">
            <v>2.733251879</v>
          </cell>
          <cell r="BJ52">
            <v>2.7746583899999999</v>
          </cell>
          <cell r="BK52">
            <v>2.8221535150000001</v>
          </cell>
          <cell r="BL52">
            <v>2.874416917</v>
          </cell>
          <cell r="BM52">
            <v>2.9250860780000001</v>
          </cell>
          <cell r="BN52">
            <v>2.9780652349999999</v>
          </cell>
          <cell r="BO52">
            <v>3.0228636459999998</v>
          </cell>
          <cell r="BP52">
            <v>3.0704414990000002</v>
          </cell>
          <cell r="BQ52">
            <v>3.124634549</v>
          </cell>
          <cell r="BR52">
            <v>3.1824741090000002</v>
          </cell>
          <cell r="BS52">
            <v>3.235344043</v>
          </cell>
          <cell r="BT52">
            <v>3.2816482370000002</v>
          </cell>
          <cell r="BU52">
            <v>3.3282961449999999</v>
          </cell>
          <cell r="BV52">
            <v>3.3804816889999998</v>
          </cell>
          <cell r="BW52">
            <v>3.435204685</v>
          </cell>
          <cell r="BX52">
            <v>3.4878692949999999</v>
          </cell>
          <cell r="BY52">
            <v>3.552418962</v>
          </cell>
          <cell r="BZ52">
            <v>3.6089486270000002</v>
          </cell>
          <cell r="CA52">
            <v>3.6605204370000002</v>
          </cell>
          <cell r="CB52">
            <v>3.7124974540000002</v>
          </cell>
          <cell r="CC52">
            <v>3.7631924290000001</v>
          </cell>
          <cell r="CD52">
            <v>3.8110937429999998</v>
          </cell>
          <cell r="CE52">
            <v>3.8615936529999999</v>
          </cell>
          <cell r="CF52">
            <v>3.913257234</v>
          </cell>
          <cell r="CG52">
            <v>3.9734690700000002</v>
          </cell>
          <cell r="CH52">
            <v>4.0340340599999998</v>
          </cell>
          <cell r="CI52">
            <v>4.0895214060000002</v>
          </cell>
          <cell r="CJ52">
            <v>4.1478848079999997</v>
          </cell>
          <cell r="CK52">
            <v>4.2066833150000003</v>
          </cell>
          <cell r="CL52">
            <v>4.2615430329999997</v>
          </cell>
          <cell r="CM52">
            <v>4.3123422710000003</v>
          </cell>
          <cell r="CN52">
            <v>4.3633657939999999</v>
          </cell>
          <cell r="CO52">
            <v>4.4301025159999998</v>
          </cell>
          <cell r="CP52">
            <v>4.4821478409999997</v>
          </cell>
          <cell r="CQ52">
            <v>4.5344447319999999</v>
          </cell>
          <cell r="CR52">
            <v>4.5871179829999997</v>
          </cell>
          <cell r="CS52">
            <v>4.6480256170000001</v>
          </cell>
          <cell r="CT52">
            <v>4.719434659</v>
          </cell>
          <cell r="CU52">
            <v>4.7886591100000002</v>
          </cell>
          <cell r="CV52">
            <v>4.8485891480000003</v>
          </cell>
          <cell r="CW52">
            <v>4.9026838049999997</v>
          </cell>
          <cell r="CX52">
            <v>4.9623261049999998</v>
          </cell>
          <cell r="CY52">
            <v>5.023759686</v>
          </cell>
          <cell r="CZ52">
            <v>5.0962420359999996</v>
          </cell>
          <cell r="DA52">
            <v>5.1702828140000001</v>
          </cell>
          <cell r="DB52">
            <v>5.2449264979999999</v>
          </cell>
        </row>
        <row r="53">
          <cell r="D53" t="str">
            <v>AR5 climate diagnostics|Temperature|Global Mean|MAGICC6|P95</v>
          </cell>
          <cell r="E53" t="str">
            <v>¬∞C</v>
          </cell>
          <cell r="F53">
            <v>0.74060264200000003</v>
          </cell>
          <cell r="G53">
            <v>0.77327163099999996</v>
          </cell>
          <cell r="H53">
            <v>0.79975793299999998</v>
          </cell>
          <cell r="I53">
            <v>0.82160102700000004</v>
          </cell>
          <cell r="J53">
            <v>0.83991713099999998</v>
          </cell>
          <cell r="K53">
            <v>0.86278578100000003</v>
          </cell>
          <cell r="L53">
            <v>0.88660057599999997</v>
          </cell>
          <cell r="M53">
            <v>0.88409343900000004</v>
          </cell>
          <cell r="N53">
            <v>0.904662148</v>
          </cell>
          <cell r="O53">
            <v>0.93404852400000005</v>
          </cell>
          <cell r="P53">
            <v>0.971693578</v>
          </cell>
          <cell r="Q53">
            <v>1.0101286780000001</v>
          </cell>
          <cell r="R53">
            <v>1.049445768</v>
          </cell>
          <cell r="S53">
            <v>1.0894767860000001</v>
          </cell>
          <cell r="T53">
            <v>1.1305188779999999</v>
          </cell>
          <cell r="U53">
            <v>1.173417438</v>
          </cell>
          <cell r="V53">
            <v>1.2158905849999999</v>
          </cell>
          <cell r="W53">
            <v>1.259907498</v>
          </cell>
          <cell r="X53">
            <v>1.300547184</v>
          </cell>
          <cell r="Y53">
            <v>1.3463788619999999</v>
          </cell>
          <cell r="Z53">
            <v>1.3912999100000001</v>
          </cell>
          <cell r="AA53">
            <v>1.431575931</v>
          </cell>
          <cell r="AB53">
            <v>1.4705509960000001</v>
          </cell>
          <cell r="AC53">
            <v>1.5098340969999999</v>
          </cell>
          <cell r="AD53">
            <v>1.547910074</v>
          </cell>
          <cell r="AE53">
            <v>1.5903503960000001</v>
          </cell>
          <cell r="AF53">
            <v>1.628329643</v>
          </cell>
          <cell r="AG53">
            <v>1.6716215999999999</v>
          </cell>
          <cell r="AH53">
            <v>1.7134159599999901</v>
          </cell>
          <cell r="AI53">
            <v>1.7527004100000001</v>
          </cell>
          <cell r="AJ53">
            <v>1.7911789410000001</v>
          </cell>
          <cell r="AK53">
            <v>1.8355096559999999</v>
          </cell>
          <cell r="AL53">
            <v>1.8790663990000001</v>
          </cell>
          <cell r="AM53">
            <v>1.9212298029999999</v>
          </cell>
          <cell r="AN53">
            <v>1.96670827</v>
          </cell>
          <cell r="AO53">
            <v>2.0155987620000002</v>
          </cell>
          <cell r="AP53">
            <v>2.064862459</v>
          </cell>
          <cell r="AQ53">
            <v>2.1160769579999998</v>
          </cell>
          <cell r="AR53">
            <v>2.1689019530000002</v>
          </cell>
          <cell r="AS53">
            <v>2.2101516480000001</v>
          </cell>
          <cell r="AT53">
            <v>2.2554907449999999</v>
          </cell>
          <cell r="AU53">
            <v>2.304922844</v>
          </cell>
          <cell r="AV53">
            <v>2.3549237070000002</v>
          </cell>
          <cell r="AW53">
            <v>2.404919665</v>
          </cell>
          <cell r="AX53">
            <v>2.4497311270000002</v>
          </cell>
          <cell r="AY53">
            <v>2.4947634019999998</v>
          </cell>
          <cell r="AZ53">
            <v>2.5560042969999999</v>
          </cell>
          <cell r="BA53">
            <v>2.6015595939999998</v>
          </cell>
          <cell r="BB53">
            <v>2.6495972440000002</v>
          </cell>
          <cell r="BC53">
            <v>2.6992055650000002</v>
          </cell>
          <cell r="BD53">
            <v>2.7511341589999998</v>
          </cell>
          <cell r="BE53">
            <v>2.807202642</v>
          </cell>
          <cell r="BF53">
            <v>2.8642571530000001</v>
          </cell>
          <cell r="BG53">
            <v>2.9224923610000002</v>
          </cell>
          <cell r="BH53">
            <v>2.9730234850000001</v>
          </cell>
          <cell r="BI53">
            <v>3.0227645779999999</v>
          </cell>
          <cell r="BJ53">
            <v>3.0728672590000001</v>
          </cell>
          <cell r="BK53">
            <v>3.1304606939999999</v>
          </cell>
          <cell r="BL53">
            <v>3.1881680879999998</v>
          </cell>
          <cell r="BM53">
            <v>3.2415873620000002</v>
          </cell>
          <cell r="BN53">
            <v>3.3065829010000001</v>
          </cell>
          <cell r="BO53">
            <v>3.3566863499999999</v>
          </cell>
          <cell r="BP53">
            <v>3.403359751</v>
          </cell>
          <cell r="BQ53">
            <v>3.4503605980000001</v>
          </cell>
          <cell r="BR53">
            <v>3.4999557569999999</v>
          </cell>
          <cell r="BS53">
            <v>3.5567158700000001</v>
          </cell>
          <cell r="BT53">
            <v>3.6141286469999998</v>
          </cell>
          <cell r="BU53">
            <v>3.6722005869999998</v>
          </cell>
          <cell r="BV53">
            <v>3.7260377469999999</v>
          </cell>
          <cell r="BW53">
            <v>3.7819042020000002</v>
          </cell>
          <cell r="BX53">
            <v>3.8379843340000002</v>
          </cell>
          <cell r="BY53">
            <v>3.9074961180000001</v>
          </cell>
          <cell r="BZ53">
            <v>3.9620499690000002</v>
          </cell>
          <cell r="CA53">
            <v>4.0289260169999999</v>
          </cell>
          <cell r="CB53">
            <v>4.1055595890000003</v>
          </cell>
          <cell r="CC53">
            <v>4.1814817289999997</v>
          </cell>
          <cell r="CD53">
            <v>4.2397986159999999</v>
          </cell>
          <cell r="CE53">
            <v>4.2986188270000003</v>
          </cell>
          <cell r="CF53">
            <v>4.3579482900000004</v>
          </cell>
          <cell r="CG53">
            <v>4.4179013950000003</v>
          </cell>
          <cell r="CH53">
            <v>4.5013370860000004</v>
          </cell>
          <cell r="CI53">
            <v>4.5641251220000001</v>
          </cell>
          <cell r="CJ53">
            <v>4.6241360609999997</v>
          </cell>
          <cell r="CK53">
            <v>4.687735677</v>
          </cell>
          <cell r="CL53">
            <v>4.76635309</v>
          </cell>
          <cell r="CM53">
            <v>4.8435358019999999</v>
          </cell>
          <cell r="CN53">
            <v>4.9018657020000003</v>
          </cell>
          <cell r="CO53">
            <v>4.9702654710000003</v>
          </cell>
          <cell r="CP53">
            <v>5.0663137540000003</v>
          </cell>
          <cell r="CQ53">
            <v>5.1305859419999997</v>
          </cell>
          <cell r="CR53">
            <v>5.2009743290000001</v>
          </cell>
          <cell r="CS53">
            <v>5.2722091600000001</v>
          </cell>
          <cell r="CT53">
            <v>5.3442346709999997</v>
          </cell>
          <cell r="CU53">
            <v>5.4208515339999996</v>
          </cell>
          <cell r="CV53">
            <v>5.4923388070000003</v>
          </cell>
          <cell r="CW53">
            <v>5.5646453999999999</v>
          </cell>
          <cell r="CX53">
            <v>5.6395564169999997</v>
          </cell>
          <cell r="CY53">
            <v>5.7152181119999996</v>
          </cell>
          <cell r="CZ53">
            <v>5.8218451509999998</v>
          </cell>
          <cell r="DA53">
            <v>5.9295520509999999</v>
          </cell>
          <cell r="DB53">
            <v>6.0363295250000002</v>
          </cell>
        </row>
        <row r="54">
          <cell r="D54" t="str">
            <v>Agricultural Demand|Crops</v>
          </cell>
          <cell r="E54" t="str">
            <v>million t DM/yr</v>
          </cell>
          <cell r="K54">
            <v>2562.6012660000001</v>
          </cell>
          <cell r="P54">
            <v>2743.3818070000002</v>
          </cell>
          <cell r="Z54">
            <v>3254.60491</v>
          </cell>
          <cell r="AJ54">
            <v>3748.4503049999998</v>
          </cell>
          <cell r="AT54">
            <v>4180.4074799999999</v>
          </cell>
          <cell r="BD54">
            <v>4548.6481700000004</v>
          </cell>
          <cell r="BN54">
            <v>4836.5692159999999</v>
          </cell>
          <cell r="BX54">
            <v>5032.5665909999998</v>
          </cell>
          <cell r="CH54">
            <v>5171.0497150000001</v>
          </cell>
          <cell r="CR54">
            <v>5265.445917</v>
          </cell>
          <cell r="DB54">
            <v>5302.3768060000002</v>
          </cell>
        </row>
        <row r="55">
          <cell r="D55" t="str">
            <v>Agricultural Demand|Livestock</v>
          </cell>
          <cell r="E55" t="str">
            <v>million t DM/yr</v>
          </cell>
          <cell r="K55">
            <v>198.22026310000001</v>
          </cell>
          <cell r="P55">
            <v>213.90957990000001</v>
          </cell>
          <cell r="Z55">
            <v>254.07282720000001</v>
          </cell>
          <cell r="AJ55">
            <v>292.31026689999999</v>
          </cell>
          <cell r="AT55">
            <v>325.68919260000001</v>
          </cell>
          <cell r="BD55">
            <v>353.2958246</v>
          </cell>
          <cell r="BN55">
            <v>375.3450818</v>
          </cell>
          <cell r="BX55">
            <v>391.2908645</v>
          </cell>
          <cell r="CH55">
            <v>403.23576270000001</v>
          </cell>
          <cell r="CR55">
            <v>410.7693367</v>
          </cell>
          <cell r="DB55">
            <v>414.60762729999999</v>
          </cell>
        </row>
        <row r="56">
          <cell r="D56" t="str">
            <v>Agricultural Production|Energy|Crops</v>
          </cell>
          <cell r="E56" t="str">
            <v>million t DM/yr</v>
          </cell>
          <cell r="K56">
            <v>0</v>
          </cell>
          <cell r="P56">
            <v>0</v>
          </cell>
          <cell r="Z56">
            <v>938.60145450000005</v>
          </cell>
          <cell r="AJ56">
            <v>1029.038008</v>
          </cell>
          <cell r="AT56">
            <v>1085.5713410000001</v>
          </cell>
          <cell r="BD56">
            <v>1244.9713409999999</v>
          </cell>
          <cell r="BN56">
            <v>1711.8380079999999</v>
          </cell>
          <cell r="BX56">
            <v>2294.5046739999998</v>
          </cell>
          <cell r="CH56">
            <v>2786.2791299999999</v>
          </cell>
          <cell r="CR56">
            <v>3212.6124629999999</v>
          </cell>
          <cell r="DB56">
            <v>3580.2791309999998</v>
          </cell>
        </row>
        <row r="57">
          <cell r="D57" t="str">
            <v>Agricultural Production|Non-Energy|Crops</v>
          </cell>
          <cell r="E57" t="str">
            <v>million t DM/yr</v>
          </cell>
          <cell r="K57">
            <v>2734.478368</v>
          </cell>
          <cell r="P57">
            <v>3032.8840540000001</v>
          </cell>
          <cell r="Z57">
            <v>3547.0353559999999</v>
          </cell>
          <cell r="AJ57">
            <v>4041.0982020000001</v>
          </cell>
          <cell r="AT57">
            <v>4473.0860709999997</v>
          </cell>
          <cell r="BD57">
            <v>4841.3520550000003</v>
          </cell>
          <cell r="BN57">
            <v>5129.2829330000004</v>
          </cell>
          <cell r="BX57">
            <v>5325.2856430000002</v>
          </cell>
          <cell r="CH57">
            <v>5463.7471670000004</v>
          </cell>
          <cell r="CR57">
            <v>5558.1081450000001</v>
          </cell>
          <cell r="DB57">
            <v>5594.9974700000002</v>
          </cell>
        </row>
        <row r="58">
          <cell r="D58" t="str">
            <v>Agricultural Production|Non-Energy|Livestock</v>
          </cell>
          <cell r="E58" t="str">
            <v>million t DM/yr</v>
          </cell>
          <cell r="K58">
            <v>216.129997</v>
          </cell>
          <cell r="P58">
            <v>233.11749639999999</v>
          </cell>
          <cell r="Z58">
            <v>276.59220759999999</v>
          </cell>
          <cell r="AJ58">
            <v>318.14891119999999</v>
          </cell>
          <cell r="AT58">
            <v>354.60943250000003</v>
          </cell>
          <cell r="BD58">
            <v>384.83809079999997</v>
          </cell>
          <cell r="BN58">
            <v>409.03474790000001</v>
          </cell>
          <cell r="BX58">
            <v>426.43391739999998</v>
          </cell>
          <cell r="CH58">
            <v>439.29700860000003</v>
          </cell>
          <cell r="CR58">
            <v>447.27007479999997</v>
          </cell>
          <cell r="DB58">
            <v>451.08911419999998</v>
          </cell>
        </row>
        <row r="59">
          <cell r="D59" t="str">
            <v>Capacity|Electricity</v>
          </cell>
          <cell r="E59" t="str">
            <v>GW</v>
          </cell>
          <cell r="K59">
            <v>3861.9140000000002</v>
          </cell>
          <cell r="P59">
            <v>4744.3620000000001</v>
          </cell>
          <cell r="Z59">
            <v>6107.277</v>
          </cell>
          <cell r="AJ59">
            <v>7369.049</v>
          </cell>
          <cell r="AT59">
            <v>9344.2819999999992</v>
          </cell>
          <cell r="BD59">
            <v>11723.14</v>
          </cell>
          <cell r="BN59">
            <v>15379.517</v>
          </cell>
          <cell r="BX59">
            <v>19987.455999999998</v>
          </cell>
          <cell r="CH59">
            <v>23372.611000000001</v>
          </cell>
          <cell r="CR59">
            <v>27358.865000000002</v>
          </cell>
          <cell r="DB59">
            <v>32712.348000000002</v>
          </cell>
        </row>
        <row r="60">
          <cell r="D60" t="str">
            <v>Capacity|Electricity|Biomass</v>
          </cell>
          <cell r="E60" t="str">
            <v>GW</v>
          </cell>
          <cell r="K60">
            <v>28.053999999999998</v>
          </cell>
          <cell r="P60">
            <v>41.329000000000001</v>
          </cell>
          <cell r="Z60">
            <v>64.807000000000002</v>
          </cell>
          <cell r="AJ60">
            <v>51.158000000000001</v>
          </cell>
          <cell r="AT60">
            <v>31.535</v>
          </cell>
          <cell r="BD60">
            <v>61.244</v>
          </cell>
          <cell r="BN60">
            <v>58.658000000000001</v>
          </cell>
          <cell r="BX60">
            <v>69.37</v>
          </cell>
          <cell r="CH60">
            <v>123.83199999999999</v>
          </cell>
          <cell r="CR60">
            <v>167.982</v>
          </cell>
          <cell r="DB60">
            <v>220.33799999999999</v>
          </cell>
        </row>
        <row r="61">
          <cell r="D61" t="str">
            <v>Capacity|Electricity|Coal</v>
          </cell>
          <cell r="E61" t="str">
            <v>GW</v>
          </cell>
          <cell r="K61">
            <v>1208.5730000000001</v>
          </cell>
          <cell r="P61">
            <v>1551.261</v>
          </cell>
          <cell r="Z61">
            <v>1633.6310000000001</v>
          </cell>
          <cell r="AJ61">
            <v>1400.377</v>
          </cell>
          <cell r="AT61">
            <v>1246.33</v>
          </cell>
          <cell r="BD61">
            <v>1401.864</v>
          </cell>
          <cell r="BN61">
            <v>1793.7760000000001</v>
          </cell>
          <cell r="BX61">
            <v>2188.913</v>
          </cell>
          <cell r="CH61">
            <v>2618.6460000000002</v>
          </cell>
          <cell r="CR61">
            <v>2695.971</v>
          </cell>
          <cell r="DB61">
            <v>2397.212</v>
          </cell>
        </row>
        <row r="62">
          <cell r="D62" t="str">
            <v>Capacity|Electricity|Gas</v>
          </cell>
          <cell r="E62" t="str">
            <v>GW</v>
          </cell>
          <cell r="K62">
            <v>886.68200000000002</v>
          </cell>
          <cell r="P62">
            <v>1065.357</v>
          </cell>
          <cell r="Z62">
            <v>1776.817</v>
          </cell>
          <cell r="AJ62">
            <v>2938.788</v>
          </cell>
          <cell r="AT62">
            <v>4651.4920000000002</v>
          </cell>
          <cell r="BD62">
            <v>6273.41</v>
          </cell>
          <cell r="BN62">
            <v>8174.2060000000001</v>
          </cell>
          <cell r="BX62">
            <v>10345.665000000001</v>
          </cell>
          <cell r="CH62">
            <v>11573.896000000001</v>
          </cell>
          <cell r="CR62">
            <v>12595.773999999999</v>
          </cell>
          <cell r="DB62">
            <v>14291.694</v>
          </cell>
        </row>
        <row r="63">
          <cell r="D63" t="str">
            <v>Capacity|Electricity|Geothermal</v>
          </cell>
          <cell r="E63" t="str">
            <v>GW</v>
          </cell>
          <cell r="K63">
            <v>9.7609999999999992</v>
          </cell>
          <cell r="P63">
            <v>16.071999999999999</v>
          </cell>
          <cell r="Z63">
            <v>14.718</v>
          </cell>
          <cell r="AJ63">
            <v>7.3479999999999999</v>
          </cell>
          <cell r="AT63">
            <v>0</v>
          </cell>
          <cell r="BD63">
            <v>0</v>
          </cell>
          <cell r="BN63">
            <v>0</v>
          </cell>
          <cell r="BX63">
            <v>0</v>
          </cell>
          <cell r="CH63">
            <v>0</v>
          </cell>
          <cell r="CR63">
            <v>0</v>
          </cell>
          <cell r="DB63">
            <v>0</v>
          </cell>
        </row>
        <row r="64">
          <cell r="D64" t="str">
            <v>Capacity|Electricity|Hydro</v>
          </cell>
          <cell r="E64" t="str">
            <v>GW</v>
          </cell>
          <cell r="K64">
            <v>855.15899999999999</v>
          </cell>
          <cell r="P64">
            <v>1127.3219999999999</v>
          </cell>
          <cell r="Z64">
            <v>1219.0930000000001</v>
          </cell>
          <cell r="AJ64">
            <v>1299.6420000000001</v>
          </cell>
          <cell r="AT64">
            <v>1449.4559999999999</v>
          </cell>
          <cell r="BD64">
            <v>1496.386</v>
          </cell>
          <cell r="BN64">
            <v>1559.9670000000001</v>
          </cell>
          <cell r="BX64">
            <v>1660.99</v>
          </cell>
          <cell r="CH64">
            <v>1771.3689999999999</v>
          </cell>
          <cell r="CR64">
            <v>1830.528</v>
          </cell>
          <cell r="DB64">
            <v>1847.502</v>
          </cell>
        </row>
        <row r="65">
          <cell r="D65" t="str">
            <v>Capacity|Electricity|Nuclear</v>
          </cell>
          <cell r="E65" t="str">
            <v>GW</v>
          </cell>
          <cell r="K65">
            <v>405.85899999999998</v>
          </cell>
          <cell r="P65">
            <v>415.13</v>
          </cell>
          <cell r="Z65">
            <v>510.50299999999999</v>
          </cell>
          <cell r="AJ65">
            <v>437.005</v>
          </cell>
          <cell r="AT65">
            <v>280.87700000000001</v>
          </cell>
          <cell r="BD65">
            <v>164.578</v>
          </cell>
          <cell r="BN65">
            <v>216.56399999999999</v>
          </cell>
          <cell r="BX65">
            <v>379.041</v>
          </cell>
          <cell r="CH65">
            <v>670.33500000000004</v>
          </cell>
          <cell r="CR65">
            <v>1171.6959999999999</v>
          </cell>
          <cell r="DB65">
            <v>1765.2280000000001</v>
          </cell>
        </row>
        <row r="66">
          <cell r="D66" t="str">
            <v>Capacity|Electricity|Oil</v>
          </cell>
          <cell r="E66" t="str">
            <v>GW</v>
          </cell>
          <cell r="K66">
            <v>408.459</v>
          </cell>
          <cell r="P66">
            <v>232.87100000000001</v>
          </cell>
          <cell r="Z66">
            <v>87.775000000000006</v>
          </cell>
          <cell r="AJ66">
            <v>45.109000000000002</v>
          </cell>
          <cell r="AT66">
            <v>18.923999999999999</v>
          </cell>
          <cell r="BD66">
            <v>10.704000000000001</v>
          </cell>
          <cell r="BN66">
            <v>10.285</v>
          </cell>
          <cell r="BX66">
            <v>0.64500000000000002</v>
          </cell>
          <cell r="CH66">
            <v>1E-3</v>
          </cell>
          <cell r="CR66">
            <v>1E-3</v>
          </cell>
          <cell r="DB66">
            <v>0</v>
          </cell>
        </row>
        <row r="67">
          <cell r="D67" t="str">
            <v>Capacity|Electricity|Solar</v>
          </cell>
          <cell r="E67" t="str">
            <v>GW</v>
          </cell>
          <cell r="K67">
            <v>3.7</v>
          </cell>
          <cell r="P67">
            <v>39.780999999999999</v>
          </cell>
          <cell r="Z67">
            <v>259.18099999999998</v>
          </cell>
          <cell r="AJ67">
            <v>257.33100000000002</v>
          </cell>
          <cell r="AT67">
            <v>238.22900000000001</v>
          </cell>
          <cell r="BD67">
            <v>159.66</v>
          </cell>
          <cell r="BN67">
            <v>382.05399999999997</v>
          </cell>
          <cell r="BX67">
            <v>899.17100000000005</v>
          </cell>
          <cell r="CH67">
            <v>1335.941</v>
          </cell>
          <cell r="CR67">
            <v>2096.9540000000002</v>
          </cell>
          <cell r="DB67">
            <v>3374.9319999999998</v>
          </cell>
        </row>
        <row r="68">
          <cell r="D68" t="str">
            <v>Capacity|Electricity|Wind</v>
          </cell>
          <cell r="E68" t="str">
            <v>GW</v>
          </cell>
          <cell r="K68">
            <v>55.667999999999999</v>
          </cell>
          <cell r="P68">
            <v>255.239</v>
          </cell>
          <cell r="Z68">
            <v>540.75199999999995</v>
          </cell>
          <cell r="AJ68">
            <v>932.29300000000001</v>
          </cell>
          <cell r="AT68">
            <v>1419.0239999999999</v>
          </cell>
          <cell r="BD68">
            <v>2121.8850000000002</v>
          </cell>
          <cell r="BN68">
            <v>3134.3739999999998</v>
          </cell>
          <cell r="BX68">
            <v>4362.2839999999997</v>
          </cell>
          <cell r="CH68">
            <v>5090.8010000000004</v>
          </cell>
          <cell r="CR68">
            <v>6253.277</v>
          </cell>
          <cell r="DB68">
            <v>7950.2780000000002</v>
          </cell>
        </row>
        <row r="69">
          <cell r="D69" t="str">
            <v>Carbon Sequestration|CCS</v>
          </cell>
          <cell r="E69" t="str">
            <v>Mt CO2/yr</v>
          </cell>
          <cell r="K69">
            <v>0</v>
          </cell>
          <cell r="P69">
            <v>0</v>
          </cell>
          <cell r="Z69">
            <v>0</v>
          </cell>
          <cell r="AJ69">
            <v>0</v>
          </cell>
          <cell r="AT69">
            <v>0</v>
          </cell>
          <cell r="BD69">
            <v>0</v>
          </cell>
          <cell r="BN69">
            <v>0</v>
          </cell>
          <cell r="BX69">
            <v>0</v>
          </cell>
          <cell r="CH69">
            <v>0</v>
          </cell>
          <cell r="CR69">
            <v>0</v>
          </cell>
          <cell r="DB69">
            <v>0</v>
          </cell>
        </row>
        <row r="70">
          <cell r="D70" t="str">
            <v>Carbon Sequestration|CCS|Biomass</v>
          </cell>
          <cell r="E70" t="str">
            <v>Mt CO2/yr</v>
          </cell>
          <cell r="K70">
            <v>0</v>
          </cell>
          <cell r="P70">
            <v>0</v>
          </cell>
          <cell r="Z70">
            <v>0</v>
          </cell>
          <cell r="AJ70">
            <v>0</v>
          </cell>
          <cell r="AT70">
            <v>0</v>
          </cell>
          <cell r="BD70">
            <v>0</v>
          </cell>
          <cell r="BN70">
            <v>0</v>
          </cell>
          <cell r="BX70">
            <v>0</v>
          </cell>
          <cell r="CH70">
            <v>0</v>
          </cell>
          <cell r="CR70">
            <v>0</v>
          </cell>
          <cell r="DB70">
            <v>0</v>
          </cell>
        </row>
        <row r="71">
          <cell r="D71" t="str">
            <v>Carbon Sequestration|CCS|Fossil</v>
          </cell>
          <cell r="E71" t="str">
            <v>Mt CO2/yr</v>
          </cell>
          <cell r="K71">
            <v>0</v>
          </cell>
          <cell r="P71">
            <v>0</v>
          </cell>
          <cell r="Z71">
            <v>0</v>
          </cell>
          <cell r="AJ71">
            <v>0</v>
          </cell>
          <cell r="AT71">
            <v>0</v>
          </cell>
          <cell r="BD71">
            <v>0</v>
          </cell>
          <cell r="BN71">
            <v>0</v>
          </cell>
          <cell r="BX71">
            <v>0</v>
          </cell>
          <cell r="CH71">
            <v>0</v>
          </cell>
          <cell r="CR71">
            <v>0</v>
          </cell>
          <cell r="DB71">
            <v>0</v>
          </cell>
        </row>
        <row r="72">
          <cell r="D72" t="str">
            <v>Carbon Sequestration|Land Use</v>
          </cell>
          <cell r="E72" t="str">
            <v>Mt CO2/yr</v>
          </cell>
          <cell r="K72">
            <v>178.86067320000001</v>
          </cell>
          <cell r="P72">
            <v>185.0934565</v>
          </cell>
          <cell r="Z72">
            <v>1513.4085319999999</v>
          </cell>
          <cell r="AJ72">
            <v>1602.8527939999999</v>
          </cell>
          <cell r="AT72">
            <v>1581.6615999999999</v>
          </cell>
          <cell r="BD72">
            <v>2006.363822</v>
          </cell>
          <cell r="BN72">
            <v>2536.3527180000001</v>
          </cell>
          <cell r="BX72">
            <v>2925.0575950000002</v>
          </cell>
          <cell r="CH72">
            <v>3194.0870169999998</v>
          </cell>
          <cell r="CR72">
            <v>3290.2854649999999</v>
          </cell>
          <cell r="DB72">
            <v>3302.3547859999999</v>
          </cell>
        </row>
        <row r="73">
          <cell r="D73" t="str">
            <v>Carbon Sequestration|Land Use|Afforestation</v>
          </cell>
          <cell r="E73" t="str">
            <v>Mt CO2/yr</v>
          </cell>
          <cell r="K73">
            <v>105.17045</v>
          </cell>
          <cell r="P73">
            <v>183.01585</v>
          </cell>
          <cell r="Z73">
            <v>512.81595000000004</v>
          </cell>
          <cell r="AJ73">
            <v>961.34754999999996</v>
          </cell>
          <cell r="AT73">
            <v>1444.5980999999999</v>
          </cell>
          <cell r="BD73">
            <v>1930.1161</v>
          </cell>
          <cell r="BN73">
            <v>2335.6502999999998</v>
          </cell>
          <cell r="BX73">
            <v>2657.6172999999999</v>
          </cell>
          <cell r="CH73">
            <v>2931.652</v>
          </cell>
          <cell r="CR73">
            <v>3083.6315500000001</v>
          </cell>
          <cell r="DB73">
            <v>3118.4128000000001</v>
          </cell>
        </row>
        <row r="74">
          <cell r="D74" t="str">
            <v>Consumption</v>
          </cell>
          <cell r="E74" t="str">
            <v>billion US$2010/yr</v>
          </cell>
          <cell r="K74">
            <v>32186.077000000001</v>
          </cell>
          <cell r="P74">
            <v>39544.824000000001</v>
          </cell>
          <cell r="Z74">
            <v>56209.296000000002</v>
          </cell>
          <cell r="AJ74">
            <v>90987.38</v>
          </cell>
          <cell r="AT74">
            <v>127662.81</v>
          </cell>
          <cell r="BD74">
            <v>168777.51</v>
          </cell>
          <cell r="BN74">
            <v>215428.18</v>
          </cell>
          <cell r="BX74">
            <v>272333.93</v>
          </cell>
          <cell r="CH74">
            <v>338289.82</v>
          </cell>
          <cell r="CR74">
            <v>417931.14</v>
          </cell>
          <cell r="DB74">
            <v>497821.28</v>
          </cell>
        </row>
        <row r="75">
          <cell r="D75" t="str">
            <v>Diagnostics|MAGICC6|Harmonized Input|Emissions|BC</v>
          </cell>
          <cell r="E75" t="str">
            <v>Mt BC/yr</v>
          </cell>
          <cell r="K75">
            <v>8.2512000000000008</v>
          </cell>
          <cell r="P75">
            <v>8.0344999999999995</v>
          </cell>
          <cell r="Z75">
            <v>6.7406894658056196</v>
          </cell>
          <cell r="AJ75">
            <v>6.1707710600348298</v>
          </cell>
          <cell r="AT75">
            <v>5.5217441215853498</v>
          </cell>
          <cell r="BD75">
            <v>4.8534716715572497</v>
          </cell>
          <cell r="BN75">
            <v>4.4436420833964902</v>
          </cell>
          <cell r="BX75">
            <v>3.9473940308750399</v>
          </cell>
          <cell r="CH75">
            <v>3.4345808135710998</v>
          </cell>
          <cell r="CR75">
            <v>2.9525704956430801</v>
          </cell>
          <cell r="DB75">
            <v>2.7176754989975</v>
          </cell>
        </row>
        <row r="76">
          <cell r="D76" t="str">
            <v>Diagnostics|MAGICC6|Harmonized Input|Emissions|C2F6</v>
          </cell>
          <cell r="E76" t="str">
            <v>kt C2F6/yr</v>
          </cell>
          <cell r="K76">
            <v>2.6495000000000002</v>
          </cell>
          <cell r="P76">
            <v>2.3992</v>
          </cell>
          <cell r="Z76">
            <v>8.1120363454586695</v>
          </cell>
          <cell r="AJ76">
            <v>3.5546628679930001</v>
          </cell>
          <cell r="AT76">
            <v>2.61430694397332</v>
          </cell>
          <cell r="BD76">
            <v>1.8709383202400001</v>
          </cell>
          <cell r="BN76">
            <v>1.3388589952466601</v>
          </cell>
          <cell r="BX76">
            <v>1.15289629884</v>
          </cell>
          <cell r="CH76">
            <v>0.763602700373333</v>
          </cell>
          <cell r="CR76">
            <v>0.55750000439466696</v>
          </cell>
          <cell r="DB76">
            <v>0.648195801744333</v>
          </cell>
        </row>
        <row r="77">
          <cell r="D77" t="str">
            <v>Diagnostics|MAGICC6|Harmonized Input|Emissions|C6F14</v>
          </cell>
          <cell r="E77" t="str">
            <v>kt C6F14/yr</v>
          </cell>
          <cell r="K77">
            <v>0.43580000000000002</v>
          </cell>
          <cell r="P77">
            <v>0.46660000000000001</v>
          </cell>
          <cell r="Z77">
            <v>0.34779922203733299</v>
          </cell>
          <cell r="AJ77">
            <v>0.28785774880600001</v>
          </cell>
          <cell r="AT77">
            <v>0.33629899539733299</v>
          </cell>
          <cell r="BD77">
            <v>0.43120537624999999</v>
          </cell>
          <cell r="BN77">
            <v>0.445732800062</v>
          </cell>
          <cell r="BX77">
            <v>0.47087718935399903</v>
          </cell>
          <cell r="CH77">
            <v>0.52118907019666705</v>
          </cell>
          <cell r="CR77">
            <v>0.58900989347199995</v>
          </cell>
          <cell r="DB77">
            <v>0.67089080779233301</v>
          </cell>
        </row>
        <row r="78">
          <cell r="D78" t="str">
            <v>Diagnostics|MAGICC6|Harmonized Input|Emissions|CH4</v>
          </cell>
          <cell r="E78" t="str">
            <v>Mt CH4/yr</v>
          </cell>
          <cell r="K78">
            <v>346.472038947464</v>
          </cell>
          <cell r="P78">
            <v>372.18052412864802</v>
          </cell>
          <cell r="Z78">
            <v>379.58267169411101</v>
          </cell>
          <cell r="AJ78">
            <v>395.94496590550699</v>
          </cell>
          <cell r="AT78">
            <v>404.90741905418702</v>
          </cell>
          <cell r="BD78">
            <v>411.43336824022401</v>
          </cell>
          <cell r="BN78">
            <v>425.59015777652797</v>
          </cell>
          <cell r="BX78">
            <v>433.32530724636001</v>
          </cell>
          <cell r="CH78">
            <v>436.418434135322</v>
          </cell>
          <cell r="CR78">
            <v>434.12476417828901</v>
          </cell>
          <cell r="DB78">
            <v>422.18496030021299</v>
          </cell>
        </row>
        <row r="79">
          <cell r="D79" t="str">
            <v>Diagnostics|MAGICC6|Harmonized Input|Emissions|CO</v>
          </cell>
          <cell r="E79" t="str">
            <v>Mt CO/yr</v>
          </cell>
          <cell r="K79">
            <v>1061.5255</v>
          </cell>
          <cell r="P79">
            <v>1048.8921</v>
          </cell>
          <cell r="Z79">
            <v>936.87690265988999</v>
          </cell>
          <cell r="AJ79">
            <v>870.88977539320399</v>
          </cell>
          <cell r="AT79">
            <v>779.91198454107098</v>
          </cell>
          <cell r="BD79">
            <v>677.83016620754097</v>
          </cell>
          <cell r="BN79">
            <v>615.94085996360695</v>
          </cell>
          <cell r="BX79">
            <v>555.85419295055601</v>
          </cell>
          <cell r="CH79">
            <v>508.28382845824098</v>
          </cell>
          <cell r="CR79">
            <v>473.22218391399099</v>
          </cell>
          <cell r="DB79">
            <v>452.28903629723601</v>
          </cell>
        </row>
        <row r="80">
          <cell r="D80" t="str">
            <v>Diagnostics|MAGICC6|Harmonized Input|Emissions|CO2|AFOLU</v>
          </cell>
          <cell r="E80" t="str">
            <v>Mt CO2/yr</v>
          </cell>
          <cell r="K80">
            <v>4383.5043835043798</v>
          </cell>
          <cell r="P80">
            <v>3827.2704939371602</v>
          </cell>
          <cell r="Z80">
            <v>2613.7704224348799</v>
          </cell>
          <cell r="AJ80">
            <v>2553.1619799383998</v>
          </cell>
          <cell r="AT80">
            <v>3032.1929509194201</v>
          </cell>
          <cell r="BD80">
            <v>3037.15840522698</v>
          </cell>
          <cell r="BN80">
            <v>1935.18121053663</v>
          </cell>
          <cell r="BX80">
            <v>907.57448998257701</v>
          </cell>
          <cell r="CH80">
            <v>65.651579817329505</v>
          </cell>
          <cell r="CR80">
            <v>-248.57157779600701</v>
          </cell>
          <cell r="DB80">
            <v>-481.563298463455</v>
          </cell>
        </row>
        <row r="81">
          <cell r="D81" t="str">
            <v>Diagnostics|MAGICC6|Harmonized Input|Emissions|CO2|Energy and Industrial Processes</v>
          </cell>
          <cell r="E81" t="str">
            <v>Mt CO2/yr</v>
          </cell>
          <cell r="K81">
            <v>29227.029227029099</v>
          </cell>
          <cell r="P81">
            <v>32727.232727232698</v>
          </cell>
          <cell r="Z81">
            <v>36843.553532399601</v>
          </cell>
          <cell r="AJ81">
            <v>42304.321140666398</v>
          </cell>
          <cell r="AT81">
            <v>47639.224784933198</v>
          </cell>
          <cell r="BD81">
            <v>53614.470785799997</v>
          </cell>
          <cell r="BN81">
            <v>59467.087803999901</v>
          </cell>
          <cell r="BX81">
            <v>65089.404511499997</v>
          </cell>
          <cell r="CH81">
            <v>74067.977704100005</v>
          </cell>
          <cell r="CR81">
            <v>81276.948461599997</v>
          </cell>
          <cell r="DB81">
            <v>86165.767687200001</v>
          </cell>
        </row>
        <row r="82">
          <cell r="D82" t="str">
            <v>Diagnostics|MAGICC6|Harmonized Input|Emissions|HFC|HFC125</v>
          </cell>
          <cell r="E82" t="str">
            <v>kt HFC23/yr</v>
          </cell>
          <cell r="K82">
            <v>13.7591</v>
          </cell>
          <cell r="P82">
            <v>34.598399999999998</v>
          </cell>
          <cell r="Z82">
            <v>135.36079305000001</v>
          </cell>
          <cell r="AJ82">
            <v>211.30107000000001</v>
          </cell>
          <cell r="AT82">
            <v>286.80251844999998</v>
          </cell>
          <cell r="BD82">
            <v>366.32170869999999</v>
          </cell>
          <cell r="BN82">
            <v>457.79159019999997</v>
          </cell>
          <cell r="BX82">
            <v>582.32852419999995</v>
          </cell>
          <cell r="CH82">
            <v>718.53083519999996</v>
          </cell>
          <cell r="CR82">
            <v>858.29232279999997</v>
          </cell>
          <cell r="DB82">
            <v>998.88290419999998</v>
          </cell>
        </row>
        <row r="83">
          <cell r="D83" t="str">
            <v>Diagnostics|MAGICC6|Harmonized Input|Emissions|HFC|HFC134a</v>
          </cell>
          <cell r="E83" t="str">
            <v>kt HFC23/yr</v>
          </cell>
          <cell r="K83">
            <v>120.93340000000001</v>
          </cell>
          <cell r="P83">
            <v>152.51320000000001</v>
          </cell>
          <cell r="Z83">
            <v>231.289201975</v>
          </cell>
          <cell r="AJ83">
            <v>211.16660665000001</v>
          </cell>
          <cell r="AT83">
            <v>217.94627532499999</v>
          </cell>
          <cell r="BD83">
            <v>236.635107199999</v>
          </cell>
          <cell r="BN83">
            <v>256.243384899999</v>
          </cell>
          <cell r="BX83">
            <v>278.20701309999998</v>
          </cell>
          <cell r="CH83">
            <v>296.87494559999999</v>
          </cell>
          <cell r="CR83">
            <v>313.88674120000002</v>
          </cell>
          <cell r="DB83">
            <v>333.63116730000002</v>
          </cell>
        </row>
        <row r="84">
          <cell r="D84" t="str">
            <v>Diagnostics|MAGICC6|Harmonized Input|Emissions|HFC|HFC143a</v>
          </cell>
          <cell r="E84" t="str">
            <v>kt HFC23/yr</v>
          </cell>
          <cell r="K84">
            <v>12.4483</v>
          </cell>
          <cell r="P84">
            <v>26.537299999999998</v>
          </cell>
          <cell r="Z84">
            <v>61.837528849999998</v>
          </cell>
          <cell r="AJ84">
            <v>85.078818699999999</v>
          </cell>
          <cell r="AT84">
            <v>105.64440114999999</v>
          </cell>
          <cell r="BD84">
            <v>121.6247389</v>
          </cell>
          <cell r="BN84">
            <v>135.77562069999999</v>
          </cell>
          <cell r="BX84">
            <v>150.2867622</v>
          </cell>
          <cell r="CH84">
            <v>162.81120189999999</v>
          </cell>
          <cell r="CR84">
            <v>173.7318181</v>
          </cell>
          <cell r="DB84">
            <v>185.71711149999999</v>
          </cell>
        </row>
        <row r="85">
          <cell r="D85" t="str">
            <v>Diagnostics|MAGICC6|Harmonized Input|Emissions|HFC|HFC227ea</v>
          </cell>
          <cell r="E85" t="str">
            <v>kt HFC23/yr</v>
          </cell>
          <cell r="K85">
            <v>4.8899999999999997</v>
          </cell>
          <cell r="P85">
            <v>11.5413</v>
          </cell>
          <cell r="Z85">
            <v>11.097397099999901</v>
          </cell>
          <cell r="AJ85">
            <v>9.1535335999999994</v>
          </cell>
          <cell r="AT85">
            <v>7.0010446999999996</v>
          </cell>
          <cell r="BD85">
            <v>4.7107374999999996</v>
          </cell>
          <cell r="BN85">
            <v>4.603688</v>
          </cell>
          <cell r="BX85">
            <v>4.4205793</v>
          </cell>
          <cell r="CH85">
            <v>4.2088311999999997</v>
          </cell>
          <cell r="CR85">
            <v>3.9824975999999999</v>
          </cell>
          <cell r="DB85">
            <v>3.7656320000000001</v>
          </cell>
        </row>
        <row r="86">
          <cell r="D86" t="str">
            <v>Diagnostics|MAGICC6|Harmonized Input|Emissions|HFC|HFC23</v>
          </cell>
          <cell r="E86" t="str">
            <v>kt HFC23/yr</v>
          </cell>
          <cell r="K86">
            <v>10.8117</v>
          </cell>
          <cell r="P86">
            <v>9.5221999999999998</v>
          </cell>
          <cell r="Z86">
            <v>2.3033918235706698</v>
          </cell>
          <cell r="AJ86">
            <v>1.8679058414749901</v>
          </cell>
          <cell r="AT86">
            <v>1.2846374581293301</v>
          </cell>
          <cell r="BD86">
            <v>0.97795499812999998</v>
          </cell>
          <cell r="BN86">
            <v>0.57065622115333303</v>
          </cell>
          <cell r="BX86">
            <v>0.32245806904739999</v>
          </cell>
          <cell r="CH86">
            <v>0.18786997667899999</v>
          </cell>
          <cell r="CR86">
            <v>0</v>
          </cell>
          <cell r="DB86">
            <v>0</v>
          </cell>
        </row>
        <row r="87">
          <cell r="D87" t="str">
            <v>Diagnostics|MAGICC6|Harmonized Input|Emissions|HFC|HFC245ca</v>
          </cell>
          <cell r="E87" t="str">
            <v>kt HFC23/yr</v>
          </cell>
          <cell r="P87">
            <v>49.707667500479999</v>
          </cell>
          <cell r="Z87">
            <v>59.325699737333203</v>
          </cell>
          <cell r="AJ87">
            <v>7.9998198454459999</v>
          </cell>
          <cell r="AT87">
            <v>0</v>
          </cell>
          <cell r="BD87">
            <v>0</v>
          </cell>
          <cell r="BN87">
            <v>0</v>
          </cell>
          <cell r="BX87">
            <v>0</v>
          </cell>
          <cell r="CH87">
            <v>0</v>
          </cell>
          <cell r="CR87">
            <v>0</v>
          </cell>
          <cell r="DB87">
            <v>0</v>
          </cell>
        </row>
        <row r="88">
          <cell r="D88" t="str">
            <v>Diagnostics|MAGICC6|Harmonized Input|Emissions|HFC|HFC32</v>
          </cell>
          <cell r="E88" t="str">
            <v>kt HFC23/yr</v>
          </cell>
          <cell r="K88">
            <v>10.993399999999999</v>
          </cell>
          <cell r="P88">
            <v>17.9421</v>
          </cell>
          <cell r="Z88">
            <v>87.037716175</v>
          </cell>
          <cell r="AJ88">
            <v>142.67983475</v>
          </cell>
          <cell r="AT88">
            <v>202.28310522500001</v>
          </cell>
          <cell r="BD88">
            <v>269.39892329999998</v>
          </cell>
          <cell r="BN88">
            <v>351.04567639999999</v>
          </cell>
          <cell r="BX88">
            <v>465.60741339999998</v>
          </cell>
          <cell r="CH88">
            <v>592.35596699999996</v>
          </cell>
          <cell r="CR88">
            <v>723.01501389999999</v>
          </cell>
          <cell r="DB88">
            <v>853.47627639999996</v>
          </cell>
        </row>
        <row r="89">
          <cell r="D89" t="str">
            <v>Diagnostics|MAGICC6|Harmonized Input|Emissions|HFC|HFC43-10</v>
          </cell>
          <cell r="E89" t="str">
            <v>kt HFC23/yr</v>
          </cell>
          <cell r="K89">
            <v>3.2351999999999999</v>
          </cell>
          <cell r="P89">
            <v>6.4866999999999999</v>
          </cell>
          <cell r="Z89">
            <v>5.194056775</v>
          </cell>
          <cell r="AJ89">
            <v>3.8362123499999998</v>
          </cell>
          <cell r="AT89">
            <v>2.4702679249999999</v>
          </cell>
          <cell r="BD89">
            <v>1.0950141</v>
          </cell>
          <cell r="BN89">
            <v>1.1341444999999899</v>
          </cell>
          <cell r="BX89">
            <v>1.1659592999999999</v>
          </cell>
          <cell r="CH89">
            <v>1.1864756000000001</v>
          </cell>
          <cell r="CR89">
            <v>1.1939284999999999</v>
          </cell>
          <cell r="DB89">
            <v>1.1893357</v>
          </cell>
        </row>
        <row r="90">
          <cell r="D90" t="str">
            <v>Diagnostics|MAGICC6|Harmonized Input|Emissions|N2O</v>
          </cell>
          <cell r="E90" t="str">
            <v>kt N2O/yr</v>
          </cell>
          <cell r="K90">
            <v>9943.0634832613396</v>
          </cell>
          <cell r="P90">
            <v>10340.114293327701</v>
          </cell>
          <cell r="Z90">
            <v>10929.1480360938</v>
          </cell>
          <cell r="AJ90">
            <v>11750.887938473499</v>
          </cell>
          <cell r="AT90">
            <v>12325.5360804174</v>
          </cell>
          <cell r="BD90">
            <v>12689.4179111536</v>
          </cell>
          <cell r="BN90">
            <v>13157.974241665101</v>
          </cell>
          <cell r="BX90">
            <v>13459.9856332863</v>
          </cell>
          <cell r="CH90">
            <v>13872.232003823299</v>
          </cell>
          <cell r="CR90">
            <v>14478.796371431299</v>
          </cell>
          <cell r="DB90">
            <v>15094.2551684637</v>
          </cell>
        </row>
        <row r="91">
          <cell r="D91" t="str">
            <v>Diagnostics|MAGICC6|Harmonized Input|Emissions|NH3</v>
          </cell>
          <cell r="E91" t="str">
            <v>Mt NH3/yr</v>
          </cell>
          <cell r="K91">
            <v>50.858778556897498</v>
          </cell>
          <cell r="P91">
            <v>52.836849984903701</v>
          </cell>
          <cell r="Z91">
            <v>48.178607864731497</v>
          </cell>
          <cell r="AJ91">
            <v>53.142538945721597</v>
          </cell>
          <cell r="AT91">
            <v>57.1620557203819</v>
          </cell>
          <cell r="BD91">
            <v>60.676601641730002</v>
          </cell>
          <cell r="BN91">
            <v>62.749453549247797</v>
          </cell>
          <cell r="BX91">
            <v>63.778856986084001</v>
          </cell>
          <cell r="CH91">
            <v>63.859410668118201</v>
          </cell>
          <cell r="CR91">
            <v>64.738703953420099</v>
          </cell>
          <cell r="DB91">
            <v>65.407186737666194</v>
          </cell>
        </row>
        <row r="92">
          <cell r="D92" t="str">
            <v>Diagnostics|MAGICC6|Harmonized Input|Emissions|NOx</v>
          </cell>
          <cell r="E92" t="str">
            <v>Mt NO2/yr</v>
          </cell>
          <cell r="K92">
            <v>127.46862860784699</v>
          </cell>
          <cell r="P92">
            <v>129.36842860838999</v>
          </cell>
          <cell r="Z92">
            <v>117.40171435083001</v>
          </cell>
          <cell r="AJ92">
            <v>111.893418561823</v>
          </cell>
          <cell r="AT92">
            <v>100.084586827346</v>
          </cell>
          <cell r="BD92">
            <v>90.067497647428695</v>
          </cell>
          <cell r="BN92">
            <v>85.687351718909696</v>
          </cell>
          <cell r="BX92">
            <v>80.530130389510404</v>
          </cell>
          <cell r="CH92">
            <v>78.6584398201135</v>
          </cell>
          <cell r="CR92">
            <v>76.236742601538097</v>
          </cell>
          <cell r="DB92">
            <v>72.884597342221994</v>
          </cell>
        </row>
        <row r="93">
          <cell r="D93" t="str">
            <v>Diagnostics|MAGICC6|Harmonized Input|Emissions|OC</v>
          </cell>
          <cell r="E93" t="str">
            <v>Mt OC/yr</v>
          </cell>
          <cell r="K93">
            <v>36.3917</v>
          </cell>
          <cell r="P93">
            <v>35.3887</v>
          </cell>
          <cell r="Z93">
            <v>32.235047855661399</v>
          </cell>
          <cell r="AJ93">
            <v>29.990800561995002</v>
          </cell>
          <cell r="AT93">
            <v>27.447582496780999</v>
          </cell>
          <cell r="BD93">
            <v>24.789172892930601</v>
          </cell>
          <cell r="BN93">
            <v>22.617675388401601</v>
          </cell>
          <cell r="BX93">
            <v>20.294772281918299</v>
          </cell>
          <cell r="CH93">
            <v>17.954286883621801</v>
          </cell>
          <cell r="CR93">
            <v>16.175726477595799</v>
          </cell>
          <cell r="DB93">
            <v>15.4700492147444</v>
          </cell>
        </row>
        <row r="94">
          <cell r="D94" t="str">
            <v>Diagnostics|MAGICC6|Harmonized Input|Emissions|PFC</v>
          </cell>
          <cell r="E94" t="str">
            <v>kt CF4/yr</v>
          </cell>
          <cell r="K94">
            <v>11.6059</v>
          </cell>
          <cell r="P94">
            <v>10.634399999999999</v>
          </cell>
          <cell r="Z94">
            <v>19.506877745703999</v>
          </cell>
          <cell r="AJ94">
            <v>14.927779713031001</v>
          </cell>
          <cell r="AT94">
            <v>13.953570235428</v>
          </cell>
          <cell r="BD94">
            <v>10.476380760890001</v>
          </cell>
          <cell r="BN94">
            <v>9.03087059894799</v>
          </cell>
          <cell r="BX94">
            <v>9.442278565434</v>
          </cell>
          <cell r="CH94">
            <v>7.2920800483299999</v>
          </cell>
          <cell r="CR94">
            <v>7.2456740195840004</v>
          </cell>
          <cell r="DB94">
            <v>8.2594182827859992</v>
          </cell>
        </row>
        <row r="95">
          <cell r="D95" t="str">
            <v>Diagnostics|MAGICC6|Harmonized Input|Emissions|SF6</v>
          </cell>
          <cell r="E95" t="str">
            <v>kt SF6/yr</v>
          </cell>
          <cell r="K95">
            <v>6.3407999999999998</v>
          </cell>
          <cell r="P95">
            <v>7.0442999999999998</v>
          </cell>
          <cell r="Z95">
            <v>8.3144401749999997</v>
          </cell>
          <cell r="AJ95">
            <v>9.1811827499999996</v>
          </cell>
          <cell r="AT95">
            <v>9.3728692250000005</v>
          </cell>
          <cell r="BD95">
            <v>9.5535266999999902</v>
          </cell>
          <cell r="BN95">
            <v>9.6091865999999992</v>
          </cell>
          <cell r="BX95">
            <v>9.4042230999999994</v>
          </cell>
          <cell r="CH95">
            <v>8.9117031999999998</v>
          </cell>
          <cell r="CR95">
            <v>8.3400618000000009</v>
          </cell>
          <cell r="DB95">
            <v>7.9056533</v>
          </cell>
        </row>
        <row r="96">
          <cell r="D96" t="str">
            <v>Diagnostics|MAGICC6|Harmonized Input|Emissions|Sulfur</v>
          </cell>
          <cell r="E96" t="str">
            <v>Mt SO2/yr</v>
          </cell>
          <cell r="K96">
            <v>113.43899999999999</v>
          </cell>
          <cell r="P96">
            <v>100.4414</v>
          </cell>
          <cell r="Z96">
            <v>78.276047311123094</v>
          </cell>
          <cell r="AJ96">
            <v>79.403376074618706</v>
          </cell>
          <cell r="AT96">
            <v>72.3909633102719</v>
          </cell>
          <cell r="BD96">
            <v>65.157220623069904</v>
          </cell>
          <cell r="BN96">
            <v>61.169703419474203</v>
          </cell>
          <cell r="BX96">
            <v>56.309629265243899</v>
          </cell>
          <cell r="CH96">
            <v>52.9645116302829</v>
          </cell>
          <cell r="CR96">
            <v>48.530784441003803</v>
          </cell>
          <cell r="DB96">
            <v>43.8978870856293</v>
          </cell>
        </row>
        <row r="97">
          <cell r="D97" t="str">
            <v>Diagnostics|MAGICC6|Harmonized Input|Emissions|VOC</v>
          </cell>
          <cell r="E97" t="str">
            <v>Mt VOC/yr</v>
          </cell>
          <cell r="K97">
            <v>215.46289999999999</v>
          </cell>
          <cell r="P97">
            <v>216.41569999999999</v>
          </cell>
          <cell r="Z97">
            <v>199.35697611540499</v>
          </cell>
          <cell r="AJ97">
            <v>189.386120063194</v>
          </cell>
          <cell r="AT97">
            <v>176.63454886397599</v>
          </cell>
          <cell r="BD97">
            <v>161.38190347391199</v>
          </cell>
          <cell r="BN97">
            <v>150.91061677773601</v>
          </cell>
          <cell r="BX97">
            <v>139.80564821260199</v>
          </cell>
          <cell r="CH97">
            <v>133.16699167860901</v>
          </cell>
          <cell r="CR97">
            <v>128.849917665259</v>
          </cell>
          <cell r="DB97">
            <v>126.504286480327</v>
          </cell>
        </row>
        <row r="98">
          <cell r="D98" t="str">
            <v>Emissions|BC</v>
          </cell>
          <cell r="E98" t="str">
            <v>Mt BC/yr</v>
          </cell>
          <cell r="K98">
            <v>6.8979154779999998</v>
          </cell>
          <cell r="P98">
            <v>7.0329325770000004</v>
          </cell>
          <cell r="Z98">
            <v>5.9895138980000002</v>
          </cell>
          <cell r="AJ98">
            <v>5.6699873480000003</v>
          </cell>
          <cell r="AT98">
            <v>5.2713522660000001</v>
          </cell>
          <cell r="BD98">
            <v>4.8534716720000004</v>
          </cell>
          <cell r="BN98">
            <v>4.4436420830000003</v>
          </cell>
          <cell r="BX98">
            <v>3.947394031</v>
          </cell>
          <cell r="CH98">
            <v>3.4345808139999998</v>
          </cell>
          <cell r="CR98">
            <v>2.9525704959999999</v>
          </cell>
          <cell r="DB98">
            <v>2.7176754989999998</v>
          </cell>
        </row>
        <row r="99">
          <cell r="D99" t="str">
            <v>Emissions|CH4</v>
          </cell>
          <cell r="E99" t="str">
            <v>Mt CH4/yr</v>
          </cell>
          <cell r="K99">
            <v>334.27135199999998</v>
          </cell>
          <cell r="P99">
            <v>326.5312227</v>
          </cell>
          <cell r="Z99">
            <v>345.3456956</v>
          </cell>
          <cell r="AJ99">
            <v>373.12031519999999</v>
          </cell>
          <cell r="AT99">
            <v>393.49509369999998</v>
          </cell>
          <cell r="BD99">
            <v>411.43336820000002</v>
          </cell>
          <cell r="BN99">
            <v>425.59015779999999</v>
          </cell>
          <cell r="BX99">
            <v>433.3253072</v>
          </cell>
          <cell r="CH99">
            <v>436.41843410000001</v>
          </cell>
          <cell r="CR99">
            <v>434.12476420000002</v>
          </cell>
          <cell r="DB99">
            <v>422.1849603</v>
          </cell>
        </row>
        <row r="100">
          <cell r="D100" t="str">
            <v>Emissions|CH4|AFOLU</v>
          </cell>
          <cell r="E100" t="str">
            <v>Mt CH4/yr</v>
          </cell>
          <cell r="K100">
            <v>146.89023950000001</v>
          </cell>
          <cell r="P100">
            <v>149.54831129999999</v>
          </cell>
          <cell r="Z100">
            <v>157.953304</v>
          </cell>
          <cell r="AJ100">
            <v>168.5213177</v>
          </cell>
          <cell r="AT100">
            <v>177.4381994</v>
          </cell>
          <cell r="BD100">
            <v>183.279675</v>
          </cell>
          <cell r="BN100">
            <v>186.59190409999999</v>
          </cell>
          <cell r="BX100">
            <v>187.85926799999999</v>
          </cell>
          <cell r="CH100">
            <v>187.45175699999999</v>
          </cell>
          <cell r="CR100">
            <v>186.9961634</v>
          </cell>
          <cell r="DB100">
            <v>185.85887339999999</v>
          </cell>
        </row>
        <row r="101">
          <cell r="D101" t="str">
            <v>Emissions|CH4|Energy</v>
          </cell>
          <cell r="E101" t="str">
            <v>Mt CH4/yr</v>
          </cell>
          <cell r="K101">
            <v>96.758847200000005</v>
          </cell>
          <cell r="P101">
            <v>104.6483084</v>
          </cell>
          <cell r="Z101">
            <v>105.6632316</v>
          </cell>
          <cell r="AJ101">
            <v>116.703193</v>
          </cell>
          <cell r="AT101">
            <v>124.63351710000001</v>
          </cell>
          <cell r="BD101">
            <v>135.3382991</v>
          </cell>
          <cell r="BN101">
            <v>146.51857620000001</v>
          </cell>
          <cell r="BX101">
            <v>155.05574100000001</v>
          </cell>
          <cell r="CH101">
            <v>161.73688179999999</v>
          </cell>
          <cell r="CR101">
            <v>164.3480687</v>
          </cell>
          <cell r="DB101">
            <v>158.31274070000001</v>
          </cell>
        </row>
        <row r="102">
          <cell r="D102" t="str">
            <v>Emissions|CO</v>
          </cell>
          <cell r="E102" t="str">
            <v>Mt CO/yr</v>
          </cell>
          <cell r="K102">
            <v>867.11057159999996</v>
          </cell>
          <cell r="P102">
            <v>849.79738550000002</v>
          </cell>
          <cell r="Z102">
            <v>787.55586679999999</v>
          </cell>
          <cell r="AJ102">
            <v>771.3424182</v>
          </cell>
          <cell r="AT102">
            <v>730.13830589999998</v>
          </cell>
          <cell r="BD102">
            <v>677.83016620000001</v>
          </cell>
          <cell r="BN102">
            <v>615.94086000000004</v>
          </cell>
          <cell r="BX102">
            <v>555.85419300000001</v>
          </cell>
          <cell r="CH102">
            <v>508.28382850000003</v>
          </cell>
          <cell r="CR102">
            <v>473.2221839</v>
          </cell>
          <cell r="DB102">
            <v>452.28903630000002</v>
          </cell>
        </row>
        <row r="103">
          <cell r="D103" t="str">
            <v>Emissions|CO2</v>
          </cell>
          <cell r="E103" t="str">
            <v>Mt CO2/yr</v>
          </cell>
          <cell r="K103">
            <v>37768.994359999997</v>
          </cell>
          <cell r="P103">
            <v>40294.638279999999</v>
          </cell>
          <cell r="Z103">
            <v>42262.42525</v>
          </cell>
          <cell r="AJ103">
            <v>46727.550649999997</v>
          </cell>
          <cell r="AT103">
            <v>51606.451500000003</v>
          </cell>
          <cell r="BD103">
            <v>56651.62919</v>
          </cell>
          <cell r="BN103">
            <v>61402.269010000004</v>
          </cell>
          <cell r="BX103">
            <v>65996.979000000007</v>
          </cell>
          <cell r="CH103">
            <v>74133.629279999994</v>
          </cell>
          <cell r="CR103">
            <v>81028.376879999996</v>
          </cell>
          <cell r="DB103">
            <v>85684.204389999999</v>
          </cell>
        </row>
        <row r="104">
          <cell r="D104" t="str">
            <v>Emissions|CO2|AFOLU</v>
          </cell>
          <cell r="E104" t="str">
            <v>Mt CO2/yr</v>
          </cell>
          <cell r="K104">
            <v>6894.9484830000001</v>
          </cell>
          <cell r="P104">
            <v>7161.4437859999998</v>
          </cell>
          <cell r="Z104">
            <v>5114.4003919999996</v>
          </cell>
          <cell r="AJ104">
            <v>4220.2486259999996</v>
          </cell>
          <cell r="AT104">
            <v>3865.7362739999999</v>
          </cell>
          <cell r="BD104">
            <v>3037.1584050000001</v>
          </cell>
          <cell r="BN104">
            <v>1935.1812110000001</v>
          </cell>
          <cell r="BX104">
            <v>907.57448999999997</v>
          </cell>
          <cell r="CH104">
            <v>65.651579819999995</v>
          </cell>
          <cell r="CR104">
            <v>-248.5715778</v>
          </cell>
          <cell r="DB104">
            <v>-481.56329849999997</v>
          </cell>
        </row>
        <row r="105">
          <cell r="D105" t="str">
            <v>Emissions|CO2|Fossil Fuels and Industry</v>
          </cell>
          <cell r="E105" t="str">
            <v>Mt CO2/yr</v>
          </cell>
          <cell r="K105">
            <v>30874.045870000002</v>
          </cell>
          <cell r="P105">
            <v>33133.194490000002</v>
          </cell>
          <cell r="Z105">
            <v>37148.024859999998</v>
          </cell>
          <cell r="AJ105">
            <v>42507.302020000003</v>
          </cell>
          <cell r="AT105">
            <v>47740.715230000002</v>
          </cell>
          <cell r="BD105">
            <v>53614.470789999999</v>
          </cell>
          <cell r="BN105">
            <v>59467.087800000001</v>
          </cell>
          <cell r="BX105">
            <v>65089.40451</v>
          </cell>
          <cell r="CH105">
            <v>74067.977700000003</v>
          </cell>
          <cell r="CR105">
            <v>81276.94846</v>
          </cell>
          <cell r="DB105">
            <v>86165.767689999993</v>
          </cell>
        </row>
        <row r="106">
          <cell r="D106" t="str">
            <v>Emissions|CO2|Energy|Demand</v>
          </cell>
          <cell r="E106" t="str">
            <v>Mt CO2/yr</v>
          </cell>
          <cell r="K106">
            <v>16594.830760000001</v>
          </cell>
          <cell r="P106">
            <v>18273.44745</v>
          </cell>
          <cell r="Z106">
            <v>22089.914540000002</v>
          </cell>
          <cell r="AJ106">
            <v>25827.576349999999</v>
          </cell>
          <cell r="AT106">
            <v>28943.429220000002</v>
          </cell>
          <cell r="BD106">
            <v>30857.75158</v>
          </cell>
          <cell r="BN106">
            <v>31252.520369999998</v>
          </cell>
          <cell r="BX106">
            <v>31677.870500000001</v>
          </cell>
          <cell r="CH106">
            <v>34445.123959999997</v>
          </cell>
          <cell r="CR106">
            <v>36962.434179999997</v>
          </cell>
          <cell r="DB106">
            <v>39583.181640000003</v>
          </cell>
        </row>
        <row r="107">
          <cell r="D107" t="str">
            <v>Emissions|CO2|Energy|Demand|Industry</v>
          </cell>
          <cell r="E107" t="str">
            <v>Mt CO2/yr</v>
          </cell>
          <cell r="K107">
            <v>6961.5567030000002</v>
          </cell>
          <cell r="P107">
            <v>8121.6273440000004</v>
          </cell>
          <cell r="Z107">
            <v>10024.16214</v>
          </cell>
          <cell r="AJ107">
            <v>12368.687470000001</v>
          </cell>
          <cell r="AT107">
            <v>13933.85507</v>
          </cell>
          <cell r="BD107">
            <v>14870.148639999999</v>
          </cell>
          <cell r="BN107">
            <v>16070.53276</v>
          </cell>
          <cell r="BX107">
            <v>17528.8567</v>
          </cell>
          <cell r="CH107">
            <v>18821.10959</v>
          </cell>
          <cell r="CR107">
            <v>19436.192200000001</v>
          </cell>
          <cell r="DB107">
            <v>20406.555820000001</v>
          </cell>
        </row>
        <row r="108">
          <cell r="D108" t="str">
            <v>Emissions|CO2|Energy|Demand|Residential and Commercial</v>
          </cell>
          <cell r="E108" t="str">
            <v>Mt CO2/yr</v>
          </cell>
          <cell r="K108">
            <v>3365.7362446000002</v>
          </cell>
          <cell r="P108">
            <v>3329.6244670999999</v>
          </cell>
          <cell r="Z108">
            <v>3390.0408714999999</v>
          </cell>
          <cell r="AJ108">
            <v>2717.1766183999998</v>
          </cell>
          <cell r="AT108">
            <v>2607.5939613</v>
          </cell>
          <cell r="BD108">
            <v>2900.7403817999998</v>
          </cell>
          <cell r="BN108">
            <v>3200.6816887999998</v>
          </cell>
          <cell r="BX108">
            <v>3479.4605141000002</v>
          </cell>
          <cell r="CH108">
            <v>4003.2017383000002</v>
          </cell>
          <cell r="CR108">
            <v>4451.9659018999901</v>
          </cell>
          <cell r="DB108">
            <v>4716.0235743000003</v>
          </cell>
        </row>
        <row r="109">
          <cell r="D109" t="str">
            <v>Emissions|CO2|Energy|Supply</v>
          </cell>
          <cell r="E109" t="str">
            <v>Mt CO2/yr</v>
          </cell>
          <cell r="K109">
            <v>14279.215120000001</v>
          </cell>
          <cell r="P109">
            <v>14859.74704</v>
          </cell>
          <cell r="Z109">
            <v>15058.11032</v>
          </cell>
          <cell r="AJ109">
            <v>16679.72567</v>
          </cell>
          <cell r="AT109">
            <v>18797.286</v>
          </cell>
          <cell r="BD109">
            <v>22756.7192</v>
          </cell>
          <cell r="BN109">
            <v>28214.567429999999</v>
          </cell>
          <cell r="BX109">
            <v>33411.534010000003</v>
          </cell>
          <cell r="CH109">
            <v>39622.853750000002</v>
          </cell>
          <cell r="CR109">
            <v>44314.514280000003</v>
          </cell>
          <cell r="DB109">
            <v>46582.586049999998</v>
          </cell>
        </row>
        <row r="110">
          <cell r="D110" t="str">
            <v>Emissions|CO2|Energy|Supply|Electricity</v>
          </cell>
          <cell r="E110" t="str">
            <v>Mt CO2/yr</v>
          </cell>
          <cell r="K110">
            <v>11031.221396299999</v>
          </cell>
          <cell r="P110">
            <v>11666.561910099999</v>
          </cell>
          <cell r="Z110">
            <v>11837.206259999901</v>
          </cell>
          <cell r="AJ110">
            <v>12948.8367652</v>
          </cell>
          <cell r="AT110">
            <v>14083.121091200001</v>
          </cell>
          <cell r="BD110">
            <v>16592.0792172</v>
          </cell>
          <cell r="BN110">
            <v>20201.536142199999</v>
          </cell>
          <cell r="BX110">
            <v>23596.982409799999</v>
          </cell>
          <cell r="CH110">
            <v>26246.349330100002</v>
          </cell>
          <cell r="CR110">
            <v>26516.8771629</v>
          </cell>
          <cell r="DB110">
            <v>25359.157984900001</v>
          </cell>
        </row>
        <row r="111">
          <cell r="D111" t="str">
            <v>Emissions|F-Gases</v>
          </cell>
          <cell r="E111" t="str">
            <v>Mt CO2-equiv/yr</v>
          </cell>
          <cell r="K111">
            <v>547.93566669999996</v>
          </cell>
          <cell r="P111">
            <v>733.21600000000001</v>
          </cell>
          <cell r="Z111">
            <v>1513.7466669999999</v>
          </cell>
          <cell r="AJ111">
            <v>1967.713</v>
          </cell>
          <cell r="AT111">
            <v>2425.0013330000002</v>
          </cell>
          <cell r="BD111">
            <v>2891.57</v>
          </cell>
          <cell r="BN111">
            <v>3382.067333</v>
          </cell>
          <cell r="BX111">
            <v>4019.3009999999999</v>
          </cell>
          <cell r="CH111">
            <v>4693.6633330000004</v>
          </cell>
          <cell r="CR111">
            <v>5370.6986669999997</v>
          </cell>
          <cell r="DB111">
            <v>6061.7003329999998</v>
          </cell>
        </row>
        <row r="112">
          <cell r="D112" t="str">
            <v>Emissions|Kyoto Gases</v>
          </cell>
          <cell r="E112" t="str">
            <v>Mt CO2-equiv/yr</v>
          </cell>
          <cell r="K112">
            <v>49031.677960000001</v>
          </cell>
          <cell r="P112">
            <v>51811.114520000003</v>
          </cell>
          <cell r="Z112">
            <v>55304.484960000002</v>
          </cell>
          <cell r="AJ112">
            <v>61279.0389</v>
          </cell>
          <cell r="AT112">
            <v>67411.696649999998</v>
          </cell>
          <cell r="BD112">
            <v>73596.336490000002</v>
          </cell>
          <cell r="BN112">
            <v>79329.10944</v>
          </cell>
          <cell r="BX112">
            <v>84842.567649999997</v>
          </cell>
          <cell r="CH112">
            <v>93851.978470000002</v>
          </cell>
          <cell r="CR112">
            <v>101547.1443</v>
          </cell>
          <cell r="DB112">
            <v>106778.7631</v>
          </cell>
        </row>
        <row r="113">
          <cell r="D113" t="str">
            <v>Emissions|Kyoto Gases (AR4-GWP100)</v>
          </cell>
          <cell r="E113" t="str">
            <v>Mt CO2-equiv/yr</v>
          </cell>
          <cell r="K113">
            <v>49043.040950000002</v>
          </cell>
          <cell r="P113">
            <v>51821.152569999998</v>
          </cell>
          <cell r="U113">
            <v>53607.55416</v>
          </cell>
          <cell r="Z113">
            <v>55393.955750000001</v>
          </cell>
          <cell r="AJ113">
            <v>61329.479050000002</v>
          </cell>
          <cell r="AT113">
            <v>67454.113200000007</v>
          </cell>
          <cell r="BD113">
            <v>73612.157890000002</v>
          </cell>
          <cell r="BN113">
            <v>79348.359989999997</v>
          </cell>
          <cell r="BX113">
            <v>84875.187590000001</v>
          </cell>
          <cell r="CH113">
            <v>93870.650110000002</v>
          </cell>
          <cell r="CR113">
            <v>101564.91</v>
          </cell>
          <cell r="DB113">
            <v>106804.5897</v>
          </cell>
        </row>
        <row r="114">
          <cell r="D114" t="str">
            <v>Emissions|Kyoto Gases (AR5-GWP100)</v>
          </cell>
          <cell r="E114" t="str">
            <v>Mt CO2-equiv/yr</v>
          </cell>
          <cell r="K114">
            <v>49913.737930000003</v>
          </cell>
          <cell r="P114">
            <v>52624.560149999998</v>
          </cell>
          <cell r="U114">
            <v>54390.534</v>
          </cell>
          <cell r="Z114">
            <v>56156.507859999998</v>
          </cell>
          <cell r="AJ114">
            <v>62113.781439999999</v>
          </cell>
          <cell r="AT114">
            <v>68237.1878</v>
          </cell>
          <cell r="BD114">
            <v>74393.49583</v>
          </cell>
          <cell r="BN114">
            <v>80119.244390000007</v>
          </cell>
          <cell r="BX114">
            <v>85603.535889999999</v>
          </cell>
          <cell r="CH114">
            <v>94535.082429999995</v>
          </cell>
          <cell r="CR114">
            <v>102138.12820000001</v>
          </cell>
          <cell r="DB114">
            <v>107250.7484</v>
          </cell>
        </row>
        <row r="115">
          <cell r="D115" t="str">
            <v>Emissions|Kyoto Gases (SAR-GWP100)</v>
          </cell>
          <cell r="E115" t="str">
            <v>Mt CO2-equiv/yr</v>
          </cell>
          <cell r="K115">
            <v>47783.570800000001</v>
          </cell>
          <cell r="P115">
            <v>50572.533739999999</v>
          </cell>
          <cell r="U115">
            <v>52289.913529999998</v>
          </cell>
          <cell r="Z115">
            <v>54007.293310000001</v>
          </cell>
          <cell r="AJ115">
            <v>59812.286139999997</v>
          </cell>
          <cell r="AT115">
            <v>65827.008069999996</v>
          </cell>
          <cell r="BD115">
            <v>71883.699869999997</v>
          </cell>
          <cell r="BN115">
            <v>77524.661040000006</v>
          </cell>
          <cell r="BX115">
            <v>82964.455799999996</v>
          </cell>
          <cell r="CH115">
            <v>91891.523390000002</v>
          </cell>
          <cell r="CR115">
            <v>99538.969760000007</v>
          </cell>
          <cell r="DB115">
            <v>104768.6547</v>
          </cell>
        </row>
        <row r="116">
          <cell r="D116" t="str">
            <v>Emissions|N2O</v>
          </cell>
          <cell r="E116" t="str">
            <v>kt N2O/yr</v>
          </cell>
          <cell r="K116">
            <v>8285.9503939999995</v>
          </cell>
          <cell r="P116">
            <v>8758.0823230000005</v>
          </cell>
          <cell r="Z116">
            <v>9742.6240589999998</v>
          </cell>
          <cell r="AJ116">
            <v>10959.871950000001</v>
          </cell>
          <cell r="AT116">
            <v>11930.02809</v>
          </cell>
          <cell r="BD116">
            <v>12689.41791</v>
          </cell>
          <cell r="BN116">
            <v>13157.97424</v>
          </cell>
          <cell r="BX116">
            <v>13459.985629999999</v>
          </cell>
          <cell r="CH116">
            <v>13872.232</v>
          </cell>
          <cell r="CR116">
            <v>14478.79637</v>
          </cell>
          <cell r="DB116">
            <v>15094.25517</v>
          </cell>
        </row>
        <row r="117">
          <cell r="D117" t="str">
            <v>Emissions|N2O|AFOLU</v>
          </cell>
          <cell r="E117" t="str">
            <v>kt N2O/yr</v>
          </cell>
          <cell r="K117">
            <v>6106.336894</v>
          </cell>
          <cell r="P117">
            <v>6443.2454230000003</v>
          </cell>
          <cell r="Z117">
            <v>7099.6791590000003</v>
          </cell>
          <cell r="AJ117">
            <v>7806.8304529999996</v>
          </cell>
          <cell r="AT117">
            <v>8402.1795880000009</v>
          </cell>
          <cell r="BD117">
            <v>8869.9510109999992</v>
          </cell>
          <cell r="BN117">
            <v>9210.8778419999999</v>
          </cell>
          <cell r="BX117">
            <v>9423.9014330000009</v>
          </cell>
          <cell r="CH117">
            <v>9550.3574040000003</v>
          </cell>
          <cell r="CR117">
            <v>9609.6245710000003</v>
          </cell>
          <cell r="DB117">
            <v>9618.9583679999996</v>
          </cell>
        </row>
        <row r="118">
          <cell r="D118" t="str">
            <v>Emissions|NH3</v>
          </cell>
          <cell r="E118" t="str">
            <v>Mt NH3/yr</v>
          </cell>
          <cell r="K118">
            <v>53.311875739999998</v>
          </cell>
          <cell r="P118">
            <v>55.391055459999997</v>
          </cell>
          <cell r="Z118">
            <v>50.094261969999998</v>
          </cell>
          <cell r="AJ118">
            <v>54.419641679999998</v>
          </cell>
          <cell r="AT118">
            <v>57.80060709</v>
          </cell>
          <cell r="BD118">
            <v>60.676601640000001</v>
          </cell>
          <cell r="BN118">
            <v>62.749453549999998</v>
          </cell>
          <cell r="BX118">
            <v>63.778856990000001</v>
          </cell>
          <cell r="CH118">
            <v>63.859410670000003</v>
          </cell>
          <cell r="CR118">
            <v>64.738703950000001</v>
          </cell>
          <cell r="DB118">
            <v>65.40718674</v>
          </cell>
        </row>
        <row r="119">
          <cell r="D119" t="str">
            <v>Emissions|NOx</v>
          </cell>
          <cell r="E119" t="str">
            <v>Mt NO2/yr</v>
          </cell>
          <cell r="K119">
            <v>117.94740400000001</v>
          </cell>
          <cell r="P119">
            <v>111.92905089999999</v>
          </cell>
          <cell r="Z119">
            <v>104.32218109999999</v>
          </cell>
          <cell r="AJ119">
            <v>103.1737297</v>
          </cell>
          <cell r="AT119">
            <v>95.724742410000005</v>
          </cell>
          <cell r="BD119">
            <v>90.067497650000007</v>
          </cell>
          <cell r="BN119">
            <v>85.687351719999995</v>
          </cell>
          <cell r="BX119">
            <v>80.530130389999997</v>
          </cell>
          <cell r="CH119">
            <v>78.658439819999998</v>
          </cell>
          <cell r="CR119">
            <v>76.236742599999999</v>
          </cell>
          <cell r="DB119">
            <v>72.884597339999999</v>
          </cell>
        </row>
        <row r="120">
          <cell r="D120" t="str">
            <v>Emissions|OC</v>
          </cell>
          <cell r="E120" t="str">
            <v>Mt OC/yr</v>
          </cell>
          <cell r="K120">
            <v>32.78852045</v>
          </cell>
          <cell r="P120">
            <v>32.779484420000003</v>
          </cell>
          <cell r="Z120">
            <v>30.27813617</v>
          </cell>
          <cell r="AJ120">
            <v>28.686192770000002</v>
          </cell>
          <cell r="AT120">
            <v>26.7952786</v>
          </cell>
          <cell r="BD120">
            <v>24.78917289</v>
          </cell>
          <cell r="BN120">
            <v>22.617675389999999</v>
          </cell>
          <cell r="BX120">
            <v>20.29477228</v>
          </cell>
          <cell r="CH120">
            <v>17.954286880000002</v>
          </cell>
          <cell r="CR120">
            <v>16.175726480000002</v>
          </cell>
          <cell r="DB120">
            <v>15.4700492099999</v>
          </cell>
        </row>
        <row r="121">
          <cell r="D121" t="str">
            <v>Emissions|Sulfur</v>
          </cell>
          <cell r="E121" t="str">
            <v>Mt SO2/yr</v>
          </cell>
          <cell r="K121">
            <v>108.4048942</v>
          </cell>
          <cell r="P121">
            <v>100.0322197</v>
          </cell>
          <cell r="Z121">
            <v>77.969162049999994</v>
          </cell>
          <cell r="AJ121">
            <v>79.198785900000004</v>
          </cell>
          <cell r="AT121">
            <v>72.288668220000005</v>
          </cell>
          <cell r="BD121">
            <v>65.157220620000004</v>
          </cell>
          <cell r="BN121">
            <v>61.169703419999998</v>
          </cell>
          <cell r="BX121">
            <v>56.309629270000002</v>
          </cell>
          <cell r="CH121">
            <v>52.964511629999997</v>
          </cell>
          <cell r="CR121">
            <v>48.530784439999998</v>
          </cell>
          <cell r="DB121">
            <v>43.897887089999998</v>
          </cell>
        </row>
        <row r="122">
          <cell r="D122" t="str">
            <v>Emissions|VOC</v>
          </cell>
          <cell r="E122" t="str">
            <v>Mt VOC/yr</v>
          </cell>
          <cell r="K122">
            <v>192.28443390000001</v>
          </cell>
          <cell r="P122">
            <v>187.8004521</v>
          </cell>
          <cell r="Z122">
            <v>177.8955402</v>
          </cell>
          <cell r="AJ122">
            <v>175.0784961</v>
          </cell>
          <cell r="AT122">
            <v>169.48073690000001</v>
          </cell>
          <cell r="BD122">
            <v>161.38190349999999</v>
          </cell>
          <cell r="BN122">
            <v>150.91061680000001</v>
          </cell>
          <cell r="BX122">
            <v>139.80564820000001</v>
          </cell>
          <cell r="CH122">
            <v>133.16699170000001</v>
          </cell>
          <cell r="CR122">
            <v>128.84991769999999</v>
          </cell>
          <cell r="DB122">
            <v>126.50428650000001</v>
          </cell>
        </row>
        <row r="123">
          <cell r="D123" t="str">
            <v>Final Energy</v>
          </cell>
          <cell r="E123" t="str">
            <v>EJ/yr</v>
          </cell>
          <cell r="K123">
            <v>323.03699999999998</v>
          </cell>
          <cell r="P123">
            <v>361.84399999999999</v>
          </cell>
          <cell r="Z123">
            <v>440.32799999999997</v>
          </cell>
          <cell r="AJ123">
            <v>519.28700000000003</v>
          </cell>
          <cell r="AT123">
            <v>587.16600000000005</v>
          </cell>
          <cell r="BD123">
            <v>643.93100000000004</v>
          </cell>
          <cell r="BN123">
            <v>694.28899999999999</v>
          </cell>
          <cell r="BX123">
            <v>745.93</v>
          </cell>
          <cell r="CH123">
            <v>815.125</v>
          </cell>
          <cell r="CR123">
            <v>891.55899999999997</v>
          </cell>
          <cell r="DB123">
            <v>973.84199999999998</v>
          </cell>
        </row>
        <row r="124">
          <cell r="D124" t="str">
            <v>Final Energy|Electricity</v>
          </cell>
          <cell r="E124" t="str">
            <v>EJ/yr</v>
          </cell>
          <cell r="K124">
            <v>54.195</v>
          </cell>
          <cell r="P124">
            <v>63.734999999999999</v>
          </cell>
          <cell r="Z124">
            <v>81.881</v>
          </cell>
          <cell r="AJ124">
            <v>103.041</v>
          </cell>
          <cell r="AT124">
            <v>123.78</v>
          </cell>
          <cell r="BD124">
            <v>150.636</v>
          </cell>
          <cell r="BN124">
            <v>188.52799999999999</v>
          </cell>
          <cell r="BX124">
            <v>230.81299999999999</v>
          </cell>
          <cell r="CH124">
            <v>262.41199999999998</v>
          </cell>
          <cell r="CR124">
            <v>291.92899999999997</v>
          </cell>
          <cell r="DB124">
            <v>328.55099999999999</v>
          </cell>
        </row>
        <row r="125">
          <cell r="D125" t="str">
            <v>Final Energy|Gases</v>
          </cell>
          <cell r="E125" t="str">
            <v>EJ/yr</v>
          </cell>
          <cell r="K125">
            <v>48.188000000000002</v>
          </cell>
          <cell r="P125">
            <v>52.536000000000001</v>
          </cell>
          <cell r="Z125">
            <v>55.600999999999999</v>
          </cell>
          <cell r="AJ125">
            <v>56.107999999999997</v>
          </cell>
          <cell r="AT125">
            <v>65.843999999999994</v>
          </cell>
          <cell r="BD125">
            <v>75.762</v>
          </cell>
          <cell r="BN125">
            <v>81.010999999999996</v>
          </cell>
          <cell r="BX125">
            <v>84.858999999999995</v>
          </cell>
          <cell r="CH125">
            <v>88.254000000000005</v>
          </cell>
          <cell r="CR125">
            <v>88.457999999999998</v>
          </cell>
          <cell r="DB125">
            <v>88.897999999999996</v>
          </cell>
        </row>
        <row r="126">
          <cell r="D126" t="str">
            <v>Final Energy|Heat</v>
          </cell>
          <cell r="E126" t="str">
            <v>EJ/yr</v>
          </cell>
          <cell r="K126">
            <v>10.958</v>
          </cell>
          <cell r="P126">
            <v>11.542999999999999</v>
          </cell>
          <cell r="Z126">
            <v>12.54</v>
          </cell>
          <cell r="AJ126">
            <v>14.207000000000001</v>
          </cell>
          <cell r="AT126">
            <v>12.281000000000001</v>
          </cell>
          <cell r="BD126">
            <v>11.44</v>
          </cell>
          <cell r="BN126">
            <v>11.728</v>
          </cell>
          <cell r="BX126">
            <v>13.818</v>
          </cell>
          <cell r="CH126">
            <v>19.37</v>
          </cell>
          <cell r="CR126">
            <v>31.245000000000001</v>
          </cell>
          <cell r="DB126">
            <v>36.960999999999999</v>
          </cell>
        </row>
        <row r="127">
          <cell r="D127" t="str">
            <v>Final Energy|Hydrogen</v>
          </cell>
          <cell r="E127" t="str">
            <v>EJ/yr</v>
          </cell>
          <cell r="K127">
            <v>0</v>
          </cell>
          <cell r="P127">
            <v>0</v>
          </cell>
          <cell r="Z127">
            <v>0</v>
          </cell>
          <cell r="AJ127">
            <v>0</v>
          </cell>
          <cell r="AT127">
            <v>0.53700000000000003</v>
          </cell>
          <cell r="BD127">
            <v>2.1070000000000002</v>
          </cell>
          <cell r="BN127">
            <v>3.1309999999999998</v>
          </cell>
          <cell r="BX127">
            <v>5.1509999999999998</v>
          </cell>
          <cell r="CH127">
            <v>11.846</v>
          </cell>
          <cell r="CR127">
            <v>24.609000000000002</v>
          </cell>
          <cell r="DB127">
            <v>30.242000000000001</v>
          </cell>
        </row>
        <row r="128">
          <cell r="D128" t="str">
            <v>Final Energy|Industry</v>
          </cell>
          <cell r="E128" t="str">
            <v>EJ/yr</v>
          </cell>
          <cell r="K128">
            <v>116.84099999999999</v>
          </cell>
          <cell r="P128">
            <v>135.035</v>
          </cell>
          <cell r="Z128">
            <v>166.69800000000001</v>
          </cell>
          <cell r="AJ128">
            <v>196.374</v>
          </cell>
          <cell r="AT128">
            <v>219.94800000000001</v>
          </cell>
          <cell r="BD128">
            <v>242.57900000000001</v>
          </cell>
          <cell r="BN128">
            <v>267.67</v>
          </cell>
          <cell r="BX128">
            <v>290.66800000000001</v>
          </cell>
          <cell r="CH128">
            <v>312.04899999999998</v>
          </cell>
          <cell r="CR128">
            <v>332.476</v>
          </cell>
          <cell r="DB128">
            <v>351.84500000000003</v>
          </cell>
        </row>
        <row r="129">
          <cell r="D129" t="str">
            <v>Final Energy|Liquids</v>
          </cell>
          <cell r="E129" t="str">
            <v>EJ/yr</v>
          </cell>
          <cell r="K129">
            <v>143.40899999999999</v>
          </cell>
          <cell r="P129">
            <v>151.21600000000001</v>
          </cell>
          <cell r="Z129">
            <v>190.42500000000001</v>
          </cell>
          <cell r="AJ129">
            <v>210.85499999999999</v>
          </cell>
          <cell r="AT129">
            <v>225.89599999999999</v>
          </cell>
          <cell r="BD129">
            <v>231.67500000000001</v>
          </cell>
          <cell r="BN129">
            <v>217.541</v>
          </cell>
          <cell r="BX129">
            <v>200.92099999999999</v>
          </cell>
          <cell r="CH129">
            <v>221.512</v>
          </cell>
          <cell r="CR129">
            <v>251.07499999999999</v>
          </cell>
          <cell r="DB129">
            <v>276.41899999999998</v>
          </cell>
        </row>
        <row r="130">
          <cell r="D130" t="str">
            <v>Final Energy|Residential and Commercial</v>
          </cell>
          <cell r="E130" t="str">
            <v>EJ/yr</v>
          </cell>
          <cell r="K130">
            <v>119.55</v>
          </cell>
          <cell r="P130">
            <v>131.28899999999999</v>
          </cell>
          <cell r="Z130">
            <v>152.96199999999999</v>
          </cell>
          <cell r="AJ130">
            <v>173.947</v>
          </cell>
          <cell r="AT130">
            <v>192.71199999999999</v>
          </cell>
          <cell r="BD130">
            <v>210.15199999999999</v>
          </cell>
          <cell r="BN130">
            <v>234.96100000000001</v>
          </cell>
          <cell r="BX130">
            <v>264.56</v>
          </cell>
          <cell r="CH130">
            <v>291.892</v>
          </cell>
          <cell r="CR130">
            <v>322.37299999999999</v>
          </cell>
          <cell r="DB130">
            <v>359.30599999999998</v>
          </cell>
        </row>
        <row r="131">
          <cell r="D131" t="str">
            <v>Final Energy|Solar</v>
          </cell>
          <cell r="E131" t="str">
            <v>EJ/yr</v>
          </cell>
          <cell r="K131">
            <v>0.29299999999999998</v>
          </cell>
          <cell r="P131">
            <v>2.2309999999999999</v>
          </cell>
          <cell r="Z131">
            <v>8.8089999999999993</v>
          </cell>
          <cell r="AJ131">
            <v>18.902000000000001</v>
          </cell>
          <cell r="AT131">
            <v>29.661999999999999</v>
          </cell>
          <cell r="BD131">
            <v>38.878999999999998</v>
          </cell>
          <cell r="BN131">
            <v>46.567999999999998</v>
          </cell>
          <cell r="BX131">
            <v>51.295000000000002</v>
          </cell>
          <cell r="CH131">
            <v>54.152999999999999</v>
          </cell>
          <cell r="CR131">
            <v>56.363</v>
          </cell>
          <cell r="DB131">
            <v>58.542000000000002</v>
          </cell>
        </row>
        <row r="132">
          <cell r="D132" t="str">
            <v>Final Energy|Solids</v>
          </cell>
          <cell r="E132" t="str">
            <v>EJ/yr</v>
          </cell>
          <cell r="K132">
            <v>65.994</v>
          </cell>
          <cell r="P132">
            <v>80.584999999999994</v>
          </cell>
          <cell r="Z132">
            <v>91.072000000000003</v>
          </cell>
          <cell r="AJ132">
            <v>116.175</v>
          </cell>
          <cell r="AT132">
            <v>129.166</v>
          </cell>
          <cell r="BD132">
            <v>133.43199999999999</v>
          </cell>
          <cell r="BN132">
            <v>145.78200000000001</v>
          </cell>
          <cell r="BX132">
            <v>159.07400000000001</v>
          </cell>
          <cell r="CH132">
            <v>157.578</v>
          </cell>
          <cell r="CR132">
            <v>147.881</v>
          </cell>
          <cell r="DB132">
            <v>154.22900000000001</v>
          </cell>
        </row>
        <row r="133">
          <cell r="D133" t="str">
            <v>Final Energy|Solids|Biomass</v>
          </cell>
          <cell r="E133" t="str">
            <v>EJ/yr</v>
          </cell>
          <cell r="K133">
            <v>38.956000000000003</v>
          </cell>
          <cell r="P133">
            <v>44.857999999999997</v>
          </cell>
          <cell r="Z133">
            <v>48.381</v>
          </cell>
          <cell r="AJ133">
            <v>52.933</v>
          </cell>
          <cell r="AT133">
            <v>52.613</v>
          </cell>
          <cell r="BD133">
            <v>47.923999999999999</v>
          </cell>
          <cell r="BN133">
            <v>49.317</v>
          </cell>
          <cell r="BX133">
            <v>49.561999999999998</v>
          </cell>
          <cell r="CH133">
            <v>37.784999999999997</v>
          </cell>
          <cell r="CR133">
            <v>24.012</v>
          </cell>
          <cell r="DB133">
            <v>23.503</v>
          </cell>
        </row>
        <row r="134">
          <cell r="D134" t="str">
            <v>Final Energy|Solids|Biomass|Traditional</v>
          </cell>
          <cell r="E134" t="str">
            <v>EJ/yr</v>
          </cell>
          <cell r="K134">
            <v>29.321000000000002</v>
          </cell>
          <cell r="P134">
            <v>30.503</v>
          </cell>
          <cell r="Z134">
            <v>28.321999999999999</v>
          </cell>
          <cell r="AJ134">
            <v>26.170999999999999</v>
          </cell>
          <cell r="AT134">
            <v>22.466999999999999</v>
          </cell>
          <cell r="BD134">
            <v>18.018000000000001</v>
          </cell>
          <cell r="BN134">
            <v>13.089</v>
          </cell>
          <cell r="BX134">
            <v>8.0909999999999993</v>
          </cell>
          <cell r="CH134">
            <v>2.702</v>
          </cell>
          <cell r="CR134">
            <v>0</v>
          </cell>
          <cell r="DB134">
            <v>0</v>
          </cell>
        </row>
        <row r="135">
          <cell r="D135" t="str">
            <v>Final Energy|Solids|Coal</v>
          </cell>
          <cell r="E135" t="str">
            <v>EJ/yr</v>
          </cell>
          <cell r="K135">
            <v>27.038</v>
          </cell>
          <cell r="P135">
            <v>35.726999999999997</v>
          </cell>
          <cell r="Z135">
            <v>42.691000000000003</v>
          </cell>
          <cell r="AJ135">
            <v>63.241999999999997</v>
          </cell>
          <cell r="AT135">
            <v>76.552999999999997</v>
          </cell>
          <cell r="BD135">
            <v>85.507999999999996</v>
          </cell>
          <cell r="BN135">
            <v>96.465000000000003</v>
          </cell>
          <cell r="BX135">
            <v>109.512</v>
          </cell>
          <cell r="CH135">
            <v>119.79300000000001</v>
          </cell>
          <cell r="CR135">
            <v>123.869</v>
          </cell>
          <cell r="DB135">
            <v>130.726</v>
          </cell>
        </row>
        <row r="136">
          <cell r="D136" t="str">
            <v>Final Energy|Transportation</v>
          </cell>
          <cell r="E136" t="str">
            <v>EJ/yr</v>
          </cell>
          <cell r="K136">
            <v>86.644999999999996</v>
          </cell>
          <cell r="P136">
            <v>95.52</v>
          </cell>
          <cell r="Z136">
            <v>120.66800000000001</v>
          </cell>
          <cell r="AJ136">
            <v>148.96600000000001</v>
          </cell>
          <cell r="AT136">
            <v>174.506</v>
          </cell>
          <cell r="BD136">
            <v>191.19900000000001</v>
          </cell>
          <cell r="BN136">
            <v>191.65799999999999</v>
          </cell>
          <cell r="BX136">
            <v>190.702</v>
          </cell>
          <cell r="CH136">
            <v>211.185</v>
          </cell>
          <cell r="CR136">
            <v>236.71</v>
          </cell>
          <cell r="DB136">
            <v>262.69099999999997</v>
          </cell>
        </row>
        <row r="137">
          <cell r="D137" t="str">
            <v>Final Energy|Transportation|Electricity</v>
          </cell>
          <cell r="E137" t="str">
            <v>EJ/yr</v>
          </cell>
          <cell r="K137">
            <v>0.78</v>
          </cell>
          <cell r="P137">
            <v>0.91100000000000003</v>
          </cell>
          <cell r="Z137">
            <v>1.1639999999999999</v>
          </cell>
          <cell r="AJ137">
            <v>1.58</v>
          </cell>
          <cell r="AT137">
            <v>3.6230000000000002</v>
          </cell>
          <cell r="BD137">
            <v>10.287000000000001</v>
          </cell>
          <cell r="BN137">
            <v>25.349</v>
          </cell>
          <cell r="BX137">
            <v>42.323999999999998</v>
          </cell>
          <cell r="CH137">
            <v>49.936999999999998</v>
          </cell>
          <cell r="CR137">
            <v>55.698</v>
          </cell>
          <cell r="DB137">
            <v>62.68</v>
          </cell>
        </row>
        <row r="138">
          <cell r="D138" t="str">
            <v>Final Energy|Transportation|Hydrogen</v>
          </cell>
          <cell r="E138" t="str">
            <v>EJ/yr</v>
          </cell>
          <cell r="K138">
            <v>0</v>
          </cell>
          <cell r="P138">
            <v>0</v>
          </cell>
          <cell r="Z138">
            <v>0</v>
          </cell>
          <cell r="AJ138">
            <v>0</v>
          </cell>
          <cell r="AT138">
            <v>0</v>
          </cell>
          <cell r="BD138">
            <v>0</v>
          </cell>
          <cell r="BN138">
            <v>0</v>
          </cell>
          <cell r="BX138">
            <v>0</v>
          </cell>
          <cell r="CH138">
            <v>0</v>
          </cell>
          <cell r="CR138">
            <v>0</v>
          </cell>
          <cell r="DB138">
            <v>0</v>
          </cell>
        </row>
        <row r="139">
          <cell r="D139" t="str">
            <v>Final Energy|Transportation|Liquids</v>
          </cell>
          <cell r="E139" t="str">
            <v>EJ/yr</v>
          </cell>
          <cell r="K139">
            <v>85.338999999999999</v>
          </cell>
          <cell r="P139">
            <v>93.8</v>
          </cell>
          <cell r="Z139">
            <v>118.545</v>
          </cell>
          <cell r="AJ139">
            <v>144.44999999999999</v>
          </cell>
          <cell r="AT139">
            <v>163.87100000000001</v>
          </cell>
          <cell r="BD139">
            <v>171.45699999999999</v>
          </cell>
          <cell r="BN139">
            <v>155.566</v>
          </cell>
          <cell r="BX139">
            <v>136.82900000000001</v>
          </cell>
          <cell r="CH139">
            <v>149.81200000000001</v>
          </cell>
          <cell r="CR139">
            <v>169.291</v>
          </cell>
          <cell r="DB139">
            <v>188.03800000000001</v>
          </cell>
        </row>
        <row r="140">
          <cell r="D140" t="str">
            <v>Final Energy|Transportation|Liquids|Biomass</v>
          </cell>
          <cell r="E140" t="str">
            <v>EJ/yr</v>
          </cell>
          <cell r="K140">
            <v>0.76400000000000001</v>
          </cell>
          <cell r="P140">
            <v>1.865</v>
          </cell>
          <cell r="Z140">
            <v>1.448</v>
          </cell>
          <cell r="AJ140">
            <v>0.66400000000000003</v>
          </cell>
          <cell r="AT140">
            <v>0.309</v>
          </cell>
          <cell r="BD140">
            <v>0.14599999999999999</v>
          </cell>
          <cell r="BN140">
            <v>8.3000000000000004E-2</v>
          </cell>
          <cell r="BX140">
            <v>4.2000000000000003E-2</v>
          </cell>
          <cell r="CH140">
            <v>2.1999999999999999E-2</v>
          </cell>
          <cell r="CR140">
            <v>1.2E-2</v>
          </cell>
          <cell r="DB140">
            <v>7.0000000000000001E-3</v>
          </cell>
        </row>
        <row r="141">
          <cell r="D141" t="str">
            <v>Food Demand</v>
          </cell>
          <cell r="E141" t="str">
            <v>kcal/cap/day</v>
          </cell>
          <cell r="K141">
            <v>2799.923405</v>
          </cell>
          <cell r="P141">
            <v>2826.6843370000001</v>
          </cell>
          <cell r="Z141">
            <v>2916.0698900000002</v>
          </cell>
          <cell r="AJ141">
            <v>3008.35052</v>
          </cell>
          <cell r="AT141">
            <v>3083.0827730000001</v>
          </cell>
          <cell r="BD141">
            <v>3156.0023890000002</v>
          </cell>
          <cell r="BN141">
            <v>3228.031148</v>
          </cell>
          <cell r="BX141">
            <v>3287.7079530000001</v>
          </cell>
          <cell r="CH141">
            <v>3340.8577650000002</v>
          </cell>
          <cell r="CR141">
            <v>3398.7489390000001</v>
          </cell>
          <cell r="DB141">
            <v>3447.119475</v>
          </cell>
        </row>
        <row r="142">
          <cell r="D142" t="str">
            <v>Food Demand|Crops</v>
          </cell>
          <cell r="E142" t="str">
            <v>kcal/cap/day</v>
          </cell>
          <cell r="K142">
            <v>2334.0085730000001</v>
          </cell>
          <cell r="P142">
            <v>2348.5846740000002</v>
          </cell>
          <cell r="Z142">
            <v>2397.6980429999999</v>
          </cell>
          <cell r="AJ142">
            <v>2454.161466</v>
          </cell>
          <cell r="AT142">
            <v>2498.5331470000001</v>
          </cell>
          <cell r="BD142">
            <v>2544.4245799999999</v>
          </cell>
          <cell r="BN142">
            <v>2589.8188089999999</v>
          </cell>
          <cell r="BX142">
            <v>2624.9660829999998</v>
          </cell>
          <cell r="CH142">
            <v>2652.6546600000001</v>
          </cell>
          <cell r="CR142">
            <v>2682.831459</v>
          </cell>
          <cell r="DB142">
            <v>2702.729182</v>
          </cell>
        </row>
        <row r="143">
          <cell r="D143" t="str">
            <v>Food Demand|Livestock</v>
          </cell>
          <cell r="E143" t="str">
            <v>kcal/cap/day</v>
          </cell>
          <cell r="K143">
            <v>465.9148318</v>
          </cell>
          <cell r="P143">
            <v>478.0996629</v>
          </cell>
          <cell r="Z143">
            <v>518.37184709999997</v>
          </cell>
          <cell r="AJ143">
            <v>554.18905480000001</v>
          </cell>
          <cell r="AT143">
            <v>584.54962579999994</v>
          </cell>
          <cell r="BD143">
            <v>611.57780869999999</v>
          </cell>
          <cell r="BN143">
            <v>638.21233889999996</v>
          </cell>
          <cell r="BX143">
            <v>662.7418692</v>
          </cell>
          <cell r="CH143">
            <v>688.20310470000004</v>
          </cell>
          <cell r="CR143">
            <v>715.91747980000002</v>
          </cell>
          <cell r="DB143">
            <v>744.39029340000002</v>
          </cell>
        </row>
        <row r="144">
          <cell r="D144" t="str">
            <v>GDP|PPP</v>
          </cell>
          <cell r="E144" t="str">
            <v>billion US$2010/yr</v>
          </cell>
          <cell r="K144">
            <v>62186.080000000002</v>
          </cell>
          <cell r="P144">
            <v>74281.679999999993</v>
          </cell>
          <cell r="Z144">
            <v>111368.95</v>
          </cell>
          <cell r="AJ144">
            <v>157376.67000000001</v>
          </cell>
          <cell r="AT144">
            <v>204550.06</v>
          </cell>
          <cell r="BD144">
            <v>254430.22</v>
          </cell>
          <cell r="BN144">
            <v>308566.94</v>
          </cell>
          <cell r="BX144">
            <v>370533.35</v>
          </cell>
          <cell r="CH144">
            <v>438348.02</v>
          </cell>
          <cell r="CR144">
            <v>512431.15</v>
          </cell>
          <cell r="DB144">
            <v>593265.64</v>
          </cell>
        </row>
        <row r="145">
          <cell r="D145" t="str">
            <v>Land Cover|Cropland</v>
          </cell>
          <cell r="E145" t="str">
            <v>million ha</v>
          </cell>
          <cell r="K145">
            <v>1536.067288</v>
          </cell>
          <cell r="P145">
            <v>1546.158999</v>
          </cell>
          <cell r="Z145">
            <v>1618.38537</v>
          </cell>
          <cell r="AJ145">
            <v>1661.7713490000001</v>
          </cell>
          <cell r="AT145">
            <v>1705.3611269999999</v>
          </cell>
          <cell r="BD145">
            <v>1754.9108570000001</v>
          </cell>
          <cell r="BN145">
            <v>1808.53331</v>
          </cell>
          <cell r="BX145">
            <v>1856.6854109999999</v>
          </cell>
          <cell r="CH145">
            <v>1893.9239259999999</v>
          </cell>
          <cell r="CR145">
            <v>1921.8788649999999</v>
          </cell>
          <cell r="DB145">
            <v>1940.400071</v>
          </cell>
        </row>
        <row r="146">
          <cell r="D146" t="str">
            <v>Land Cover|Cropland|Energy Crops</v>
          </cell>
          <cell r="E146" t="str">
            <v>million ha</v>
          </cell>
          <cell r="K146">
            <v>0</v>
          </cell>
          <cell r="P146">
            <v>0</v>
          </cell>
          <cell r="Z146">
            <v>57.885018299999999</v>
          </cell>
          <cell r="AJ146">
            <v>63.77512729</v>
          </cell>
          <cell r="AT146">
            <v>66.307062329999994</v>
          </cell>
          <cell r="BD146">
            <v>74.742255709999995</v>
          </cell>
          <cell r="BN146">
            <v>98.523075640000002</v>
          </cell>
          <cell r="BX146">
            <v>130.6317731</v>
          </cell>
          <cell r="CH146">
            <v>158.72295769999999</v>
          </cell>
          <cell r="CR146">
            <v>183.4834616</v>
          </cell>
          <cell r="DB146">
            <v>204.68767270000001</v>
          </cell>
        </row>
        <row r="147">
          <cell r="D147" t="str">
            <v>Land Cover|Forest</v>
          </cell>
          <cell r="E147" t="str">
            <v>million ha</v>
          </cell>
          <cell r="K147">
            <v>3917.4382989999999</v>
          </cell>
          <cell r="P147">
            <v>3893.2683710000001</v>
          </cell>
          <cell r="Z147">
            <v>3873.861214</v>
          </cell>
          <cell r="AJ147">
            <v>3856.6495949999999</v>
          </cell>
          <cell r="AT147">
            <v>3842.7630979999999</v>
          </cell>
          <cell r="BD147">
            <v>3834.5302830000001</v>
          </cell>
          <cell r="BN147">
            <v>3835.7293079999999</v>
          </cell>
          <cell r="BX147">
            <v>3841.2622550000001</v>
          </cell>
          <cell r="CH147">
            <v>3845.1277909999999</v>
          </cell>
          <cell r="CR147">
            <v>3852.5803510000001</v>
          </cell>
          <cell r="DB147">
            <v>3877.1602819999998</v>
          </cell>
        </row>
        <row r="148">
          <cell r="D148" t="str">
            <v>Land Cover|Other Natural Land</v>
          </cell>
          <cell r="E148" t="str">
            <v>million ha</v>
          </cell>
          <cell r="K148">
            <v>3597.4913539999998</v>
          </cell>
          <cell r="P148">
            <v>3619.7493559999998</v>
          </cell>
          <cell r="Z148">
            <v>3565.1629739999998</v>
          </cell>
          <cell r="AJ148">
            <v>3504.9469309999999</v>
          </cell>
          <cell r="AT148">
            <v>3430.9626239999998</v>
          </cell>
          <cell r="BD148">
            <v>3356.3269850000001</v>
          </cell>
          <cell r="BN148">
            <v>3274.1843290000002</v>
          </cell>
          <cell r="BX148">
            <v>3197.735232</v>
          </cell>
          <cell r="CH148">
            <v>3135.7879539999999</v>
          </cell>
          <cell r="CR148">
            <v>3080.912276</v>
          </cell>
          <cell r="DB148">
            <v>3029.1533679999998</v>
          </cell>
        </row>
        <row r="149">
          <cell r="D149" t="str">
            <v>Land Cover|Pasture</v>
          </cell>
          <cell r="E149" t="str">
            <v>million ha</v>
          </cell>
          <cell r="K149">
            <v>3425.5903899999998</v>
          </cell>
          <cell r="P149">
            <v>3417.410605</v>
          </cell>
          <cell r="Z149">
            <v>3419.177772</v>
          </cell>
          <cell r="AJ149">
            <v>3453.2194559999998</v>
          </cell>
          <cell r="AT149">
            <v>3497.5004819999999</v>
          </cell>
          <cell r="BD149">
            <v>3530.8192060000001</v>
          </cell>
          <cell r="BN149">
            <v>3558.1403829999999</v>
          </cell>
          <cell r="BX149">
            <v>3580.9044330000002</v>
          </cell>
          <cell r="CH149">
            <v>3601.74766</v>
          </cell>
          <cell r="CR149">
            <v>3621.215839</v>
          </cell>
          <cell r="DB149">
            <v>3629.8736100000001</v>
          </cell>
        </row>
        <row r="150">
          <cell r="D150" t="str">
            <v>Population</v>
          </cell>
          <cell r="E150" t="str">
            <v>million</v>
          </cell>
          <cell r="K150">
            <v>6503.13</v>
          </cell>
          <cell r="P150">
            <v>6867.39</v>
          </cell>
          <cell r="Z150">
            <v>7611.25</v>
          </cell>
          <cell r="AJ150">
            <v>8261.99</v>
          </cell>
          <cell r="AT150">
            <v>8787.1200000000008</v>
          </cell>
          <cell r="BD150">
            <v>9169.11</v>
          </cell>
          <cell r="BN150">
            <v>9384.7000000000007</v>
          </cell>
          <cell r="BX150">
            <v>9456.8799999999992</v>
          </cell>
          <cell r="CH150">
            <v>9407.26</v>
          </cell>
          <cell r="CR150">
            <v>9253.9500000000007</v>
          </cell>
          <cell r="DB150">
            <v>9032.42</v>
          </cell>
        </row>
        <row r="151">
          <cell r="D151" t="str">
            <v>Price|Agriculture|Non-Energy Crops and Livestock|Index</v>
          </cell>
          <cell r="E151" t="str">
            <v>Index (2010 = 1)</v>
          </cell>
          <cell r="K151">
            <v>0.978157156544192</v>
          </cell>
          <cell r="P151">
            <v>1</v>
          </cell>
          <cell r="Z151">
            <v>0.99535307920448601</v>
          </cell>
          <cell r="AJ151">
            <v>0.98753993932938799</v>
          </cell>
          <cell r="AT151">
            <v>0.98003479208151401</v>
          </cell>
          <cell r="BD151">
            <v>0.96838095900785803</v>
          </cell>
          <cell r="BN151">
            <v>0.95718599426738105</v>
          </cell>
          <cell r="BX151">
            <v>0.94684651678651499</v>
          </cell>
          <cell r="CH151">
            <v>0.92976157010495097</v>
          </cell>
          <cell r="CR151">
            <v>0.91221085939832203</v>
          </cell>
          <cell r="DB151">
            <v>0.89407362834537796</v>
          </cell>
        </row>
        <row r="152">
          <cell r="D152" t="str">
            <v>Price|Agriculture|Non-Energy Crops|Index</v>
          </cell>
          <cell r="E152" t="str">
            <v>Index (2010 = 1)</v>
          </cell>
          <cell r="K152">
            <v>0.97824117869560201</v>
          </cell>
          <cell r="P152">
            <v>1</v>
          </cell>
          <cell r="Z152">
            <v>0.98850822803256599</v>
          </cell>
          <cell r="AJ152">
            <v>0.97581557647318995</v>
          </cell>
          <cell r="AT152">
            <v>0.96938110758893703</v>
          </cell>
          <cell r="BD152">
            <v>0.95469442890651901</v>
          </cell>
          <cell r="BN152">
            <v>0.93945235006606298</v>
          </cell>
          <cell r="BX152">
            <v>0.926160442543002</v>
          </cell>
          <cell r="CH152">
            <v>0.91631278840226804</v>
          </cell>
          <cell r="CR152">
            <v>0.90066758766603905</v>
          </cell>
          <cell r="DB152">
            <v>0.88344006439753697</v>
          </cell>
        </row>
        <row r="153">
          <cell r="D153" t="str">
            <v>Price|Carbon</v>
          </cell>
          <cell r="E153" t="str">
            <v>US$2010/t CO2</v>
          </cell>
          <cell r="K153">
            <v>0</v>
          </cell>
          <cell r="P153">
            <v>0</v>
          </cell>
          <cell r="Z153">
            <v>0</v>
          </cell>
          <cell r="AJ153">
            <v>0</v>
          </cell>
          <cell r="AT153">
            <v>0</v>
          </cell>
          <cell r="BD153">
            <v>0</v>
          </cell>
          <cell r="BN153">
            <v>0</v>
          </cell>
          <cell r="BX153">
            <v>0</v>
          </cell>
          <cell r="CH153">
            <v>0</v>
          </cell>
          <cell r="CR153">
            <v>0</v>
          </cell>
          <cell r="DB153">
            <v>0</v>
          </cell>
        </row>
        <row r="154">
          <cell r="D154" t="str">
            <v>Primary Energy</v>
          </cell>
          <cell r="E154" t="str">
            <v>EJ/yr</v>
          </cell>
          <cell r="K154">
            <v>464.43700000000001</v>
          </cell>
          <cell r="P154">
            <v>500.99400000000003</v>
          </cell>
          <cell r="Z154">
            <v>580.42700000000002</v>
          </cell>
          <cell r="AJ154">
            <v>666.83699999999999</v>
          </cell>
          <cell r="AT154">
            <v>750.798</v>
          </cell>
          <cell r="BD154">
            <v>842.36</v>
          </cell>
          <cell r="BN154">
            <v>930.68799999999999</v>
          </cell>
          <cell r="BX154">
            <v>1011.424</v>
          </cell>
          <cell r="CH154">
            <v>1113.153</v>
          </cell>
          <cell r="CR154">
            <v>1209.922</v>
          </cell>
          <cell r="DB154">
            <v>1304.2539999999999</v>
          </cell>
        </row>
        <row r="155">
          <cell r="D155" t="str">
            <v>Primary Energy|Biomass</v>
          </cell>
          <cell r="E155" t="str">
            <v>EJ/yr</v>
          </cell>
          <cell r="K155">
            <v>48.451999999999998</v>
          </cell>
          <cell r="P155">
            <v>55.002000000000002</v>
          </cell>
          <cell r="Z155">
            <v>62.26</v>
          </cell>
          <cell r="AJ155">
            <v>61.335999999999999</v>
          </cell>
          <cell r="AT155">
            <v>58.228999999999999</v>
          </cell>
          <cell r="BD155">
            <v>59.491999999999997</v>
          </cell>
          <cell r="BN155">
            <v>63.509</v>
          </cell>
          <cell r="BX155">
            <v>64.891999999999996</v>
          </cell>
          <cell r="CH155">
            <v>61.268999999999998</v>
          </cell>
          <cell r="CR155">
            <v>60.121000000000002</v>
          </cell>
          <cell r="DB155">
            <v>65.66</v>
          </cell>
        </row>
        <row r="156">
          <cell r="D156" t="str">
            <v>Primary Energy|Biomass|Modern|w/ CCS</v>
          </cell>
          <cell r="E156" t="str">
            <v>EJ/yr</v>
          </cell>
          <cell r="K156">
            <v>0</v>
          </cell>
          <cell r="P156">
            <v>0</v>
          </cell>
          <cell r="Z156">
            <v>0</v>
          </cell>
          <cell r="AJ156">
            <v>0</v>
          </cell>
          <cell r="AT156">
            <v>0</v>
          </cell>
          <cell r="BD156">
            <v>0</v>
          </cell>
          <cell r="BN156">
            <v>0</v>
          </cell>
          <cell r="BX156">
            <v>0</v>
          </cell>
          <cell r="CH156">
            <v>0</v>
          </cell>
          <cell r="CR156">
            <v>0</v>
          </cell>
          <cell r="DB156">
            <v>0</v>
          </cell>
        </row>
        <row r="157">
          <cell r="D157" t="str">
            <v>Primary Energy|Biomass|Modern|w/o CCS</v>
          </cell>
          <cell r="E157" t="str">
            <v>EJ/yr</v>
          </cell>
          <cell r="K157">
            <v>48.451999999999998</v>
          </cell>
          <cell r="P157">
            <v>55.002000000000002</v>
          </cell>
          <cell r="Z157">
            <v>62.26</v>
          </cell>
          <cell r="AJ157">
            <v>61.335999999999999</v>
          </cell>
          <cell r="AT157">
            <v>58.228999999999999</v>
          </cell>
          <cell r="BD157">
            <v>59.491999999999997</v>
          </cell>
          <cell r="BN157">
            <v>63.509</v>
          </cell>
          <cell r="BX157">
            <v>64.891999999999996</v>
          </cell>
          <cell r="CH157">
            <v>61.268999999999998</v>
          </cell>
          <cell r="CR157">
            <v>60.121000000000002</v>
          </cell>
          <cell r="DB157">
            <v>65.66</v>
          </cell>
        </row>
        <row r="158">
          <cell r="D158" t="str">
            <v>Primary Energy|Biomass|Traditional</v>
          </cell>
          <cell r="E158" t="str">
            <v>EJ/yr</v>
          </cell>
          <cell r="K158">
            <v>29.321200000000001</v>
          </cell>
          <cell r="P158">
            <v>30.50309</v>
          </cell>
          <cell r="Z158">
            <v>28.321999999999999</v>
          </cell>
          <cell r="AJ158">
            <v>26.170950000000001</v>
          </cell>
          <cell r="AT158">
            <v>22.466999999999999</v>
          </cell>
          <cell r="BD158">
            <v>18.018450000000001</v>
          </cell>
          <cell r="BN158">
            <v>13.08897</v>
          </cell>
          <cell r="BX158">
            <v>8.0910700000000002</v>
          </cell>
          <cell r="CH158">
            <v>2.7016900000000001</v>
          </cell>
          <cell r="CR158">
            <v>0</v>
          </cell>
          <cell r="DB158">
            <v>0</v>
          </cell>
        </row>
        <row r="159">
          <cell r="D159" t="str">
            <v>Primary Energy|Coal</v>
          </cell>
          <cell r="E159" t="str">
            <v>EJ/yr</v>
          </cell>
          <cell r="K159">
            <v>121.29900000000001</v>
          </cell>
          <cell r="P159">
            <v>139.73400000000001</v>
          </cell>
          <cell r="Z159">
            <v>143.77099999999999</v>
          </cell>
          <cell r="AJ159">
            <v>165.47200000000001</v>
          </cell>
          <cell r="AT159">
            <v>181.06800000000001</v>
          </cell>
          <cell r="BD159">
            <v>207.17400000000001</v>
          </cell>
          <cell r="BN159">
            <v>250.85599999999999</v>
          </cell>
          <cell r="BX159">
            <v>291.86399999999998</v>
          </cell>
          <cell r="CH159">
            <v>337.99700000000001</v>
          </cell>
          <cell r="CR159">
            <v>361.48500000000001</v>
          </cell>
          <cell r="DB159">
            <v>359.08699999999999</v>
          </cell>
        </row>
        <row r="160">
          <cell r="D160" t="str">
            <v>Primary Energy|Coal|w/ CCS</v>
          </cell>
          <cell r="E160" t="str">
            <v>EJ/yr</v>
          </cell>
          <cell r="K160">
            <v>0</v>
          </cell>
          <cell r="P160">
            <v>0</v>
          </cell>
          <cell r="Z160">
            <v>0</v>
          </cell>
          <cell r="AJ160">
            <v>0</v>
          </cell>
          <cell r="AT160">
            <v>0</v>
          </cell>
          <cell r="BD160">
            <v>0</v>
          </cell>
          <cell r="BN160">
            <v>0</v>
          </cell>
          <cell r="BX160">
            <v>0</v>
          </cell>
          <cell r="CH160">
            <v>0</v>
          </cell>
          <cell r="CR160">
            <v>0</v>
          </cell>
          <cell r="DB160">
            <v>0</v>
          </cell>
        </row>
        <row r="161">
          <cell r="D161" t="str">
            <v>Primary Energy|Coal|w/o CCS</v>
          </cell>
          <cell r="E161" t="str">
            <v>EJ/yr</v>
          </cell>
          <cell r="K161">
            <v>121.29900000000001</v>
          </cell>
          <cell r="P161">
            <v>139.73400000000001</v>
          </cell>
          <cell r="Z161">
            <v>143.77099999999999</v>
          </cell>
          <cell r="AJ161">
            <v>165.47200000000001</v>
          </cell>
          <cell r="AT161">
            <v>181.06800000000001</v>
          </cell>
          <cell r="BD161">
            <v>207.17400000000001</v>
          </cell>
          <cell r="BN161">
            <v>250.85599999999999</v>
          </cell>
          <cell r="BX161">
            <v>291.86399999999998</v>
          </cell>
          <cell r="CH161">
            <v>337.99700000000001</v>
          </cell>
          <cell r="CR161">
            <v>361.48500000000001</v>
          </cell>
          <cell r="DB161">
            <v>359.08699999999999</v>
          </cell>
        </row>
        <row r="162">
          <cell r="D162" t="str">
            <v>Primary Energy|Fossil</v>
          </cell>
          <cell r="E162" t="str">
            <v>EJ/yr</v>
          </cell>
          <cell r="K162">
            <v>394.36900000000003</v>
          </cell>
          <cell r="P162">
            <v>418.54899999999998</v>
          </cell>
          <cell r="Z162">
            <v>474.44799999999998</v>
          </cell>
          <cell r="AJ162">
            <v>546.19500000000005</v>
          </cell>
          <cell r="AT162">
            <v>618.48299999999995</v>
          </cell>
          <cell r="BD162">
            <v>694.44200000000001</v>
          </cell>
          <cell r="BN162">
            <v>756.15800000000002</v>
          </cell>
          <cell r="BX162">
            <v>808.755</v>
          </cell>
          <cell r="CH162">
            <v>892.28399999999999</v>
          </cell>
          <cell r="CR162">
            <v>957.86300000000006</v>
          </cell>
          <cell r="DB162">
            <v>1004.921</v>
          </cell>
        </row>
        <row r="163">
          <cell r="D163" t="str">
            <v>Primary Energy|Fossil|w/ CCS</v>
          </cell>
          <cell r="E163" t="str">
            <v>EJ/yr</v>
          </cell>
          <cell r="K163">
            <v>0</v>
          </cell>
          <cell r="P163">
            <v>0</v>
          </cell>
          <cell r="Z163">
            <v>0</v>
          </cell>
          <cell r="AJ163">
            <v>0</v>
          </cell>
          <cell r="AT163">
            <v>0</v>
          </cell>
          <cell r="BD163">
            <v>0</v>
          </cell>
          <cell r="BN163">
            <v>0</v>
          </cell>
          <cell r="BX163">
            <v>0</v>
          </cell>
          <cell r="CH163">
            <v>0</v>
          </cell>
          <cell r="CR163">
            <v>0</v>
          </cell>
          <cell r="DB163">
            <v>0</v>
          </cell>
        </row>
        <row r="164">
          <cell r="D164" t="str">
            <v>Primary Energy|Fossil|w/o CCS</v>
          </cell>
          <cell r="E164" t="str">
            <v>EJ/yr</v>
          </cell>
          <cell r="K164">
            <v>394.36900000000003</v>
          </cell>
          <cell r="P164">
            <v>418.54899999999998</v>
          </cell>
          <cell r="Z164">
            <v>474.44799999999998</v>
          </cell>
          <cell r="AJ164">
            <v>546.19500000000005</v>
          </cell>
          <cell r="AT164">
            <v>618.48299999999995</v>
          </cell>
          <cell r="BD164">
            <v>694.44200000000001</v>
          </cell>
          <cell r="BN164">
            <v>756.15800000000002</v>
          </cell>
          <cell r="BX164">
            <v>808.755</v>
          </cell>
          <cell r="CH164">
            <v>892.28399999999999</v>
          </cell>
          <cell r="CR164">
            <v>957.86300000000006</v>
          </cell>
          <cell r="DB164">
            <v>1004.921</v>
          </cell>
        </row>
        <row r="165">
          <cell r="D165" t="str">
            <v>Primary Energy|Gas</v>
          </cell>
          <cell r="E165" t="str">
            <v>EJ/yr</v>
          </cell>
          <cell r="K165">
            <v>100.458</v>
          </cell>
          <cell r="P165">
            <v>105.69499999999999</v>
          </cell>
          <cell r="Z165">
            <v>123.41500000000001</v>
          </cell>
          <cell r="AJ165">
            <v>154.965</v>
          </cell>
          <cell r="AT165">
            <v>196.71600000000001</v>
          </cell>
          <cell r="BD165">
            <v>241.18</v>
          </cell>
          <cell r="BN165">
            <v>278.05</v>
          </cell>
          <cell r="BX165">
            <v>308.86599999999999</v>
          </cell>
          <cell r="CH165">
            <v>321.54599999999999</v>
          </cell>
          <cell r="CR165">
            <v>326.31900000000002</v>
          </cell>
          <cell r="DB165">
            <v>347.22500000000002</v>
          </cell>
        </row>
        <row r="166">
          <cell r="D166" t="str">
            <v>Primary Energy|Gas|w/ CCS</v>
          </cell>
          <cell r="E166" t="str">
            <v>EJ/yr</v>
          </cell>
          <cell r="K166">
            <v>0</v>
          </cell>
          <cell r="P166">
            <v>0</v>
          </cell>
          <cell r="Z166">
            <v>0</v>
          </cell>
          <cell r="AJ166">
            <v>0</v>
          </cell>
          <cell r="AT166">
            <v>0</v>
          </cell>
          <cell r="BD166">
            <v>0</v>
          </cell>
          <cell r="BN166">
            <v>0</v>
          </cell>
          <cell r="BX166">
            <v>0</v>
          </cell>
          <cell r="CH166">
            <v>0</v>
          </cell>
          <cell r="CR166">
            <v>0</v>
          </cell>
          <cell r="DB166">
            <v>0</v>
          </cell>
        </row>
        <row r="167">
          <cell r="D167" t="str">
            <v>Primary Energy|Gas|w/o CCS</v>
          </cell>
          <cell r="E167" t="str">
            <v>EJ/yr</v>
          </cell>
          <cell r="K167">
            <v>100.458</v>
          </cell>
          <cell r="P167">
            <v>105.69499999999999</v>
          </cell>
          <cell r="Z167">
            <v>123.41500000000001</v>
          </cell>
          <cell r="AJ167">
            <v>154.965</v>
          </cell>
          <cell r="AT167">
            <v>196.71600000000001</v>
          </cell>
          <cell r="BD167">
            <v>241.18</v>
          </cell>
          <cell r="BN167">
            <v>278.05</v>
          </cell>
          <cell r="BX167">
            <v>308.86599999999999</v>
          </cell>
          <cell r="CH167">
            <v>321.54599999999999</v>
          </cell>
          <cell r="CR167">
            <v>326.31900000000002</v>
          </cell>
          <cell r="DB167">
            <v>347.22500000000002</v>
          </cell>
        </row>
        <row r="168">
          <cell r="D168" t="str">
            <v>Primary Energy|Geothermal</v>
          </cell>
          <cell r="E168" t="str">
            <v>EJ/yr</v>
          </cell>
          <cell r="K168">
            <v>0.35799999999999998</v>
          </cell>
          <cell r="P168">
            <v>0.54700000000000004</v>
          </cell>
          <cell r="Z168">
            <v>0.60799999999999998</v>
          </cell>
          <cell r="AJ168">
            <v>0.51300000000000001</v>
          </cell>
          <cell r="AT168">
            <v>0.107</v>
          </cell>
          <cell r="BD168">
            <v>0.107</v>
          </cell>
          <cell r="BN168">
            <v>0.107</v>
          </cell>
          <cell r="BX168">
            <v>3.3000000000000002E-2</v>
          </cell>
          <cell r="CH168">
            <v>3.3000000000000002E-2</v>
          </cell>
          <cell r="CR168">
            <v>3.3000000000000002E-2</v>
          </cell>
          <cell r="DB168">
            <v>0.01</v>
          </cell>
        </row>
        <row r="169">
          <cell r="D169" t="str">
            <v>Primary Energy|Hydro</v>
          </cell>
          <cell r="E169" t="str">
            <v>EJ/yr</v>
          </cell>
          <cell r="K169">
            <v>10.603</v>
          </cell>
          <cell r="P169">
            <v>12.871</v>
          </cell>
          <cell r="Z169">
            <v>15.278</v>
          </cell>
          <cell r="AJ169">
            <v>16.902000000000001</v>
          </cell>
          <cell r="AT169">
            <v>18.986999999999998</v>
          </cell>
          <cell r="BD169">
            <v>19.532</v>
          </cell>
          <cell r="BN169">
            <v>20.329000000000001</v>
          </cell>
          <cell r="BX169">
            <v>22.145</v>
          </cell>
          <cell r="CH169">
            <v>23.759</v>
          </cell>
          <cell r="CR169">
            <v>24.678000000000001</v>
          </cell>
          <cell r="DB169">
            <v>24.931000000000001</v>
          </cell>
        </row>
        <row r="170">
          <cell r="D170" t="str">
            <v>Primary Energy|Non-Biomass Renewables</v>
          </cell>
          <cell r="E170" t="str">
            <v>EJ/yr</v>
          </cell>
          <cell r="K170">
            <v>11.656000000000001</v>
          </cell>
          <cell r="P170">
            <v>17.558</v>
          </cell>
          <cell r="Z170">
            <v>31.783999999999999</v>
          </cell>
          <cell r="AJ170">
            <v>48.186999999999998</v>
          </cell>
          <cell r="AT170">
            <v>66.884</v>
          </cell>
          <cell r="BD170">
            <v>84.161000000000001</v>
          </cell>
          <cell r="BN170">
            <v>105.414</v>
          </cell>
          <cell r="BX170">
            <v>127.989</v>
          </cell>
          <cell r="CH170">
            <v>142.31</v>
          </cell>
          <cell r="CR170">
            <v>161.905</v>
          </cell>
          <cell r="DB170">
            <v>188.404</v>
          </cell>
        </row>
        <row r="171">
          <cell r="D171" t="str">
            <v>Primary Energy|Nuclear</v>
          </cell>
          <cell r="E171" t="str">
            <v>EJ/yr</v>
          </cell>
          <cell r="K171">
            <v>9.9659999999999993</v>
          </cell>
          <cell r="P171">
            <v>9.8970000000000002</v>
          </cell>
          <cell r="Z171">
            <v>11.942</v>
          </cell>
          <cell r="AJ171">
            <v>11.146000000000001</v>
          </cell>
          <cell r="AT171">
            <v>7.2530000000000001</v>
          </cell>
          <cell r="BD171">
            <v>4.3150000000000004</v>
          </cell>
          <cell r="BN171">
            <v>5.6520000000000001</v>
          </cell>
          <cell r="BX171">
            <v>9.8550000000000004</v>
          </cell>
          <cell r="CH171">
            <v>17.379000000000001</v>
          </cell>
          <cell r="CR171">
            <v>30.103999999999999</v>
          </cell>
          <cell r="DB171">
            <v>45.334000000000003</v>
          </cell>
        </row>
        <row r="172">
          <cell r="D172" t="str">
            <v>Primary Energy|Oil</v>
          </cell>
          <cell r="E172" t="str">
            <v>EJ/yr</v>
          </cell>
          <cell r="K172">
            <v>172.61199999999999</v>
          </cell>
          <cell r="P172">
            <v>173.12</v>
          </cell>
          <cell r="Z172">
            <v>207.262</v>
          </cell>
          <cell r="AJ172">
            <v>225.75800000000001</v>
          </cell>
          <cell r="AT172">
            <v>240.69900000000001</v>
          </cell>
          <cell r="BD172">
            <v>246.08799999999999</v>
          </cell>
          <cell r="BN172">
            <v>227.25200000000001</v>
          </cell>
          <cell r="BX172">
            <v>208.02500000000001</v>
          </cell>
          <cell r="CH172">
            <v>232.74100000000001</v>
          </cell>
          <cell r="CR172">
            <v>270.05900000000003</v>
          </cell>
          <cell r="DB172">
            <v>298.60899999999998</v>
          </cell>
        </row>
        <row r="173">
          <cell r="D173" t="str">
            <v>Primary Energy|Oil|w/o CCS</v>
          </cell>
          <cell r="E173" t="str">
            <v>EJ/yr</v>
          </cell>
          <cell r="K173">
            <v>172.61199999999999</v>
          </cell>
          <cell r="P173">
            <v>173.12</v>
          </cell>
          <cell r="Z173">
            <v>207.262</v>
          </cell>
          <cell r="AJ173">
            <v>225.75800000000001</v>
          </cell>
          <cell r="AT173">
            <v>240.69900000000001</v>
          </cell>
          <cell r="BD173">
            <v>246.08799999999999</v>
          </cell>
          <cell r="BN173">
            <v>227.25200000000001</v>
          </cell>
          <cell r="BX173">
            <v>208.02500000000001</v>
          </cell>
          <cell r="CH173">
            <v>232.74100000000001</v>
          </cell>
          <cell r="CR173">
            <v>270.05900000000003</v>
          </cell>
          <cell r="DB173">
            <v>298.60899999999998</v>
          </cell>
        </row>
        <row r="174">
          <cell r="D174" t="str">
            <v>Primary Energy|Other</v>
          </cell>
          <cell r="E174" t="str">
            <v>EJ/yr</v>
          </cell>
          <cell r="K174">
            <v>0</v>
          </cell>
          <cell r="P174">
            <v>0</v>
          </cell>
          <cell r="Z174">
            <v>0</v>
          </cell>
          <cell r="AJ174">
            <v>0</v>
          </cell>
          <cell r="AT174">
            <v>0</v>
          </cell>
          <cell r="BD174">
            <v>0</v>
          </cell>
          <cell r="BN174">
            <v>0</v>
          </cell>
          <cell r="BX174">
            <v>0</v>
          </cell>
          <cell r="CH174">
            <v>0</v>
          </cell>
          <cell r="CR174">
            <v>0</v>
          </cell>
          <cell r="DB174">
            <v>0</v>
          </cell>
        </row>
        <row r="175">
          <cell r="D175" t="str">
            <v>Primary Energy|Solar</v>
          </cell>
          <cell r="E175" t="str">
            <v>EJ/yr</v>
          </cell>
          <cell r="K175">
            <v>0.308</v>
          </cell>
          <cell r="P175">
            <v>2.4790000000000001</v>
          </cell>
          <cell r="Z175">
            <v>10.394</v>
          </cell>
          <cell r="AJ175">
            <v>20.513999999999999</v>
          </cell>
          <cell r="AT175">
            <v>31.120999999999999</v>
          </cell>
          <cell r="BD175">
            <v>39.906999999999996</v>
          </cell>
          <cell r="BN175">
            <v>49.042000000000002</v>
          </cell>
          <cell r="BX175">
            <v>56.924999999999997</v>
          </cell>
          <cell r="CH175">
            <v>62.250999999999998</v>
          </cell>
          <cell r="CR175">
            <v>68.944999999999993</v>
          </cell>
          <cell r="DB175">
            <v>78.953000000000003</v>
          </cell>
        </row>
        <row r="176">
          <cell r="D176" t="str">
            <v>Primary Energy|Wind</v>
          </cell>
          <cell r="E176" t="str">
            <v>EJ/yr</v>
          </cell>
          <cell r="K176">
            <v>0.38700000000000001</v>
          </cell>
          <cell r="P176">
            <v>1.661</v>
          </cell>
          <cell r="Z176">
            <v>5.5039999999999996</v>
          </cell>
          <cell r="AJ176">
            <v>10.257999999999999</v>
          </cell>
          <cell r="AT176">
            <v>16.669</v>
          </cell>
          <cell r="BD176">
            <v>24.614999999999998</v>
          </cell>
          <cell r="BN176">
            <v>35.936</v>
          </cell>
          <cell r="BX176">
            <v>48.886000000000003</v>
          </cell>
          <cell r="CH176">
            <v>56.267000000000003</v>
          </cell>
          <cell r="CR176">
            <v>68.248999999999995</v>
          </cell>
          <cell r="DB176">
            <v>84.51</v>
          </cell>
        </row>
        <row r="177">
          <cell r="D177" t="str">
            <v>Secondary Energy|Electricity</v>
          </cell>
          <cell r="E177" t="str">
            <v>EJ/yr</v>
          </cell>
          <cell r="K177">
            <v>65.08</v>
          </cell>
          <cell r="P177">
            <v>75.474999999999994</v>
          </cell>
          <cell r="Z177">
            <v>94.78</v>
          </cell>
          <cell r="AJ177">
            <v>117.81</v>
          </cell>
          <cell r="AT177">
            <v>140.49100000000001</v>
          </cell>
          <cell r="BD177">
            <v>170.24700000000001</v>
          </cell>
          <cell r="BN177">
            <v>212.036</v>
          </cell>
          <cell r="BX177">
            <v>258.65699999999998</v>
          </cell>
          <cell r="CH177">
            <v>296.62099999999998</v>
          </cell>
          <cell r="CR177">
            <v>335.44299999999998</v>
          </cell>
          <cell r="DB177">
            <v>379.43099999999998</v>
          </cell>
        </row>
        <row r="178">
          <cell r="D178" t="str">
            <v>Secondary Energy|Electricity|Biomass</v>
          </cell>
          <cell r="E178" t="str">
            <v>EJ/yr</v>
          </cell>
          <cell r="K178">
            <v>0.45300000000000001</v>
          </cell>
          <cell r="P178">
            <v>0.78900000000000003</v>
          </cell>
          <cell r="Z178">
            <v>1.6990000000000001</v>
          </cell>
          <cell r="AJ178">
            <v>1.2170000000000001</v>
          </cell>
          <cell r="AT178">
            <v>0.82899999999999996</v>
          </cell>
          <cell r="BD178">
            <v>1.62</v>
          </cell>
          <cell r="BN178">
            <v>1.5569999999999999</v>
          </cell>
          <cell r="BX178">
            <v>1.839</v>
          </cell>
          <cell r="CH178">
            <v>3.2690000000000001</v>
          </cell>
          <cell r="CR178">
            <v>4.3979999999999997</v>
          </cell>
          <cell r="DB178">
            <v>5.7460000000000004</v>
          </cell>
        </row>
        <row r="179">
          <cell r="D179" t="str">
            <v>Secondary Energy|Electricity|Biomass|w/ CCS</v>
          </cell>
          <cell r="E179" t="str">
            <v>EJ/yr</v>
          </cell>
          <cell r="K179">
            <v>0</v>
          </cell>
          <cell r="P179">
            <v>0</v>
          </cell>
          <cell r="Z179">
            <v>0</v>
          </cell>
          <cell r="AJ179">
            <v>0</v>
          </cell>
          <cell r="AT179">
            <v>0</v>
          </cell>
          <cell r="BD179">
            <v>0</v>
          </cell>
          <cell r="BN179">
            <v>0</v>
          </cell>
          <cell r="BX179">
            <v>0</v>
          </cell>
          <cell r="CH179">
            <v>0</v>
          </cell>
          <cell r="CR179">
            <v>0</v>
          </cell>
          <cell r="DB179">
            <v>0</v>
          </cell>
        </row>
        <row r="180">
          <cell r="D180" t="str">
            <v>Secondary Energy|Electricity|Biomass|w/o CCS</v>
          </cell>
          <cell r="E180" t="str">
            <v>EJ/yr</v>
          </cell>
          <cell r="K180">
            <v>0.45300000000000001</v>
          </cell>
          <cell r="P180">
            <v>0.78900000000000003</v>
          </cell>
          <cell r="Z180">
            <v>1.6990000000000001</v>
          </cell>
          <cell r="AJ180">
            <v>1.2170000000000001</v>
          </cell>
          <cell r="AT180">
            <v>0.82899999999999996</v>
          </cell>
          <cell r="BD180">
            <v>1.62</v>
          </cell>
          <cell r="BN180">
            <v>1.5569999999999999</v>
          </cell>
          <cell r="BX180">
            <v>1.839</v>
          </cell>
          <cell r="CH180">
            <v>3.2690000000000001</v>
          </cell>
          <cell r="CR180">
            <v>4.3979999999999997</v>
          </cell>
          <cell r="DB180">
            <v>5.7460000000000004</v>
          </cell>
        </row>
        <row r="181">
          <cell r="D181" t="str">
            <v>Secondary Energy|Electricity|Coal</v>
          </cell>
          <cell r="E181" t="str">
            <v>EJ/yr</v>
          </cell>
          <cell r="K181">
            <v>26.318000000000001</v>
          </cell>
          <cell r="P181">
            <v>30.934999999999999</v>
          </cell>
          <cell r="Z181">
            <v>31.957000000000001</v>
          </cell>
          <cell r="AJ181">
            <v>32.298000000000002</v>
          </cell>
          <cell r="AT181">
            <v>32.575000000000003</v>
          </cell>
          <cell r="BD181">
            <v>37.036999999999999</v>
          </cell>
          <cell r="BN181">
            <v>47.526000000000003</v>
          </cell>
          <cell r="BX181">
            <v>57.93</v>
          </cell>
          <cell r="CH181">
            <v>69.100999999999999</v>
          </cell>
          <cell r="CR181">
            <v>70.581999999999994</v>
          </cell>
          <cell r="DB181">
            <v>62.622</v>
          </cell>
        </row>
        <row r="182">
          <cell r="D182" t="str">
            <v>Secondary Energy|Electricity|Coal|w/ CCS</v>
          </cell>
          <cell r="E182" t="str">
            <v>EJ/yr</v>
          </cell>
          <cell r="K182">
            <v>0</v>
          </cell>
          <cell r="P182">
            <v>0</v>
          </cell>
          <cell r="Z182">
            <v>0</v>
          </cell>
          <cell r="AJ182">
            <v>0</v>
          </cell>
          <cell r="AT182">
            <v>0</v>
          </cell>
          <cell r="BD182">
            <v>0</v>
          </cell>
          <cell r="BN182">
            <v>0</v>
          </cell>
          <cell r="BX182">
            <v>0</v>
          </cell>
          <cell r="CH182">
            <v>0</v>
          </cell>
          <cell r="CR182">
            <v>0</v>
          </cell>
          <cell r="DB182">
            <v>0</v>
          </cell>
        </row>
        <row r="183">
          <cell r="D183" t="str">
            <v>Secondary Energy|Electricity|Coal|w/o CCS</v>
          </cell>
          <cell r="E183" t="str">
            <v>EJ/yr</v>
          </cell>
          <cell r="K183">
            <v>26.318000000000001</v>
          </cell>
          <cell r="P183">
            <v>30.934999999999999</v>
          </cell>
          <cell r="Z183">
            <v>31.957000000000001</v>
          </cell>
          <cell r="AJ183">
            <v>32.298000000000002</v>
          </cell>
          <cell r="AT183">
            <v>32.575000000000003</v>
          </cell>
          <cell r="BD183">
            <v>37.036999999999999</v>
          </cell>
          <cell r="BN183">
            <v>47.526000000000003</v>
          </cell>
          <cell r="BX183">
            <v>57.93</v>
          </cell>
          <cell r="CH183">
            <v>69.100999999999999</v>
          </cell>
          <cell r="CR183">
            <v>70.581999999999994</v>
          </cell>
          <cell r="DB183">
            <v>62.622</v>
          </cell>
        </row>
        <row r="184">
          <cell r="D184" t="str">
            <v>Secondary Energy|Electricity|Gas</v>
          </cell>
          <cell r="E184" t="str">
            <v>EJ/yr</v>
          </cell>
          <cell r="K184">
            <v>13.294</v>
          </cell>
          <cell r="P184">
            <v>16.407</v>
          </cell>
          <cell r="Z184">
            <v>25.556999999999999</v>
          </cell>
          <cell r="AJ184">
            <v>43.789000000000001</v>
          </cell>
          <cell r="AT184">
            <v>62.317999999999998</v>
          </cell>
          <cell r="BD184">
            <v>81.150000000000006</v>
          </cell>
          <cell r="BN184">
            <v>97.254000000000005</v>
          </cell>
          <cell r="BX184">
            <v>110.14</v>
          </cell>
          <cell r="CH184">
            <v>113.432</v>
          </cell>
          <cell r="CR184">
            <v>114.08799999999999</v>
          </cell>
          <cell r="DB184">
            <v>122.855</v>
          </cell>
        </row>
        <row r="185">
          <cell r="D185" t="str">
            <v>Secondary Energy|Electricity|Gas|w/ CCS</v>
          </cell>
          <cell r="E185" t="str">
            <v>EJ/yr</v>
          </cell>
          <cell r="K185">
            <v>0</v>
          </cell>
          <cell r="P185">
            <v>0</v>
          </cell>
          <cell r="Z185">
            <v>0</v>
          </cell>
          <cell r="AJ185">
            <v>0</v>
          </cell>
          <cell r="AT185">
            <v>0</v>
          </cell>
          <cell r="BD185">
            <v>0</v>
          </cell>
          <cell r="BN185">
            <v>0</v>
          </cell>
          <cell r="BX185">
            <v>0</v>
          </cell>
          <cell r="CH185">
            <v>0</v>
          </cell>
          <cell r="CR185">
            <v>0</v>
          </cell>
          <cell r="DB185">
            <v>0</v>
          </cell>
        </row>
        <row r="186">
          <cell r="D186" t="str">
            <v>Secondary Energy|Electricity|Gas|w/o CCS</v>
          </cell>
          <cell r="E186" t="str">
            <v>EJ/yr</v>
          </cell>
          <cell r="K186">
            <v>13.294</v>
          </cell>
          <cell r="P186">
            <v>16.407</v>
          </cell>
          <cell r="Z186">
            <v>25.556999999999999</v>
          </cell>
          <cell r="AJ186">
            <v>43.789000000000001</v>
          </cell>
          <cell r="AT186">
            <v>62.317999999999998</v>
          </cell>
          <cell r="BD186">
            <v>81.150000000000006</v>
          </cell>
          <cell r="BN186">
            <v>97.254000000000005</v>
          </cell>
          <cell r="BX186">
            <v>110.14</v>
          </cell>
          <cell r="CH186">
            <v>113.432</v>
          </cell>
          <cell r="CR186">
            <v>114.08799999999999</v>
          </cell>
          <cell r="DB186">
            <v>122.855</v>
          </cell>
        </row>
        <row r="187">
          <cell r="D187" t="str">
            <v>Secondary Energy|Electricity|Geothermal</v>
          </cell>
          <cell r="E187" t="str">
            <v>EJ/yr</v>
          </cell>
          <cell r="K187">
            <v>0.20399999999999999</v>
          </cell>
          <cell r="P187">
            <v>0.35299999999999998</v>
          </cell>
          <cell r="Z187">
            <v>0.32</v>
          </cell>
          <cell r="AJ187">
            <v>0.159</v>
          </cell>
          <cell r="AT187">
            <v>0</v>
          </cell>
          <cell r="BD187">
            <v>0</v>
          </cell>
          <cell r="BN187">
            <v>0</v>
          </cell>
          <cell r="BX187">
            <v>0</v>
          </cell>
          <cell r="CH187">
            <v>0</v>
          </cell>
          <cell r="CR187">
            <v>0</v>
          </cell>
          <cell r="DB187">
            <v>0</v>
          </cell>
        </row>
        <row r="188">
          <cell r="D188" t="str">
            <v>Secondary Energy|Electricity|Hydro</v>
          </cell>
          <cell r="E188" t="str">
            <v>EJ/yr</v>
          </cell>
          <cell r="K188">
            <v>10.603</v>
          </cell>
          <cell r="P188">
            <v>12.871</v>
          </cell>
          <cell r="Z188">
            <v>15.278</v>
          </cell>
          <cell r="AJ188">
            <v>16.902000000000001</v>
          </cell>
          <cell r="AT188">
            <v>18.986999999999998</v>
          </cell>
          <cell r="BD188">
            <v>19.532</v>
          </cell>
          <cell r="BN188">
            <v>20.329000000000001</v>
          </cell>
          <cell r="BX188">
            <v>22.145</v>
          </cell>
          <cell r="CH188">
            <v>23.759</v>
          </cell>
          <cell r="CR188">
            <v>24.678000000000001</v>
          </cell>
          <cell r="DB188">
            <v>24.931000000000001</v>
          </cell>
        </row>
        <row r="189">
          <cell r="D189" t="str">
            <v>Secondary Energy|Electricity|Non-Biomass Renewables</v>
          </cell>
          <cell r="E189" t="str">
            <v>EJ/yr</v>
          </cell>
          <cell r="K189">
            <v>11.209</v>
          </cell>
          <cell r="P189">
            <v>15.132999999999999</v>
          </cell>
          <cell r="Z189">
            <v>22.686</v>
          </cell>
          <cell r="AJ189">
            <v>28.931000000000001</v>
          </cell>
          <cell r="AT189">
            <v>37.115000000000002</v>
          </cell>
          <cell r="BD189">
            <v>45.176000000000002</v>
          </cell>
          <cell r="BN189">
            <v>58.738999999999997</v>
          </cell>
          <cell r="BX189">
            <v>76.804000000000002</v>
          </cell>
          <cell r="CH189">
            <v>88.606999999999999</v>
          </cell>
          <cell r="CR189">
            <v>106.33799999999999</v>
          </cell>
          <cell r="DB189">
            <v>130.91</v>
          </cell>
        </row>
        <row r="190">
          <cell r="D190" t="str">
            <v>Secondary Energy|Electricity|Nuclear</v>
          </cell>
          <cell r="E190" t="str">
            <v>EJ/yr</v>
          </cell>
          <cell r="K190">
            <v>9.8040000000000003</v>
          </cell>
          <cell r="P190">
            <v>9.7639999999999993</v>
          </cell>
          <cell r="Z190">
            <v>11.760999999999999</v>
          </cell>
          <cell r="AJ190">
            <v>10.951000000000001</v>
          </cell>
          <cell r="AT190">
            <v>7.1470000000000002</v>
          </cell>
          <cell r="BD190">
            <v>4.2699999999999996</v>
          </cell>
          <cell r="BN190">
            <v>5.6029999999999998</v>
          </cell>
          <cell r="BX190">
            <v>9.7620000000000005</v>
          </cell>
          <cell r="CH190">
            <v>17.178000000000001</v>
          </cell>
          <cell r="CR190">
            <v>29.577999999999999</v>
          </cell>
          <cell r="DB190">
            <v>44.445</v>
          </cell>
        </row>
        <row r="191">
          <cell r="D191" t="str">
            <v>Secondary Energy|Electricity|Oil</v>
          </cell>
          <cell r="E191" t="str">
            <v>EJ/yr</v>
          </cell>
          <cell r="K191">
            <v>4.0019999999999998</v>
          </cell>
          <cell r="P191">
            <v>2.4470000000000001</v>
          </cell>
          <cell r="Z191">
            <v>1.1200000000000001</v>
          </cell>
          <cell r="AJ191">
            <v>0.624</v>
          </cell>
          <cell r="AT191">
            <v>0.28100000000000003</v>
          </cell>
          <cell r="BD191">
            <v>9.8000000000000004E-2</v>
          </cell>
          <cell r="BN191">
            <v>2.5999999999999999E-2</v>
          </cell>
          <cell r="BX191">
            <v>0</v>
          </cell>
          <cell r="CH191">
            <v>0</v>
          </cell>
          <cell r="CR191">
            <v>0</v>
          </cell>
          <cell r="DB191">
            <v>0</v>
          </cell>
        </row>
        <row r="192">
          <cell r="D192" t="str">
            <v>Secondary Energy|Electricity|Solar</v>
          </cell>
          <cell r="E192" t="str">
            <v>EJ/yr</v>
          </cell>
          <cell r="K192">
            <v>1.4999999999999999E-2</v>
          </cell>
          <cell r="P192">
            <v>0.248</v>
          </cell>
          <cell r="Z192">
            <v>1.5840000000000001</v>
          </cell>
          <cell r="AJ192">
            <v>1.6120000000000001</v>
          </cell>
          <cell r="AT192">
            <v>1.4590000000000001</v>
          </cell>
          <cell r="BD192">
            <v>1.0289999999999999</v>
          </cell>
          <cell r="BN192">
            <v>2.4740000000000002</v>
          </cell>
          <cell r="BX192">
            <v>5.7729999999999997</v>
          </cell>
          <cell r="CH192">
            <v>8.5809999999999995</v>
          </cell>
          <cell r="CR192">
            <v>13.411</v>
          </cell>
          <cell r="DB192">
            <v>21.469000000000001</v>
          </cell>
        </row>
        <row r="193">
          <cell r="D193" t="str">
            <v>Secondary Energy|Electricity|Wind</v>
          </cell>
          <cell r="E193" t="str">
            <v>EJ/yr</v>
          </cell>
          <cell r="K193">
            <v>0.38700000000000001</v>
          </cell>
          <cell r="P193">
            <v>1.661</v>
          </cell>
          <cell r="Z193">
            <v>5.5039999999999996</v>
          </cell>
          <cell r="AJ193">
            <v>10.257999999999999</v>
          </cell>
          <cell r="AT193">
            <v>16.669</v>
          </cell>
          <cell r="BD193">
            <v>24.614999999999998</v>
          </cell>
          <cell r="BN193">
            <v>35.936</v>
          </cell>
          <cell r="BX193">
            <v>48.886000000000003</v>
          </cell>
          <cell r="CH193">
            <v>56.267000000000003</v>
          </cell>
          <cell r="CR193">
            <v>68.248999999999995</v>
          </cell>
          <cell r="DB193">
            <v>84.51</v>
          </cell>
        </row>
        <row r="194">
          <cell r="D194" t="str">
            <v>Secondary Energy|Gases</v>
          </cell>
          <cell r="E194" t="str">
            <v>EJ/yr</v>
          </cell>
          <cell r="K194">
            <v>87.433999999999997</v>
          </cell>
          <cell r="P194">
            <v>94.912000000000006</v>
          </cell>
          <cell r="Z194">
            <v>108.976</v>
          </cell>
          <cell r="AJ194">
            <v>131.49799999999999</v>
          </cell>
          <cell r="AT194">
            <v>157.023</v>
          </cell>
          <cell r="BD194">
            <v>188.97499999999999</v>
          </cell>
          <cell r="BN194">
            <v>218.315</v>
          </cell>
          <cell r="BX194">
            <v>235.26499999999999</v>
          </cell>
          <cell r="CH194">
            <v>237.08799999999999</v>
          </cell>
          <cell r="CR194">
            <v>227.79300000000001</v>
          </cell>
          <cell r="DB194">
            <v>228.71</v>
          </cell>
        </row>
        <row r="195">
          <cell r="D195" t="str">
            <v>Secondary Energy|Gases|Biomass</v>
          </cell>
          <cell r="E195" t="str">
            <v>EJ/yr</v>
          </cell>
          <cell r="K195">
            <v>0</v>
          </cell>
          <cell r="P195">
            <v>6.5000000000000002E-2</v>
          </cell>
          <cell r="Z195">
            <v>0</v>
          </cell>
          <cell r="AJ195">
            <v>0</v>
          </cell>
          <cell r="AT195">
            <v>0</v>
          </cell>
          <cell r="BD195">
            <v>0</v>
          </cell>
          <cell r="BN195">
            <v>0</v>
          </cell>
          <cell r="BX195">
            <v>0</v>
          </cell>
          <cell r="CH195">
            <v>0</v>
          </cell>
          <cell r="CR195">
            <v>0</v>
          </cell>
          <cell r="DB195">
            <v>0</v>
          </cell>
        </row>
        <row r="196">
          <cell r="D196" t="str">
            <v>Secondary Energy|Gases|Coal</v>
          </cell>
          <cell r="E196" t="str">
            <v>EJ/yr</v>
          </cell>
          <cell r="K196">
            <v>0</v>
          </cell>
          <cell r="P196">
            <v>0</v>
          </cell>
          <cell r="Z196">
            <v>0</v>
          </cell>
          <cell r="AJ196">
            <v>0</v>
          </cell>
          <cell r="AT196">
            <v>0</v>
          </cell>
          <cell r="BD196">
            <v>0</v>
          </cell>
          <cell r="BN196">
            <v>0</v>
          </cell>
          <cell r="BX196">
            <v>0</v>
          </cell>
          <cell r="CH196">
            <v>0</v>
          </cell>
          <cell r="CR196">
            <v>0</v>
          </cell>
          <cell r="DB196">
            <v>0</v>
          </cell>
        </row>
        <row r="197">
          <cell r="D197" t="str">
            <v>Secondary Energy|Gases|Natural Gas</v>
          </cell>
          <cell r="E197" t="str">
            <v>EJ/yr</v>
          </cell>
          <cell r="K197">
            <v>87.433999999999997</v>
          </cell>
          <cell r="P197">
            <v>94.629000000000005</v>
          </cell>
          <cell r="Z197">
            <v>108.976</v>
          </cell>
          <cell r="AJ197">
            <v>131.49799999999999</v>
          </cell>
          <cell r="AT197">
            <v>157.023</v>
          </cell>
          <cell r="BD197">
            <v>188.97499999999999</v>
          </cell>
          <cell r="BN197">
            <v>218.315</v>
          </cell>
          <cell r="BX197">
            <v>235.26499999999999</v>
          </cell>
          <cell r="CH197">
            <v>237.08799999999999</v>
          </cell>
          <cell r="CR197">
            <v>227.536</v>
          </cell>
          <cell r="DB197">
            <v>228.71</v>
          </cell>
        </row>
        <row r="198">
          <cell r="D198" t="str">
            <v>Secondary Energy|Heat</v>
          </cell>
          <cell r="E198" t="str">
            <v>EJ/yr</v>
          </cell>
          <cell r="K198">
            <v>13.436</v>
          </cell>
          <cell r="P198">
            <v>13.247</v>
          </cell>
          <cell r="Z198">
            <v>13.587</v>
          </cell>
          <cell r="AJ198">
            <v>15.084</v>
          </cell>
          <cell r="AT198">
            <v>12.833</v>
          </cell>
          <cell r="BD198">
            <v>11.861000000000001</v>
          </cell>
          <cell r="BN198">
            <v>12.132999999999999</v>
          </cell>
          <cell r="BX198">
            <v>14.262</v>
          </cell>
          <cell r="CH198">
            <v>19.981000000000002</v>
          </cell>
          <cell r="CR198">
            <v>32.219000000000001</v>
          </cell>
          <cell r="DB198">
            <v>38.107999999999997</v>
          </cell>
        </row>
        <row r="199">
          <cell r="D199" t="str">
            <v>Secondary Energy|Heat|Geothermal</v>
          </cell>
          <cell r="E199" t="str">
            <v>EJ/yr</v>
          </cell>
          <cell r="K199">
            <v>0.15</v>
          </cell>
          <cell r="P199">
            <v>0.19</v>
          </cell>
          <cell r="Z199">
            <v>0.28299999999999997</v>
          </cell>
          <cell r="AJ199">
            <v>0.35099999999999998</v>
          </cell>
          <cell r="AT199">
            <v>0.107</v>
          </cell>
          <cell r="BD199">
            <v>0.107</v>
          </cell>
          <cell r="BN199">
            <v>0.107</v>
          </cell>
          <cell r="BX199">
            <v>3.3000000000000002E-2</v>
          </cell>
          <cell r="CH199">
            <v>3.3000000000000002E-2</v>
          </cell>
          <cell r="CR199">
            <v>3.3000000000000002E-2</v>
          </cell>
          <cell r="DB199">
            <v>0.01</v>
          </cell>
        </row>
        <row r="200">
          <cell r="D200" t="str">
            <v>Secondary Energy|Hydrogen</v>
          </cell>
          <cell r="E200" t="str">
            <v>EJ/yr</v>
          </cell>
          <cell r="K200">
            <v>0</v>
          </cell>
          <cell r="P200">
            <v>0.218</v>
          </cell>
          <cell r="Z200">
            <v>0</v>
          </cell>
          <cell r="AJ200">
            <v>0</v>
          </cell>
          <cell r="AT200">
            <v>0.63200000000000001</v>
          </cell>
          <cell r="BD200">
            <v>2.4790000000000001</v>
          </cell>
          <cell r="BN200">
            <v>3.6829999999999998</v>
          </cell>
          <cell r="BX200">
            <v>6.06</v>
          </cell>
          <cell r="CH200">
            <v>13.936</v>
          </cell>
          <cell r="CR200">
            <v>29.207999999999998</v>
          </cell>
          <cell r="DB200">
            <v>35.579000000000001</v>
          </cell>
        </row>
        <row r="201">
          <cell r="D201" t="str">
            <v>Secondary Energy|Hydrogen|Biomass</v>
          </cell>
          <cell r="E201" t="str">
            <v>EJ/yr</v>
          </cell>
          <cell r="K201">
            <v>0</v>
          </cell>
          <cell r="P201">
            <v>0</v>
          </cell>
          <cell r="Z201">
            <v>0</v>
          </cell>
          <cell r="AJ201">
            <v>0</v>
          </cell>
          <cell r="AT201">
            <v>0</v>
          </cell>
          <cell r="BD201">
            <v>0</v>
          </cell>
          <cell r="BN201">
            <v>0</v>
          </cell>
          <cell r="BX201">
            <v>0</v>
          </cell>
          <cell r="CH201">
            <v>0</v>
          </cell>
          <cell r="CR201">
            <v>0</v>
          </cell>
          <cell r="DB201">
            <v>0</v>
          </cell>
        </row>
        <row r="202">
          <cell r="D202" t="str">
            <v>Secondary Energy|Hydrogen|Biomass|w/ CCS</v>
          </cell>
          <cell r="E202" t="str">
            <v>EJ/yr</v>
          </cell>
          <cell r="K202">
            <v>0</v>
          </cell>
          <cell r="P202">
            <v>0</v>
          </cell>
          <cell r="Z202">
            <v>0</v>
          </cell>
          <cell r="AJ202">
            <v>0</v>
          </cell>
          <cell r="AT202">
            <v>0</v>
          </cell>
          <cell r="BD202">
            <v>0</v>
          </cell>
          <cell r="BN202">
            <v>0</v>
          </cell>
          <cell r="BX202">
            <v>0</v>
          </cell>
          <cell r="CH202">
            <v>0</v>
          </cell>
          <cell r="CR202">
            <v>0</v>
          </cell>
          <cell r="DB202">
            <v>0</v>
          </cell>
        </row>
        <row r="203">
          <cell r="D203" t="str">
            <v>Secondary Energy|Hydrogen|Biomass|w/o CCS</v>
          </cell>
          <cell r="E203" t="str">
            <v>EJ/yr</v>
          </cell>
          <cell r="K203">
            <v>0</v>
          </cell>
          <cell r="P203">
            <v>0</v>
          </cell>
          <cell r="Z203">
            <v>0</v>
          </cell>
          <cell r="AJ203">
            <v>0</v>
          </cell>
          <cell r="AT203">
            <v>0</v>
          </cell>
          <cell r="BD203">
            <v>0</v>
          </cell>
          <cell r="BN203">
            <v>0</v>
          </cell>
          <cell r="BX203">
            <v>0</v>
          </cell>
          <cell r="CH203">
            <v>0</v>
          </cell>
          <cell r="CR203">
            <v>0</v>
          </cell>
          <cell r="DB203">
            <v>0</v>
          </cell>
        </row>
        <row r="204">
          <cell r="D204" t="str">
            <v>Secondary Energy|Hydrogen|Electricity</v>
          </cell>
          <cell r="E204" t="str">
            <v>EJ/yr</v>
          </cell>
          <cell r="K204">
            <v>0</v>
          </cell>
          <cell r="P204">
            <v>0.218</v>
          </cell>
          <cell r="Z204">
            <v>0</v>
          </cell>
          <cell r="AJ204">
            <v>0</v>
          </cell>
          <cell r="AT204">
            <v>0</v>
          </cell>
          <cell r="BD204">
            <v>0</v>
          </cell>
          <cell r="BN204">
            <v>0</v>
          </cell>
          <cell r="BX204">
            <v>0</v>
          </cell>
          <cell r="CH204">
            <v>0</v>
          </cell>
          <cell r="CR204">
            <v>0</v>
          </cell>
          <cell r="DB204">
            <v>0</v>
          </cell>
        </row>
        <row r="205">
          <cell r="D205" t="str">
            <v>Secondary Energy|Liquids</v>
          </cell>
          <cell r="E205" t="str">
            <v>EJ/yr</v>
          </cell>
          <cell r="K205">
            <v>164.13499999999999</v>
          </cell>
          <cell r="P205">
            <v>159.77000000000001</v>
          </cell>
          <cell r="Z205">
            <v>195.65700000000001</v>
          </cell>
          <cell r="AJ205">
            <v>215.102</v>
          </cell>
          <cell r="AT205">
            <v>229.57300000000001</v>
          </cell>
          <cell r="BD205">
            <v>234.96700000000001</v>
          </cell>
          <cell r="BN205">
            <v>220.523</v>
          </cell>
          <cell r="BX205">
            <v>203.60400000000001</v>
          </cell>
          <cell r="CH205">
            <v>224.44499999999999</v>
          </cell>
          <cell r="CR205">
            <v>254.505</v>
          </cell>
          <cell r="DB205">
            <v>280.21699999999998</v>
          </cell>
        </row>
        <row r="206">
          <cell r="D206" t="str">
            <v>Secondary Energy|Liquids|Biomass</v>
          </cell>
          <cell r="E206" t="str">
            <v>EJ/yr</v>
          </cell>
          <cell r="K206">
            <v>0.93200000000000005</v>
          </cell>
          <cell r="P206">
            <v>2.3220000000000001</v>
          </cell>
          <cell r="Z206">
            <v>3.4159999999999999</v>
          </cell>
          <cell r="AJ206">
            <v>1.679</v>
          </cell>
          <cell r="AT206">
            <v>0.88300000000000001</v>
          </cell>
          <cell r="BD206">
            <v>2.3759999999999999</v>
          </cell>
          <cell r="BN206">
            <v>3.3279999999999998</v>
          </cell>
          <cell r="BX206">
            <v>3.1440000000000001</v>
          </cell>
          <cell r="CH206">
            <v>4.0330000000000004</v>
          </cell>
          <cell r="CR206">
            <v>6.1070000000000002</v>
          </cell>
          <cell r="DB206">
            <v>6.2430000000000003</v>
          </cell>
        </row>
        <row r="207">
          <cell r="D207" t="str">
            <v>Secondary Energy|Liquids|Biomass|w/ CCS</v>
          </cell>
          <cell r="E207" t="str">
            <v>EJ/yr</v>
          </cell>
          <cell r="K207">
            <v>0</v>
          </cell>
          <cell r="P207">
            <v>0</v>
          </cell>
          <cell r="Z207">
            <v>0</v>
          </cell>
          <cell r="AJ207">
            <v>0</v>
          </cell>
          <cell r="AT207">
            <v>0</v>
          </cell>
          <cell r="BD207">
            <v>0</v>
          </cell>
          <cell r="BN207">
            <v>0</v>
          </cell>
          <cell r="BX207">
            <v>0</v>
          </cell>
          <cell r="CH207">
            <v>0</v>
          </cell>
          <cell r="CR207">
            <v>0</v>
          </cell>
          <cell r="DB207">
            <v>0</v>
          </cell>
        </row>
        <row r="208">
          <cell r="D208" t="str">
            <v>Secondary Energy|Liquids|Biomass|w/o CCS</v>
          </cell>
          <cell r="E208" t="str">
            <v>EJ/yr</v>
          </cell>
          <cell r="K208">
            <v>0.93200000000000005</v>
          </cell>
          <cell r="P208">
            <v>2.3220000000000001</v>
          </cell>
          <cell r="Z208">
            <v>3.4159999999999999</v>
          </cell>
          <cell r="AJ208">
            <v>1.679</v>
          </cell>
          <cell r="AT208">
            <v>0.88300000000000001</v>
          </cell>
          <cell r="BD208">
            <v>2.3759999999999999</v>
          </cell>
          <cell r="BN208">
            <v>3.3279999999999998</v>
          </cell>
          <cell r="BX208">
            <v>3.1440000000000001</v>
          </cell>
          <cell r="CH208">
            <v>4.0330000000000004</v>
          </cell>
          <cell r="CR208">
            <v>6.1070000000000002</v>
          </cell>
          <cell r="DB208">
            <v>6.2430000000000003</v>
          </cell>
        </row>
        <row r="209">
          <cell r="D209" t="str">
            <v>Secondary Energy|Liquids|Coal</v>
          </cell>
          <cell r="E209" t="str">
            <v>EJ/yr</v>
          </cell>
          <cell r="K209">
            <v>0</v>
          </cell>
          <cell r="P209">
            <v>0</v>
          </cell>
          <cell r="Z209">
            <v>1.2549999999999999</v>
          </cell>
          <cell r="AJ209">
            <v>5.3710000000000004</v>
          </cell>
          <cell r="AT209">
            <v>9.8620000000000001</v>
          </cell>
          <cell r="BD209">
            <v>13.547000000000001</v>
          </cell>
          <cell r="BN209">
            <v>18.859000000000002</v>
          </cell>
          <cell r="BX209">
            <v>20.402000000000001</v>
          </cell>
          <cell r="CH209">
            <v>19.663</v>
          </cell>
          <cell r="CR209">
            <v>15.616</v>
          </cell>
          <cell r="DB209">
            <v>16.733000000000001</v>
          </cell>
        </row>
        <row r="210">
          <cell r="D210" t="str">
            <v>Secondary Energy|Liquids|Coal|w/ CCS</v>
          </cell>
          <cell r="E210" t="str">
            <v>EJ/yr</v>
          </cell>
          <cell r="K210">
            <v>0</v>
          </cell>
          <cell r="P210">
            <v>0</v>
          </cell>
          <cell r="Z210">
            <v>0</v>
          </cell>
          <cell r="AJ210">
            <v>0</v>
          </cell>
          <cell r="AT210">
            <v>0</v>
          </cell>
          <cell r="BD210">
            <v>0</v>
          </cell>
          <cell r="BN210">
            <v>0</v>
          </cell>
          <cell r="BX210">
            <v>0</v>
          </cell>
          <cell r="CH210">
            <v>0</v>
          </cell>
          <cell r="CR210">
            <v>0</v>
          </cell>
          <cell r="DB210">
            <v>0</v>
          </cell>
        </row>
        <row r="211">
          <cell r="D211" t="str">
            <v>Secondary Energy|Liquids|Coal|w/o CCS</v>
          </cell>
          <cell r="E211" t="str">
            <v>EJ/yr</v>
          </cell>
          <cell r="K211">
            <v>0</v>
          </cell>
          <cell r="P211">
            <v>0</v>
          </cell>
          <cell r="Z211">
            <v>1.2549999999999999</v>
          </cell>
          <cell r="AJ211">
            <v>5.3710000000000004</v>
          </cell>
          <cell r="AT211">
            <v>9.8620000000000001</v>
          </cell>
          <cell r="BD211">
            <v>13.547000000000001</v>
          </cell>
          <cell r="BN211">
            <v>18.859000000000002</v>
          </cell>
          <cell r="BX211">
            <v>20.402000000000001</v>
          </cell>
          <cell r="CH211">
            <v>19.663</v>
          </cell>
          <cell r="CR211">
            <v>15.616</v>
          </cell>
          <cell r="DB211">
            <v>16.733000000000001</v>
          </cell>
        </row>
        <row r="212">
          <cell r="D212" t="str">
            <v>Secondary Energy|Liquids|Gas</v>
          </cell>
          <cell r="E212" t="str">
            <v>EJ/yr</v>
          </cell>
          <cell r="K212">
            <v>0</v>
          </cell>
          <cell r="P212">
            <v>0</v>
          </cell>
          <cell r="Z212">
            <v>0.93400000000000005</v>
          </cell>
          <cell r="AJ212">
            <v>2.105</v>
          </cell>
          <cell r="AT212">
            <v>2.5329999999999999</v>
          </cell>
          <cell r="BD212">
            <v>1.6059999999999901</v>
          </cell>
          <cell r="BN212">
            <v>0.52200000000000002</v>
          </cell>
          <cell r="BX212">
            <v>1.0999999999999999E-2</v>
          </cell>
          <cell r="CH212">
            <v>0</v>
          </cell>
          <cell r="CR212">
            <v>0</v>
          </cell>
          <cell r="DB212">
            <v>0</v>
          </cell>
        </row>
        <row r="213">
          <cell r="D213" t="str">
            <v>Secondary Energy|Liquids|Gas|w/ CCS</v>
          </cell>
          <cell r="E213" t="str">
            <v>EJ/yr</v>
          </cell>
          <cell r="K213">
            <v>0</v>
          </cell>
          <cell r="P213">
            <v>0</v>
          </cell>
          <cell r="Z213">
            <v>0</v>
          </cell>
          <cell r="AJ213">
            <v>0</v>
          </cell>
          <cell r="AT213">
            <v>0</v>
          </cell>
          <cell r="BD213">
            <v>0</v>
          </cell>
          <cell r="BN213">
            <v>0</v>
          </cell>
          <cell r="BX213">
            <v>0</v>
          </cell>
          <cell r="CH213">
            <v>0</v>
          </cell>
          <cell r="CR213">
            <v>0</v>
          </cell>
          <cell r="DB213">
            <v>0</v>
          </cell>
        </row>
        <row r="214">
          <cell r="D214" t="str">
            <v>Secondary Energy|Liquids|Gas|w/o CCS</v>
          </cell>
          <cell r="E214" t="str">
            <v>EJ/yr</v>
          </cell>
          <cell r="K214">
            <v>0</v>
          </cell>
          <cell r="P214">
            <v>0</v>
          </cell>
          <cell r="Z214">
            <v>0.93400000000000005</v>
          </cell>
          <cell r="AJ214">
            <v>2.105</v>
          </cell>
          <cell r="AT214">
            <v>2.5329999999999999</v>
          </cell>
          <cell r="BD214">
            <v>1.6059999999999901</v>
          </cell>
          <cell r="BN214">
            <v>0.52200000000000002</v>
          </cell>
          <cell r="BX214">
            <v>1.0999999999999999E-2</v>
          </cell>
          <cell r="CH214">
            <v>0</v>
          </cell>
          <cell r="CR214">
            <v>0</v>
          </cell>
          <cell r="DB214">
            <v>0</v>
          </cell>
        </row>
        <row r="215">
          <cell r="D215" t="str">
            <v>Secondary Energy|Liquids|Oil</v>
          </cell>
          <cell r="E215" t="str">
            <v>EJ/yr</v>
          </cell>
          <cell r="K215">
            <v>163.203</v>
          </cell>
          <cell r="P215">
            <v>157.44800000000001</v>
          </cell>
          <cell r="Z215">
            <v>190.05199999999999</v>
          </cell>
          <cell r="AJ215">
            <v>205.947</v>
          </cell>
          <cell r="AT215">
            <v>216.29499999999999</v>
          </cell>
          <cell r="BD215">
            <v>217.43799999999999</v>
          </cell>
          <cell r="BN215">
            <v>197.81399999999999</v>
          </cell>
          <cell r="BX215">
            <v>180.047</v>
          </cell>
          <cell r="CH215">
            <v>200.749</v>
          </cell>
          <cell r="CR215">
            <v>232.78200000000001</v>
          </cell>
          <cell r="DB215">
            <v>257.24099999999999</v>
          </cell>
        </row>
        <row r="216">
          <cell r="D216" t="str">
            <v>Secondary Energy|Solids</v>
          </cell>
          <cell r="E216" t="str">
            <v>EJ/yr</v>
          </cell>
          <cell r="K216">
            <v>65.994</v>
          </cell>
          <cell r="P216">
            <v>80.584999999999994</v>
          </cell>
          <cell r="Z216">
            <v>91.072000000000003</v>
          </cell>
          <cell r="AJ216">
            <v>116.175</v>
          </cell>
          <cell r="AT216">
            <v>129.166</v>
          </cell>
          <cell r="BD216">
            <v>133.43199999999999</v>
          </cell>
          <cell r="BN216">
            <v>145.78200000000001</v>
          </cell>
          <cell r="BX216">
            <v>159.07400000000001</v>
          </cell>
          <cell r="CH216">
            <v>157.578</v>
          </cell>
          <cell r="CR216">
            <v>147.881</v>
          </cell>
          <cell r="DB216">
            <v>154.22900000000001</v>
          </cell>
        </row>
      </sheetData>
      <sheetData sheetId="3">
        <row r="1">
          <cell r="A1" t="str">
            <v>model</v>
          </cell>
          <cell r="B1" t="str">
            <v>scenario</v>
          </cell>
          <cell r="C1" t="str">
            <v>region</v>
          </cell>
          <cell r="D1" t="str">
            <v>variable</v>
          </cell>
          <cell r="E1" t="str">
            <v>unit</v>
          </cell>
          <cell r="F1">
            <v>2000</v>
          </cell>
          <cell r="G1">
            <v>2001</v>
          </cell>
          <cell r="H1">
            <v>2002</v>
          </cell>
          <cell r="I1">
            <v>2003</v>
          </cell>
          <cell r="J1">
            <v>2004</v>
          </cell>
          <cell r="K1">
            <v>2005</v>
          </cell>
          <cell r="L1">
            <v>2006</v>
          </cell>
          <cell r="M1">
            <v>2007</v>
          </cell>
          <cell r="N1">
            <v>2008</v>
          </cell>
          <cell r="O1">
            <v>2009</v>
          </cell>
          <cell r="P1">
            <v>2010</v>
          </cell>
          <cell r="Q1">
            <v>2011</v>
          </cell>
          <cell r="R1">
            <v>2012</v>
          </cell>
          <cell r="S1">
            <v>2013</v>
          </cell>
          <cell r="T1">
            <v>2014</v>
          </cell>
          <cell r="U1">
            <v>2015</v>
          </cell>
          <cell r="V1">
            <v>2016</v>
          </cell>
          <cell r="W1">
            <v>2017</v>
          </cell>
          <cell r="X1">
            <v>2018</v>
          </cell>
          <cell r="Y1">
            <v>2019</v>
          </cell>
          <cell r="Z1">
            <v>2020</v>
          </cell>
          <cell r="AA1">
            <v>2021</v>
          </cell>
          <cell r="AB1">
            <v>2022</v>
          </cell>
          <cell r="AC1">
            <v>2023</v>
          </cell>
          <cell r="AD1">
            <v>2024</v>
          </cell>
          <cell r="AE1">
            <v>2025</v>
          </cell>
          <cell r="AF1">
            <v>2026</v>
          </cell>
          <cell r="AG1">
            <v>2027</v>
          </cell>
          <cell r="AH1">
            <v>2028</v>
          </cell>
          <cell r="AI1">
            <v>2029</v>
          </cell>
          <cell r="AJ1">
            <v>2030</v>
          </cell>
          <cell r="AK1">
            <v>2031</v>
          </cell>
          <cell r="AL1">
            <v>2032</v>
          </cell>
          <cell r="AM1">
            <v>2033</v>
          </cell>
          <cell r="AN1">
            <v>2034</v>
          </cell>
          <cell r="AO1">
            <v>2035</v>
          </cell>
          <cell r="AP1">
            <v>2036</v>
          </cell>
          <cell r="AQ1">
            <v>2037</v>
          </cell>
          <cell r="AR1">
            <v>2038</v>
          </cell>
          <cell r="AS1">
            <v>2039</v>
          </cell>
          <cell r="AT1">
            <v>2040</v>
          </cell>
          <cell r="AU1">
            <v>2041</v>
          </cell>
          <cell r="AV1">
            <v>2042</v>
          </cell>
          <cell r="AW1">
            <v>2043</v>
          </cell>
          <cell r="AX1">
            <v>2044</v>
          </cell>
          <cell r="AY1">
            <v>2045</v>
          </cell>
          <cell r="AZ1">
            <v>2046</v>
          </cell>
          <cell r="BA1">
            <v>2047</v>
          </cell>
          <cell r="BB1">
            <v>2048</v>
          </cell>
          <cell r="BC1">
            <v>2049</v>
          </cell>
          <cell r="BD1">
            <v>2050</v>
          </cell>
          <cell r="BE1">
            <v>2051</v>
          </cell>
          <cell r="BF1">
            <v>2052</v>
          </cell>
          <cell r="BG1">
            <v>2053</v>
          </cell>
          <cell r="BH1">
            <v>2054</v>
          </cell>
          <cell r="BI1">
            <v>2055</v>
          </cell>
          <cell r="BJ1">
            <v>2056</v>
          </cell>
          <cell r="BK1">
            <v>2057</v>
          </cell>
          <cell r="BL1">
            <v>2058</v>
          </cell>
          <cell r="BM1">
            <v>2059</v>
          </cell>
          <cell r="BN1">
            <v>2060</v>
          </cell>
          <cell r="BO1">
            <v>2061</v>
          </cell>
          <cell r="BP1">
            <v>2062</v>
          </cell>
          <cell r="BQ1">
            <v>2063</v>
          </cell>
          <cell r="BR1">
            <v>2064</v>
          </cell>
          <cell r="BS1">
            <v>2065</v>
          </cell>
          <cell r="BT1">
            <v>2066</v>
          </cell>
          <cell r="BU1">
            <v>2067</v>
          </cell>
          <cell r="BV1">
            <v>2068</v>
          </cell>
          <cell r="BW1">
            <v>2069</v>
          </cell>
          <cell r="BX1">
            <v>2070</v>
          </cell>
          <cell r="BY1">
            <v>2071</v>
          </cell>
          <cell r="BZ1">
            <v>2072</v>
          </cell>
          <cell r="CA1">
            <v>2073</v>
          </cell>
          <cell r="CB1">
            <v>2074</v>
          </cell>
          <cell r="CC1">
            <v>2075</v>
          </cell>
          <cell r="CD1">
            <v>2076</v>
          </cell>
          <cell r="CE1">
            <v>2077</v>
          </cell>
          <cell r="CF1">
            <v>2078</v>
          </cell>
          <cell r="CG1">
            <v>2079</v>
          </cell>
          <cell r="CH1">
            <v>2080</v>
          </cell>
          <cell r="CI1">
            <v>2081</v>
          </cell>
          <cell r="CJ1">
            <v>2082</v>
          </cell>
          <cell r="CK1">
            <v>2083</v>
          </cell>
          <cell r="CL1">
            <v>2084</v>
          </cell>
          <cell r="CM1">
            <v>2085</v>
          </cell>
          <cell r="CN1">
            <v>2086</v>
          </cell>
          <cell r="CO1">
            <v>2087</v>
          </cell>
          <cell r="CP1">
            <v>2088</v>
          </cell>
          <cell r="CQ1">
            <v>2089</v>
          </cell>
          <cell r="CR1">
            <v>2090</v>
          </cell>
          <cell r="CS1">
            <v>2091</v>
          </cell>
          <cell r="CT1">
            <v>2092</v>
          </cell>
          <cell r="CU1">
            <v>2093</v>
          </cell>
          <cell r="CV1">
            <v>2094</v>
          </cell>
          <cell r="CW1">
            <v>2095</v>
          </cell>
          <cell r="CX1">
            <v>2096</v>
          </cell>
          <cell r="CY1">
            <v>2097</v>
          </cell>
          <cell r="CZ1">
            <v>2098</v>
          </cell>
          <cell r="DA1">
            <v>2099</v>
          </cell>
          <cell r="DB1">
            <v>2100</v>
          </cell>
        </row>
        <row r="2">
          <cell r="D2" t="str">
            <v>AR5 climate diagnostics|Concentration|CO2|FAIR|MED</v>
          </cell>
          <cell r="E2" t="str">
            <v>ppm</v>
          </cell>
          <cell r="P2">
            <v>389.08100000000002</v>
          </cell>
          <cell r="Q2">
            <v>391.45299999999997</v>
          </cell>
          <cell r="R2">
            <v>393.86</v>
          </cell>
          <cell r="S2">
            <v>396.27300000000002</v>
          </cell>
          <cell r="T2">
            <v>398.69600000000003</v>
          </cell>
          <cell r="U2">
            <v>401.12900000000002</v>
          </cell>
          <cell r="V2">
            <v>403.52600000000001</v>
          </cell>
          <cell r="W2">
            <v>405.92700000000002</v>
          </cell>
          <cell r="X2">
            <v>408.339</v>
          </cell>
          <cell r="Y2">
            <v>410.76100000000002</v>
          </cell>
          <cell r="Z2">
            <v>413.19299999999998</v>
          </cell>
          <cell r="AA2">
            <v>415.31799999999998</v>
          </cell>
          <cell r="AB2">
            <v>417.149</v>
          </cell>
          <cell r="AC2">
            <v>418.78</v>
          </cell>
          <cell r="AD2">
            <v>420.18200000000002</v>
          </cell>
          <cell r="AE2">
            <v>421.36399999999998</v>
          </cell>
          <cell r="AF2">
            <v>422.35599999999999</v>
          </cell>
          <cell r="AG2">
            <v>423.13400000000001</v>
          </cell>
          <cell r="AH2">
            <v>423.68200000000002</v>
          </cell>
          <cell r="AI2">
            <v>424.06099999999998</v>
          </cell>
          <cell r="AJ2">
            <v>424.27</v>
          </cell>
          <cell r="AK2">
            <v>424.47800000000001</v>
          </cell>
          <cell r="AL2">
            <v>424.642</v>
          </cell>
          <cell r="AM2">
            <v>424.74</v>
          </cell>
          <cell r="AN2">
            <v>424.78199999999998</v>
          </cell>
          <cell r="AO2">
            <v>424.78</v>
          </cell>
          <cell r="AP2">
            <v>424.72899999999998</v>
          </cell>
          <cell r="AQ2">
            <v>424.62799999999999</v>
          </cell>
          <cell r="AR2">
            <v>424.47500000000002</v>
          </cell>
          <cell r="AS2">
            <v>424.30900000000003</v>
          </cell>
          <cell r="AT2">
            <v>424.11200000000002</v>
          </cell>
          <cell r="AU2">
            <v>423.84899999999999</v>
          </cell>
          <cell r="AV2">
            <v>423.55399999999997</v>
          </cell>
          <cell r="AW2">
            <v>423.274</v>
          </cell>
          <cell r="AX2">
            <v>422.98</v>
          </cell>
          <cell r="AY2">
            <v>422.649</v>
          </cell>
          <cell r="AZ2">
            <v>422.29599999999999</v>
          </cell>
          <cell r="BA2">
            <v>421.92200000000003</v>
          </cell>
          <cell r="BB2">
            <v>421.55200000000002</v>
          </cell>
          <cell r="BC2">
            <v>421.11200000000002</v>
          </cell>
          <cell r="BD2">
            <v>420.64299999999997</v>
          </cell>
          <cell r="BE2">
            <v>420.16699999999997</v>
          </cell>
          <cell r="BF2">
            <v>419.68099999999998</v>
          </cell>
          <cell r="BG2">
            <v>419.18400000000003</v>
          </cell>
          <cell r="BH2">
            <v>418.7</v>
          </cell>
          <cell r="BI2">
            <v>418.20699999999999</v>
          </cell>
          <cell r="BJ2">
            <v>417.70299999999997</v>
          </cell>
          <cell r="BK2">
            <v>417.18700000000001</v>
          </cell>
          <cell r="BL2">
            <v>416.64100000000002</v>
          </cell>
          <cell r="BM2">
            <v>416.06700000000001</v>
          </cell>
          <cell r="BN2">
            <v>415.48099999999999</v>
          </cell>
          <cell r="BO2">
            <v>414.899</v>
          </cell>
          <cell r="BP2">
            <v>414.32600000000002</v>
          </cell>
          <cell r="BQ2">
            <v>413.76299999999998</v>
          </cell>
          <cell r="BR2">
            <v>413.2</v>
          </cell>
          <cell r="BS2">
            <v>412.63499999999999</v>
          </cell>
          <cell r="BT2">
            <v>412.06900000000002</v>
          </cell>
          <cell r="BU2">
            <v>411.5</v>
          </cell>
          <cell r="BV2">
            <v>410.928</v>
          </cell>
          <cell r="BW2">
            <v>410.35399999999998</v>
          </cell>
          <cell r="BX2">
            <v>409.77600000000001</v>
          </cell>
          <cell r="BY2">
            <v>409.20400000000001</v>
          </cell>
          <cell r="BZ2">
            <v>408.63900000000001</v>
          </cell>
          <cell r="CA2">
            <v>408.07799999999997</v>
          </cell>
          <cell r="CB2">
            <v>407.52199999999999</v>
          </cell>
          <cell r="CC2">
            <v>406.96899999999999</v>
          </cell>
          <cell r="CD2">
            <v>406.42</v>
          </cell>
          <cell r="CE2">
            <v>405.87299999999999</v>
          </cell>
          <cell r="CF2">
            <v>405.32900000000001</v>
          </cell>
          <cell r="CG2">
            <v>404.78699999999998</v>
          </cell>
          <cell r="CH2">
            <v>404.24099999999999</v>
          </cell>
          <cell r="CI2">
            <v>403.697</v>
          </cell>
          <cell r="CJ2">
            <v>403.15499999999997</v>
          </cell>
          <cell r="CK2">
            <v>402.613</v>
          </cell>
          <cell r="CL2">
            <v>402.072</v>
          </cell>
          <cell r="CM2">
            <v>401.53100000000001</v>
          </cell>
          <cell r="CN2">
            <v>400.99099999999999</v>
          </cell>
          <cell r="CO2">
            <v>400.45100000000002</v>
          </cell>
          <cell r="CP2">
            <v>399.91199999999998</v>
          </cell>
          <cell r="CQ2">
            <v>399.37200000000001</v>
          </cell>
          <cell r="CR2">
            <v>398.83300000000003</v>
          </cell>
          <cell r="CS2">
            <v>398.3</v>
          </cell>
          <cell r="CT2">
            <v>397.77499999999998</v>
          </cell>
          <cell r="CU2">
            <v>397.25599999999997</v>
          </cell>
          <cell r="CV2">
            <v>396.74299999999999</v>
          </cell>
          <cell r="CW2">
            <v>396.23700000000002</v>
          </cell>
          <cell r="CX2">
            <v>395.738</v>
          </cell>
          <cell r="CY2">
            <v>395.24299999999999</v>
          </cell>
          <cell r="CZ2">
            <v>394.75299999999999</v>
          </cell>
          <cell r="DA2">
            <v>394.267</v>
          </cell>
          <cell r="DB2">
            <v>393.78399999999999</v>
          </cell>
        </row>
        <row r="3">
          <cell r="D3" t="str">
            <v>AR5 climate diagnostics|Concentration|CO2|MAGICC6|MED</v>
          </cell>
          <cell r="E3" t="str">
            <v>ppm</v>
          </cell>
          <cell r="F3">
            <v>369.56</v>
          </cell>
          <cell r="G3">
            <v>371.375</v>
          </cell>
          <cell r="H3">
            <v>373.67</v>
          </cell>
          <cell r="I3">
            <v>375.85</v>
          </cell>
          <cell r="J3">
            <v>377.77499999999998</v>
          </cell>
          <cell r="K3">
            <v>379.85</v>
          </cell>
          <cell r="L3">
            <v>381.80500000000001</v>
          </cell>
          <cell r="M3">
            <v>383.75</v>
          </cell>
          <cell r="N3">
            <v>385.85</v>
          </cell>
          <cell r="O3">
            <v>388.40572839999999</v>
          </cell>
          <cell r="P3">
            <v>390.90348110000002</v>
          </cell>
          <cell r="Q3">
            <v>393.43737099999998</v>
          </cell>
          <cell r="R3">
            <v>395.95545709999999</v>
          </cell>
          <cell r="S3">
            <v>398.47398129999999</v>
          </cell>
          <cell r="T3">
            <v>400.99254050000002</v>
          </cell>
          <cell r="U3">
            <v>403.49329490000002</v>
          </cell>
          <cell r="V3">
            <v>406.00866209999998</v>
          </cell>
          <cell r="W3">
            <v>408.51672339999999</v>
          </cell>
          <cell r="X3">
            <v>411.03785390000002</v>
          </cell>
          <cell r="Y3">
            <v>413.54795259999997</v>
          </cell>
          <cell r="Z3">
            <v>416.08944109999999</v>
          </cell>
          <cell r="AA3">
            <v>418.63668419999999</v>
          </cell>
          <cell r="AB3">
            <v>420.87289759999999</v>
          </cell>
          <cell r="AC3">
            <v>422.83309639999999</v>
          </cell>
          <cell r="AD3">
            <v>424.52104100000003</v>
          </cell>
          <cell r="AE3">
            <v>425.99120920000001</v>
          </cell>
          <cell r="AF3">
            <v>427.23818410000001</v>
          </cell>
          <cell r="AG3">
            <v>428.24190590000001</v>
          </cell>
          <cell r="AH3">
            <v>429.0044924</v>
          </cell>
          <cell r="AI3">
            <v>429.55252610000002</v>
          </cell>
          <cell r="AJ3">
            <v>429.90011829999997</v>
          </cell>
          <cell r="AK3">
            <v>430.02059389999999</v>
          </cell>
          <cell r="AL3">
            <v>430.145579</v>
          </cell>
          <cell r="AM3">
            <v>430.24338729999999</v>
          </cell>
          <cell r="AN3">
            <v>430.44134380000003</v>
          </cell>
          <cell r="AO3">
            <v>430.5482695</v>
          </cell>
          <cell r="AP3">
            <v>430.64848169999999</v>
          </cell>
          <cell r="AQ3">
            <v>430.67834790000001</v>
          </cell>
          <cell r="AR3">
            <v>430.66611890000001</v>
          </cell>
          <cell r="AS3">
            <v>430.56043260000001</v>
          </cell>
          <cell r="AT3">
            <v>430.3387424</v>
          </cell>
          <cell r="AU3">
            <v>430.27371879999998</v>
          </cell>
          <cell r="AV3">
            <v>430.0772197</v>
          </cell>
          <cell r="AW3">
            <v>429.84477329999999</v>
          </cell>
          <cell r="AX3">
            <v>429.678786</v>
          </cell>
          <cell r="AY3">
            <v>429.52023800000001</v>
          </cell>
          <cell r="AZ3">
            <v>429.33150210000002</v>
          </cell>
          <cell r="BA3">
            <v>429.09807160000003</v>
          </cell>
          <cell r="BB3">
            <v>428.77829600000001</v>
          </cell>
          <cell r="BC3">
            <v>428.4884682</v>
          </cell>
          <cell r="BD3">
            <v>428.15008189999998</v>
          </cell>
          <cell r="BE3">
            <v>427.85308329999998</v>
          </cell>
          <cell r="BF3">
            <v>427.5154005</v>
          </cell>
          <cell r="BG3">
            <v>427.14677060000002</v>
          </cell>
          <cell r="BH3">
            <v>426.7625615</v>
          </cell>
          <cell r="BI3">
            <v>426.32388520000001</v>
          </cell>
          <cell r="BJ3">
            <v>425.8974245</v>
          </cell>
          <cell r="BK3">
            <v>425.50736949999998</v>
          </cell>
          <cell r="BL3">
            <v>425.08775689999999</v>
          </cell>
          <cell r="BM3">
            <v>424.5606851</v>
          </cell>
          <cell r="BN3">
            <v>424.06034629999999</v>
          </cell>
          <cell r="BO3">
            <v>423.5829286</v>
          </cell>
          <cell r="BP3">
            <v>423.06103130000002</v>
          </cell>
          <cell r="BQ3">
            <v>422.5641875</v>
          </cell>
          <cell r="BR3">
            <v>422.04110709999998</v>
          </cell>
          <cell r="BS3">
            <v>421.5704303</v>
          </cell>
          <cell r="BT3">
            <v>421.14990019999999</v>
          </cell>
          <cell r="BU3">
            <v>420.61311790000002</v>
          </cell>
          <cell r="BV3">
            <v>420.08294009999997</v>
          </cell>
          <cell r="BW3">
            <v>419.5681472</v>
          </cell>
          <cell r="BX3">
            <v>419.09682190000001</v>
          </cell>
          <cell r="BY3">
            <v>418.50808000000001</v>
          </cell>
          <cell r="BZ3">
            <v>417.8771989</v>
          </cell>
          <cell r="CA3">
            <v>417.42074609999997</v>
          </cell>
          <cell r="CB3">
            <v>416.87813360000001</v>
          </cell>
          <cell r="CC3">
            <v>416.27498430000003</v>
          </cell>
          <cell r="CD3">
            <v>415.70839769999998</v>
          </cell>
          <cell r="CE3">
            <v>415.12539870000001</v>
          </cell>
          <cell r="CF3">
            <v>414.54071770000002</v>
          </cell>
          <cell r="CG3">
            <v>413.98358960000002</v>
          </cell>
          <cell r="CH3">
            <v>413.43468430000001</v>
          </cell>
          <cell r="CI3">
            <v>412.84422230000001</v>
          </cell>
          <cell r="CJ3">
            <v>412.30565990000002</v>
          </cell>
          <cell r="CK3">
            <v>411.81537889999998</v>
          </cell>
          <cell r="CL3">
            <v>411.23652709999999</v>
          </cell>
          <cell r="CM3">
            <v>410.64671859999999</v>
          </cell>
          <cell r="CN3">
            <v>410.03503009999997</v>
          </cell>
          <cell r="CO3">
            <v>409.41535549999998</v>
          </cell>
          <cell r="CP3">
            <v>408.90642309999998</v>
          </cell>
          <cell r="CQ3">
            <v>408.39668499999999</v>
          </cell>
          <cell r="CR3">
            <v>407.90379009999998</v>
          </cell>
          <cell r="CS3">
            <v>407.37405649999999</v>
          </cell>
          <cell r="CT3">
            <v>406.85054070000001</v>
          </cell>
          <cell r="CU3">
            <v>406.27856029999998</v>
          </cell>
          <cell r="CV3">
            <v>405.7766891</v>
          </cell>
          <cell r="CW3">
            <v>405.23051299999997</v>
          </cell>
          <cell r="CX3">
            <v>404.68826969999998</v>
          </cell>
          <cell r="CY3">
            <v>404.21044540000003</v>
          </cell>
          <cell r="CZ3">
            <v>403.66886340000002</v>
          </cell>
          <cell r="DA3">
            <v>403.18618679999997</v>
          </cell>
          <cell r="DB3">
            <v>402.79701749999998</v>
          </cell>
        </row>
        <row r="4">
          <cell r="D4" t="str">
            <v>AR5 climate diagnostics|Forcing|Aerosol|Direct|MAGICC6|MED</v>
          </cell>
          <cell r="E4" t="str">
            <v>W/m2</v>
          </cell>
          <cell r="F4">
            <v>-0.36405015400000001</v>
          </cell>
          <cell r="G4">
            <v>-0.36380980400000001</v>
          </cell>
          <cell r="H4">
            <v>-0.36556142200000002</v>
          </cell>
          <cell r="I4">
            <v>-0.36751886900000003</v>
          </cell>
          <cell r="J4">
            <v>-0.36957420499999999</v>
          </cell>
          <cell r="K4">
            <v>-0.364810311</v>
          </cell>
          <cell r="L4">
            <v>-0.35521725900000001</v>
          </cell>
          <cell r="M4">
            <v>-0.34606356500000002</v>
          </cell>
          <cell r="N4">
            <v>-0.33765435399999999</v>
          </cell>
          <cell r="O4">
            <v>-0.32831473</v>
          </cell>
          <cell r="P4">
            <v>-0.320313077</v>
          </cell>
          <cell r="Q4">
            <v>-0.31180633000000002</v>
          </cell>
          <cell r="R4">
            <v>-0.30350993399999998</v>
          </cell>
          <cell r="S4">
            <v>-0.29568654999999999</v>
          </cell>
          <cell r="T4">
            <v>-0.28629670600000001</v>
          </cell>
          <cell r="U4">
            <v>-0.277872483</v>
          </cell>
          <cell r="V4">
            <v>-0.27045231199999997</v>
          </cell>
          <cell r="W4">
            <v>-0.26245170499999998</v>
          </cell>
          <cell r="X4">
            <v>-0.25468705800000002</v>
          </cell>
          <cell r="Y4">
            <v>-0.24854209399999999</v>
          </cell>
          <cell r="Z4">
            <v>-0.24203091600000001</v>
          </cell>
          <cell r="AA4">
            <v>-0.236346048</v>
          </cell>
          <cell r="AB4">
            <v>-0.23123149400000001</v>
          </cell>
          <cell r="AC4">
            <v>-0.22794908899999999</v>
          </cell>
          <cell r="AD4">
            <v>-0.22683937200000001</v>
          </cell>
          <cell r="AE4">
            <v>-0.22179880199999999</v>
          </cell>
          <cell r="AF4">
            <v>-0.21502968</v>
          </cell>
          <cell r="AG4">
            <v>-0.21165389100000001</v>
          </cell>
          <cell r="AH4">
            <v>-0.20791647999999999</v>
          </cell>
          <cell r="AI4">
            <v>-0.204192753</v>
          </cell>
          <cell r="AJ4">
            <v>-0.200482358</v>
          </cell>
          <cell r="AK4">
            <v>-0.195786458</v>
          </cell>
          <cell r="AL4">
            <v>-0.19034854400000001</v>
          </cell>
          <cell r="AM4">
            <v>-0.185188726</v>
          </cell>
          <cell r="AN4">
            <v>-0.18002483699999999</v>
          </cell>
          <cell r="AO4">
            <v>-0.17589133800000001</v>
          </cell>
          <cell r="AP4">
            <v>-0.16989658899999999</v>
          </cell>
          <cell r="AQ4">
            <v>-0.16613644399999999</v>
          </cell>
          <cell r="AR4">
            <v>-0.16296045200000001</v>
          </cell>
          <cell r="AS4">
            <v>-0.15823598</v>
          </cell>
          <cell r="AT4">
            <v>-0.154716353</v>
          </cell>
          <cell r="AU4">
            <v>-0.15321742499999999</v>
          </cell>
          <cell r="AV4">
            <v>-0.15175171000000001</v>
          </cell>
          <cell r="AW4">
            <v>-0.15069090900000001</v>
          </cell>
          <cell r="AX4">
            <v>-0.15036519200000001</v>
          </cell>
          <cell r="AY4">
            <v>-0.15007078700000001</v>
          </cell>
          <cell r="AZ4">
            <v>-0.15035447800000001</v>
          </cell>
          <cell r="BA4">
            <v>-0.150841479</v>
          </cell>
          <cell r="BB4">
            <v>-0.151029</v>
          </cell>
          <cell r="BC4">
            <v>-0.15100348999999999</v>
          </cell>
          <cell r="BD4">
            <v>-0.15058270300000001</v>
          </cell>
          <cell r="BE4">
            <v>-0.15053598700000001</v>
          </cell>
          <cell r="BF4">
            <v>-0.15048927200000001</v>
          </cell>
          <cell r="BG4">
            <v>-0.150289586</v>
          </cell>
          <cell r="BH4">
            <v>-0.150065162</v>
          </cell>
          <cell r="BI4">
            <v>-0.149840737</v>
          </cell>
          <cell r="BJ4">
            <v>-0.14960828900000001</v>
          </cell>
          <cell r="BK4">
            <v>-0.14934555199999999</v>
          </cell>
          <cell r="BL4">
            <v>-0.14921672499999999</v>
          </cell>
          <cell r="BM4">
            <v>-0.149124277</v>
          </cell>
          <cell r="BN4">
            <v>-0.14874278899999999</v>
          </cell>
          <cell r="BO4">
            <v>-0.14812869300000001</v>
          </cell>
          <cell r="BP4">
            <v>-0.14762955899999999</v>
          </cell>
          <cell r="BQ4">
            <v>-0.147149051</v>
          </cell>
          <cell r="BR4">
            <v>-0.14666854400000001</v>
          </cell>
          <cell r="BS4">
            <v>-0.14618803599999999</v>
          </cell>
          <cell r="BT4">
            <v>-0.145707529</v>
          </cell>
          <cell r="BU4">
            <v>-0.14522702100000001</v>
          </cell>
          <cell r="BV4">
            <v>-0.14466198899999999</v>
          </cell>
          <cell r="BW4">
            <v>-0.14401260900000001</v>
          </cell>
          <cell r="BX4">
            <v>-0.14364639200000001</v>
          </cell>
          <cell r="BY4">
            <v>-0.14346086199999999</v>
          </cell>
          <cell r="BZ4">
            <v>-0.143275333</v>
          </cell>
          <cell r="CA4">
            <v>-0.14308980299999999</v>
          </cell>
          <cell r="CB4">
            <v>-0.142904274</v>
          </cell>
          <cell r="CC4">
            <v>-0.14271874400000001</v>
          </cell>
          <cell r="CD4">
            <v>-0.14253321499999999</v>
          </cell>
          <cell r="CE4">
            <v>-0.142347686</v>
          </cell>
          <cell r="CF4">
            <v>-0.14225813500000001</v>
          </cell>
          <cell r="CG4">
            <v>-0.14231918800000001</v>
          </cell>
          <cell r="CH4">
            <v>-0.142346209</v>
          </cell>
          <cell r="CI4">
            <v>-0.142339198</v>
          </cell>
          <cell r="CJ4">
            <v>-0.142332187</v>
          </cell>
          <cell r="CK4">
            <v>-0.142325177</v>
          </cell>
          <cell r="CL4">
            <v>-0.142318166</v>
          </cell>
          <cell r="CM4">
            <v>-0.14231115499999999</v>
          </cell>
          <cell r="CN4">
            <v>-0.142227521</v>
          </cell>
          <cell r="CO4">
            <v>-0.142019073</v>
          </cell>
          <cell r="CP4">
            <v>-0.141810626</v>
          </cell>
          <cell r="CQ4">
            <v>-0.141602178</v>
          </cell>
          <cell r="CR4">
            <v>-0.14137850099999999</v>
          </cell>
          <cell r="CS4">
            <v>-0.14113959500000001</v>
          </cell>
          <cell r="CT4">
            <v>-0.140900689</v>
          </cell>
          <cell r="CU4">
            <v>-0.14066178400000001</v>
          </cell>
          <cell r="CV4">
            <v>-0.140422878</v>
          </cell>
          <cell r="CW4">
            <v>-0.14018397199999999</v>
          </cell>
          <cell r="CX4">
            <v>-0.13994506600000001</v>
          </cell>
          <cell r="CY4">
            <v>-0.13970616</v>
          </cell>
          <cell r="CZ4">
            <v>-0.13946725400000001</v>
          </cell>
          <cell r="DA4">
            <v>-0.139228348</v>
          </cell>
          <cell r="DB4">
            <v>-0.13910889600000001</v>
          </cell>
        </row>
        <row r="5">
          <cell r="D5" t="str">
            <v>AR5 climate diagnostics|Forcing|Aerosol|MAGICC6|MED</v>
          </cell>
          <cell r="E5" t="str">
            <v>W/m2</v>
          </cell>
          <cell r="F5">
            <v>-1.085907161</v>
          </cell>
          <cell r="G5">
            <v>-1.0892450309999999</v>
          </cell>
          <cell r="H5">
            <v>-1.0945500340000001</v>
          </cell>
          <cell r="I5">
            <v>-1.099959535</v>
          </cell>
          <cell r="J5">
            <v>-1.1057328550000001</v>
          </cell>
          <cell r="K5">
            <v>-1.099484122</v>
          </cell>
          <cell r="L5">
            <v>-1.0839277279999999</v>
          </cell>
          <cell r="M5">
            <v>-1.0690681360000001</v>
          </cell>
          <cell r="N5">
            <v>-1.0552514099999999</v>
          </cell>
          <cell r="O5">
            <v>-1.040463675</v>
          </cell>
          <cell r="P5">
            <v>-1.0260576050000001</v>
          </cell>
          <cell r="Q5">
            <v>-1.008976884</v>
          </cell>
          <cell r="R5">
            <v>-0.99191099999999999</v>
          </cell>
          <cell r="S5">
            <v>-0.97385976399999996</v>
          </cell>
          <cell r="T5">
            <v>-0.95444507099999998</v>
          </cell>
          <cell r="U5">
            <v>-0.93586343500000002</v>
          </cell>
          <cell r="V5">
            <v>-0.918732828</v>
          </cell>
          <cell r="W5">
            <v>-0.90140130799999996</v>
          </cell>
          <cell r="X5">
            <v>-0.884425931</v>
          </cell>
          <cell r="Y5">
            <v>-0.86733556599999995</v>
          </cell>
          <cell r="Z5">
            <v>-0.845737725</v>
          </cell>
          <cell r="AA5">
            <v>-0.82044092899999999</v>
          </cell>
          <cell r="AB5">
            <v>-0.79396926700000003</v>
          </cell>
          <cell r="AC5">
            <v>-0.76736603400000003</v>
          </cell>
          <cell r="AD5">
            <v>-0.74376901500000003</v>
          </cell>
          <cell r="AE5">
            <v>-0.71564554599999997</v>
          </cell>
          <cell r="AF5">
            <v>-0.68314666000000002</v>
          </cell>
          <cell r="AG5">
            <v>-0.65410509699999997</v>
          </cell>
          <cell r="AH5">
            <v>-0.62395551599999999</v>
          </cell>
          <cell r="AI5">
            <v>-0.59185989000000006</v>
          </cell>
          <cell r="AJ5">
            <v>-0.56987467599999997</v>
          </cell>
          <cell r="AK5">
            <v>-0.55624776899999995</v>
          </cell>
          <cell r="AL5">
            <v>-0.54195149799999998</v>
          </cell>
          <cell r="AM5">
            <v>-0.527653241</v>
          </cell>
          <cell r="AN5">
            <v>-0.51360613600000005</v>
          </cell>
          <cell r="AO5">
            <v>-0.50012142500000001</v>
          </cell>
          <cell r="AP5">
            <v>-0.48495079999999902</v>
          </cell>
          <cell r="AQ5">
            <v>-0.471651881</v>
          </cell>
          <cell r="AR5">
            <v>-0.45882145400000002</v>
          </cell>
          <cell r="AS5">
            <v>-0.44424142900000002</v>
          </cell>
          <cell r="AT5">
            <v>-0.43364850999999999</v>
          </cell>
          <cell r="AU5">
            <v>-0.42786030200000003</v>
          </cell>
          <cell r="AV5">
            <v>-0.42200997400000001</v>
          </cell>
          <cell r="AW5">
            <v>-0.41641778000000002</v>
          </cell>
          <cell r="AX5">
            <v>-0.41152509900000001</v>
          </cell>
          <cell r="AY5">
            <v>-0.40672516600000003</v>
          </cell>
          <cell r="AZ5">
            <v>-0.40254508700000002</v>
          </cell>
          <cell r="BA5">
            <v>-0.39853145699999998</v>
          </cell>
          <cell r="BB5">
            <v>-0.39418071900000001</v>
          </cell>
          <cell r="BC5">
            <v>-0.38954218099999999</v>
          </cell>
          <cell r="BD5">
            <v>-0.38611473299999999</v>
          </cell>
          <cell r="BE5">
            <v>-0.38479376900000001</v>
          </cell>
          <cell r="BF5">
            <v>-0.383470164</v>
          </cell>
          <cell r="BG5">
            <v>-0.38203979199999999</v>
          </cell>
          <cell r="BH5">
            <v>-0.38058995200000001</v>
          </cell>
          <cell r="BI5">
            <v>-0.37919715999999998</v>
          </cell>
          <cell r="BJ5">
            <v>-0.377817717</v>
          </cell>
          <cell r="BK5">
            <v>-0.37642691099999998</v>
          </cell>
          <cell r="BL5">
            <v>-0.375137322</v>
          </cell>
          <cell r="BM5">
            <v>-0.37387984800000001</v>
          </cell>
          <cell r="BN5">
            <v>-0.37231626699999998</v>
          </cell>
          <cell r="BO5">
            <v>-0.37047441599999997</v>
          </cell>
          <cell r="BP5">
            <v>-0.36882618299999997</v>
          </cell>
          <cell r="BQ5">
            <v>-0.367207265</v>
          </cell>
          <cell r="BR5">
            <v>-0.36558111700000001</v>
          </cell>
          <cell r="BS5">
            <v>-0.36388392200000003</v>
          </cell>
          <cell r="BT5">
            <v>-0.36223060200000001</v>
          </cell>
          <cell r="BU5">
            <v>-0.36052232099999998</v>
          </cell>
          <cell r="BV5">
            <v>-0.358773065</v>
          </cell>
          <cell r="BW5">
            <v>-0.35686391200000001</v>
          </cell>
          <cell r="BX5">
            <v>-0.355397242</v>
          </cell>
          <cell r="BY5">
            <v>-0.35421520400000001</v>
          </cell>
          <cell r="BZ5">
            <v>-0.35303146099999999</v>
          </cell>
          <cell r="CA5">
            <v>-0.35191952799999998</v>
          </cell>
          <cell r="CB5">
            <v>-0.35083318800000002</v>
          </cell>
          <cell r="CC5">
            <v>-0.34979234300000001</v>
          </cell>
          <cell r="CD5">
            <v>-0.34879197299999998</v>
          </cell>
          <cell r="CE5">
            <v>-0.347790449</v>
          </cell>
          <cell r="CF5">
            <v>-0.34688374500000002</v>
          </cell>
          <cell r="CG5">
            <v>-0.34612648099999999</v>
          </cell>
          <cell r="CH5">
            <v>-0.34533599300000001</v>
          </cell>
          <cell r="CI5">
            <v>-0.344465629</v>
          </cell>
          <cell r="CJ5">
            <v>-0.343583839</v>
          </cell>
          <cell r="CK5">
            <v>-0.34268724699999997</v>
          </cell>
          <cell r="CL5">
            <v>-0.34176689500000001</v>
          </cell>
          <cell r="CM5">
            <v>-0.34085727500000002</v>
          </cell>
          <cell r="CN5">
            <v>-0.339917464</v>
          </cell>
          <cell r="CO5">
            <v>-0.33885146900000002</v>
          </cell>
          <cell r="CP5">
            <v>-0.337785051</v>
          </cell>
          <cell r="CQ5">
            <v>-0.33672817999999999</v>
          </cell>
          <cell r="CR5">
            <v>-0.335523668</v>
          </cell>
          <cell r="CS5">
            <v>-0.33426322000000003</v>
          </cell>
          <cell r="CT5">
            <v>-0.33298333000000002</v>
          </cell>
          <cell r="CU5">
            <v>-0.33161370099999998</v>
          </cell>
          <cell r="CV5">
            <v>-0.33029447000000001</v>
          </cell>
          <cell r="CW5">
            <v>-0.32888479300000001</v>
          </cell>
          <cell r="CX5">
            <v>-0.32725422999999998</v>
          </cell>
          <cell r="CY5">
            <v>-0.32569661300000002</v>
          </cell>
          <cell r="CZ5">
            <v>-0.32424296400000002</v>
          </cell>
          <cell r="DA5">
            <v>-0.32284128499999998</v>
          </cell>
          <cell r="DB5">
            <v>-0.32213956100000002</v>
          </cell>
        </row>
        <row r="6">
          <cell r="D6" t="str">
            <v>AR5 climate diagnostics|Forcing|Aerosol|Total|FAIR|MED</v>
          </cell>
          <cell r="E6" t="str">
            <v>W/m2</v>
          </cell>
          <cell r="P6">
            <v>-1.0469999999999999</v>
          </cell>
          <cell r="Q6">
            <v>-1.0249999999999999</v>
          </cell>
          <cell r="R6">
            <v>-1.0029999999999999</v>
          </cell>
          <cell r="S6">
            <v>-0.98299999999999998</v>
          </cell>
          <cell r="T6">
            <v>-0.96199999999999997</v>
          </cell>
          <cell r="U6">
            <v>-0.94099999999999995</v>
          </cell>
          <cell r="V6">
            <v>-0.92100000000000004</v>
          </cell>
          <cell r="W6">
            <v>-0.9</v>
          </cell>
          <cell r="X6">
            <v>-0.879</v>
          </cell>
          <cell r="Y6">
            <v>-0.85799999999999998</v>
          </cell>
          <cell r="Z6">
            <v>-0.83699999999999997</v>
          </cell>
          <cell r="AA6">
            <v>-0.79700000000000004</v>
          </cell>
          <cell r="AB6">
            <v>-0.75700000000000001</v>
          </cell>
          <cell r="AC6">
            <v>-0.71599999999999997</v>
          </cell>
          <cell r="AD6">
            <v>-0.67500000000000004</v>
          </cell>
          <cell r="AE6">
            <v>-0.63200000000000001</v>
          </cell>
          <cell r="AF6">
            <v>-0.58899999999999997</v>
          </cell>
          <cell r="AG6">
            <v>-0.54600000000000004</v>
          </cell>
          <cell r="AH6">
            <v>-0.501</v>
          </cell>
          <cell r="AI6">
            <v>-0.45500000000000002</v>
          </cell>
          <cell r="AJ6">
            <v>-0.40899999999999997</v>
          </cell>
          <cell r="AK6">
            <v>-0.39500000000000002</v>
          </cell>
          <cell r="AL6">
            <v>-0.38200000000000001</v>
          </cell>
          <cell r="AM6">
            <v>-0.36799999999999999</v>
          </cell>
          <cell r="AN6">
            <v>-0.35499999999999998</v>
          </cell>
          <cell r="AO6">
            <v>-0.34100000000000003</v>
          </cell>
          <cell r="AP6">
            <v>-0.32700000000000001</v>
          </cell>
          <cell r="AQ6">
            <v>-0.313</v>
          </cell>
          <cell r="AR6">
            <v>-0.29899999999999999</v>
          </cell>
          <cell r="AS6">
            <v>-0.28499999999999998</v>
          </cell>
          <cell r="AT6">
            <v>-0.27100000000000002</v>
          </cell>
          <cell r="AU6">
            <v>-0.26500000000000001</v>
          </cell>
          <cell r="AV6">
            <v>-0.26</v>
          </cell>
          <cell r="AW6">
            <v>-0.254</v>
          </cell>
          <cell r="AX6">
            <v>-0.248</v>
          </cell>
          <cell r="AY6">
            <v>-0.24199999999999999</v>
          </cell>
          <cell r="AZ6">
            <v>-0.23599999999999999</v>
          </cell>
          <cell r="BA6">
            <v>-0.23</v>
          </cell>
          <cell r="BB6">
            <v>-0.224</v>
          </cell>
          <cell r="BC6">
            <v>-0.218</v>
          </cell>
          <cell r="BD6">
            <v>-0.21199999999999999</v>
          </cell>
          <cell r="BE6">
            <v>-0.21099999999999999</v>
          </cell>
          <cell r="BF6">
            <v>-0.20899999999999999</v>
          </cell>
          <cell r="BG6">
            <v>-0.20699999999999999</v>
          </cell>
          <cell r="BH6">
            <v>-0.20599999999999999</v>
          </cell>
          <cell r="BI6">
            <v>-0.20399999999999999</v>
          </cell>
          <cell r="BJ6">
            <v>-0.20200000000000001</v>
          </cell>
          <cell r="BK6">
            <v>-0.2</v>
          </cell>
          <cell r="BL6">
            <v>-0.19900000000000001</v>
          </cell>
          <cell r="BM6">
            <v>-0.19700000000000001</v>
          </cell>
          <cell r="BN6">
            <v>-0.19500000000000001</v>
          </cell>
          <cell r="BO6">
            <v>-0.19400000000000001</v>
          </cell>
          <cell r="BP6">
            <v>-0.192</v>
          </cell>
          <cell r="BQ6">
            <v>-0.19</v>
          </cell>
          <cell r="BR6">
            <v>-0.189</v>
          </cell>
          <cell r="BS6">
            <v>-0.187</v>
          </cell>
          <cell r="BT6">
            <v>-0.186</v>
          </cell>
          <cell r="BU6">
            <v>-0.184</v>
          </cell>
          <cell r="BV6">
            <v>-0.182</v>
          </cell>
          <cell r="BW6">
            <v>-0.18099999999999999</v>
          </cell>
          <cell r="BX6">
            <v>-0.17899999999999999</v>
          </cell>
          <cell r="BY6">
            <v>-0.17799999999999999</v>
          </cell>
          <cell r="BZ6">
            <v>-0.17599999999999999</v>
          </cell>
          <cell r="CA6">
            <v>-0.17499999999999999</v>
          </cell>
          <cell r="CB6">
            <v>-0.17399999999999999</v>
          </cell>
          <cell r="CC6">
            <v>-0.17199999999999999</v>
          </cell>
          <cell r="CD6">
            <v>-0.17100000000000001</v>
          </cell>
          <cell r="CE6">
            <v>-0.17</v>
          </cell>
          <cell r="CF6">
            <v>-0.16800000000000001</v>
          </cell>
          <cell r="CG6">
            <v>-0.16700000000000001</v>
          </cell>
          <cell r="CH6">
            <v>-0.16600000000000001</v>
          </cell>
          <cell r="CI6">
            <v>-0.16400000000000001</v>
          </cell>
          <cell r="CJ6">
            <v>-0.16300000000000001</v>
          </cell>
          <cell r="CK6">
            <v>-0.16200000000000001</v>
          </cell>
          <cell r="CL6">
            <v>-0.161</v>
          </cell>
          <cell r="CM6">
            <v>-0.159</v>
          </cell>
          <cell r="CN6">
            <v>-0.158</v>
          </cell>
          <cell r="CO6">
            <v>-0.157</v>
          </cell>
          <cell r="CP6">
            <v>-0.155</v>
          </cell>
          <cell r="CQ6">
            <v>-0.154</v>
          </cell>
          <cell r="CR6">
            <v>-0.153</v>
          </cell>
          <cell r="CS6">
            <v>-0.151</v>
          </cell>
          <cell r="CT6">
            <v>-0.14899999999999999</v>
          </cell>
          <cell r="CU6">
            <v>-0.14799999999999999</v>
          </cell>
          <cell r="CV6">
            <v>-0.14599999999999999</v>
          </cell>
          <cell r="CW6">
            <v>-0.14399999999999999</v>
          </cell>
          <cell r="CX6">
            <v>-0.14299999999999999</v>
          </cell>
          <cell r="CY6">
            <v>-0.14099999999999999</v>
          </cell>
          <cell r="CZ6">
            <v>-0.13900000000000001</v>
          </cell>
          <cell r="DA6">
            <v>-0.13800000000000001</v>
          </cell>
          <cell r="DB6">
            <v>-0.13600000000000001</v>
          </cell>
        </row>
        <row r="7">
          <cell r="D7" t="str">
            <v>AR5 climate diagnostics|Forcing|Aerosol|Total|MAGICC6|MED</v>
          </cell>
          <cell r="E7" t="str">
            <v>W/m2</v>
          </cell>
          <cell r="F7">
            <v>-1.085907161</v>
          </cell>
          <cell r="G7">
            <v>-1.0892450309999999</v>
          </cell>
          <cell r="H7">
            <v>-1.0945500340000001</v>
          </cell>
          <cell r="I7">
            <v>-1.099959535</v>
          </cell>
          <cell r="J7">
            <v>-1.1057328550000001</v>
          </cell>
          <cell r="K7">
            <v>-1.099484122</v>
          </cell>
          <cell r="L7">
            <v>-1.0839277279999999</v>
          </cell>
          <cell r="M7">
            <v>-1.0690681360000001</v>
          </cell>
          <cell r="N7">
            <v>-1.0552514099999999</v>
          </cell>
          <cell r="O7">
            <v>-1.040463675</v>
          </cell>
          <cell r="P7">
            <v>-1.0260576050000001</v>
          </cell>
          <cell r="Q7">
            <v>-1.008976884</v>
          </cell>
          <cell r="R7">
            <v>-0.99191099999999999</v>
          </cell>
          <cell r="S7">
            <v>-0.97385976399999996</v>
          </cell>
          <cell r="T7">
            <v>-0.95444507099999998</v>
          </cell>
          <cell r="U7">
            <v>-0.93586343500000002</v>
          </cell>
          <cell r="V7">
            <v>-0.918732828</v>
          </cell>
          <cell r="W7">
            <v>-0.90140130799999996</v>
          </cell>
          <cell r="X7">
            <v>-0.884425931</v>
          </cell>
          <cell r="Y7">
            <v>-0.86733556599999995</v>
          </cell>
          <cell r="Z7">
            <v>-0.845737725</v>
          </cell>
          <cell r="AA7">
            <v>-0.82044092899999999</v>
          </cell>
          <cell r="AB7">
            <v>-0.79396926700000003</v>
          </cell>
          <cell r="AC7">
            <v>-0.76736603400000003</v>
          </cell>
          <cell r="AD7">
            <v>-0.74376901500000003</v>
          </cell>
          <cell r="AE7">
            <v>-0.71564554599999997</v>
          </cell>
          <cell r="AF7">
            <v>-0.68314666000000002</v>
          </cell>
          <cell r="AG7">
            <v>-0.65410509699999997</v>
          </cell>
          <cell r="AH7">
            <v>-0.62395551599999999</v>
          </cell>
          <cell r="AI7">
            <v>-0.59185989000000006</v>
          </cell>
          <cell r="AJ7">
            <v>-0.56987467599999997</v>
          </cell>
          <cell r="AK7">
            <v>-0.55624776899999995</v>
          </cell>
          <cell r="AL7">
            <v>-0.54195149799999998</v>
          </cell>
          <cell r="AM7">
            <v>-0.527653241</v>
          </cell>
          <cell r="AN7">
            <v>-0.51360613600000005</v>
          </cell>
          <cell r="AO7">
            <v>-0.50012142500000001</v>
          </cell>
          <cell r="AP7">
            <v>-0.48495079999999902</v>
          </cell>
          <cell r="AQ7">
            <v>-0.471651881</v>
          </cell>
          <cell r="AR7">
            <v>-0.45882145400000002</v>
          </cell>
          <cell r="AS7">
            <v>-0.44424142900000002</v>
          </cell>
          <cell r="AT7">
            <v>-0.43364850999999999</v>
          </cell>
          <cell r="AU7">
            <v>-0.42786030200000003</v>
          </cell>
          <cell r="AV7">
            <v>-0.42200997400000001</v>
          </cell>
          <cell r="AW7">
            <v>-0.41641778000000002</v>
          </cell>
          <cell r="AX7">
            <v>-0.41152509900000001</v>
          </cell>
          <cell r="AY7">
            <v>-0.40672516600000003</v>
          </cell>
          <cell r="AZ7">
            <v>-0.40254508700000002</v>
          </cell>
          <cell r="BA7">
            <v>-0.39853145699999998</v>
          </cell>
          <cell r="BB7">
            <v>-0.39418071900000001</v>
          </cell>
          <cell r="BC7">
            <v>-0.38954218099999999</v>
          </cell>
          <cell r="BD7">
            <v>-0.38611473299999999</v>
          </cell>
          <cell r="BE7">
            <v>-0.38479376900000001</v>
          </cell>
          <cell r="BF7">
            <v>-0.383470164</v>
          </cell>
          <cell r="BG7">
            <v>-0.38203979199999999</v>
          </cell>
          <cell r="BH7">
            <v>-0.38058995200000001</v>
          </cell>
          <cell r="BI7">
            <v>-0.37919715999999998</v>
          </cell>
          <cell r="BJ7">
            <v>-0.377817717</v>
          </cell>
          <cell r="BK7">
            <v>-0.37642691099999998</v>
          </cell>
          <cell r="BL7">
            <v>-0.375137322</v>
          </cell>
          <cell r="BM7">
            <v>-0.37387984800000001</v>
          </cell>
          <cell r="BN7">
            <v>-0.37231626699999998</v>
          </cell>
          <cell r="BO7">
            <v>-0.37047441599999997</v>
          </cell>
          <cell r="BP7">
            <v>-0.36882618299999997</v>
          </cell>
          <cell r="BQ7">
            <v>-0.367207265</v>
          </cell>
          <cell r="BR7">
            <v>-0.36558111700000001</v>
          </cell>
          <cell r="BS7">
            <v>-0.36388392200000003</v>
          </cell>
          <cell r="BT7">
            <v>-0.36223060200000001</v>
          </cell>
          <cell r="BU7">
            <v>-0.36052232099999998</v>
          </cell>
          <cell r="BV7">
            <v>-0.358773065</v>
          </cell>
          <cell r="BW7">
            <v>-0.35686391200000001</v>
          </cell>
          <cell r="BX7">
            <v>-0.355397242</v>
          </cell>
          <cell r="BY7">
            <v>-0.35421520400000001</v>
          </cell>
          <cell r="BZ7">
            <v>-0.35303146099999999</v>
          </cell>
          <cell r="CA7">
            <v>-0.35191952799999998</v>
          </cell>
          <cell r="CB7">
            <v>-0.35083318800000002</v>
          </cell>
          <cell r="CC7">
            <v>-0.34979234300000001</v>
          </cell>
          <cell r="CD7">
            <v>-0.34879197299999998</v>
          </cell>
          <cell r="CE7">
            <v>-0.347790449</v>
          </cell>
          <cell r="CF7">
            <v>-0.34688374500000002</v>
          </cell>
          <cell r="CG7">
            <v>-0.34612648099999999</v>
          </cell>
          <cell r="CH7">
            <v>-0.34533599300000001</v>
          </cell>
          <cell r="CI7">
            <v>-0.344465629</v>
          </cell>
          <cell r="CJ7">
            <v>-0.343583839</v>
          </cell>
          <cell r="CK7">
            <v>-0.34268724699999997</v>
          </cell>
          <cell r="CL7">
            <v>-0.34176689500000001</v>
          </cell>
          <cell r="CM7">
            <v>-0.34085727500000002</v>
          </cell>
          <cell r="CN7">
            <v>-0.339917464</v>
          </cell>
          <cell r="CO7">
            <v>-0.33885146900000002</v>
          </cell>
          <cell r="CP7">
            <v>-0.337785051</v>
          </cell>
          <cell r="CQ7">
            <v>-0.33672817999999999</v>
          </cell>
          <cell r="CR7">
            <v>-0.335523668</v>
          </cell>
          <cell r="CS7">
            <v>-0.33426322000000003</v>
          </cell>
          <cell r="CT7">
            <v>-0.33298333000000002</v>
          </cell>
          <cell r="CU7">
            <v>-0.33161370099999998</v>
          </cell>
          <cell r="CV7">
            <v>-0.33029447000000001</v>
          </cell>
          <cell r="CW7">
            <v>-0.32888479300000001</v>
          </cell>
          <cell r="CX7">
            <v>-0.32725422999999998</v>
          </cell>
          <cell r="CY7">
            <v>-0.32569661300000002</v>
          </cell>
          <cell r="CZ7">
            <v>-0.32424296400000002</v>
          </cell>
          <cell r="DA7">
            <v>-0.32284128499999998</v>
          </cell>
          <cell r="DB7">
            <v>-0.32213956100000002</v>
          </cell>
        </row>
        <row r="8">
          <cell r="D8" t="str">
            <v>AR5 climate diagnostics|Forcing|CH4|FAIR|MED</v>
          </cell>
          <cell r="E8" t="str">
            <v>W/m2</v>
          </cell>
          <cell r="P8">
            <v>0.61899999999999999</v>
          </cell>
          <cell r="Q8">
            <v>0.623</v>
          </cell>
          <cell r="R8">
            <v>0.627</v>
          </cell>
          <cell r="S8">
            <v>0.63100000000000001</v>
          </cell>
          <cell r="T8">
            <v>0.63400000000000001</v>
          </cell>
          <cell r="U8">
            <v>0.63600000000000001</v>
          </cell>
          <cell r="V8">
            <v>0.63900000000000001</v>
          </cell>
          <cell r="W8">
            <v>0.64100000000000001</v>
          </cell>
          <cell r="X8">
            <v>0.64200000000000002</v>
          </cell>
          <cell r="Y8">
            <v>0.64400000000000002</v>
          </cell>
          <cell r="Z8">
            <v>0.64500000000000002</v>
          </cell>
          <cell r="AA8">
            <v>0.64500000000000002</v>
          </cell>
          <cell r="AB8">
            <v>0.64300000000000002</v>
          </cell>
          <cell r="AC8">
            <v>0.63900000000000001</v>
          </cell>
          <cell r="AD8">
            <v>0.63400000000000001</v>
          </cell>
          <cell r="AE8">
            <v>0.628</v>
          </cell>
          <cell r="AF8">
            <v>0.62</v>
          </cell>
          <cell r="AG8">
            <v>0.61099999999999999</v>
          </cell>
          <cell r="AH8">
            <v>0.60099999999999998</v>
          </cell>
          <cell r="AI8">
            <v>0.59</v>
          </cell>
          <cell r="AJ8">
            <v>0.57799999999999996</v>
          </cell>
          <cell r="AK8">
            <v>0.56599999999999995</v>
          </cell>
          <cell r="AL8">
            <v>0.55400000000000005</v>
          </cell>
          <cell r="AM8">
            <v>0.54200000000000004</v>
          </cell>
          <cell r="AN8">
            <v>0.53100000000000003</v>
          </cell>
          <cell r="AO8">
            <v>0.52</v>
          </cell>
          <cell r="AP8">
            <v>0.50900000000000001</v>
          </cell>
          <cell r="AQ8">
            <v>0.499</v>
          </cell>
          <cell r="AR8">
            <v>0.48799999999999999</v>
          </cell>
          <cell r="AS8">
            <v>0.47799999999999998</v>
          </cell>
          <cell r="AT8">
            <v>0.46700000000000003</v>
          </cell>
          <cell r="AU8">
            <v>0.45700000000000002</v>
          </cell>
          <cell r="AV8">
            <v>0.44700000000000001</v>
          </cell>
          <cell r="AW8">
            <v>0.437</v>
          </cell>
          <cell r="AX8">
            <v>0.42699999999999999</v>
          </cell>
          <cell r="AY8">
            <v>0.41799999999999998</v>
          </cell>
          <cell r="AZ8">
            <v>0.40799999999999997</v>
          </cell>
          <cell r="BA8">
            <v>0.39800000000000002</v>
          </cell>
          <cell r="BB8">
            <v>0.38900000000000001</v>
          </cell>
          <cell r="BC8">
            <v>0.379</v>
          </cell>
          <cell r="BD8">
            <v>0.37</v>
          </cell>
          <cell r="BE8">
            <v>0.36099999999999999</v>
          </cell>
          <cell r="BF8">
            <v>0.35199999999999998</v>
          </cell>
          <cell r="BG8">
            <v>0.34399999999999997</v>
          </cell>
          <cell r="BH8">
            <v>0.33600000000000002</v>
          </cell>
          <cell r="BI8">
            <v>0.32900000000000001</v>
          </cell>
          <cell r="BJ8">
            <v>0.32200000000000001</v>
          </cell>
          <cell r="BK8">
            <v>0.316</v>
          </cell>
          <cell r="BL8">
            <v>0.31</v>
          </cell>
          <cell r="BM8">
            <v>0.30399999999999999</v>
          </cell>
          <cell r="BN8">
            <v>0.29799999999999999</v>
          </cell>
          <cell r="BO8">
            <v>0.29299999999999998</v>
          </cell>
          <cell r="BP8">
            <v>0.28699999999999998</v>
          </cell>
          <cell r="BQ8">
            <v>0.28299999999999997</v>
          </cell>
          <cell r="BR8">
            <v>0.27800000000000002</v>
          </cell>
          <cell r="BS8">
            <v>0.27400000000000002</v>
          </cell>
          <cell r="BT8">
            <v>0.27</v>
          </cell>
          <cell r="BU8">
            <v>0.26600000000000001</v>
          </cell>
          <cell r="BV8">
            <v>0.26200000000000001</v>
          </cell>
          <cell r="BW8">
            <v>0.25900000000000001</v>
          </cell>
          <cell r="BX8">
            <v>0.255</v>
          </cell>
          <cell r="BY8">
            <v>0.252</v>
          </cell>
          <cell r="BZ8">
            <v>0.249</v>
          </cell>
          <cell r="CA8">
            <v>0.246</v>
          </cell>
          <cell r="CB8">
            <v>0.24299999999999999</v>
          </cell>
          <cell r="CC8">
            <v>0.24</v>
          </cell>
          <cell r="CD8">
            <v>0.23799999999999999</v>
          </cell>
          <cell r="CE8">
            <v>0.23499999999999999</v>
          </cell>
          <cell r="CF8">
            <v>0.23300000000000001</v>
          </cell>
          <cell r="CG8">
            <v>0.23</v>
          </cell>
          <cell r="CH8">
            <v>0.22800000000000001</v>
          </cell>
          <cell r="CI8">
            <v>0.22600000000000001</v>
          </cell>
          <cell r="CJ8">
            <v>0.224</v>
          </cell>
          <cell r="CK8">
            <v>0.222</v>
          </cell>
          <cell r="CL8">
            <v>0.22</v>
          </cell>
          <cell r="CM8">
            <v>0.218</v>
          </cell>
          <cell r="CN8">
            <v>0.216</v>
          </cell>
          <cell r="CO8">
            <v>0.214</v>
          </cell>
          <cell r="CP8">
            <v>0.21199999999999999</v>
          </cell>
          <cell r="CQ8">
            <v>0.21</v>
          </cell>
          <cell r="CR8">
            <v>0.20799999999999999</v>
          </cell>
          <cell r="CS8">
            <v>0.20599999999999999</v>
          </cell>
          <cell r="CT8">
            <v>0.20499999999999999</v>
          </cell>
          <cell r="CU8">
            <v>0.20300000000000001</v>
          </cell>
          <cell r="CV8">
            <v>0.20100000000000001</v>
          </cell>
          <cell r="CW8">
            <v>0.19900000000000001</v>
          </cell>
          <cell r="CX8">
            <v>0.19800000000000001</v>
          </cell>
          <cell r="CY8">
            <v>0.19600000000000001</v>
          </cell>
          <cell r="CZ8">
            <v>0.19400000000000001</v>
          </cell>
          <cell r="DA8">
            <v>0.193</v>
          </cell>
          <cell r="DB8">
            <v>0.191</v>
          </cell>
        </row>
        <row r="9">
          <cell r="D9" t="str">
            <v>AR5 climate diagnostics|Forcing|CH4|MAGICC6|MED</v>
          </cell>
          <cell r="E9" t="str">
            <v>W/m2</v>
          </cell>
          <cell r="F9">
            <v>0.47844640799999999</v>
          </cell>
          <cell r="G9">
            <v>0.47842210200000002</v>
          </cell>
          <cell r="H9">
            <v>0.479552741</v>
          </cell>
          <cell r="I9">
            <v>0.48034452300000002</v>
          </cell>
          <cell r="J9">
            <v>0.47978061599999999</v>
          </cell>
          <cell r="K9">
            <v>0.47935098199999998</v>
          </cell>
          <cell r="L9">
            <v>0.48252825500000002</v>
          </cell>
          <cell r="M9">
            <v>0.48737852500000001</v>
          </cell>
          <cell r="N9">
            <v>0.49240772500000002</v>
          </cell>
          <cell r="O9">
            <v>0.49675179000000003</v>
          </cell>
          <cell r="P9">
            <v>0.50143369299999996</v>
          </cell>
          <cell r="Q9">
            <v>0.50559650599999995</v>
          </cell>
          <cell r="R9">
            <v>0.50958536499999996</v>
          </cell>
          <cell r="S9">
            <v>0.51292214599999997</v>
          </cell>
          <cell r="T9">
            <v>0.51578163200000005</v>
          </cell>
          <cell r="U9">
            <v>0.51812660600000005</v>
          </cell>
          <cell r="V9">
            <v>0.52004872899999999</v>
          </cell>
          <cell r="W9">
            <v>0.52171542000000004</v>
          </cell>
          <cell r="X9">
            <v>0.52330061900000002</v>
          </cell>
          <cell r="Y9">
            <v>0.52436857000000003</v>
          </cell>
          <cell r="Z9">
            <v>0.52509737400000001</v>
          </cell>
          <cell r="AA9">
            <v>0.52577056700000002</v>
          </cell>
          <cell r="AB9">
            <v>0.52484122300000002</v>
          </cell>
          <cell r="AC9">
            <v>0.52217855199999996</v>
          </cell>
          <cell r="AD9">
            <v>0.51797120299999999</v>
          </cell>
          <cell r="AE9">
            <v>0.51239453000000001</v>
          </cell>
          <cell r="AF9">
            <v>0.50560563999999997</v>
          </cell>
          <cell r="AG9">
            <v>0.49757568899999999</v>
          </cell>
          <cell r="AH9">
            <v>0.48852647700000001</v>
          </cell>
          <cell r="AI9">
            <v>0.47839109099999999</v>
          </cell>
          <cell r="AJ9">
            <v>0.467387518</v>
          </cell>
          <cell r="AK9">
            <v>0.45535882</v>
          </cell>
          <cell r="AL9">
            <v>0.44391502500000002</v>
          </cell>
          <cell r="AM9">
            <v>0.43312092000000002</v>
          </cell>
          <cell r="AN9">
            <v>0.42272140499999999</v>
          </cell>
          <cell r="AO9">
            <v>0.41288894599999998</v>
          </cell>
          <cell r="AP9">
            <v>0.40356350899999999</v>
          </cell>
          <cell r="AQ9">
            <v>0.39454588699999998</v>
          </cell>
          <cell r="AR9">
            <v>0.38606541599999999</v>
          </cell>
          <cell r="AS9">
            <v>0.37779634099999998</v>
          </cell>
          <cell r="AT9">
            <v>0.36968510900000001</v>
          </cell>
          <cell r="AU9">
            <v>0.361914028</v>
          </cell>
          <cell r="AV9">
            <v>0.35434140200000003</v>
          </cell>
          <cell r="AW9">
            <v>0.34672321699999997</v>
          </cell>
          <cell r="AX9">
            <v>0.33944144700000001</v>
          </cell>
          <cell r="AY9">
            <v>0.33233164700000001</v>
          </cell>
          <cell r="AZ9">
            <v>0.32531686700000001</v>
          </cell>
          <cell r="BA9">
            <v>0.31827249200000002</v>
          </cell>
          <cell r="BB9">
            <v>0.31136175399999999</v>
          </cell>
          <cell r="BC9">
            <v>0.304503089</v>
          </cell>
          <cell r="BD9">
            <v>0.29777673500000001</v>
          </cell>
          <cell r="BE9">
            <v>0.29110771299999999</v>
          </cell>
          <cell r="BF9">
            <v>0.28472722499999997</v>
          </cell>
          <cell r="BG9">
            <v>0.27886150799999998</v>
          </cell>
          <cell r="BH9">
            <v>0.27346372899999999</v>
          </cell>
          <cell r="BI9">
            <v>0.26848019499999998</v>
          </cell>
          <cell r="BJ9">
            <v>0.26361352100000002</v>
          </cell>
          <cell r="BK9">
            <v>0.25907883999999998</v>
          </cell>
          <cell r="BL9">
            <v>0.25494597299999999</v>
          </cell>
          <cell r="BM9">
            <v>0.25102785399999999</v>
          </cell>
          <cell r="BN9">
            <v>0.24711240500000001</v>
          </cell>
          <cell r="BO9">
            <v>0.24325229100000001</v>
          </cell>
          <cell r="BP9">
            <v>0.23980589699999999</v>
          </cell>
          <cell r="BQ9">
            <v>0.23665478700000001</v>
          </cell>
          <cell r="BR9">
            <v>0.23370575800000001</v>
          </cell>
          <cell r="BS9">
            <v>0.23095515599999999</v>
          </cell>
          <cell r="BT9">
            <v>0.22833879000000001</v>
          </cell>
          <cell r="BU9">
            <v>0.22589782799999999</v>
          </cell>
          <cell r="BV9">
            <v>0.22356720699999999</v>
          </cell>
          <cell r="BW9">
            <v>0.22140378399999999</v>
          </cell>
          <cell r="BX9">
            <v>0.219211463</v>
          </cell>
          <cell r="BY9">
            <v>0.21707687000000001</v>
          </cell>
          <cell r="BZ9">
            <v>0.21505792700000001</v>
          </cell>
          <cell r="CA9">
            <v>0.21317272400000001</v>
          </cell>
          <cell r="CB9">
            <v>0.21139854699999999</v>
          </cell>
          <cell r="CC9">
            <v>0.20971319399999999</v>
          </cell>
          <cell r="CD9">
            <v>0.20811423000000001</v>
          </cell>
          <cell r="CE9">
            <v>0.20655902100000001</v>
          </cell>
          <cell r="CF9">
            <v>0.20502838100000001</v>
          </cell>
          <cell r="CG9">
            <v>0.20350520599999999</v>
          </cell>
          <cell r="CH9">
            <v>0.20205738300000001</v>
          </cell>
          <cell r="CI9">
            <v>0.20064604999999999</v>
          </cell>
          <cell r="CJ9">
            <v>0.19923006500000001</v>
          </cell>
          <cell r="CK9">
            <v>0.19778333300000001</v>
          </cell>
          <cell r="CL9">
            <v>0.19644748100000001</v>
          </cell>
          <cell r="CM9">
            <v>0.195151503</v>
          </cell>
          <cell r="CN9">
            <v>0.19392301300000001</v>
          </cell>
          <cell r="CO9">
            <v>0.1926456</v>
          </cell>
          <cell r="CP9">
            <v>0.19152176800000001</v>
          </cell>
          <cell r="CQ9">
            <v>0.19040797300000001</v>
          </cell>
          <cell r="CR9">
            <v>0.18926917600000001</v>
          </cell>
          <cell r="CS9">
            <v>0.188148179</v>
          </cell>
          <cell r="CT9">
            <v>0.18705870399999999</v>
          </cell>
          <cell r="CU9">
            <v>0.18598034799999999</v>
          </cell>
          <cell r="CV9">
            <v>0.18491168999999999</v>
          </cell>
          <cell r="CW9">
            <v>0.183851453</v>
          </cell>
          <cell r="CX9">
            <v>0.182798514</v>
          </cell>
          <cell r="CY9">
            <v>0.18171675000000001</v>
          </cell>
          <cell r="CZ9">
            <v>0.180631873</v>
          </cell>
          <cell r="DA9">
            <v>0.179550556</v>
          </cell>
          <cell r="DB9">
            <v>0.17842898500000001</v>
          </cell>
        </row>
        <row r="10">
          <cell r="D10" t="str">
            <v>AR5 climate diagnostics|Forcing|CO2|FAIR|MED</v>
          </cell>
          <cell r="E10" t="str">
            <v>W/m2</v>
          </cell>
          <cell r="P10">
            <v>1.7969999999999999</v>
          </cell>
          <cell r="Q10">
            <v>1.8240000000000001</v>
          </cell>
          <cell r="R10">
            <v>1.851</v>
          </cell>
          <cell r="S10">
            <v>1.883</v>
          </cell>
          <cell r="T10">
            <v>1.9139999999999999</v>
          </cell>
          <cell r="U10">
            <v>1.9450000000000001</v>
          </cell>
          <cell r="V10">
            <v>1.9769999999999901</v>
          </cell>
          <cell r="W10">
            <v>2.008</v>
          </cell>
          <cell r="X10">
            <v>2.04</v>
          </cell>
          <cell r="Y10">
            <v>2.0720000000000001</v>
          </cell>
          <cell r="Z10">
            <v>2.105</v>
          </cell>
          <cell r="AA10">
            <v>2.1339999999999999</v>
          </cell>
          <cell r="AB10">
            <v>2.1589999999999998</v>
          </cell>
          <cell r="AC10">
            <v>2.1819999999999999</v>
          </cell>
          <cell r="AD10">
            <v>2.2010000000000001</v>
          </cell>
          <cell r="AE10">
            <v>2.2170000000000001</v>
          </cell>
          <cell r="AF10">
            <v>2.2309999999999999</v>
          </cell>
          <cell r="AG10">
            <v>2.242</v>
          </cell>
          <cell r="AH10">
            <v>2.2490000000000001</v>
          </cell>
          <cell r="AI10">
            <v>2.2530000000000001</v>
          </cell>
          <cell r="AJ10">
            <v>2.2549999999999999</v>
          </cell>
          <cell r="AK10">
            <v>2.2570000000000001</v>
          </cell>
          <cell r="AL10">
            <v>2.258</v>
          </cell>
          <cell r="AM10">
            <v>2.2589999999999999</v>
          </cell>
          <cell r="AN10">
            <v>2.2610000000000001</v>
          </cell>
          <cell r="AO10">
            <v>2.262</v>
          </cell>
          <cell r="AP10">
            <v>2.262</v>
          </cell>
          <cell r="AQ10">
            <v>2.2610000000000001</v>
          </cell>
          <cell r="AR10">
            <v>2.2589999999999999</v>
          </cell>
          <cell r="AS10">
            <v>2.2559999999999998</v>
          </cell>
          <cell r="AT10">
            <v>2.2519999999999998</v>
          </cell>
          <cell r="AU10">
            <v>2.2490000000000001</v>
          </cell>
          <cell r="AV10">
            <v>2.2450000000000001</v>
          </cell>
          <cell r="AW10">
            <v>2.2410000000000001</v>
          </cell>
          <cell r="AX10">
            <v>2.2370000000000001</v>
          </cell>
          <cell r="AY10">
            <v>2.2320000000000002</v>
          </cell>
          <cell r="AZ10">
            <v>2.2269999999999999</v>
          </cell>
          <cell r="BA10">
            <v>2.222</v>
          </cell>
          <cell r="BB10">
            <v>2.2170000000000001</v>
          </cell>
          <cell r="BC10">
            <v>2.2109999999999999</v>
          </cell>
          <cell r="BD10">
            <v>2.2050000000000001</v>
          </cell>
          <cell r="BE10">
            <v>2.198</v>
          </cell>
          <cell r="BF10">
            <v>2.1920000000000002</v>
          </cell>
          <cell r="BG10">
            <v>2.1859999999999999</v>
          </cell>
          <cell r="BH10">
            <v>2.1789999999999998</v>
          </cell>
          <cell r="BI10">
            <v>2.1720000000000002</v>
          </cell>
          <cell r="BJ10">
            <v>2.165</v>
          </cell>
          <cell r="BK10">
            <v>2.1579999999999999</v>
          </cell>
          <cell r="BL10">
            <v>2.1509999999999998</v>
          </cell>
          <cell r="BM10">
            <v>2.1440000000000001</v>
          </cell>
          <cell r="BN10">
            <v>2.1360000000000001</v>
          </cell>
          <cell r="BO10">
            <v>2.129</v>
          </cell>
          <cell r="BP10">
            <v>2.121</v>
          </cell>
          <cell r="BQ10">
            <v>2.1139999999999999</v>
          </cell>
          <cell r="BR10">
            <v>2.1059999999999999</v>
          </cell>
          <cell r="BS10">
            <v>2.0990000000000002</v>
          </cell>
          <cell r="BT10">
            <v>2.0910000000000002</v>
          </cell>
          <cell r="BU10">
            <v>2.0840000000000001</v>
          </cell>
          <cell r="BV10">
            <v>2.0760000000000001</v>
          </cell>
          <cell r="BW10">
            <v>2.0680000000000001</v>
          </cell>
          <cell r="BX10">
            <v>2.0609999999999999</v>
          </cell>
          <cell r="BY10">
            <v>2.0529999999999999</v>
          </cell>
          <cell r="BZ10">
            <v>2.0459999999999998</v>
          </cell>
          <cell r="CA10">
            <v>2.0379999999999998</v>
          </cell>
          <cell r="CB10">
            <v>2.0310000000000001</v>
          </cell>
          <cell r="CC10">
            <v>2.0230000000000001</v>
          </cell>
          <cell r="CD10">
            <v>2.016</v>
          </cell>
          <cell r="CE10">
            <v>2.0089999999999999</v>
          </cell>
          <cell r="CF10">
            <v>2.0009999999999999</v>
          </cell>
          <cell r="CG10">
            <v>1.994</v>
          </cell>
          <cell r="CH10">
            <v>1.9870000000000001</v>
          </cell>
          <cell r="CI10">
            <v>1.98</v>
          </cell>
          <cell r="CJ10">
            <v>1.972</v>
          </cell>
          <cell r="CK10">
            <v>1.9649999999999901</v>
          </cell>
          <cell r="CL10">
            <v>1.958</v>
          </cell>
          <cell r="CM10">
            <v>1.9510000000000001</v>
          </cell>
          <cell r="CN10">
            <v>1.9430000000000001</v>
          </cell>
          <cell r="CO10">
            <v>1.9359999999999999</v>
          </cell>
          <cell r="CP10">
            <v>1.929</v>
          </cell>
          <cell r="CQ10">
            <v>1.921</v>
          </cell>
          <cell r="CR10">
            <v>1.9139999999999999</v>
          </cell>
          <cell r="CS10">
            <v>1.907</v>
          </cell>
          <cell r="CT10">
            <v>1.9</v>
          </cell>
          <cell r="CU10">
            <v>1.893</v>
          </cell>
          <cell r="CV10">
            <v>1.8859999999999999</v>
          </cell>
          <cell r="CW10">
            <v>1.879</v>
          </cell>
          <cell r="CX10">
            <v>1.8719999999999899</v>
          </cell>
          <cell r="CY10">
            <v>1.865</v>
          </cell>
          <cell r="CZ10">
            <v>1.859</v>
          </cell>
          <cell r="DA10">
            <v>1.8519999999999901</v>
          </cell>
          <cell r="DB10">
            <v>1.845</v>
          </cell>
        </row>
        <row r="11">
          <cell r="D11" t="str">
            <v>AR5 climate diagnostics|Forcing|CO2|MAGICC6|MED</v>
          </cell>
          <cell r="E11" t="str">
            <v>W/m2</v>
          </cell>
          <cell r="F11">
            <v>1.5452312420000001</v>
          </cell>
          <cell r="G11">
            <v>1.5714953469999999</v>
          </cell>
          <cell r="H11">
            <v>1.604522169</v>
          </cell>
          <cell r="I11">
            <v>1.6357067350000001</v>
          </cell>
          <cell r="J11">
            <v>1.6630935549999999</v>
          </cell>
          <cell r="K11">
            <v>1.6924585620000001</v>
          </cell>
          <cell r="L11">
            <v>1.7199789560000001</v>
          </cell>
          <cell r="M11">
            <v>1.747219098</v>
          </cell>
          <cell r="N11">
            <v>1.7764754739999999</v>
          </cell>
          <cell r="O11">
            <v>1.8109352080000001</v>
          </cell>
          <cell r="P11">
            <v>1.8463196470000001</v>
          </cell>
          <cell r="Q11">
            <v>1.881188257</v>
          </cell>
          <cell r="R11">
            <v>1.9166426670000001</v>
          </cell>
          <cell r="S11">
            <v>1.94850699</v>
          </cell>
          <cell r="T11">
            <v>1.981909744</v>
          </cell>
          <cell r="U11">
            <v>2.0143671269999999</v>
          </cell>
          <cell r="V11">
            <v>2.0505935900000001</v>
          </cell>
          <cell r="W11">
            <v>2.084716067</v>
          </cell>
          <cell r="X11">
            <v>2.1167336379999999</v>
          </cell>
          <cell r="Y11">
            <v>2.1507518750000001</v>
          </cell>
          <cell r="Z11">
            <v>2.1818929749999998</v>
          </cell>
          <cell r="AA11">
            <v>2.2158111049999998</v>
          </cell>
          <cell r="AB11">
            <v>2.246605578</v>
          </cell>
          <cell r="AC11">
            <v>2.2717031799999998</v>
          </cell>
          <cell r="AD11">
            <v>2.2928741220000002</v>
          </cell>
          <cell r="AE11">
            <v>2.3119469160000001</v>
          </cell>
          <cell r="AF11">
            <v>2.3274460760000002</v>
          </cell>
          <cell r="AG11">
            <v>2.3414434719999999</v>
          </cell>
          <cell r="AH11">
            <v>2.3506190359999999</v>
          </cell>
          <cell r="AI11">
            <v>2.3585369219999999</v>
          </cell>
          <cell r="AJ11">
            <v>2.3617731750000002</v>
          </cell>
          <cell r="AK11">
            <v>2.3644733759999998</v>
          </cell>
          <cell r="AL11">
            <v>2.3677585300000001</v>
          </cell>
          <cell r="AM11">
            <v>2.3713960510000001</v>
          </cell>
          <cell r="AN11">
            <v>2.3705112509999999</v>
          </cell>
          <cell r="AO11">
            <v>2.3745491510000001</v>
          </cell>
          <cell r="AP11">
            <v>2.3762852909999999</v>
          </cell>
          <cell r="AQ11">
            <v>2.3767378959999999</v>
          </cell>
          <cell r="AR11">
            <v>2.3721764869999999</v>
          </cell>
          <cell r="AS11">
            <v>2.3686583840000002</v>
          </cell>
          <cell r="AT11">
            <v>2.3647108380000001</v>
          </cell>
          <cell r="AU11">
            <v>2.3604400239999999</v>
          </cell>
          <cell r="AV11">
            <v>2.3566868849999998</v>
          </cell>
          <cell r="AW11">
            <v>2.3526646160000002</v>
          </cell>
          <cell r="AX11">
            <v>2.3491805979999998</v>
          </cell>
          <cell r="AY11">
            <v>2.34604334</v>
          </cell>
          <cell r="AZ11">
            <v>2.3417925670000002</v>
          </cell>
          <cell r="BA11">
            <v>2.3365527020000001</v>
          </cell>
          <cell r="BB11">
            <v>2.3338338369999998</v>
          </cell>
          <cell r="BC11">
            <v>2.326353245</v>
          </cell>
          <cell r="BD11">
            <v>2.3216490269999999</v>
          </cell>
          <cell r="BE11">
            <v>2.3184606589999999</v>
          </cell>
          <cell r="BF11">
            <v>2.3131275539999998</v>
          </cell>
          <cell r="BG11">
            <v>2.3072319449999998</v>
          </cell>
          <cell r="BH11">
            <v>2.2999813480000002</v>
          </cell>
          <cell r="BI11">
            <v>2.2943789259999998</v>
          </cell>
          <cell r="BJ11">
            <v>2.2889122959999999</v>
          </cell>
          <cell r="BK11">
            <v>2.2819280599999998</v>
          </cell>
          <cell r="BL11">
            <v>2.274965071</v>
          </cell>
          <cell r="BM11">
            <v>2.269189661</v>
          </cell>
          <cell r="BN11">
            <v>2.2622808060000001</v>
          </cell>
          <cell r="BO11">
            <v>2.2545596450000001</v>
          </cell>
          <cell r="BP11">
            <v>2.2481856769999999</v>
          </cell>
          <cell r="BQ11">
            <v>2.2419429320000002</v>
          </cell>
          <cell r="BR11">
            <v>2.2368729530000002</v>
          </cell>
          <cell r="BS11">
            <v>2.23134035</v>
          </cell>
          <cell r="BT11">
            <v>2.2241761709999999</v>
          </cell>
          <cell r="BU11">
            <v>2.2167113039999999</v>
          </cell>
          <cell r="BV11">
            <v>2.20793477</v>
          </cell>
          <cell r="BW11">
            <v>2.1994645020000001</v>
          </cell>
          <cell r="BX11">
            <v>2.191640225</v>
          </cell>
          <cell r="BY11">
            <v>2.1843733749999998</v>
          </cell>
          <cell r="BZ11">
            <v>2.1778188699999999</v>
          </cell>
          <cell r="CA11">
            <v>2.1717152610000001</v>
          </cell>
          <cell r="CB11">
            <v>2.1648013879999999</v>
          </cell>
          <cell r="CC11">
            <v>2.1590882310000001</v>
          </cell>
          <cell r="CD11">
            <v>2.1514097990000001</v>
          </cell>
          <cell r="CE11">
            <v>2.1447400019999998</v>
          </cell>
          <cell r="CF11">
            <v>2.1378606090000001</v>
          </cell>
          <cell r="CG11">
            <v>2.1305576589999999</v>
          </cell>
          <cell r="CH11">
            <v>2.1230365999999998</v>
          </cell>
          <cell r="CI11">
            <v>2.1158438469999998</v>
          </cell>
          <cell r="CJ11">
            <v>2.1096380360000002</v>
          </cell>
          <cell r="CK11">
            <v>2.103503296</v>
          </cell>
          <cell r="CL11">
            <v>2.0963371519999998</v>
          </cell>
          <cell r="CM11">
            <v>2.090069358</v>
          </cell>
          <cell r="CN11">
            <v>2.0842686210000001</v>
          </cell>
          <cell r="CO11">
            <v>2.078602031</v>
          </cell>
          <cell r="CP11">
            <v>2.070903554</v>
          </cell>
          <cell r="CQ11">
            <v>2.062788802</v>
          </cell>
          <cell r="CR11">
            <v>2.055858111</v>
          </cell>
          <cell r="CS11">
            <v>2.0493503460000002</v>
          </cell>
          <cell r="CT11">
            <v>2.0426119310000002</v>
          </cell>
          <cell r="CU11">
            <v>2.0364632130000002</v>
          </cell>
          <cell r="CV11">
            <v>2.0301176779999999</v>
          </cell>
          <cell r="CW11">
            <v>2.0233587819999999</v>
          </cell>
          <cell r="CX11">
            <v>2.0175611419999999</v>
          </cell>
          <cell r="CY11">
            <v>2.0103949650000001</v>
          </cell>
          <cell r="CZ11">
            <v>2.0030916689999998</v>
          </cell>
          <cell r="DA11">
            <v>1.997055936</v>
          </cell>
          <cell r="DB11">
            <v>1.9908357379999999</v>
          </cell>
        </row>
        <row r="12">
          <cell r="D12" t="str">
            <v>AR5 climate diagnostics|Forcing|F-Gases|MAGICC6|MED</v>
          </cell>
          <cell r="E12" t="str">
            <v>W/m2</v>
          </cell>
          <cell r="F12">
            <v>1.3493409E-2</v>
          </cell>
          <cell r="G12">
            <v>1.4659307999999999E-2</v>
          </cell>
          <cell r="H12">
            <v>1.5909260000000001E-2</v>
          </cell>
          <cell r="I12">
            <v>1.7233054000000001E-2</v>
          </cell>
          <cell r="J12">
            <v>1.8652854E-2</v>
          </cell>
          <cell r="K12">
            <v>2.0104673E-2</v>
          </cell>
          <cell r="L12">
            <v>2.1541807E-2</v>
          </cell>
          <cell r="M12">
            <v>2.3111955E-2</v>
          </cell>
          <cell r="N12">
            <v>2.4696216E-2</v>
          </cell>
          <cell r="O12">
            <v>2.6378394999999999E-2</v>
          </cell>
          <cell r="P12">
            <v>2.8153858E-2</v>
          </cell>
          <cell r="Q12">
            <v>3.0598875000000001E-2</v>
          </cell>
          <cell r="R12">
            <v>3.3172354000000001E-2</v>
          </cell>
          <cell r="S12">
            <v>3.5866451000000001E-2</v>
          </cell>
          <cell r="T12">
            <v>3.8674663999999997E-2</v>
          </cell>
          <cell r="U12">
            <v>4.1592193E-2</v>
          </cell>
          <cell r="V12">
            <v>4.4614374999999998E-2</v>
          </cell>
          <cell r="W12">
            <v>4.7736409E-2</v>
          </cell>
          <cell r="X12">
            <v>5.0955383E-2</v>
          </cell>
          <cell r="Y12">
            <v>5.4268318000000003E-2</v>
          </cell>
          <cell r="Z12">
            <v>5.7671160999999999E-2</v>
          </cell>
          <cell r="AA12">
            <v>6.1160315999999999E-2</v>
          </cell>
          <cell r="AB12">
            <v>6.4053769999999996E-2</v>
          </cell>
          <cell r="AC12">
            <v>6.6401977000000001E-2</v>
          </cell>
          <cell r="AD12">
            <v>6.8252942999999996E-2</v>
          </cell>
          <cell r="AE12">
            <v>6.9640885999999999E-2</v>
          </cell>
          <cell r="AF12">
            <v>7.0602207E-2</v>
          </cell>
          <cell r="AG12">
            <v>7.1176879999999998E-2</v>
          </cell>
          <cell r="AH12">
            <v>7.1386503000000004E-2</v>
          </cell>
          <cell r="AI12">
            <v>7.1251503999999993E-2</v>
          </cell>
          <cell r="AJ12">
            <v>7.0793815999999996E-2</v>
          </cell>
          <cell r="AK12">
            <v>7.0041001000000006E-2</v>
          </cell>
          <cell r="AL12">
            <v>6.9423076E-2</v>
          </cell>
          <cell r="AM12">
            <v>6.8913476000000001E-2</v>
          </cell>
          <cell r="AN12">
            <v>6.8498263000000004E-2</v>
          </cell>
          <cell r="AO12">
            <v>6.8167131000000006E-2</v>
          </cell>
          <cell r="AP12">
            <v>6.7908361E-2</v>
          </cell>
          <cell r="AQ12">
            <v>6.7700094000000002E-2</v>
          </cell>
          <cell r="AR12">
            <v>6.7553411999999993E-2</v>
          </cell>
          <cell r="AS12">
            <v>6.7441688E-2</v>
          </cell>
          <cell r="AT12">
            <v>6.7371538999999994E-2</v>
          </cell>
          <cell r="AU12">
            <v>6.7326555999999996E-2</v>
          </cell>
          <cell r="AV12">
            <v>6.7318578000000004E-2</v>
          </cell>
          <cell r="AW12">
            <v>6.7343226000000006E-2</v>
          </cell>
          <cell r="AX12">
            <v>6.7394581999999995E-2</v>
          </cell>
          <cell r="AY12">
            <v>6.7466542000000004E-2</v>
          </cell>
          <cell r="AZ12">
            <v>6.7557193000000001E-2</v>
          </cell>
          <cell r="BA12">
            <v>6.7663996000000004E-2</v>
          </cell>
          <cell r="BB12">
            <v>6.7786561999999995E-2</v>
          </cell>
          <cell r="BC12">
            <v>6.7918708999999994E-2</v>
          </cell>
          <cell r="BD12">
            <v>6.8066139999999997E-2</v>
          </cell>
          <cell r="BE12">
            <v>6.8228108999999995E-2</v>
          </cell>
          <cell r="BF12">
            <v>6.8385210000000002E-2</v>
          </cell>
          <cell r="BG12">
            <v>6.8540517999999995E-2</v>
          </cell>
          <cell r="BH12">
            <v>6.8689901999999997E-2</v>
          </cell>
          <cell r="BI12">
            <v>6.8835285999999996E-2</v>
          </cell>
          <cell r="BJ12">
            <v>6.8973758999999996E-2</v>
          </cell>
          <cell r="BK12">
            <v>6.9107010999999996E-2</v>
          </cell>
          <cell r="BL12">
            <v>6.9235438999999996E-2</v>
          </cell>
          <cell r="BM12">
            <v>6.9358490999999994E-2</v>
          </cell>
          <cell r="BN12">
            <v>6.9474896999999994E-2</v>
          </cell>
          <cell r="BO12">
            <v>6.9585141000000003E-2</v>
          </cell>
          <cell r="BP12">
            <v>6.9690816000000003E-2</v>
          </cell>
          <cell r="BQ12">
            <v>6.9783681E-2</v>
          </cell>
          <cell r="BR12">
            <v>6.9869756000000005E-2</v>
          </cell>
          <cell r="BS12">
            <v>6.9951929999999996E-2</v>
          </cell>
          <cell r="BT12">
            <v>7.0020356000000006E-2</v>
          </cell>
          <cell r="BU12">
            <v>7.0080128000000005E-2</v>
          </cell>
          <cell r="BV12">
            <v>7.0132458999999994E-2</v>
          </cell>
          <cell r="BW12">
            <v>7.0179777999999998E-2</v>
          </cell>
          <cell r="BX12">
            <v>7.0219897000000003E-2</v>
          </cell>
          <cell r="BY12">
            <v>7.0254978999999995E-2</v>
          </cell>
          <cell r="BZ12">
            <v>7.0284208000000001E-2</v>
          </cell>
          <cell r="CA12">
            <v>7.0303528000000004E-2</v>
          </cell>
          <cell r="CB12">
            <v>7.0317487999999997E-2</v>
          </cell>
          <cell r="CC12">
            <v>7.0328030999999999E-2</v>
          </cell>
          <cell r="CD12">
            <v>7.0334632999999994E-2</v>
          </cell>
          <cell r="CE12">
            <v>7.0337188999999994E-2</v>
          </cell>
          <cell r="CF12">
            <v>7.0332187000000004E-2</v>
          </cell>
          <cell r="CG12">
            <v>7.0324745999999994E-2</v>
          </cell>
          <cell r="CH12">
            <v>7.0313256000000005E-2</v>
          </cell>
          <cell r="CI12">
            <v>7.0297852999999993E-2</v>
          </cell>
          <cell r="CJ12">
            <v>7.0278582000000006E-2</v>
          </cell>
          <cell r="CK12">
            <v>7.0256633999999998E-2</v>
          </cell>
          <cell r="CL12">
            <v>7.0230895000000002E-2</v>
          </cell>
          <cell r="CM12">
            <v>7.0202188999999998E-2</v>
          </cell>
          <cell r="CN12">
            <v>7.0169787999999997E-2</v>
          </cell>
          <cell r="CO12">
            <v>7.0136106000000004E-2</v>
          </cell>
          <cell r="CP12">
            <v>7.0099552999999995E-2</v>
          </cell>
          <cell r="CQ12">
            <v>7.0059255000000001E-2</v>
          </cell>
          <cell r="CR12">
            <v>7.0017863999999999E-2</v>
          </cell>
          <cell r="CS12">
            <v>6.9975359000000001E-2</v>
          </cell>
          <cell r="CT12">
            <v>6.9929852000000001E-2</v>
          </cell>
          <cell r="CU12">
            <v>6.9881386000000004E-2</v>
          </cell>
          <cell r="CV12">
            <v>6.9830083000000001E-2</v>
          </cell>
          <cell r="CW12">
            <v>6.9775885999999995E-2</v>
          </cell>
          <cell r="CX12">
            <v>6.9716449E-2</v>
          </cell>
          <cell r="CY12">
            <v>6.9656492E-2</v>
          </cell>
          <cell r="CZ12">
            <v>6.9592307000000006E-2</v>
          </cell>
          <cell r="DA12">
            <v>6.9525437999999995E-2</v>
          </cell>
          <cell r="DB12">
            <v>6.9456226999999995E-2</v>
          </cell>
        </row>
        <row r="13">
          <cell r="D13" t="str">
            <v>AR5 climate diagnostics|Forcing|FAIR|MED</v>
          </cell>
          <cell r="E13" t="str">
            <v>W/m2</v>
          </cell>
          <cell r="P13">
            <v>2.238</v>
          </cell>
          <cell r="Q13">
            <v>2.2949999999999999</v>
          </cell>
          <cell r="R13">
            <v>2.355</v>
          </cell>
          <cell r="S13">
            <v>2.419</v>
          </cell>
          <cell r="T13">
            <v>2.4780000000000002</v>
          </cell>
          <cell r="U13">
            <v>2.5350000000000001</v>
          </cell>
          <cell r="V13">
            <v>2.5880000000000001</v>
          </cell>
          <cell r="W13">
            <v>2.641</v>
          </cell>
          <cell r="X13">
            <v>2.7010000000000001</v>
          </cell>
          <cell r="Y13">
            <v>2.7679999999999998</v>
          </cell>
          <cell r="Z13">
            <v>2.827</v>
          </cell>
          <cell r="AA13">
            <v>2.8759999999999999</v>
          </cell>
          <cell r="AB13">
            <v>2.915</v>
          </cell>
          <cell r="AC13">
            <v>2.9569999999999999</v>
          </cell>
          <cell r="AD13">
            <v>2.9950000000000001</v>
          </cell>
          <cell r="AE13">
            <v>3.024</v>
          </cell>
          <cell r="AF13">
            <v>3.0459999999999998</v>
          </cell>
          <cell r="AG13">
            <v>3.0640000000000001</v>
          </cell>
          <cell r="AH13">
            <v>3.0870000000000002</v>
          </cell>
          <cell r="AI13">
            <v>3.1160000000000001</v>
          </cell>
          <cell r="AJ13">
            <v>3.125</v>
          </cell>
          <cell r="AK13">
            <v>3.109</v>
          </cell>
          <cell r="AL13">
            <v>3.093</v>
          </cell>
          <cell r="AM13">
            <v>3.0880000000000001</v>
          </cell>
          <cell r="AN13">
            <v>3.077</v>
          </cell>
          <cell r="AO13">
            <v>3.0659999999999998</v>
          </cell>
          <cell r="AP13">
            <v>3.0529999999999999</v>
          </cell>
          <cell r="AQ13">
            <v>3.0390000000000001</v>
          </cell>
          <cell r="AR13">
            <v>3.0259999999999998</v>
          </cell>
          <cell r="AS13">
            <v>3.0110000000000001</v>
          </cell>
          <cell r="AT13">
            <v>3.0009999999999999</v>
          </cell>
          <cell r="AU13">
            <v>2.984</v>
          </cell>
          <cell r="AV13">
            <v>2.9660000000000002</v>
          </cell>
          <cell r="AW13">
            <v>2.948</v>
          </cell>
          <cell r="AX13">
            <v>2.93</v>
          </cell>
          <cell r="AY13">
            <v>2.91</v>
          </cell>
          <cell r="AZ13">
            <v>2.89</v>
          </cell>
          <cell r="BA13">
            <v>2.8730000000000002</v>
          </cell>
          <cell r="BB13">
            <v>2.85299999999999</v>
          </cell>
          <cell r="BC13">
            <v>2.8340000000000001</v>
          </cell>
          <cell r="BD13">
            <v>2.8159999999999998</v>
          </cell>
          <cell r="BE13">
            <v>2.7949999999999999</v>
          </cell>
          <cell r="BF13">
            <v>2.7749999999999999</v>
          </cell>
          <cell r="BG13">
            <v>2.758</v>
          </cell>
          <cell r="BH13">
            <v>2.7410000000000001</v>
          </cell>
          <cell r="BI13">
            <v>2.7240000000000002</v>
          </cell>
          <cell r="BJ13">
            <v>2.7069999999999999</v>
          </cell>
          <cell r="BK13">
            <v>2.6909999999999998</v>
          </cell>
          <cell r="BL13">
            <v>2.6749999999999998</v>
          </cell>
          <cell r="BM13">
            <v>2.6579999999999999</v>
          </cell>
          <cell r="BN13">
            <v>2.6419999999999999</v>
          </cell>
          <cell r="BO13">
            <v>2.6240000000000001</v>
          </cell>
          <cell r="BP13">
            <v>2.6080000000000001</v>
          </cell>
          <cell r="BQ13">
            <v>2.5939999999999999</v>
          </cell>
          <cell r="BR13">
            <v>2.5779999999999998</v>
          </cell>
          <cell r="BS13">
            <v>2.5649999999999999</v>
          </cell>
          <cell r="BT13">
            <v>2.5510000000000002</v>
          </cell>
          <cell r="BU13">
            <v>2.5379999999999998</v>
          </cell>
          <cell r="BV13">
            <v>2.5249999999999999</v>
          </cell>
          <cell r="BW13">
            <v>2.5110000000000001</v>
          </cell>
          <cell r="BX13">
            <v>2.4980000000000002</v>
          </cell>
          <cell r="BY13">
            <v>2.48599999999999</v>
          </cell>
          <cell r="BZ13">
            <v>2.4740000000000002</v>
          </cell>
          <cell r="CA13">
            <v>2.4620000000000002</v>
          </cell>
          <cell r="CB13">
            <v>2.4500000000000002</v>
          </cell>
          <cell r="CC13">
            <v>2.4390000000000001</v>
          </cell>
          <cell r="CD13">
            <v>2.4279999999999999</v>
          </cell>
          <cell r="CE13">
            <v>2.4169999999999998</v>
          </cell>
          <cell r="CF13">
            <v>2.407</v>
          </cell>
          <cell r="CG13">
            <v>2.3959999999999999</v>
          </cell>
          <cell r="CH13">
            <v>2.387</v>
          </cell>
          <cell r="CI13">
            <v>2.3769999999999998</v>
          </cell>
          <cell r="CJ13">
            <v>2.3679999999999999</v>
          </cell>
          <cell r="CK13">
            <v>2.359</v>
          </cell>
          <cell r="CL13">
            <v>2.3490000000000002</v>
          </cell>
          <cell r="CM13">
            <v>2.34</v>
          </cell>
          <cell r="CN13">
            <v>2.331</v>
          </cell>
          <cell r="CO13">
            <v>2.3220000000000001</v>
          </cell>
          <cell r="CP13">
            <v>2.3130000000000002</v>
          </cell>
          <cell r="CQ13">
            <v>2.3050000000000002</v>
          </cell>
          <cell r="CR13">
            <v>2.2949999999999999</v>
          </cell>
          <cell r="CS13">
            <v>2.286</v>
          </cell>
          <cell r="CT13">
            <v>2.278</v>
          </cell>
          <cell r="CU13">
            <v>2.27</v>
          </cell>
          <cell r="CV13">
            <v>2.262</v>
          </cell>
          <cell r="CW13">
            <v>2.2549999999999999</v>
          </cell>
          <cell r="CX13">
            <v>2.2480000000000002</v>
          </cell>
          <cell r="CY13">
            <v>2.2410000000000001</v>
          </cell>
          <cell r="CZ13">
            <v>2.234</v>
          </cell>
          <cell r="DA13">
            <v>2.2269999999999999</v>
          </cell>
          <cell r="DB13">
            <v>2.218</v>
          </cell>
        </row>
        <row r="14">
          <cell r="D14" t="str">
            <v>AR5 climate diagnostics|Forcing|Kyoto Gases|MAGICC6|MED</v>
          </cell>
          <cell r="E14" t="str">
            <v>W/m2</v>
          </cell>
          <cell r="F14">
            <v>2.510326536</v>
          </cell>
          <cell r="G14">
            <v>2.5407232209999999</v>
          </cell>
          <cell r="H14">
            <v>2.5789962549999998</v>
          </cell>
          <cell r="I14">
            <v>2.6141860179999998</v>
          </cell>
          <cell r="J14">
            <v>2.6444838700000002</v>
          </cell>
          <cell r="K14">
            <v>2.6775090490000002</v>
          </cell>
          <cell r="L14">
            <v>2.7113265480000002</v>
          </cell>
          <cell r="M14">
            <v>2.7468848609999998</v>
          </cell>
          <cell r="N14">
            <v>2.7847788260000002</v>
          </cell>
          <cell r="O14">
            <v>2.8286851720000001</v>
          </cell>
          <cell r="P14">
            <v>2.8715256990000002</v>
          </cell>
          <cell r="Q14">
            <v>2.9159047939999998</v>
          </cell>
          <cell r="R14">
            <v>2.9573323290000002</v>
          </cell>
          <cell r="S14">
            <v>2.9992658579999998</v>
          </cell>
          <cell r="T14">
            <v>3.037356473</v>
          </cell>
          <cell r="U14">
            <v>3.0776609399999999</v>
          </cell>
          <cell r="V14">
            <v>3.1184661039999999</v>
          </cell>
          <cell r="W14">
            <v>3.15753175299999</v>
          </cell>
          <cell r="X14">
            <v>3.1977383760000002</v>
          </cell>
          <cell r="Y14">
            <v>3.237601417</v>
          </cell>
          <cell r="Z14">
            <v>3.2750872659999999</v>
          </cell>
          <cell r="AA14">
            <v>3.312265188</v>
          </cell>
          <cell r="AB14">
            <v>3.3416723309999998</v>
          </cell>
          <cell r="AC14">
            <v>3.3668427319999998</v>
          </cell>
          <cell r="AD14">
            <v>3.3878374490000001</v>
          </cell>
          <cell r="AE14">
            <v>3.4018410609999998</v>
          </cell>
          <cell r="AF14">
            <v>3.4100379969999999</v>
          </cell>
          <cell r="AG14">
            <v>3.4161688730000002</v>
          </cell>
          <cell r="AH14">
            <v>3.417303548</v>
          </cell>
          <cell r="AI14">
            <v>3.4127011220000001</v>
          </cell>
          <cell r="AJ14">
            <v>3.4060643100000001</v>
          </cell>
          <cell r="AK14">
            <v>3.3951185960000001</v>
          </cell>
          <cell r="AL14">
            <v>3.3846512010000001</v>
          </cell>
          <cell r="AM14">
            <v>3.3732288459999999</v>
          </cell>
          <cell r="AN14">
            <v>3.361709023</v>
          </cell>
          <cell r="AO14">
            <v>3.3505364860000002</v>
          </cell>
          <cell r="AP14">
            <v>3.3383948879999998</v>
          </cell>
          <cell r="AQ14">
            <v>3.3254005929999999</v>
          </cell>
          <cell r="AR14">
            <v>3.3132411959999999</v>
          </cell>
          <cell r="AS14">
            <v>3.2989930670000001</v>
          </cell>
          <cell r="AT14">
            <v>3.2850996700000001</v>
          </cell>
          <cell r="AU14">
            <v>3.2707550689999998</v>
          </cell>
          <cell r="AV14">
            <v>3.2544209830000002</v>
          </cell>
          <cell r="AW14">
            <v>3.2389403899999998</v>
          </cell>
          <cell r="AX14">
            <v>3.224464191</v>
          </cell>
          <cell r="AY14">
            <v>3.2107221190000002</v>
          </cell>
          <cell r="AZ14">
            <v>3.196474356</v>
          </cell>
          <cell r="BA14">
            <v>3.1830952379999999</v>
          </cell>
          <cell r="BB14">
            <v>3.1680918660000001</v>
          </cell>
          <cell r="BC14">
            <v>3.1532564430000001</v>
          </cell>
          <cell r="BD14">
            <v>3.1383614249999998</v>
          </cell>
          <cell r="BE14">
            <v>3.1234936370000002</v>
          </cell>
          <cell r="BF14">
            <v>3.1091270409999998</v>
          </cell>
          <cell r="BG14">
            <v>3.0951716070000002</v>
          </cell>
          <cell r="BH14">
            <v>3.0815265510000001</v>
          </cell>
          <cell r="BI14">
            <v>3.0670800580000002</v>
          </cell>
          <cell r="BJ14">
            <v>3.0520688300000001</v>
          </cell>
          <cell r="BK14">
            <v>3.0395900619999998</v>
          </cell>
          <cell r="BL14">
            <v>3.0279620519999999</v>
          </cell>
          <cell r="BM14">
            <v>3.0148416729999998</v>
          </cell>
          <cell r="BN14">
            <v>3.002931775</v>
          </cell>
          <cell r="BO14">
            <v>2.9896572689999998</v>
          </cell>
          <cell r="BP14">
            <v>2.9761168360000001</v>
          </cell>
          <cell r="BQ14">
            <v>2.9631957560000002</v>
          </cell>
          <cell r="BR14">
            <v>2.9515618529999998</v>
          </cell>
          <cell r="BS14">
            <v>2.9393913920000001</v>
          </cell>
          <cell r="BT14">
            <v>2.92756105</v>
          </cell>
          <cell r="BU14">
            <v>2.9143717260000002</v>
          </cell>
          <cell r="BV14">
            <v>2.9035848190000002</v>
          </cell>
          <cell r="BW14">
            <v>2.8934446729999999</v>
          </cell>
          <cell r="BX14">
            <v>2.8817733570000001</v>
          </cell>
          <cell r="BY14">
            <v>2.869372287</v>
          </cell>
          <cell r="BZ14">
            <v>2.8568922699999999</v>
          </cell>
          <cell r="CA14">
            <v>2.8453306359999999</v>
          </cell>
          <cell r="CB14">
            <v>2.8339247890000001</v>
          </cell>
          <cell r="CC14">
            <v>2.822925771</v>
          </cell>
          <cell r="CD14">
            <v>2.8134240419999998</v>
          </cell>
          <cell r="CE14">
            <v>2.804395017</v>
          </cell>
          <cell r="CF14">
            <v>2.7942579580000002</v>
          </cell>
          <cell r="CG14">
            <v>2.7854590739999998</v>
          </cell>
          <cell r="CH14">
            <v>2.7769401180000002</v>
          </cell>
          <cell r="CI14">
            <v>2.7680208309999998</v>
          </cell>
          <cell r="CJ14">
            <v>2.7588717749999998</v>
          </cell>
          <cell r="CK14">
            <v>2.7498477139999999</v>
          </cell>
          <cell r="CL14">
            <v>2.7399853300000001</v>
          </cell>
          <cell r="CM14">
            <v>2.7301152910000002</v>
          </cell>
          <cell r="CN14">
            <v>2.7195370090000002</v>
          </cell>
          <cell r="CO14">
            <v>2.7106010199999999</v>
          </cell>
          <cell r="CP14">
            <v>2.700851798</v>
          </cell>
          <cell r="CQ14">
            <v>2.6916314610000001</v>
          </cell>
          <cell r="CR14">
            <v>2.6823071380000001</v>
          </cell>
          <cell r="CS14">
            <v>2.671838953</v>
          </cell>
          <cell r="CT14">
            <v>2.6617529019999999</v>
          </cell>
          <cell r="CU14">
            <v>2.6520574990000001</v>
          </cell>
          <cell r="CV14">
            <v>2.6435773760000001</v>
          </cell>
          <cell r="CW14">
            <v>2.6341378999999998</v>
          </cell>
          <cell r="CX14">
            <v>2.6250320700000001</v>
          </cell>
          <cell r="CY14">
            <v>2.6151799150000001</v>
          </cell>
          <cell r="CZ14">
            <v>2.6075307909999998</v>
          </cell>
          <cell r="DA14">
            <v>2.598514035</v>
          </cell>
          <cell r="DB14">
            <v>2.5892548340000001</v>
          </cell>
        </row>
        <row r="15">
          <cell r="D15" t="str">
            <v>AR5 climate diagnostics|Forcing|MAGICC6|MED</v>
          </cell>
          <cell r="E15" t="str">
            <v>W/m2</v>
          </cell>
          <cell r="F15">
            <v>1.8234672240000001</v>
          </cell>
          <cell r="G15">
            <v>1.8513987249999999</v>
          </cell>
          <cell r="H15">
            <v>1.892749281</v>
          </cell>
          <cell r="I15">
            <v>1.9257579199999999</v>
          </cell>
          <cell r="J15">
            <v>1.9543798699999999</v>
          </cell>
          <cell r="K15">
            <v>1.9953941369999999</v>
          </cell>
          <cell r="L15">
            <v>2.0445204499999998</v>
          </cell>
          <cell r="M15">
            <v>2.0945157349999999</v>
          </cell>
          <cell r="N15">
            <v>2.1477332179999999</v>
          </cell>
          <cell r="O15">
            <v>2.2122549600000001</v>
          </cell>
          <cell r="P15">
            <v>2.271701787</v>
          </cell>
          <cell r="Q15">
            <v>2.3326899480000001</v>
          </cell>
          <cell r="R15">
            <v>2.3939187199999998</v>
          </cell>
          <cell r="S15">
            <v>2.4484318530000002</v>
          </cell>
          <cell r="T15">
            <v>2.503511998</v>
          </cell>
          <cell r="U15">
            <v>2.5575257260000002</v>
          </cell>
          <cell r="V15">
            <v>2.60767288</v>
          </cell>
          <cell r="W15">
            <v>2.6607100880000001</v>
          </cell>
          <cell r="X15">
            <v>2.7137587070000002</v>
          </cell>
          <cell r="Y15">
            <v>2.7680864879999998</v>
          </cell>
          <cell r="Z15">
            <v>2.8264466640000001</v>
          </cell>
          <cell r="AA15">
            <v>2.8827455130000001</v>
          </cell>
          <cell r="AB15">
            <v>2.923260183</v>
          </cell>
          <cell r="AC15">
            <v>2.9615627529999999</v>
          </cell>
          <cell r="AD15">
            <v>2.9931130019999999</v>
          </cell>
          <cell r="AE15">
            <v>3.0197240910000001</v>
          </cell>
          <cell r="AF15">
            <v>3.0396195380000002</v>
          </cell>
          <cell r="AG15">
            <v>3.0537190829999998</v>
          </cell>
          <cell r="AH15">
            <v>3.0675331739999998</v>
          </cell>
          <cell r="AI15">
            <v>3.0752857690000002</v>
          </cell>
          <cell r="AJ15">
            <v>3.0703477449999999</v>
          </cell>
          <cell r="AK15">
            <v>3.0562129410000001</v>
          </cell>
          <cell r="AL15">
            <v>3.0495761020000001</v>
          </cell>
          <cell r="AM15">
            <v>3.044217374</v>
          </cell>
          <cell r="AN15">
            <v>3.040632172</v>
          </cell>
          <cell r="AO15">
            <v>3.037601043</v>
          </cell>
          <cell r="AP15">
            <v>3.0329108150000001</v>
          </cell>
          <cell r="AQ15">
            <v>3.0253610559999999</v>
          </cell>
          <cell r="AR15">
            <v>3.0197351100000001</v>
          </cell>
          <cell r="AS15">
            <v>3.0124580380000001</v>
          </cell>
          <cell r="AT15">
            <v>2.9968865149999999</v>
          </cell>
          <cell r="AU15">
            <v>2.9801883419999999</v>
          </cell>
          <cell r="AV15">
            <v>2.9634925839999999</v>
          </cell>
          <cell r="AW15">
            <v>2.947777941</v>
          </cell>
          <cell r="AX15">
            <v>2.932433337</v>
          </cell>
          <cell r="AY15">
            <v>2.9155316180000002</v>
          </cell>
          <cell r="AZ15">
            <v>2.8990189800000001</v>
          </cell>
          <cell r="BA15">
            <v>2.882505192</v>
          </cell>
          <cell r="BB15">
            <v>2.8697511769999999</v>
          </cell>
          <cell r="BC15">
            <v>2.8556005359999999</v>
          </cell>
          <cell r="BD15">
            <v>2.8398119639999999</v>
          </cell>
          <cell r="BE15">
            <v>2.8185934220000002</v>
          </cell>
          <cell r="BF15">
            <v>2.8021290539999999</v>
          </cell>
          <cell r="BG15">
            <v>2.7849119029999998</v>
          </cell>
          <cell r="BH15">
            <v>2.7698506389999999</v>
          </cell>
          <cell r="BI15">
            <v>2.755039558</v>
          </cell>
          <cell r="BJ15">
            <v>2.7422369419999999</v>
          </cell>
          <cell r="BK15">
            <v>2.7276465430000001</v>
          </cell>
          <cell r="BL15">
            <v>2.7134851539999998</v>
          </cell>
          <cell r="BM15">
            <v>2.6981825339999999</v>
          </cell>
          <cell r="BN15">
            <v>2.6840930190000001</v>
          </cell>
          <cell r="BO15">
            <v>2.670289259</v>
          </cell>
          <cell r="BP15">
            <v>2.654969533</v>
          </cell>
          <cell r="BQ15">
            <v>2.6420270349999999</v>
          </cell>
          <cell r="BR15">
            <v>2.6276191340000001</v>
          </cell>
          <cell r="BS15">
            <v>2.6178192739999999</v>
          </cell>
          <cell r="BT15">
            <v>2.606693849</v>
          </cell>
          <cell r="BU15">
            <v>2.5929226729999999</v>
          </cell>
          <cell r="BV15">
            <v>2.5808820539999999</v>
          </cell>
          <cell r="BW15">
            <v>2.568634946</v>
          </cell>
          <cell r="BX15">
            <v>2.5570500319999998</v>
          </cell>
          <cell r="BY15">
            <v>2.5458060059999998</v>
          </cell>
          <cell r="BZ15">
            <v>2.5349135660000002</v>
          </cell>
          <cell r="CA15">
            <v>2.5247145720000002</v>
          </cell>
          <cell r="CB15">
            <v>2.5157848839999999</v>
          </cell>
          <cell r="CC15">
            <v>2.5057886470000001</v>
          </cell>
          <cell r="CD15">
            <v>2.495205001</v>
          </cell>
          <cell r="CE15">
            <v>2.4846662089999998</v>
          </cell>
          <cell r="CF15">
            <v>2.4724324740000001</v>
          </cell>
          <cell r="CG15">
            <v>2.4605889169999999</v>
          </cell>
          <cell r="CH15">
            <v>2.4501405080000001</v>
          </cell>
          <cell r="CI15">
            <v>2.440222205</v>
          </cell>
          <cell r="CJ15">
            <v>2.4299972950000002</v>
          </cell>
          <cell r="CK15">
            <v>2.420152764</v>
          </cell>
          <cell r="CL15">
            <v>2.409296087</v>
          </cell>
          <cell r="CM15">
            <v>2.4007250349999998</v>
          </cell>
          <cell r="CN15">
            <v>2.3910697980000002</v>
          </cell>
          <cell r="CO15">
            <v>2.3827415959999998</v>
          </cell>
          <cell r="CP15">
            <v>2.3751089780000001</v>
          </cell>
          <cell r="CQ15">
            <v>2.3663362870000002</v>
          </cell>
          <cell r="CR15">
            <v>2.3572494640000001</v>
          </cell>
          <cell r="CS15">
            <v>2.347649799</v>
          </cell>
          <cell r="CT15">
            <v>2.3385726880000002</v>
          </cell>
          <cell r="CU15">
            <v>2.330628457</v>
          </cell>
          <cell r="CV15">
            <v>2.3233254269999999</v>
          </cell>
          <cell r="CW15">
            <v>2.3144299699999999</v>
          </cell>
          <cell r="CX15">
            <v>2.3055163799999998</v>
          </cell>
          <cell r="CY15">
            <v>2.2968600260000001</v>
          </cell>
          <cell r="CZ15">
            <v>2.2891041190000001</v>
          </cell>
          <cell r="DA15">
            <v>2.280175866</v>
          </cell>
          <cell r="DB15">
            <v>2.2719016970000001</v>
          </cell>
        </row>
        <row r="16">
          <cell r="D16" t="str">
            <v>AR5 climate diagnostics|Forcing|Montreal Protocol (orig.) gases|MAGICC6|MED</v>
          </cell>
          <cell r="E16" t="str">
            <v>W/m2</v>
          </cell>
          <cell r="F16">
            <v>0.31745511900000001</v>
          </cell>
          <cell r="G16">
            <v>0.31821250899999998</v>
          </cell>
          <cell r="H16">
            <v>0.318839761</v>
          </cell>
          <cell r="I16">
            <v>0.31871379999999999</v>
          </cell>
          <cell r="J16">
            <v>0.31879126200000002</v>
          </cell>
          <cell r="K16">
            <v>0.31849339199999999</v>
          </cell>
          <cell r="L16">
            <v>0.31748713699999997</v>
          </cell>
          <cell r="M16">
            <v>0.31659136500000001</v>
          </cell>
          <cell r="N16">
            <v>0.31568222699999998</v>
          </cell>
          <cell r="O16">
            <v>0.31468008200000003</v>
          </cell>
          <cell r="P16">
            <v>0.31364093799999998</v>
          </cell>
          <cell r="Q16">
            <v>0.312548467</v>
          </cell>
          <cell r="R16">
            <v>0.31142300000000001</v>
          </cell>
          <cell r="S16">
            <v>0.31029391099999998</v>
          </cell>
          <cell r="T16">
            <v>0.30911779499999997</v>
          </cell>
          <cell r="U16">
            <v>0.30783402700000001</v>
          </cell>
          <cell r="V16">
            <v>0.306461231</v>
          </cell>
          <cell r="W16">
            <v>0.30509738199999997</v>
          </cell>
          <cell r="X16">
            <v>0.30367849699999999</v>
          </cell>
          <cell r="Y16">
            <v>0.30217834300000002</v>
          </cell>
          <cell r="Z16">
            <v>0.30062071899999998</v>
          </cell>
          <cell r="AA16">
            <v>0.29903349899999998</v>
          </cell>
          <cell r="AB16">
            <v>0.29738768700000001</v>
          </cell>
          <cell r="AC16">
            <v>0.29559700700000002</v>
          </cell>
          <cell r="AD16">
            <v>0.29391951399999999</v>
          </cell>
          <cell r="AE16">
            <v>0.29204750299999999</v>
          </cell>
          <cell r="AF16">
            <v>0.29015864400000002</v>
          </cell>
          <cell r="AG16">
            <v>0.28814447700000001</v>
          </cell>
          <cell r="AH16">
            <v>0.28598244499999997</v>
          </cell>
          <cell r="AI16">
            <v>0.28387216300000001</v>
          </cell>
          <cell r="AJ16">
            <v>0.281675181</v>
          </cell>
          <cell r="AK16">
            <v>0.27947618299999999</v>
          </cell>
          <cell r="AL16">
            <v>0.27713925099999998</v>
          </cell>
          <cell r="AM16">
            <v>0.27464699399999998</v>
          </cell>
          <cell r="AN16">
            <v>0.27191432100000001</v>
          </cell>
          <cell r="AO16">
            <v>0.26904169999999999</v>
          </cell>
          <cell r="AP16">
            <v>0.26584176999999998</v>
          </cell>
          <cell r="AQ16">
            <v>0.26240145599999998</v>
          </cell>
          <cell r="AR16">
            <v>0.25864105599999998</v>
          </cell>
          <cell r="AS16">
            <v>0.25456620299999999</v>
          </cell>
          <cell r="AT16">
            <v>0.25022776499999999</v>
          </cell>
          <cell r="AU16">
            <v>0.24556725600000001</v>
          </cell>
          <cell r="AV16">
            <v>0.24068298699999999</v>
          </cell>
          <cell r="AW16">
            <v>0.235626961</v>
          </cell>
          <cell r="AX16">
            <v>0.230526284</v>
          </cell>
          <cell r="AY16">
            <v>0.225352897</v>
          </cell>
          <cell r="AZ16">
            <v>0.220246161</v>
          </cell>
          <cell r="BA16">
            <v>0.215258851</v>
          </cell>
          <cell r="BB16">
            <v>0.210254739</v>
          </cell>
          <cell r="BC16">
            <v>0.20536528100000001</v>
          </cell>
          <cell r="BD16">
            <v>0.20055024399999999</v>
          </cell>
          <cell r="BE16">
            <v>0.195864126</v>
          </cell>
          <cell r="BF16">
            <v>0.19128270999999999</v>
          </cell>
          <cell r="BG16">
            <v>0.18684094500000001</v>
          </cell>
          <cell r="BH16">
            <v>0.182560478</v>
          </cell>
          <cell r="BI16">
            <v>0.17848793199999999</v>
          </cell>
          <cell r="BJ16">
            <v>0.174612182</v>
          </cell>
          <cell r="BK16">
            <v>0.17088383700000001</v>
          </cell>
          <cell r="BL16">
            <v>0.16727194400000001</v>
          </cell>
          <cell r="BM16">
            <v>0.16379539999999901</v>
          </cell>
          <cell r="BN16">
            <v>0.16033232</v>
          </cell>
          <cell r="BO16">
            <v>0.157035762</v>
          </cell>
          <cell r="BP16">
            <v>0.15384007599999999</v>
          </cell>
          <cell r="BQ16">
            <v>0.15078713499999999</v>
          </cell>
          <cell r="BR16">
            <v>0.147851604</v>
          </cell>
          <cell r="BS16">
            <v>0.14504214800000001</v>
          </cell>
          <cell r="BT16">
            <v>0.14228591700000001</v>
          </cell>
          <cell r="BU16">
            <v>0.13971660299999999</v>
          </cell>
          <cell r="BV16">
            <v>0.137128747</v>
          </cell>
          <cell r="BW16">
            <v>0.134683684</v>
          </cell>
          <cell r="BX16">
            <v>0.13229533900000001</v>
          </cell>
          <cell r="BY16">
            <v>0.129948481</v>
          </cell>
          <cell r="BZ16">
            <v>0.12768448399999999</v>
          </cell>
          <cell r="CA16">
            <v>0.12557838900000001</v>
          </cell>
          <cell r="CB16">
            <v>0.123461657</v>
          </cell>
          <cell r="CC16">
            <v>0.121484904</v>
          </cell>
          <cell r="CD16">
            <v>0.119577528</v>
          </cell>
          <cell r="CE16">
            <v>0.11769779999999901</v>
          </cell>
          <cell r="CF16">
            <v>0.115885183</v>
          </cell>
          <cell r="CG16">
            <v>0.11410831</v>
          </cell>
          <cell r="CH16">
            <v>0.112368496</v>
          </cell>
          <cell r="CI16">
            <v>0.110685608</v>
          </cell>
          <cell r="CJ16">
            <v>0.108976324</v>
          </cell>
          <cell r="CK16">
            <v>0.107370745</v>
          </cell>
          <cell r="CL16">
            <v>0.10580824</v>
          </cell>
          <cell r="CM16">
            <v>0.104247378</v>
          </cell>
          <cell r="CN16">
            <v>0.102731589</v>
          </cell>
          <cell r="CO16">
            <v>0.101258508</v>
          </cell>
          <cell r="CP16">
            <v>9.9834697999999999E-2</v>
          </cell>
          <cell r="CQ16">
            <v>9.8459426000000003E-2</v>
          </cell>
          <cell r="CR16">
            <v>9.7108449999999999E-2</v>
          </cell>
          <cell r="CS16">
            <v>9.5750972000000004E-2</v>
          </cell>
          <cell r="CT16">
            <v>9.4411858000000001E-2</v>
          </cell>
          <cell r="CU16">
            <v>9.3128520000000006E-2</v>
          </cell>
          <cell r="CV16">
            <v>9.1868040999999998E-2</v>
          </cell>
          <cell r="CW16">
            <v>9.0608227E-2</v>
          </cell>
          <cell r="CX16">
            <v>8.9364751000000006E-2</v>
          </cell>
          <cell r="CY16">
            <v>8.8178443999999995E-2</v>
          </cell>
          <cell r="CZ16">
            <v>8.7024751999999997E-2</v>
          </cell>
          <cell r="DA16">
            <v>8.5881684E-2</v>
          </cell>
          <cell r="DB16">
            <v>8.4738322000000005E-2</v>
          </cell>
        </row>
        <row r="17">
          <cell r="D17" t="str">
            <v>AR5 climate diagnostics|Forcing|N2O|FAIR|MED</v>
          </cell>
          <cell r="E17" t="str">
            <v>W/m2</v>
          </cell>
          <cell r="P17">
            <v>0.14899999999999999</v>
          </cell>
          <cell r="Q17">
            <v>0.151</v>
          </cell>
          <cell r="R17">
            <v>0.152</v>
          </cell>
          <cell r="S17">
            <v>0.154</v>
          </cell>
          <cell r="T17">
            <v>0.155</v>
          </cell>
          <cell r="U17">
            <v>0.157</v>
          </cell>
          <cell r="V17">
            <v>0.158</v>
          </cell>
          <cell r="W17">
            <v>0.16</v>
          </cell>
          <cell r="X17">
            <v>0.161</v>
          </cell>
          <cell r="Y17">
            <v>0.16300000000000001</v>
          </cell>
          <cell r="Z17">
            <v>0.16400000000000001</v>
          </cell>
          <cell r="AA17">
            <v>0.16600000000000001</v>
          </cell>
          <cell r="AB17">
            <v>0.16700000000000001</v>
          </cell>
          <cell r="AC17">
            <v>0.16900000000000001</v>
          </cell>
          <cell r="AD17">
            <v>0.17</v>
          </cell>
          <cell r="AE17">
            <v>0.17100000000000001</v>
          </cell>
          <cell r="AF17">
            <v>0.17299999999999999</v>
          </cell>
          <cell r="AG17">
            <v>0.17399999999999999</v>
          </cell>
          <cell r="AH17">
            <v>0.17499999999999999</v>
          </cell>
          <cell r="AI17">
            <v>0.17599999999999999</v>
          </cell>
          <cell r="AJ17">
            <v>0.17699999999999999</v>
          </cell>
          <cell r="AK17">
            <v>0.17799999999999999</v>
          </cell>
          <cell r="AL17">
            <v>0.17899999999999999</v>
          </cell>
          <cell r="AM17">
            <v>0.18</v>
          </cell>
          <cell r="AN17">
            <v>0.18099999999999999</v>
          </cell>
          <cell r="AO17">
            <v>0.182</v>
          </cell>
          <cell r="AP17">
            <v>0.183</v>
          </cell>
          <cell r="AQ17">
            <v>0.184</v>
          </cell>
          <cell r="AR17">
            <v>0.185</v>
          </cell>
          <cell r="AS17">
            <v>0.186</v>
          </cell>
          <cell r="AT17">
            <v>0.186</v>
          </cell>
          <cell r="AU17">
            <v>0.187</v>
          </cell>
          <cell r="AV17">
            <v>0.188</v>
          </cell>
          <cell r="AW17">
            <v>0.188</v>
          </cell>
          <cell r="AX17">
            <v>0.189</v>
          </cell>
          <cell r="AY17">
            <v>0.19</v>
          </cell>
          <cell r="AZ17">
            <v>0.19</v>
          </cell>
          <cell r="BA17">
            <v>0.191</v>
          </cell>
          <cell r="BB17">
            <v>0.191</v>
          </cell>
          <cell r="BC17">
            <v>0.192</v>
          </cell>
          <cell r="BD17">
            <v>0.192</v>
          </cell>
          <cell r="BE17">
            <v>0.193</v>
          </cell>
          <cell r="BF17">
            <v>0.193</v>
          </cell>
          <cell r="BG17">
            <v>0.193</v>
          </cell>
          <cell r="BH17">
            <v>0.19400000000000001</v>
          </cell>
          <cell r="BI17">
            <v>0.19400000000000001</v>
          </cell>
          <cell r="BJ17">
            <v>0.19400000000000001</v>
          </cell>
          <cell r="BK17">
            <v>0.19500000000000001</v>
          </cell>
          <cell r="BL17">
            <v>0.19500000000000001</v>
          </cell>
          <cell r="BM17">
            <v>0.19500000000000001</v>
          </cell>
          <cell r="BN17">
            <v>0.19600000000000001</v>
          </cell>
          <cell r="BO17">
            <v>0.19600000000000001</v>
          </cell>
          <cell r="BP17">
            <v>0.19600000000000001</v>
          </cell>
          <cell r="BQ17">
            <v>0.19700000000000001</v>
          </cell>
          <cell r="BR17">
            <v>0.19700000000000001</v>
          </cell>
          <cell r="BS17">
            <v>0.19700000000000001</v>
          </cell>
          <cell r="BT17">
            <v>0.19700000000000001</v>
          </cell>
          <cell r="BU17">
            <v>0.19700000000000001</v>
          </cell>
          <cell r="BV17">
            <v>0.19700000000000001</v>
          </cell>
          <cell r="BW17">
            <v>0.19800000000000001</v>
          </cell>
          <cell r="BX17">
            <v>0.19800000000000001</v>
          </cell>
          <cell r="BY17">
            <v>0.19800000000000001</v>
          </cell>
          <cell r="BZ17">
            <v>0.19800000000000001</v>
          </cell>
          <cell r="CA17">
            <v>0.19800000000000001</v>
          </cell>
          <cell r="CB17">
            <v>0.19800000000000001</v>
          </cell>
          <cell r="CC17">
            <v>0.19800000000000001</v>
          </cell>
          <cell r="CD17">
            <v>0.19800000000000001</v>
          </cell>
          <cell r="CE17">
            <v>0.19800000000000001</v>
          </cell>
          <cell r="CF17">
            <v>0.19800000000000001</v>
          </cell>
          <cell r="CG17">
            <v>0.19800000000000001</v>
          </cell>
          <cell r="CH17">
            <v>0.19800000000000001</v>
          </cell>
          <cell r="CI17">
            <v>0.19800000000000001</v>
          </cell>
          <cell r="CJ17">
            <v>0.19800000000000001</v>
          </cell>
          <cell r="CK17">
            <v>0.19800000000000001</v>
          </cell>
          <cell r="CL17">
            <v>0.19800000000000001</v>
          </cell>
          <cell r="CM17">
            <v>0.19800000000000001</v>
          </cell>
          <cell r="CN17">
            <v>0.19800000000000001</v>
          </cell>
          <cell r="CO17">
            <v>0.19800000000000001</v>
          </cell>
          <cell r="CP17">
            <v>0.19800000000000001</v>
          </cell>
          <cell r="CQ17">
            <v>0.19800000000000001</v>
          </cell>
          <cell r="CR17">
            <v>0.19800000000000001</v>
          </cell>
          <cell r="CS17">
            <v>0.19800000000000001</v>
          </cell>
          <cell r="CT17">
            <v>0.19800000000000001</v>
          </cell>
          <cell r="CU17">
            <v>0.19800000000000001</v>
          </cell>
          <cell r="CV17">
            <v>0.19800000000000001</v>
          </cell>
          <cell r="CW17">
            <v>0.19800000000000001</v>
          </cell>
          <cell r="CX17">
            <v>0.19700000000000001</v>
          </cell>
          <cell r="CY17">
            <v>0.19700000000000001</v>
          </cell>
          <cell r="CZ17">
            <v>0.19700000000000001</v>
          </cell>
          <cell r="DA17">
            <v>0.19700000000000001</v>
          </cell>
          <cell r="DB17">
            <v>0.19700000000000001</v>
          </cell>
        </row>
        <row r="18">
          <cell r="D18" t="str">
            <v>AR5 climate diagnostics|Forcing|N2O|MAGICC6|MED</v>
          </cell>
          <cell r="E18" t="str">
            <v>W/m2</v>
          </cell>
          <cell r="F18">
            <v>0.15188416099999999</v>
          </cell>
          <cell r="G18">
            <v>0.15431829999999999</v>
          </cell>
          <cell r="H18">
            <v>0.156967459</v>
          </cell>
          <cell r="I18">
            <v>0.15949613000000001</v>
          </cell>
          <cell r="J18">
            <v>0.16160382000000001</v>
          </cell>
          <cell r="K18">
            <v>0.16437739900000001</v>
          </cell>
          <cell r="L18">
            <v>0.166831957</v>
          </cell>
          <cell r="M18">
            <v>0.16945911699999999</v>
          </cell>
          <cell r="N18">
            <v>0.17229850299999999</v>
          </cell>
          <cell r="O18">
            <v>0.17477538100000001</v>
          </cell>
          <cell r="P18">
            <v>0.17728049200000001</v>
          </cell>
          <cell r="Q18">
            <v>0.179783779</v>
          </cell>
          <cell r="R18">
            <v>0.182280472</v>
          </cell>
          <cell r="S18">
            <v>0.18477460500000001</v>
          </cell>
          <cell r="T18">
            <v>0.18727283</v>
          </cell>
          <cell r="U18">
            <v>0.189757694</v>
          </cell>
          <cell r="V18">
            <v>0.19223742199999999</v>
          </cell>
          <cell r="W18">
            <v>0.19471268999999999</v>
          </cell>
          <cell r="X18">
            <v>0.19717318</v>
          </cell>
          <cell r="Y18">
            <v>0.19962471100000001</v>
          </cell>
          <cell r="Z18">
            <v>0.20207108800000001</v>
          </cell>
          <cell r="AA18">
            <v>0.20451235000000001</v>
          </cell>
          <cell r="AB18">
            <v>0.206881973</v>
          </cell>
          <cell r="AC18">
            <v>0.20918378500000001</v>
          </cell>
          <cell r="AD18">
            <v>0.21141516299999999</v>
          </cell>
          <cell r="AE18">
            <v>0.21357060899999999</v>
          </cell>
          <cell r="AF18">
            <v>0.21564968500000001</v>
          </cell>
          <cell r="AG18">
            <v>0.21765324999999999</v>
          </cell>
          <cell r="AH18">
            <v>0.21958525100000001</v>
          </cell>
          <cell r="AI18">
            <v>0.22144228099999999</v>
          </cell>
          <cell r="AJ18">
            <v>0.223200862</v>
          </cell>
          <cell r="AK18">
            <v>0.224886528</v>
          </cell>
          <cell r="AL18">
            <v>0.226512678</v>
          </cell>
          <cell r="AM18">
            <v>0.22807322699999999</v>
          </cell>
          <cell r="AN18">
            <v>0.229603485</v>
          </cell>
          <cell r="AO18">
            <v>0.23109111500000001</v>
          </cell>
          <cell r="AP18">
            <v>0.232552223</v>
          </cell>
          <cell r="AQ18">
            <v>0.233974604</v>
          </cell>
          <cell r="AR18">
            <v>0.23535276999999999</v>
          </cell>
          <cell r="AS18">
            <v>0.23668719699999999</v>
          </cell>
          <cell r="AT18">
            <v>0.23797147799999999</v>
          </cell>
          <cell r="AU18">
            <v>0.23918640399999999</v>
          </cell>
          <cell r="AV18">
            <v>0.24040794900000001</v>
          </cell>
          <cell r="AW18">
            <v>0.24159101699999999</v>
          </cell>
          <cell r="AX18">
            <v>0.24273602699999999</v>
          </cell>
          <cell r="AY18">
            <v>0.243839474</v>
          </cell>
          <cell r="AZ18">
            <v>0.24492022299999999</v>
          </cell>
          <cell r="BA18">
            <v>0.24596422900000001</v>
          </cell>
          <cell r="BB18">
            <v>0.24697185899999999</v>
          </cell>
          <cell r="BC18">
            <v>0.247943474</v>
          </cell>
          <cell r="BD18">
            <v>0.24887943000000001</v>
          </cell>
          <cell r="BE18">
            <v>0.24978007899999999</v>
          </cell>
          <cell r="BF18">
            <v>0.250630713</v>
          </cell>
          <cell r="BG18">
            <v>0.25145222099999998</v>
          </cell>
          <cell r="BH18">
            <v>0.252224383</v>
          </cell>
          <cell r="BI18">
            <v>0.25297766300000002</v>
          </cell>
          <cell r="BJ18">
            <v>0.25371406099999999</v>
          </cell>
          <cell r="BK18">
            <v>0.25445609699999999</v>
          </cell>
          <cell r="BL18">
            <v>0.255233551</v>
          </cell>
          <cell r="BM18">
            <v>0.255973324</v>
          </cell>
          <cell r="BN18">
            <v>0.25670328799999997</v>
          </cell>
          <cell r="BO18">
            <v>0.25744521799999998</v>
          </cell>
          <cell r="BP18">
            <v>0.25815639400000001</v>
          </cell>
          <cell r="BQ18">
            <v>0.25883695200000001</v>
          </cell>
          <cell r="BR18">
            <v>0.25949061699999998</v>
          </cell>
          <cell r="BS18">
            <v>0.260117547</v>
          </cell>
          <cell r="BT18">
            <v>0.26071794500000001</v>
          </cell>
          <cell r="BU18">
            <v>0.26129069999999999</v>
          </cell>
          <cell r="BV18">
            <v>0.26181135500000002</v>
          </cell>
          <cell r="BW18">
            <v>0.26233782999999999</v>
          </cell>
          <cell r="BX18">
            <v>0.26284381000000001</v>
          </cell>
          <cell r="BY18">
            <v>0.26332450800000001</v>
          </cell>
          <cell r="BZ18">
            <v>0.26379425200000001</v>
          </cell>
          <cell r="CA18">
            <v>0.26425325599999999</v>
          </cell>
          <cell r="CB18">
            <v>0.26470173200000002</v>
          </cell>
          <cell r="CC18">
            <v>0.265141405</v>
          </cell>
          <cell r="CD18">
            <v>0.26556677200000001</v>
          </cell>
          <cell r="CE18">
            <v>0.26597922899999998</v>
          </cell>
          <cell r="CF18">
            <v>0.26638784399999998</v>
          </cell>
          <cell r="CG18">
            <v>0.26677879100000002</v>
          </cell>
          <cell r="CH18">
            <v>0.26715095300000002</v>
          </cell>
          <cell r="CI18">
            <v>0.26750444600000001</v>
          </cell>
          <cell r="CJ18">
            <v>0.267844215</v>
          </cell>
          <cell r="CK18">
            <v>0.26817390899999999</v>
          </cell>
          <cell r="CL18">
            <v>0.26849998800000002</v>
          </cell>
          <cell r="CM18">
            <v>0.26882658599999998</v>
          </cell>
          <cell r="CN18">
            <v>0.26914334600000001</v>
          </cell>
          <cell r="CO18">
            <v>0.26945788599999998</v>
          </cell>
          <cell r="CP18">
            <v>0.26977035999999999</v>
          </cell>
          <cell r="CQ18">
            <v>0.27004607200000003</v>
          </cell>
          <cell r="CR18">
            <v>0.270303028</v>
          </cell>
          <cell r="CS18">
            <v>0.27056265800000001</v>
          </cell>
          <cell r="CT18">
            <v>0.27082644900000002</v>
          </cell>
          <cell r="CU18">
            <v>0.271078439</v>
          </cell>
          <cell r="CV18">
            <v>0.27131871200000002</v>
          </cell>
          <cell r="CW18">
            <v>0.27153692000000001</v>
          </cell>
          <cell r="CX18">
            <v>0.27171706800000001</v>
          </cell>
          <cell r="CY18">
            <v>0.27187909599999999</v>
          </cell>
          <cell r="CZ18">
            <v>0.27202989700000002</v>
          </cell>
          <cell r="DA18">
            <v>0.27218959100000001</v>
          </cell>
          <cell r="DB18">
            <v>0.27233875299999999</v>
          </cell>
        </row>
        <row r="19">
          <cell r="D19" t="str">
            <v>AR5 climate diagnostics|Forcing|OtherGHGs|FAIR|MED</v>
          </cell>
          <cell r="E19" t="str">
            <v>W/m2</v>
          </cell>
          <cell r="P19">
            <v>0.33300000000000002</v>
          </cell>
          <cell r="Q19">
            <v>0.33500000000000002</v>
          </cell>
          <cell r="R19">
            <v>0.33600000000000002</v>
          </cell>
          <cell r="S19">
            <v>0.33800000000000002</v>
          </cell>
          <cell r="T19">
            <v>0.33900000000000002</v>
          </cell>
          <cell r="U19">
            <v>0.34</v>
          </cell>
          <cell r="V19">
            <v>0.34200000000000003</v>
          </cell>
          <cell r="W19">
            <v>0.34300000000000003</v>
          </cell>
          <cell r="X19">
            <v>0.34399999999999997</v>
          </cell>
          <cell r="Y19">
            <v>0.34499999999999997</v>
          </cell>
          <cell r="Z19">
            <v>0.34699999999999998</v>
          </cell>
          <cell r="AA19">
            <v>0.34799999999999998</v>
          </cell>
          <cell r="AB19">
            <v>0.34799999999999998</v>
          </cell>
          <cell r="AC19">
            <v>0.34699999999999998</v>
          </cell>
          <cell r="AD19">
            <v>0.34599999999999997</v>
          </cell>
          <cell r="AE19">
            <v>0.34399999999999997</v>
          </cell>
          <cell r="AF19">
            <v>0.34100000000000003</v>
          </cell>
          <cell r="AG19">
            <v>0.33800000000000002</v>
          </cell>
          <cell r="AH19">
            <v>0.33500000000000002</v>
          </cell>
          <cell r="AI19">
            <v>0.33100000000000002</v>
          </cell>
          <cell r="AJ19">
            <v>0.32700000000000001</v>
          </cell>
          <cell r="AK19">
            <v>0.32200000000000001</v>
          </cell>
          <cell r="AL19">
            <v>0.318</v>
          </cell>
          <cell r="AM19">
            <v>0.313</v>
          </cell>
          <cell r="AN19">
            <v>0.309</v>
          </cell>
          <cell r="AO19">
            <v>0.30499999999999999</v>
          </cell>
          <cell r="AP19">
            <v>0.3</v>
          </cell>
          <cell r="AQ19">
            <v>0.29599999999999999</v>
          </cell>
          <cell r="AR19">
            <v>0.29199999999999998</v>
          </cell>
          <cell r="AS19">
            <v>0.28799999999999998</v>
          </cell>
          <cell r="AT19">
            <v>0.28399999999999997</v>
          </cell>
          <cell r="AU19">
            <v>0.28000000000000003</v>
          </cell>
          <cell r="AV19">
            <v>0.27600000000000002</v>
          </cell>
          <cell r="AW19">
            <v>0.27200000000000002</v>
          </cell>
          <cell r="AX19">
            <v>0.26800000000000002</v>
          </cell>
          <cell r="AY19">
            <v>0.26500000000000001</v>
          </cell>
          <cell r="AZ19">
            <v>0.26100000000000001</v>
          </cell>
          <cell r="BA19">
            <v>0.25800000000000001</v>
          </cell>
          <cell r="BB19">
            <v>0.255</v>
          </cell>
          <cell r="BC19">
            <v>0.252</v>
          </cell>
          <cell r="BD19">
            <v>0.249</v>
          </cell>
          <cell r="BE19">
            <v>0.246</v>
          </cell>
          <cell r="BF19">
            <v>0.24299999999999999</v>
          </cell>
          <cell r="BG19">
            <v>0.24</v>
          </cell>
          <cell r="BH19">
            <v>0.23799999999999999</v>
          </cell>
          <cell r="BI19">
            <v>0.23499999999999999</v>
          </cell>
          <cell r="BJ19">
            <v>0.23200000000000001</v>
          </cell>
          <cell r="BK19">
            <v>0.23</v>
          </cell>
          <cell r="BL19">
            <v>0.22800000000000001</v>
          </cell>
          <cell r="BM19">
            <v>0.22500000000000001</v>
          </cell>
          <cell r="BN19">
            <v>0.223</v>
          </cell>
          <cell r="BO19">
            <v>0.221</v>
          </cell>
          <cell r="BP19">
            <v>0.219</v>
          </cell>
          <cell r="BQ19">
            <v>0.217</v>
          </cell>
          <cell r="BR19">
            <v>0.215</v>
          </cell>
          <cell r="BS19">
            <v>0.21299999999999999</v>
          </cell>
          <cell r="BT19">
            <v>0.21099999999999999</v>
          </cell>
          <cell r="BU19">
            <v>0.20899999999999999</v>
          </cell>
          <cell r="BV19">
            <v>0.20699999999999999</v>
          </cell>
          <cell r="BW19">
            <v>0.20499999999999999</v>
          </cell>
          <cell r="BX19">
            <v>0.20300000000000001</v>
          </cell>
          <cell r="BY19">
            <v>0.20100000000000001</v>
          </cell>
          <cell r="BZ19">
            <v>0.2</v>
          </cell>
          <cell r="CA19">
            <v>0.19800000000000001</v>
          </cell>
          <cell r="CB19">
            <v>0.19600000000000001</v>
          </cell>
          <cell r="CC19">
            <v>0.19500000000000001</v>
          </cell>
          <cell r="CD19">
            <v>0.193</v>
          </cell>
          <cell r="CE19">
            <v>0.192</v>
          </cell>
          <cell r="CF19">
            <v>0.19</v>
          </cell>
          <cell r="CG19">
            <v>0.189</v>
          </cell>
          <cell r="CH19">
            <v>0.187</v>
          </cell>
          <cell r="CI19">
            <v>0.186</v>
          </cell>
          <cell r="CJ19">
            <v>0.184</v>
          </cell>
          <cell r="CK19">
            <v>0.183</v>
          </cell>
          <cell r="CL19">
            <v>0.18099999999999999</v>
          </cell>
          <cell r="CM19">
            <v>0.18</v>
          </cell>
          <cell r="CN19">
            <v>0.17899999999999999</v>
          </cell>
          <cell r="CO19">
            <v>0.17699999999999999</v>
          </cell>
          <cell r="CP19">
            <v>0.17599999999999999</v>
          </cell>
          <cell r="CQ19">
            <v>0.17499999999999999</v>
          </cell>
          <cell r="CR19">
            <v>0.17299999999999999</v>
          </cell>
          <cell r="CS19">
            <v>0.17199999999999999</v>
          </cell>
          <cell r="CT19">
            <v>0.17100000000000001</v>
          </cell>
          <cell r="CU19">
            <v>0.17</v>
          </cell>
          <cell r="CV19">
            <v>0.16800000000000001</v>
          </cell>
          <cell r="CW19">
            <v>0.16700000000000001</v>
          </cell>
          <cell r="CX19">
            <v>0.16600000000000001</v>
          </cell>
          <cell r="CY19">
            <v>0.16500000000000001</v>
          </cell>
          <cell r="CZ19">
            <v>0.16400000000000001</v>
          </cell>
          <cell r="DA19">
            <v>0.16300000000000001</v>
          </cell>
          <cell r="DB19">
            <v>0.161</v>
          </cell>
        </row>
        <row r="20">
          <cell r="D20" t="str">
            <v>AR5 climate diagnostics|Forcing|Tropospheric Ozone|FAIR|MED</v>
          </cell>
          <cell r="E20" t="str">
            <v>W/m2</v>
          </cell>
          <cell r="P20">
            <v>0.42899999999999999</v>
          </cell>
          <cell r="Q20">
            <v>0.43099999999999999</v>
          </cell>
          <cell r="R20">
            <v>0.432</v>
          </cell>
          <cell r="S20">
            <v>0.43</v>
          </cell>
          <cell r="T20">
            <v>0.42699999999999999</v>
          </cell>
          <cell r="U20">
            <v>0.42499999999999999</v>
          </cell>
          <cell r="V20">
            <v>0.42199999999999999</v>
          </cell>
          <cell r="W20">
            <v>0.41899999999999998</v>
          </cell>
          <cell r="X20">
            <v>0.41599999999999998</v>
          </cell>
          <cell r="Y20">
            <v>0.41299999999999998</v>
          </cell>
          <cell r="Z20">
            <v>0.40899999999999997</v>
          </cell>
          <cell r="AA20">
            <v>0.39800000000000002</v>
          </cell>
          <cell r="AB20">
            <v>0.38600000000000001</v>
          </cell>
          <cell r="AC20">
            <v>0.373</v>
          </cell>
          <cell r="AD20">
            <v>0.36</v>
          </cell>
          <cell r="AE20">
            <v>0.34599999999999997</v>
          </cell>
          <cell r="AF20">
            <v>0.33200000000000002</v>
          </cell>
          <cell r="AG20">
            <v>0.318</v>
          </cell>
          <cell r="AH20">
            <v>0.30299999999999999</v>
          </cell>
          <cell r="AI20">
            <v>0.28799999999999998</v>
          </cell>
          <cell r="AJ20">
            <v>0.27200000000000002</v>
          </cell>
          <cell r="AK20">
            <v>0.26400000000000001</v>
          </cell>
          <cell r="AL20">
            <v>0.255</v>
          </cell>
          <cell r="AM20">
            <v>0.247</v>
          </cell>
          <cell r="AN20">
            <v>0.23899999999999999</v>
          </cell>
          <cell r="AO20">
            <v>0.23200000000000001</v>
          </cell>
          <cell r="AP20">
            <v>0.224</v>
          </cell>
          <cell r="AQ20">
            <v>0.216</v>
          </cell>
          <cell r="AR20">
            <v>0.20899999999999999</v>
          </cell>
          <cell r="AS20">
            <v>0.20100000000000001</v>
          </cell>
          <cell r="AT20">
            <v>0.19400000000000001</v>
          </cell>
          <cell r="AU20">
            <v>0.188</v>
          </cell>
          <cell r="AV20">
            <v>0.182</v>
          </cell>
          <cell r="AW20">
            <v>0.17699999999999999</v>
          </cell>
          <cell r="AX20">
            <v>0.17100000000000001</v>
          </cell>
          <cell r="AY20">
            <v>0.16600000000000001</v>
          </cell>
          <cell r="AZ20">
            <v>0.161</v>
          </cell>
          <cell r="BA20">
            <v>0.155</v>
          </cell>
          <cell r="BB20">
            <v>0.15</v>
          </cell>
          <cell r="BC20">
            <v>0.14499999999999999</v>
          </cell>
          <cell r="BD20">
            <v>0.14000000000000001</v>
          </cell>
          <cell r="BE20">
            <v>0.13600000000000001</v>
          </cell>
          <cell r="BF20">
            <v>0.13300000000000001</v>
          </cell>
          <cell r="BG20">
            <v>0.13</v>
          </cell>
          <cell r="BH20">
            <v>0.128</v>
          </cell>
          <cell r="BI20">
            <v>0.125</v>
          </cell>
          <cell r="BJ20">
            <v>0.122</v>
          </cell>
          <cell r="BK20">
            <v>0.12</v>
          </cell>
          <cell r="BL20">
            <v>0.11799999999999999</v>
          </cell>
          <cell r="BM20">
            <v>0.115</v>
          </cell>
          <cell r="BN20">
            <v>0.113</v>
          </cell>
          <cell r="BO20">
            <v>0.111</v>
          </cell>
          <cell r="BP20">
            <v>0.109</v>
          </cell>
          <cell r="BQ20">
            <v>0.108</v>
          </cell>
          <cell r="BR20">
            <v>0.106</v>
          </cell>
          <cell r="BS20">
            <v>0.104</v>
          </cell>
          <cell r="BT20">
            <v>0.10299999999999999</v>
          </cell>
          <cell r="BU20">
            <v>0.10100000000000001</v>
          </cell>
          <cell r="BV20">
            <v>0.1</v>
          </cell>
          <cell r="BW20">
            <v>9.8000000000000004E-2</v>
          </cell>
          <cell r="BX20">
            <v>9.7000000000000003E-2</v>
          </cell>
          <cell r="BY20">
            <v>9.5000000000000001E-2</v>
          </cell>
          <cell r="BZ20">
            <v>9.4E-2</v>
          </cell>
          <cell r="CA20">
            <v>9.2999999999999999E-2</v>
          </cell>
          <cell r="CB20">
            <v>9.1999999999999998E-2</v>
          </cell>
          <cell r="CC20">
            <v>9.0999999999999998E-2</v>
          </cell>
          <cell r="CD20">
            <v>0.09</v>
          </cell>
          <cell r="CE20">
            <v>8.8999999999999996E-2</v>
          </cell>
          <cell r="CF20">
            <v>8.7999999999999995E-2</v>
          </cell>
          <cell r="CG20">
            <v>8.6999999999999994E-2</v>
          </cell>
          <cell r="CH20">
            <v>8.5999999999999993E-2</v>
          </cell>
          <cell r="CI20">
            <v>8.5000000000000006E-2</v>
          </cell>
          <cell r="CJ20">
            <v>8.4000000000000005E-2</v>
          </cell>
          <cell r="CK20">
            <v>8.3000000000000004E-2</v>
          </cell>
          <cell r="CL20">
            <v>8.2000000000000003E-2</v>
          </cell>
          <cell r="CM20">
            <v>8.1000000000000003E-2</v>
          </cell>
          <cell r="CN20">
            <v>0.08</v>
          </cell>
          <cell r="CO20">
            <v>7.9000000000000001E-2</v>
          </cell>
          <cell r="CP20">
            <v>7.9000000000000001E-2</v>
          </cell>
          <cell r="CQ20">
            <v>7.8E-2</v>
          </cell>
          <cell r="CR20">
            <v>7.6999999999999999E-2</v>
          </cell>
          <cell r="CS20">
            <v>7.5999999999999998E-2</v>
          </cell>
          <cell r="CT20">
            <v>7.4999999999999997E-2</v>
          </cell>
          <cell r="CU20">
            <v>7.3999999999999996E-2</v>
          </cell>
          <cell r="CV20">
            <v>7.2999999999999995E-2</v>
          </cell>
          <cell r="CW20">
            <v>7.1999999999999995E-2</v>
          </cell>
          <cell r="CX20">
            <v>7.1999999999999995E-2</v>
          </cell>
          <cell r="CY20">
            <v>7.0999999999999994E-2</v>
          </cell>
          <cell r="CZ20">
            <v>7.0000000000000007E-2</v>
          </cell>
          <cell r="DA20">
            <v>6.9000000000000006E-2</v>
          </cell>
          <cell r="DB20">
            <v>6.8000000000000005E-2</v>
          </cell>
        </row>
        <row r="21">
          <cell r="D21" t="str">
            <v>AR5 climate diagnostics|Forcing|Tropospheric Ozone|MAGICC6|MED</v>
          </cell>
          <cell r="E21" t="str">
            <v>W/m2</v>
          </cell>
          <cell r="F21">
            <v>0.44382680800000002</v>
          </cell>
          <cell r="G21">
            <v>0.44375425699999999</v>
          </cell>
          <cell r="H21">
            <v>0.444736876</v>
          </cell>
          <cell r="I21">
            <v>0.44562716899999999</v>
          </cell>
          <cell r="J21">
            <v>0.44615268200000002</v>
          </cell>
          <cell r="K21">
            <v>0.446871356</v>
          </cell>
          <cell r="L21">
            <v>0.44856201899999998</v>
          </cell>
          <cell r="M21">
            <v>0.45018803699999999</v>
          </cell>
          <cell r="N21">
            <v>0.45166404799999998</v>
          </cell>
          <cell r="O21">
            <v>0.45301913500000002</v>
          </cell>
          <cell r="P21">
            <v>0.454423562</v>
          </cell>
          <cell r="Q21">
            <v>0.45578824600000001</v>
          </cell>
          <cell r="R21">
            <v>0.45326259800000002</v>
          </cell>
          <cell r="S21">
            <v>0.45055558899999998</v>
          </cell>
          <cell r="T21">
            <v>0.44841268699999998</v>
          </cell>
          <cell r="U21">
            <v>0.446805277</v>
          </cell>
          <cell r="V21">
            <v>0.44426054999999998</v>
          </cell>
          <cell r="W21">
            <v>0.44161393199999999</v>
          </cell>
          <cell r="X21">
            <v>0.43887395800000001</v>
          </cell>
          <cell r="Y21">
            <v>0.43580951200000001</v>
          </cell>
          <cell r="Z21">
            <v>0.433165521</v>
          </cell>
          <cell r="AA21">
            <v>0.43033927199999999</v>
          </cell>
          <cell r="AB21">
            <v>0.41890136500000003</v>
          </cell>
          <cell r="AC21">
            <v>0.407395654</v>
          </cell>
          <cell r="AD21">
            <v>0.39491419700000002</v>
          </cell>
          <cell r="AE21">
            <v>0.38198199799999999</v>
          </cell>
          <cell r="AF21">
            <v>0.36892351200000001</v>
          </cell>
          <cell r="AG21">
            <v>0.35494772299999999</v>
          </cell>
          <cell r="AH21">
            <v>0.34259719900000002</v>
          </cell>
          <cell r="AI21">
            <v>0.32956689500000003</v>
          </cell>
          <cell r="AJ21">
            <v>0.31582558700000002</v>
          </cell>
          <cell r="AK21">
            <v>0.30288875999999998</v>
          </cell>
          <cell r="AL21">
            <v>0.29551106500000002</v>
          </cell>
          <cell r="AM21">
            <v>0.288301682</v>
          </cell>
          <cell r="AN21">
            <v>0.28107860200000001</v>
          </cell>
          <cell r="AO21">
            <v>0.27426562599999998</v>
          </cell>
          <cell r="AP21">
            <v>0.26746418</v>
          </cell>
          <cell r="AQ21">
            <v>0.26080231300000001</v>
          </cell>
          <cell r="AR21">
            <v>0.25414603299999999</v>
          </cell>
          <cell r="AS21">
            <v>0.24741216299999999</v>
          </cell>
          <cell r="AT21">
            <v>0.24070876999999999</v>
          </cell>
          <cell r="AU21">
            <v>0.23427532200000001</v>
          </cell>
          <cell r="AV21">
            <v>0.22988819799999999</v>
          </cell>
          <cell r="AW21">
            <v>0.22554130999999999</v>
          </cell>
          <cell r="AX21">
            <v>0.22122858000000001</v>
          </cell>
          <cell r="AY21">
            <v>0.216944526</v>
          </cell>
          <cell r="AZ21">
            <v>0.21279310800000001</v>
          </cell>
          <cell r="BA21">
            <v>0.20861914100000001</v>
          </cell>
          <cell r="BB21">
            <v>0.204412184</v>
          </cell>
          <cell r="BC21">
            <v>0.20027702</v>
          </cell>
          <cell r="BD21">
            <v>0.19612881600000001</v>
          </cell>
          <cell r="BE21">
            <v>0.191879666</v>
          </cell>
          <cell r="BF21">
            <v>0.189628609</v>
          </cell>
          <cell r="BG21">
            <v>0.18761304500000001</v>
          </cell>
          <cell r="BH21">
            <v>0.18540332900000001</v>
          </cell>
          <cell r="BI21">
            <v>0.183320498</v>
          </cell>
          <cell r="BJ21">
            <v>0.18135909</v>
          </cell>
          <cell r="BK21">
            <v>0.179441662</v>
          </cell>
          <cell r="BL21">
            <v>0.17770113300000001</v>
          </cell>
          <cell r="BM21">
            <v>0.176060366</v>
          </cell>
          <cell r="BN21">
            <v>0.17449244699999999</v>
          </cell>
          <cell r="BO21">
            <v>0.17307862299999999</v>
          </cell>
          <cell r="BP21">
            <v>0.17174648300000001</v>
          </cell>
          <cell r="BQ21">
            <v>0.17057992799999999</v>
          </cell>
          <cell r="BR21">
            <v>0.16943464999999999</v>
          </cell>
          <cell r="BS21">
            <v>0.16815379899999999</v>
          </cell>
          <cell r="BT21">
            <v>0.16689632500000001</v>
          </cell>
          <cell r="BU21">
            <v>0.165583167</v>
          </cell>
          <cell r="BV21">
            <v>0.16439139799999999</v>
          </cell>
          <cell r="BW21">
            <v>0.163352571</v>
          </cell>
          <cell r="BX21">
            <v>0.162333955</v>
          </cell>
          <cell r="BY21">
            <v>0.16130279</v>
          </cell>
          <cell r="BZ21">
            <v>0.160347243</v>
          </cell>
          <cell r="CA21">
            <v>0.15948252500000001</v>
          </cell>
          <cell r="CB21">
            <v>0.158595613</v>
          </cell>
          <cell r="CC21">
            <v>0.15773393999999999</v>
          </cell>
          <cell r="CD21">
            <v>0.15694154900000001</v>
          </cell>
          <cell r="CE21">
            <v>0.15617229899999999</v>
          </cell>
          <cell r="CF21">
            <v>0.155416624</v>
          </cell>
          <cell r="CG21">
            <v>0.15467293300000001</v>
          </cell>
          <cell r="CH21">
            <v>0.15393981600000001</v>
          </cell>
          <cell r="CI21">
            <v>0.15321601900000001</v>
          </cell>
          <cell r="CJ21">
            <v>0.152492773</v>
          </cell>
          <cell r="CK21">
            <v>0.15177898000000001</v>
          </cell>
          <cell r="CL21">
            <v>0.15107352199999999</v>
          </cell>
          <cell r="CM21">
            <v>0.15037541099999999</v>
          </cell>
          <cell r="CN21">
            <v>0.14968376999999999</v>
          </cell>
          <cell r="CO21">
            <v>0.148997823</v>
          </cell>
          <cell r="CP21">
            <v>0.14831688200000001</v>
          </cell>
          <cell r="CQ21">
            <v>0.14764034000000001</v>
          </cell>
          <cell r="CR21">
            <v>0.146967659</v>
          </cell>
          <cell r="CS21">
            <v>0.146298334</v>
          </cell>
          <cell r="CT21">
            <v>0.145486174</v>
          </cell>
          <cell r="CU21">
            <v>0.144676952</v>
          </cell>
          <cell r="CV21">
            <v>0.14387028399999999</v>
          </cell>
          <cell r="CW21">
            <v>0.143101435</v>
          </cell>
          <cell r="CX21">
            <v>0.14234872000000001</v>
          </cell>
          <cell r="CY21">
            <v>0.141597741</v>
          </cell>
          <cell r="CZ21">
            <v>0.140848215</v>
          </cell>
          <cell r="DA21">
            <v>0.14009988900000001</v>
          </cell>
          <cell r="DB21">
            <v>0.13935254</v>
          </cell>
        </row>
        <row r="22">
          <cell r="D22" t="str">
            <v>AR5 climate diagnostics|Temperature|Exceedance Probability|1.0 ¬∞C|FAIR</v>
          </cell>
          <cell r="E22" t="str">
            <v>-</v>
          </cell>
          <cell r="P22">
            <v>0</v>
          </cell>
          <cell r="Q22">
            <v>0</v>
          </cell>
          <cell r="R22">
            <v>0</v>
          </cell>
          <cell r="S22">
            <v>0</v>
          </cell>
          <cell r="T22">
            <v>5.1999999999999998E-2</v>
          </cell>
          <cell r="U22">
            <v>0.20699999999999999</v>
          </cell>
          <cell r="V22">
            <v>0.42299999999999999</v>
          </cell>
          <cell r="W22">
            <v>0.61399999999999999</v>
          </cell>
          <cell r="X22">
            <v>0.80600000000000005</v>
          </cell>
          <cell r="Y22">
            <v>0.89200000000000002</v>
          </cell>
          <cell r="Z22">
            <v>0.95099999999999996</v>
          </cell>
          <cell r="AA22">
            <v>0.97499999999999998</v>
          </cell>
          <cell r="AB22">
            <v>0.98099999999999998</v>
          </cell>
          <cell r="AC22">
            <v>0.98499999999999999</v>
          </cell>
          <cell r="AD22">
            <v>0.98799999999999999</v>
          </cell>
          <cell r="AE22">
            <v>0.98799999999999999</v>
          </cell>
          <cell r="AF22">
            <v>0.99099999999999999</v>
          </cell>
          <cell r="AG22">
            <v>0.99099999999999999</v>
          </cell>
          <cell r="AH22">
            <v>0.98799999999999999</v>
          </cell>
          <cell r="AI22">
            <v>0.98499999999999999</v>
          </cell>
          <cell r="AJ22">
            <v>0.98499999999999999</v>
          </cell>
          <cell r="AK22">
            <v>0.98499999999999999</v>
          </cell>
          <cell r="AL22">
            <v>0.98499999999999999</v>
          </cell>
          <cell r="AM22">
            <v>0.98499999999999999</v>
          </cell>
          <cell r="AN22">
            <v>0.98099999999999998</v>
          </cell>
          <cell r="AO22">
            <v>0.98099999999999998</v>
          </cell>
          <cell r="AP22">
            <v>0.98099999999999998</v>
          </cell>
          <cell r="AQ22">
            <v>0.98099999999999998</v>
          </cell>
          <cell r="AR22">
            <v>0.98099999999999998</v>
          </cell>
          <cell r="AS22">
            <v>0.98099999999999998</v>
          </cell>
          <cell r="AT22">
            <v>0.97799999999999998</v>
          </cell>
          <cell r="AU22">
            <v>0.97499999999999998</v>
          </cell>
          <cell r="AV22">
            <v>0.97499999999999998</v>
          </cell>
          <cell r="AW22">
            <v>0.97499999999999998</v>
          </cell>
          <cell r="AX22">
            <v>0.97499999999999998</v>
          </cell>
          <cell r="AY22">
            <v>0.97199999999999998</v>
          </cell>
          <cell r="AZ22">
            <v>0.97199999999999998</v>
          </cell>
          <cell r="BA22">
            <v>0.97199999999999998</v>
          </cell>
          <cell r="BB22">
            <v>0.96899999999999997</v>
          </cell>
          <cell r="BC22">
            <v>0.96899999999999997</v>
          </cell>
          <cell r="BD22">
            <v>0.96899999999999997</v>
          </cell>
          <cell r="BE22">
            <v>0.96599999999999997</v>
          </cell>
          <cell r="BF22">
            <v>0.96599999999999997</v>
          </cell>
          <cell r="BG22">
            <v>0.96</v>
          </cell>
          <cell r="BH22">
            <v>0.95699999999999996</v>
          </cell>
          <cell r="BI22">
            <v>0.95699999999999996</v>
          </cell>
          <cell r="BJ22">
            <v>0.95399999999999996</v>
          </cell>
          <cell r="BK22">
            <v>0.95099999999999996</v>
          </cell>
          <cell r="BL22">
            <v>0.94099999999999995</v>
          </cell>
          <cell r="BM22">
            <v>0.94099999999999995</v>
          </cell>
          <cell r="BN22">
            <v>0.93799999999999994</v>
          </cell>
          <cell r="BO22">
            <v>0.93799999999999994</v>
          </cell>
          <cell r="BP22">
            <v>0.93500000000000005</v>
          </cell>
          <cell r="BQ22">
            <v>0.92300000000000004</v>
          </cell>
          <cell r="BR22">
            <v>0.92</v>
          </cell>
          <cell r="BS22">
            <v>0.92</v>
          </cell>
          <cell r="BT22">
            <v>0.91700000000000004</v>
          </cell>
          <cell r="BU22">
            <v>0.91400000000000003</v>
          </cell>
          <cell r="BV22">
            <v>0.91400000000000003</v>
          </cell>
          <cell r="BW22">
            <v>0.91400000000000003</v>
          </cell>
          <cell r="BX22">
            <v>0.91</v>
          </cell>
          <cell r="BY22">
            <v>0.90100000000000002</v>
          </cell>
          <cell r="BZ22">
            <v>0.89800000000000002</v>
          </cell>
          <cell r="CA22">
            <v>0.89800000000000002</v>
          </cell>
          <cell r="CB22">
            <v>0.89200000000000002</v>
          </cell>
          <cell r="CC22">
            <v>0.89200000000000002</v>
          </cell>
          <cell r="CD22">
            <v>0.88900000000000001</v>
          </cell>
          <cell r="CE22">
            <v>0.88300000000000001</v>
          </cell>
          <cell r="CF22">
            <v>0.88300000000000001</v>
          </cell>
          <cell r="CG22">
            <v>0.88</v>
          </cell>
          <cell r="CH22">
            <v>0.88</v>
          </cell>
          <cell r="CI22">
            <v>0.88</v>
          </cell>
          <cell r="CJ22">
            <v>0.873</v>
          </cell>
          <cell r="CK22">
            <v>0.87</v>
          </cell>
          <cell r="CL22">
            <v>0.87</v>
          </cell>
          <cell r="CM22">
            <v>0.86399999999999999</v>
          </cell>
          <cell r="CN22">
            <v>0.85499999999999998</v>
          </cell>
          <cell r="CO22">
            <v>0.84599999999999997</v>
          </cell>
          <cell r="CP22">
            <v>0.84599999999999997</v>
          </cell>
          <cell r="CQ22">
            <v>0.84299999999999997</v>
          </cell>
          <cell r="CR22">
            <v>0.84</v>
          </cell>
          <cell r="CS22">
            <v>0.84</v>
          </cell>
          <cell r="CT22">
            <v>0.83599999999999997</v>
          </cell>
          <cell r="CU22">
            <v>0.83599999999999997</v>
          </cell>
          <cell r="CV22">
            <v>0.83599999999999997</v>
          </cell>
          <cell r="CW22">
            <v>0.83299999999999996</v>
          </cell>
          <cell r="CX22">
            <v>0.83299999999999996</v>
          </cell>
          <cell r="CY22">
            <v>0.83</v>
          </cell>
          <cell r="CZ22">
            <v>0.82699999999999996</v>
          </cell>
          <cell r="DA22">
            <v>0.81799999999999995</v>
          </cell>
          <cell r="DB22">
            <v>0.81499999999999995</v>
          </cell>
        </row>
        <row r="23">
          <cell r="D23" t="str">
            <v>AR5 climate diagnostics|Temperature|Exceedance Probability|1.0 ¬∞C|MAGICC6</v>
          </cell>
          <cell r="E23" t="str">
            <v>-</v>
          </cell>
          <cell r="F23">
            <v>0</v>
          </cell>
          <cell r="G23">
            <v>0</v>
          </cell>
          <cell r="H23">
            <v>0</v>
          </cell>
          <cell r="I23">
            <v>0</v>
          </cell>
          <cell r="J23">
            <v>0</v>
          </cell>
          <cell r="K23">
            <v>0</v>
          </cell>
          <cell r="L23">
            <v>0</v>
          </cell>
          <cell r="M23">
            <v>0</v>
          </cell>
          <cell r="N23">
            <v>0</v>
          </cell>
          <cell r="O23">
            <v>3.333333E-3</v>
          </cell>
          <cell r="P23">
            <v>2.1666667000000001E-2</v>
          </cell>
          <cell r="Q23">
            <v>6.6666666999999999E-2</v>
          </cell>
          <cell r="R23">
            <v>0.18333333299999999</v>
          </cell>
          <cell r="S23">
            <v>0.33500000000000002</v>
          </cell>
          <cell r="T23">
            <v>0.51666666699999997</v>
          </cell>
          <cell r="U23">
            <v>0.66</v>
          </cell>
          <cell r="V23">
            <v>0.755</v>
          </cell>
          <cell r="W23">
            <v>0.83499999999999996</v>
          </cell>
          <cell r="X23">
            <v>0.90500000000000003</v>
          </cell>
          <cell r="Y23">
            <v>0.93833333299999999</v>
          </cell>
          <cell r="Z23">
            <v>0.95499999999999996</v>
          </cell>
          <cell r="AA23">
            <v>0.96499999999999997</v>
          </cell>
          <cell r="AB23">
            <v>0.97166666700000004</v>
          </cell>
          <cell r="AC23">
            <v>0.97499999999999998</v>
          </cell>
          <cell r="AD23">
            <v>0.97666666700000004</v>
          </cell>
          <cell r="AE23">
            <v>0.98499999999999999</v>
          </cell>
          <cell r="AF23">
            <v>0.99333333300000004</v>
          </cell>
          <cell r="AG23">
            <v>0.99333333300000004</v>
          </cell>
          <cell r="AH23">
            <v>0.99333333300000004</v>
          </cell>
          <cell r="AI23">
            <v>0.99666666699999995</v>
          </cell>
          <cell r="AJ23">
            <v>0.99666666699999995</v>
          </cell>
          <cell r="AK23">
            <v>0.99333333300000004</v>
          </cell>
          <cell r="AL23">
            <v>0.99333333300000004</v>
          </cell>
          <cell r="AM23">
            <v>0.99333333300000004</v>
          </cell>
          <cell r="AN23">
            <v>0.99333333300000004</v>
          </cell>
          <cell r="AO23">
            <v>0.99333333300000004</v>
          </cell>
          <cell r="AP23">
            <v>0.99333333300000004</v>
          </cell>
          <cell r="AQ23">
            <v>0.99333333300000004</v>
          </cell>
          <cell r="AR23">
            <v>0.99</v>
          </cell>
          <cell r="AS23">
            <v>0.99</v>
          </cell>
          <cell r="AT23">
            <v>0.98833333300000004</v>
          </cell>
          <cell r="AU23">
            <v>0.98833333300000004</v>
          </cell>
          <cell r="AV23">
            <v>0.98666666700000005</v>
          </cell>
          <cell r="AW23">
            <v>0.98666666700000005</v>
          </cell>
          <cell r="AX23">
            <v>0.98666666700000005</v>
          </cell>
          <cell r="AY23">
            <v>0.98499999999999999</v>
          </cell>
          <cell r="AZ23">
            <v>0.98499999999999999</v>
          </cell>
          <cell r="BA23">
            <v>0.98166666700000005</v>
          </cell>
          <cell r="BB23">
            <v>0.97833333300000003</v>
          </cell>
          <cell r="BC23">
            <v>0.97666666700000004</v>
          </cell>
          <cell r="BD23">
            <v>0.97499999999999998</v>
          </cell>
          <cell r="BE23">
            <v>0.97</v>
          </cell>
          <cell r="BF23">
            <v>0.96833333300000002</v>
          </cell>
          <cell r="BG23">
            <v>0.96833333300000002</v>
          </cell>
          <cell r="BH23">
            <v>0.96833333300000002</v>
          </cell>
          <cell r="BI23">
            <v>0.96833333300000002</v>
          </cell>
          <cell r="BJ23">
            <v>0.96499999999999997</v>
          </cell>
          <cell r="BK23">
            <v>0.96166666700000003</v>
          </cell>
          <cell r="BL23">
            <v>0.96166666700000003</v>
          </cell>
          <cell r="BM23">
            <v>0.96</v>
          </cell>
          <cell r="BN23">
            <v>0.95833333300000001</v>
          </cell>
          <cell r="BO23">
            <v>0.95833333300000001</v>
          </cell>
          <cell r="BP23">
            <v>0.95666666700000003</v>
          </cell>
          <cell r="BQ23">
            <v>0.95499999999999996</v>
          </cell>
          <cell r="BR23">
            <v>0.95499999999999996</v>
          </cell>
          <cell r="BS23">
            <v>0.95499999999999996</v>
          </cell>
          <cell r="BT23">
            <v>0.953333333</v>
          </cell>
          <cell r="BU23">
            <v>0.953333333</v>
          </cell>
          <cell r="BV23">
            <v>0.95166666700000002</v>
          </cell>
          <cell r="BW23">
            <v>0.95166666700000002</v>
          </cell>
          <cell r="BX23">
            <v>0.95166666700000002</v>
          </cell>
          <cell r="BY23">
            <v>0.95166666700000002</v>
          </cell>
          <cell r="BZ23">
            <v>0.95166666700000002</v>
          </cell>
          <cell r="CA23">
            <v>0.95</v>
          </cell>
          <cell r="CB23">
            <v>0.95</v>
          </cell>
          <cell r="CC23">
            <v>0.94499999999999995</v>
          </cell>
          <cell r="CD23">
            <v>0.94166666700000001</v>
          </cell>
          <cell r="CE23">
            <v>0.94</v>
          </cell>
          <cell r="CF23">
            <v>0.93833333299999999</v>
          </cell>
          <cell r="CG23">
            <v>0.93666666700000001</v>
          </cell>
          <cell r="CH23">
            <v>0.931666667</v>
          </cell>
          <cell r="CI23">
            <v>0.93</v>
          </cell>
          <cell r="CJ23">
            <v>0.93</v>
          </cell>
          <cell r="CK23">
            <v>0.93</v>
          </cell>
          <cell r="CL23">
            <v>0.93</v>
          </cell>
          <cell r="CM23">
            <v>0.92833333299999998</v>
          </cell>
          <cell r="CN23">
            <v>0.92833333299999998</v>
          </cell>
          <cell r="CO23">
            <v>0.92500000000000004</v>
          </cell>
          <cell r="CP23">
            <v>0.921666667</v>
          </cell>
          <cell r="CQ23">
            <v>0.92</v>
          </cell>
          <cell r="CR23">
            <v>0.92</v>
          </cell>
          <cell r="CS23">
            <v>0.91500000000000004</v>
          </cell>
          <cell r="CT23">
            <v>0.91166666699999999</v>
          </cell>
          <cell r="CU23">
            <v>0.91</v>
          </cell>
          <cell r="CV23">
            <v>0.91</v>
          </cell>
          <cell r="CW23">
            <v>0.91</v>
          </cell>
          <cell r="CX23">
            <v>0.91</v>
          </cell>
          <cell r="CY23">
            <v>0.90833333299999997</v>
          </cell>
          <cell r="CZ23">
            <v>0.90500000000000003</v>
          </cell>
          <cell r="DA23">
            <v>0.90333333299999996</v>
          </cell>
          <cell r="DB23">
            <v>0.90333333299999996</v>
          </cell>
        </row>
        <row r="24">
          <cell r="D24" t="str">
            <v>AR5 climate diagnostics|Temperature|Exceedance Probability|1.5 ¬∞C|FAIR</v>
          </cell>
          <cell r="E24" t="str">
            <v>-</v>
          </cell>
          <cell r="P24">
            <v>0</v>
          </cell>
          <cell r="Q24">
            <v>0</v>
          </cell>
          <cell r="R24">
            <v>0</v>
          </cell>
          <cell r="S24">
            <v>0</v>
          </cell>
          <cell r="T24">
            <v>0</v>
          </cell>
          <cell r="U24">
            <v>0</v>
          </cell>
          <cell r="V24">
            <v>0</v>
          </cell>
          <cell r="W24">
            <v>0</v>
          </cell>
          <cell r="X24">
            <v>0</v>
          </cell>
          <cell r="Y24">
            <v>0</v>
          </cell>
          <cell r="Z24">
            <v>0</v>
          </cell>
          <cell r="AA24">
            <v>0</v>
          </cell>
          <cell r="AB24">
            <v>0</v>
          </cell>
          <cell r="AC24">
            <v>8.9999999999999993E-3</v>
          </cell>
          <cell r="AD24">
            <v>2.1999999999999999E-2</v>
          </cell>
          <cell r="AE24">
            <v>3.1E-2</v>
          </cell>
          <cell r="AF24">
            <v>5.8999999999999997E-2</v>
          </cell>
          <cell r="AG24">
            <v>0.08</v>
          </cell>
          <cell r="AH24">
            <v>9.9000000000000005E-2</v>
          </cell>
          <cell r="AI24">
            <v>0.10199999999999999</v>
          </cell>
          <cell r="AJ24">
            <v>0.123</v>
          </cell>
          <cell r="AK24">
            <v>0.14499999999999999</v>
          </cell>
          <cell r="AL24">
            <v>0.16400000000000001</v>
          </cell>
          <cell r="AM24">
            <v>0.188</v>
          </cell>
          <cell r="AN24">
            <v>0.19400000000000001</v>
          </cell>
          <cell r="AO24">
            <v>0.19800000000000001</v>
          </cell>
          <cell r="AP24">
            <v>0.20699999999999999</v>
          </cell>
          <cell r="AQ24">
            <v>0.21</v>
          </cell>
          <cell r="AR24">
            <v>0.219</v>
          </cell>
          <cell r="AS24">
            <v>0.219</v>
          </cell>
          <cell r="AT24">
            <v>0.222</v>
          </cell>
          <cell r="AU24">
            <v>0.23100000000000001</v>
          </cell>
          <cell r="AV24">
            <v>0.23499999999999999</v>
          </cell>
          <cell r="AW24">
            <v>0.23100000000000001</v>
          </cell>
          <cell r="AX24">
            <v>0.23100000000000001</v>
          </cell>
          <cell r="AY24">
            <v>0.23499999999999999</v>
          </cell>
          <cell r="AZ24">
            <v>0.23499999999999999</v>
          </cell>
          <cell r="BA24">
            <v>0.23499999999999999</v>
          </cell>
          <cell r="BB24">
            <v>0.23100000000000001</v>
          </cell>
          <cell r="BC24">
            <v>0.22800000000000001</v>
          </cell>
          <cell r="BD24">
            <v>0.22500000000000001</v>
          </cell>
          <cell r="BE24">
            <v>0.22500000000000001</v>
          </cell>
          <cell r="BF24">
            <v>0.219</v>
          </cell>
          <cell r="BG24">
            <v>0.21299999999999999</v>
          </cell>
          <cell r="BH24">
            <v>0.20699999999999999</v>
          </cell>
          <cell r="BI24">
            <v>0.20699999999999999</v>
          </cell>
          <cell r="BJ24">
            <v>0.20399999999999999</v>
          </cell>
          <cell r="BK24">
            <v>0.20399999999999999</v>
          </cell>
          <cell r="BL24">
            <v>0.20399999999999999</v>
          </cell>
          <cell r="BM24">
            <v>0.20399999999999999</v>
          </cell>
          <cell r="BN24">
            <v>0.20100000000000001</v>
          </cell>
          <cell r="BO24">
            <v>0.19800000000000001</v>
          </cell>
          <cell r="BP24">
            <v>0.19400000000000001</v>
          </cell>
          <cell r="BQ24">
            <v>0.191</v>
          </cell>
          <cell r="BR24">
            <v>0.188</v>
          </cell>
          <cell r="BS24">
            <v>0.185</v>
          </cell>
          <cell r="BT24">
            <v>0.185</v>
          </cell>
          <cell r="BU24">
            <v>0.182</v>
          </cell>
          <cell r="BV24">
            <v>0.182</v>
          </cell>
          <cell r="BW24">
            <v>0.17899999999999999</v>
          </cell>
          <cell r="BX24">
            <v>0.17599999999999999</v>
          </cell>
          <cell r="BY24">
            <v>0.17299999999999999</v>
          </cell>
          <cell r="BZ24">
            <v>0.17299999999999999</v>
          </cell>
          <cell r="CA24">
            <v>0.17299999999999999</v>
          </cell>
          <cell r="CB24">
            <v>0.17</v>
          </cell>
          <cell r="CC24">
            <v>0.17299999999999999</v>
          </cell>
          <cell r="CD24">
            <v>0.17299999999999999</v>
          </cell>
          <cell r="CE24">
            <v>0.17</v>
          </cell>
          <cell r="CF24">
            <v>0.17</v>
          </cell>
          <cell r="CG24">
            <v>0.17299999999999999</v>
          </cell>
          <cell r="CH24">
            <v>0.17299999999999999</v>
          </cell>
          <cell r="CI24">
            <v>0.17299999999999999</v>
          </cell>
          <cell r="CJ24">
            <v>0.17299999999999999</v>
          </cell>
          <cell r="CK24">
            <v>0.17299999999999999</v>
          </cell>
          <cell r="CL24">
            <v>0.17299999999999999</v>
          </cell>
          <cell r="CM24">
            <v>0.17</v>
          </cell>
          <cell r="CN24">
            <v>0.17</v>
          </cell>
          <cell r="CO24">
            <v>0.17</v>
          </cell>
          <cell r="CP24">
            <v>0.17</v>
          </cell>
          <cell r="CQ24">
            <v>0.16400000000000001</v>
          </cell>
          <cell r="CR24">
            <v>0.16</v>
          </cell>
          <cell r="CS24">
            <v>0.157</v>
          </cell>
          <cell r="CT24">
            <v>0.154</v>
          </cell>
          <cell r="CU24">
            <v>0.151</v>
          </cell>
          <cell r="CV24">
            <v>0.151</v>
          </cell>
          <cell r="CW24">
            <v>0.151</v>
          </cell>
          <cell r="CX24">
            <v>0.14799999999999999</v>
          </cell>
          <cell r="CY24">
            <v>0.14499999999999999</v>
          </cell>
          <cell r="CZ24">
            <v>0.14499999999999999</v>
          </cell>
          <cell r="DA24">
            <v>0.14499999999999999</v>
          </cell>
          <cell r="DB24">
            <v>0.14499999999999999</v>
          </cell>
        </row>
        <row r="25">
          <cell r="D25" t="str">
            <v>AR5 climate diagnostics|Temperature|Exceedance Probability|1.5 ¬∞C|MAGICC6</v>
          </cell>
          <cell r="E25" t="str">
            <v>-</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3.333333E-3</v>
          </cell>
          <cell r="X25">
            <v>5.0000000000000001E-3</v>
          </cell>
          <cell r="Y25">
            <v>1.1666667E-2</v>
          </cell>
          <cell r="Z25">
            <v>0.02</v>
          </cell>
          <cell r="AA25">
            <v>2.8333332999999999E-2</v>
          </cell>
          <cell r="AB25">
            <v>5.6666666999999997E-2</v>
          </cell>
          <cell r="AC25">
            <v>0.08</v>
          </cell>
          <cell r="AD25">
            <v>0.108333333</v>
          </cell>
          <cell r="AE25">
            <v>0.13666666699999999</v>
          </cell>
          <cell r="AF25">
            <v>0.18333333299999999</v>
          </cell>
          <cell r="AG25">
            <v>0.23</v>
          </cell>
          <cell r="AH25">
            <v>0.27833333300000002</v>
          </cell>
          <cell r="AI25">
            <v>0.32</v>
          </cell>
          <cell r="AJ25">
            <v>0.34333333300000002</v>
          </cell>
          <cell r="AK25">
            <v>0.37666666700000001</v>
          </cell>
          <cell r="AL25">
            <v>0.39833333300000001</v>
          </cell>
          <cell r="AM25">
            <v>0.421666667</v>
          </cell>
          <cell r="AN25">
            <v>0.44166666700000001</v>
          </cell>
          <cell r="AO25">
            <v>0.46</v>
          </cell>
          <cell r="AP25">
            <v>0.47833333300000003</v>
          </cell>
          <cell r="AQ25">
            <v>0.491666667</v>
          </cell>
          <cell r="AR25">
            <v>0.5</v>
          </cell>
          <cell r="AS25">
            <v>0.505</v>
          </cell>
          <cell r="AT25">
            <v>0.52</v>
          </cell>
          <cell r="AU25">
            <v>0.52500000000000002</v>
          </cell>
          <cell r="AV25">
            <v>0.53666666699999999</v>
          </cell>
          <cell r="AW25">
            <v>0.54</v>
          </cell>
          <cell r="AX25">
            <v>0.54333333299999997</v>
          </cell>
          <cell r="AY25">
            <v>0.54333333299999997</v>
          </cell>
          <cell r="AZ25">
            <v>0.53833333299999997</v>
          </cell>
          <cell r="BA25">
            <v>0.54</v>
          </cell>
          <cell r="BB25">
            <v>0.54166666699999999</v>
          </cell>
          <cell r="BC25">
            <v>0.54</v>
          </cell>
          <cell r="BD25">
            <v>0.53500000000000003</v>
          </cell>
          <cell r="BE25">
            <v>0.53333333299999997</v>
          </cell>
          <cell r="BF25">
            <v>0.52833333299999996</v>
          </cell>
          <cell r="BG25">
            <v>0.52333333299999996</v>
          </cell>
          <cell r="BH25">
            <v>0.51666666699999997</v>
          </cell>
          <cell r="BI25">
            <v>0.51</v>
          </cell>
          <cell r="BJ25">
            <v>0.50666666699999996</v>
          </cell>
          <cell r="BK25">
            <v>0.505</v>
          </cell>
          <cell r="BL25">
            <v>0.50166666699999996</v>
          </cell>
          <cell r="BM25">
            <v>0.5</v>
          </cell>
          <cell r="BN25">
            <v>0.495</v>
          </cell>
          <cell r="BO25">
            <v>0.49</v>
          </cell>
          <cell r="BP25">
            <v>0.48833333299999998</v>
          </cell>
          <cell r="BQ25">
            <v>0.48333333299999998</v>
          </cell>
          <cell r="BR25">
            <v>0.48333333299999998</v>
          </cell>
          <cell r="BS25">
            <v>0.47833333300000003</v>
          </cell>
          <cell r="BT25">
            <v>0.47166666699999998</v>
          </cell>
          <cell r="BU25">
            <v>0.46833333300000002</v>
          </cell>
          <cell r="BV25">
            <v>0.46666666699999998</v>
          </cell>
          <cell r="BW25">
            <v>0.46500000000000002</v>
          </cell>
          <cell r="BX25">
            <v>0.46</v>
          </cell>
          <cell r="BY25">
            <v>0.45166666700000002</v>
          </cell>
          <cell r="BZ25">
            <v>0.448333333</v>
          </cell>
          <cell r="CA25">
            <v>0.443333333</v>
          </cell>
          <cell r="CB25">
            <v>0.44166666700000001</v>
          </cell>
          <cell r="CC25">
            <v>0.44</v>
          </cell>
          <cell r="CD25">
            <v>0.44</v>
          </cell>
          <cell r="CE25">
            <v>0.43666666700000001</v>
          </cell>
          <cell r="CF25">
            <v>0.435</v>
          </cell>
          <cell r="CG25">
            <v>0.435</v>
          </cell>
          <cell r="CH25">
            <v>0.431666667</v>
          </cell>
          <cell r="CI25">
            <v>0.426666667</v>
          </cell>
          <cell r="CJ25">
            <v>0.421666667</v>
          </cell>
          <cell r="CK25">
            <v>0.41833333299999997</v>
          </cell>
          <cell r="CL25">
            <v>0.41499999999999998</v>
          </cell>
          <cell r="CM25">
            <v>0.41333333300000002</v>
          </cell>
          <cell r="CN25">
            <v>0.41</v>
          </cell>
          <cell r="CO25">
            <v>0.40833333300000002</v>
          </cell>
          <cell r="CP25">
            <v>0.40500000000000003</v>
          </cell>
          <cell r="CQ25">
            <v>0.40500000000000003</v>
          </cell>
          <cell r="CR25">
            <v>0.40166666699999998</v>
          </cell>
          <cell r="CS25">
            <v>0.39500000000000002</v>
          </cell>
          <cell r="CT25">
            <v>0.39333333300000001</v>
          </cell>
          <cell r="CU25">
            <v>0.39</v>
          </cell>
          <cell r="CV25">
            <v>0.38666666700000002</v>
          </cell>
          <cell r="CW25">
            <v>0.38500000000000001</v>
          </cell>
          <cell r="CX25">
            <v>0.38166666700000001</v>
          </cell>
          <cell r="CY25">
            <v>0.37833333299999999</v>
          </cell>
          <cell r="CZ25">
            <v>0.37833333299999999</v>
          </cell>
          <cell r="DA25">
            <v>0.375</v>
          </cell>
          <cell r="DB25">
            <v>0.375</v>
          </cell>
        </row>
        <row r="26">
          <cell r="D26" t="str">
            <v>AR5 climate diagnostics|Temperature|Exceedance Probability|2.0 ¬∞C|FAIR</v>
          </cell>
          <cell r="E26" t="str">
            <v>-</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0</v>
          </cell>
          <cell r="AF26">
            <v>0</v>
          </cell>
          <cell r="AG26">
            <v>0</v>
          </cell>
          <cell r="AH26">
            <v>0</v>
          </cell>
          <cell r="AI26">
            <v>0</v>
          </cell>
          <cell r="AJ26">
            <v>0</v>
          </cell>
          <cell r="AK26">
            <v>3.0000000000000001E-3</v>
          </cell>
          <cell r="AL26">
            <v>3.0000000000000001E-3</v>
          </cell>
          <cell r="AM26">
            <v>3.0000000000000001E-3</v>
          </cell>
          <cell r="AN26">
            <v>3.0000000000000001E-3</v>
          </cell>
          <cell r="AO26">
            <v>6.0000000000000001E-3</v>
          </cell>
          <cell r="AP26">
            <v>6.0000000000000001E-3</v>
          </cell>
          <cell r="AQ26">
            <v>6.0000000000000001E-3</v>
          </cell>
          <cell r="AR26">
            <v>6.0000000000000001E-3</v>
          </cell>
          <cell r="AS26">
            <v>8.9999999999999993E-3</v>
          </cell>
          <cell r="AT26">
            <v>8.9999999999999993E-3</v>
          </cell>
          <cell r="AU26">
            <v>8.9999999999999993E-3</v>
          </cell>
          <cell r="AV26">
            <v>8.9999999999999993E-3</v>
          </cell>
          <cell r="AW26">
            <v>8.9999999999999993E-3</v>
          </cell>
          <cell r="AX26">
            <v>8.9999999999999993E-3</v>
          </cell>
          <cell r="AY26">
            <v>8.9999999999999993E-3</v>
          </cell>
          <cell r="AZ26">
            <v>8.9999999999999993E-3</v>
          </cell>
          <cell r="BA26">
            <v>8.9999999999999993E-3</v>
          </cell>
          <cell r="BB26">
            <v>8.9999999999999993E-3</v>
          </cell>
          <cell r="BC26">
            <v>8.9999999999999993E-3</v>
          </cell>
          <cell r="BD26">
            <v>8.9999999999999993E-3</v>
          </cell>
          <cell r="BE26">
            <v>1.2E-2</v>
          </cell>
          <cell r="BF26">
            <v>1.4999999999999999E-2</v>
          </cell>
          <cell r="BG26">
            <v>1.4999999999999999E-2</v>
          </cell>
          <cell r="BH26">
            <v>1.4999999999999999E-2</v>
          </cell>
          <cell r="BI26">
            <v>1.2E-2</v>
          </cell>
          <cell r="BJ26">
            <v>1.2E-2</v>
          </cell>
          <cell r="BK26">
            <v>1.2E-2</v>
          </cell>
          <cell r="BL26">
            <v>1.2E-2</v>
          </cell>
          <cell r="BM26">
            <v>1.2E-2</v>
          </cell>
          <cell r="BN26">
            <v>1.2E-2</v>
          </cell>
          <cell r="BO26">
            <v>1.2E-2</v>
          </cell>
          <cell r="BP26">
            <v>1.2E-2</v>
          </cell>
          <cell r="BQ26">
            <v>1.2E-2</v>
          </cell>
          <cell r="BR26">
            <v>8.9999999999999993E-3</v>
          </cell>
          <cell r="BS26">
            <v>8.9999999999999993E-3</v>
          </cell>
          <cell r="BT26">
            <v>8.9999999999999993E-3</v>
          </cell>
          <cell r="BU26">
            <v>8.9999999999999993E-3</v>
          </cell>
          <cell r="BV26">
            <v>8.9999999999999993E-3</v>
          </cell>
          <cell r="BW26">
            <v>8.9999999999999993E-3</v>
          </cell>
          <cell r="BX26">
            <v>8.9999999999999993E-3</v>
          </cell>
          <cell r="BY26">
            <v>8.9999999999999993E-3</v>
          </cell>
          <cell r="BZ26">
            <v>8.9999999999999993E-3</v>
          </cell>
          <cell r="CA26">
            <v>8.9999999999999993E-3</v>
          </cell>
          <cell r="CB26">
            <v>8.9999999999999993E-3</v>
          </cell>
          <cell r="CC26">
            <v>8.9999999999999993E-3</v>
          </cell>
          <cell r="CD26">
            <v>8.9999999999999993E-3</v>
          </cell>
          <cell r="CE26">
            <v>8.9999999999999993E-3</v>
          </cell>
          <cell r="CF26">
            <v>8.9999999999999993E-3</v>
          </cell>
          <cell r="CG26">
            <v>8.9999999999999993E-3</v>
          </cell>
          <cell r="CH26">
            <v>8.9999999999999993E-3</v>
          </cell>
          <cell r="CI26">
            <v>8.9999999999999993E-3</v>
          </cell>
          <cell r="CJ26">
            <v>8.9999999999999993E-3</v>
          </cell>
          <cell r="CK26">
            <v>8.9999999999999993E-3</v>
          </cell>
          <cell r="CL26">
            <v>8.9999999999999993E-3</v>
          </cell>
          <cell r="CM26">
            <v>8.9999999999999993E-3</v>
          </cell>
          <cell r="CN26">
            <v>8.9999999999999993E-3</v>
          </cell>
          <cell r="CO26">
            <v>8.9999999999999993E-3</v>
          </cell>
          <cell r="CP26">
            <v>8.9999999999999993E-3</v>
          </cell>
          <cell r="CQ26">
            <v>8.9999999999999993E-3</v>
          </cell>
          <cell r="CR26">
            <v>8.9999999999999993E-3</v>
          </cell>
          <cell r="CS26">
            <v>8.9999999999999993E-3</v>
          </cell>
          <cell r="CT26">
            <v>8.9999999999999993E-3</v>
          </cell>
          <cell r="CU26">
            <v>8.9999999999999993E-3</v>
          </cell>
          <cell r="CV26">
            <v>8.9999999999999993E-3</v>
          </cell>
          <cell r="CW26">
            <v>8.9999999999999993E-3</v>
          </cell>
          <cell r="CX26">
            <v>8.9999999999999993E-3</v>
          </cell>
          <cell r="CY26">
            <v>8.9999999999999993E-3</v>
          </cell>
          <cell r="CZ26">
            <v>8.9999999999999993E-3</v>
          </cell>
          <cell r="DA26">
            <v>8.9999999999999993E-3</v>
          </cell>
          <cell r="DB26">
            <v>8.9999999999999993E-3</v>
          </cell>
        </row>
        <row r="27">
          <cell r="D27" t="str">
            <v>AR5 climate diagnostics|Temperature|Exceedance Probability|2.0 ¬∞C|MAGICC6</v>
          </cell>
          <cell r="E27" t="str">
            <v>-</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3.333333E-3</v>
          </cell>
          <cell r="AD27">
            <v>5.0000000000000001E-3</v>
          </cell>
          <cell r="AE27">
            <v>6.6666670000000003E-3</v>
          </cell>
          <cell r="AF27">
            <v>1.1666667E-2</v>
          </cell>
          <cell r="AG27">
            <v>1.4999999999999999E-2</v>
          </cell>
          <cell r="AH27">
            <v>1.4999999999999999E-2</v>
          </cell>
          <cell r="AI27">
            <v>2.1666667000000001E-2</v>
          </cell>
          <cell r="AJ27">
            <v>2.3333333000000001E-2</v>
          </cell>
          <cell r="AK27">
            <v>2.5000000000000001E-2</v>
          </cell>
          <cell r="AL27">
            <v>0.03</v>
          </cell>
          <cell r="AM27">
            <v>0.04</v>
          </cell>
          <cell r="AN27">
            <v>4.3333333000000002E-2</v>
          </cell>
          <cell r="AO27">
            <v>4.6666667000000002E-2</v>
          </cell>
          <cell r="AP27">
            <v>0.05</v>
          </cell>
          <cell r="AQ27">
            <v>6.1666667000000001E-2</v>
          </cell>
          <cell r="AR27">
            <v>6.6666666999999999E-2</v>
          </cell>
          <cell r="AS27">
            <v>7.4999999999999997E-2</v>
          </cell>
          <cell r="AT27">
            <v>7.6666666999999994E-2</v>
          </cell>
          <cell r="AU27">
            <v>7.6666666999999994E-2</v>
          </cell>
          <cell r="AV27">
            <v>7.6666666999999994E-2</v>
          </cell>
          <cell r="AW27">
            <v>8.3333332999999996E-2</v>
          </cell>
          <cell r="AX27">
            <v>8.5000000000000006E-2</v>
          </cell>
          <cell r="AY27">
            <v>0.09</v>
          </cell>
          <cell r="AZ27">
            <v>9.6666666999999998E-2</v>
          </cell>
          <cell r="BA27">
            <v>0.101666667</v>
          </cell>
          <cell r="BB27">
            <v>0.103333333</v>
          </cell>
          <cell r="BC27">
            <v>0.105</v>
          </cell>
          <cell r="BD27">
            <v>0.108333333</v>
          </cell>
          <cell r="BE27">
            <v>0.10666666700000001</v>
          </cell>
          <cell r="BF27">
            <v>0.108333333</v>
          </cell>
          <cell r="BG27">
            <v>0.108333333</v>
          </cell>
          <cell r="BH27">
            <v>0.11</v>
          </cell>
          <cell r="BI27">
            <v>0.11333333299999999</v>
          </cell>
          <cell r="BJ27">
            <v>0.11333333299999999</v>
          </cell>
          <cell r="BK27">
            <v>0.11333333299999999</v>
          </cell>
          <cell r="BL27">
            <v>0.115</v>
          </cell>
          <cell r="BM27">
            <v>0.118333333</v>
          </cell>
          <cell r="BN27">
            <v>0.116666667</v>
          </cell>
          <cell r="BO27">
            <v>0.11333333299999999</v>
          </cell>
          <cell r="BP27">
            <v>0.111666667</v>
          </cell>
          <cell r="BQ27">
            <v>0.111666667</v>
          </cell>
          <cell r="BR27">
            <v>0.111666667</v>
          </cell>
          <cell r="BS27">
            <v>0.11</v>
          </cell>
          <cell r="BT27">
            <v>0.10666666700000001</v>
          </cell>
          <cell r="BU27">
            <v>0.10666666700000001</v>
          </cell>
          <cell r="BV27">
            <v>0.10666666700000001</v>
          </cell>
          <cell r="BW27">
            <v>0.10666666700000001</v>
          </cell>
          <cell r="BX27">
            <v>0.10666666700000001</v>
          </cell>
          <cell r="BY27">
            <v>0.10666666700000001</v>
          </cell>
          <cell r="BZ27">
            <v>0.10666666700000001</v>
          </cell>
          <cell r="CA27">
            <v>0.105</v>
          </cell>
          <cell r="CB27">
            <v>0.101666667</v>
          </cell>
          <cell r="CC27">
            <v>0.101666667</v>
          </cell>
          <cell r="CD27">
            <v>0.101666667</v>
          </cell>
          <cell r="CE27">
            <v>0.101666667</v>
          </cell>
          <cell r="CF27">
            <v>0.101666667</v>
          </cell>
          <cell r="CG27">
            <v>0.101666667</v>
          </cell>
          <cell r="CH27">
            <v>0.101666667</v>
          </cell>
          <cell r="CI27">
            <v>0.101666667</v>
          </cell>
          <cell r="CJ27">
            <v>0.101666667</v>
          </cell>
          <cell r="CK27">
            <v>0.101666667</v>
          </cell>
          <cell r="CL27">
            <v>9.8333332999999995E-2</v>
          </cell>
          <cell r="CM27">
            <v>9.8333332999999995E-2</v>
          </cell>
          <cell r="CN27">
            <v>9.8333332999999995E-2</v>
          </cell>
          <cell r="CO27">
            <v>9.8333332999999995E-2</v>
          </cell>
          <cell r="CP27">
            <v>9.8333332999999995E-2</v>
          </cell>
          <cell r="CQ27">
            <v>0.1</v>
          </cell>
          <cell r="CR27">
            <v>0.1</v>
          </cell>
          <cell r="CS27">
            <v>9.8333332999999995E-2</v>
          </cell>
          <cell r="CT27">
            <v>9.8333332999999995E-2</v>
          </cell>
          <cell r="CU27">
            <v>9.8333332999999995E-2</v>
          </cell>
          <cell r="CV27">
            <v>9.8333332999999995E-2</v>
          </cell>
          <cell r="CW27">
            <v>9.8333332999999995E-2</v>
          </cell>
          <cell r="CX27">
            <v>9.8333332999999995E-2</v>
          </cell>
          <cell r="CY27">
            <v>9.5000000000000001E-2</v>
          </cell>
          <cell r="CZ27">
            <v>9.3333333000000004E-2</v>
          </cell>
          <cell r="DA27">
            <v>9.3333333000000004E-2</v>
          </cell>
          <cell r="DB27">
            <v>9.3333333000000004E-2</v>
          </cell>
        </row>
        <row r="28">
          <cell r="D28" t="str">
            <v>AR5 climate diagnostics|Temperature|Exceedance Probability|2.5 ¬∞C|FAIR</v>
          </cell>
          <cell r="E28" t="str">
            <v>-</v>
          </cell>
          <cell r="P28">
            <v>0</v>
          </cell>
          <cell r="Q28">
            <v>0</v>
          </cell>
          <cell r="R28">
            <v>0</v>
          </cell>
          <cell r="S28">
            <v>0</v>
          </cell>
          <cell r="T28">
            <v>0</v>
          </cell>
          <cell r="U28">
            <v>0</v>
          </cell>
          <cell r="V28">
            <v>0</v>
          </cell>
          <cell r="W28">
            <v>0</v>
          </cell>
          <cell r="X28">
            <v>0</v>
          </cell>
          <cell r="Y28">
            <v>0</v>
          </cell>
          <cell r="Z28">
            <v>0</v>
          </cell>
          <cell r="AA28">
            <v>0</v>
          </cell>
          <cell r="AB28">
            <v>0</v>
          </cell>
          <cell r="AC28">
            <v>0</v>
          </cell>
          <cell r="AD28">
            <v>0</v>
          </cell>
          <cell r="AE28">
            <v>0</v>
          </cell>
          <cell r="AF28">
            <v>0</v>
          </cell>
          <cell r="AG28">
            <v>0</v>
          </cell>
          <cell r="AH28">
            <v>0</v>
          </cell>
          <cell r="AI28">
            <v>0</v>
          </cell>
          <cell r="AJ28">
            <v>0</v>
          </cell>
          <cell r="AK28">
            <v>0</v>
          </cell>
          <cell r="AL28">
            <v>0</v>
          </cell>
          <cell r="AM28">
            <v>0</v>
          </cell>
          <cell r="AN28">
            <v>0</v>
          </cell>
          <cell r="AO28">
            <v>0</v>
          </cell>
          <cell r="AP28">
            <v>0</v>
          </cell>
          <cell r="AQ28">
            <v>0</v>
          </cell>
          <cell r="AR28">
            <v>0</v>
          </cell>
          <cell r="AS28">
            <v>0</v>
          </cell>
          <cell r="AT28">
            <v>0</v>
          </cell>
          <cell r="AU28">
            <v>0</v>
          </cell>
          <cell r="AV28">
            <v>0</v>
          </cell>
          <cell r="AW28">
            <v>0</v>
          </cell>
          <cell r="AX28">
            <v>0</v>
          </cell>
          <cell r="AY28">
            <v>0</v>
          </cell>
          <cell r="AZ28">
            <v>0</v>
          </cell>
          <cell r="BA28">
            <v>0</v>
          </cell>
          <cell r="BB28">
            <v>0</v>
          </cell>
          <cell r="BC28">
            <v>0</v>
          </cell>
          <cell r="BD28">
            <v>0</v>
          </cell>
          <cell r="BE28">
            <v>0</v>
          </cell>
          <cell r="BF28">
            <v>0</v>
          </cell>
          <cell r="BG28">
            <v>0</v>
          </cell>
          <cell r="BH28">
            <v>0</v>
          </cell>
          <cell r="BI28">
            <v>0</v>
          </cell>
          <cell r="BJ28">
            <v>0</v>
          </cell>
          <cell r="BK28">
            <v>0</v>
          </cell>
          <cell r="BL28">
            <v>0</v>
          </cell>
          <cell r="BM28">
            <v>0</v>
          </cell>
          <cell r="BN28">
            <v>0</v>
          </cell>
          <cell r="BO28">
            <v>0</v>
          </cell>
          <cell r="BP28">
            <v>0</v>
          </cell>
          <cell r="BQ28">
            <v>0</v>
          </cell>
          <cell r="BR28">
            <v>0</v>
          </cell>
          <cell r="BS28">
            <v>0</v>
          </cell>
          <cell r="BT28">
            <v>0</v>
          </cell>
          <cell r="BU28">
            <v>0</v>
          </cell>
          <cell r="BV28">
            <v>0</v>
          </cell>
          <cell r="BW28">
            <v>0</v>
          </cell>
          <cell r="BX28">
            <v>0</v>
          </cell>
          <cell r="BY28">
            <v>0</v>
          </cell>
          <cell r="BZ28">
            <v>0</v>
          </cell>
          <cell r="CA28">
            <v>0</v>
          </cell>
          <cell r="CB28">
            <v>0</v>
          </cell>
          <cell r="CC28">
            <v>0</v>
          </cell>
          <cell r="CD28">
            <v>0</v>
          </cell>
          <cell r="CE28">
            <v>0</v>
          </cell>
          <cell r="CF28">
            <v>0</v>
          </cell>
          <cell r="CG28">
            <v>0</v>
          </cell>
          <cell r="CH28">
            <v>0</v>
          </cell>
          <cell r="CI28">
            <v>0</v>
          </cell>
          <cell r="CJ28">
            <v>0</v>
          </cell>
          <cell r="CK28">
            <v>0</v>
          </cell>
          <cell r="CL28">
            <v>0</v>
          </cell>
          <cell r="CM28">
            <v>0</v>
          </cell>
          <cell r="CN28">
            <v>0</v>
          </cell>
          <cell r="CO28">
            <v>0</v>
          </cell>
          <cell r="CP28">
            <v>0</v>
          </cell>
          <cell r="CQ28">
            <v>0</v>
          </cell>
          <cell r="CR28">
            <v>0</v>
          </cell>
          <cell r="CS28">
            <v>0</v>
          </cell>
          <cell r="CT28">
            <v>0</v>
          </cell>
          <cell r="CU28">
            <v>0</v>
          </cell>
          <cell r="CV28">
            <v>0</v>
          </cell>
          <cell r="CW28">
            <v>0</v>
          </cell>
          <cell r="CX28">
            <v>0</v>
          </cell>
          <cell r="CY28">
            <v>0</v>
          </cell>
          <cell r="CZ28">
            <v>0</v>
          </cell>
          <cell r="DA28">
            <v>0</v>
          </cell>
          <cell r="DB28">
            <v>0</v>
          </cell>
        </row>
        <row r="29">
          <cell r="D29" t="str">
            <v>AR5 climate diagnostics|Temperature|Exceedance Probability|2.5 ¬∞C|MAGICC6</v>
          </cell>
          <cell r="E29" t="str">
            <v>-</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cell r="AI29">
            <v>0</v>
          </cell>
          <cell r="AJ29">
            <v>3.333333E-3</v>
          </cell>
          <cell r="AK29">
            <v>6.6666670000000003E-3</v>
          </cell>
          <cell r="AL29">
            <v>6.6666670000000003E-3</v>
          </cell>
          <cell r="AM29">
            <v>6.6666670000000003E-3</v>
          </cell>
          <cell r="AN29">
            <v>6.6666670000000003E-3</v>
          </cell>
          <cell r="AO29">
            <v>6.6666670000000003E-3</v>
          </cell>
          <cell r="AP29">
            <v>6.6666670000000003E-3</v>
          </cell>
          <cell r="AQ29">
            <v>6.6666670000000003E-3</v>
          </cell>
          <cell r="AR29">
            <v>6.6666670000000003E-3</v>
          </cell>
          <cell r="AS29">
            <v>6.6666670000000003E-3</v>
          </cell>
          <cell r="AT29">
            <v>8.3333330000000001E-3</v>
          </cell>
          <cell r="AU29">
            <v>8.3333330000000001E-3</v>
          </cell>
          <cell r="AV29">
            <v>8.3333330000000001E-3</v>
          </cell>
          <cell r="AW29">
            <v>8.3333330000000001E-3</v>
          </cell>
          <cell r="AX29">
            <v>8.3333330000000001E-3</v>
          </cell>
          <cell r="AY29">
            <v>8.3333330000000001E-3</v>
          </cell>
          <cell r="AZ29">
            <v>8.3333330000000001E-3</v>
          </cell>
          <cell r="BA29">
            <v>0.01</v>
          </cell>
          <cell r="BB29">
            <v>0.01</v>
          </cell>
          <cell r="BC29">
            <v>1.3333332999999999E-2</v>
          </cell>
          <cell r="BD29">
            <v>1.3333332999999999E-2</v>
          </cell>
          <cell r="BE29">
            <v>1.3333332999999999E-2</v>
          </cell>
          <cell r="BF29">
            <v>1.4999999999999999E-2</v>
          </cell>
          <cell r="BG29">
            <v>1.4999999999999999E-2</v>
          </cell>
          <cell r="BH29">
            <v>1.4999999999999999E-2</v>
          </cell>
          <cell r="BI29">
            <v>1.6666667E-2</v>
          </cell>
          <cell r="BJ29">
            <v>1.6666667E-2</v>
          </cell>
          <cell r="BK29">
            <v>1.6666667E-2</v>
          </cell>
          <cell r="BL29">
            <v>1.6666667E-2</v>
          </cell>
          <cell r="BM29">
            <v>1.6666667E-2</v>
          </cell>
          <cell r="BN29">
            <v>1.6666667E-2</v>
          </cell>
          <cell r="BO29">
            <v>1.6666667E-2</v>
          </cell>
          <cell r="BP29">
            <v>1.6666667E-2</v>
          </cell>
          <cell r="BQ29">
            <v>1.6666667E-2</v>
          </cell>
          <cell r="BR29">
            <v>1.6666667E-2</v>
          </cell>
          <cell r="BS29">
            <v>1.6666667E-2</v>
          </cell>
          <cell r="BT29">
            <v>1.6666667E-2</v>
          </cell>
          <cell r="BU29">
            <v>1.6666667E-2</v>
          </cell>
          <cell r="BV29">
            <v>1.4999999999999999E-2</v>
          </cell>
          <cell r="BW29">
            <v>1.4999999999999999E-2</v>
          </cell>
          <cell r="BX29">
            <v>1.4999999999999999E-2</v>
          </cell>
          <cell r="BY29">
            <v>1.4999999999999999E-2</v>
          </cell>
          <cell r="BZ29">
            <v>1.3333332999999999E-2</v>
          </cell>
          <cell r="CA29">
            <v>1.3333332999999999E-2</v>
          </cell>
          <cell r="CB29">
            <v>1.3333332999999999E-2</v>
          </cell>
          <cell r="CC29">
            <v>1.3333332999999999E-2</v>
          </cell>
          <cell r="CD29">
            <v>1.3333332999999999E-2</v>
          </cell>
          <cell r="CE29">
            <v>1.4999999999999999E-2</v>
          </cell>
          <cell r="CF29">
            <v>1.4999999999999999E-2</v>
          </cell>
          <cell r="CG29">
            <v>1.4999999999999999E-2</v>
          </cell>
          <cell r="CH29">
            <v>1.4999999999999999E-2</v>
          </cell>
          <cell r="CI29">
            <v>1.4999999999999999E-2</v>
          </cell>
          <cell r="CJ29">
            <v>1.4999999999999999E-2</v>
          </cell>
          <cell r="CK29">
            <v>1.4999999999999999E-2</v>
          </cell>
          <cell r="CL29">
            <v>1.4999999999999999E-2</v>
          </cell>
          <cell r="CM29">
            <v>1.4999999999999999E-2</v>
          </cell>
          <cell r="CN29">
            <v>1.4999999999999999E-2</v>
          </cell>
          <cell r="CO29">
            <v>1.4999999999999999E-2</v>
          </cell>
          <cell r="CP29">
            <v>1.4999999999999999E-2</v>
          </cell>
          <cell r="CQ29">
            <v>1.4999999999999999E-2</v>
          </cell>
          <cell r="CR29">
            <v>1.4999999999999999E-2</v>
          </cell>
          <cell r="CS29">
            <v>1.4999999999999999E-2</v>
          </cell>
          <cell r="CT29">
            <v>1.6666667E-2</v>
          </cell>
          <cell r="CU29">
            <v>1.6666667E-2</v>
          </cell>
          <cell r="CV29">
            <v>1.6666667E-2</v>
          </cell>
          <cell r="CW29">
            <v>1.6666667E-2</v>
          </cell>
          <cell r="CX29">
            <v>1.6666667E-2</v>
          </cell>
          <cell r="CY29">
            <v>1.6666667E-2</v>
          </cell>
          <cell r="CZ29">
            <v>1.6666667E-2</v>
          </cell>
          <cell r="DA29">
            <v>1.6666667E-2</v>
          </cell>
          <cell r="DB29">
            <v>1.6666667E-2</v>
          </cell>
        </row>
        <row r="30">
          <cell r="D30" t="str">
            <v>AR5 climate diagnostics|Temperature|Exceedance Probability|3.0 ¬∞C|FAIR</v>
          </cell>
          <cell r="E30" t="str">
            <v>-</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v>
          </cell>
          <cell r="AR30">
            <v>0</v>
          </cell>
          <cell r="AS30">
            <v>0</v>
          </cell>
          <cell r="AT30">
            <v>0</v>
          </cell>
          <cell r="AU30">
            <v>0</v>
          </cell>
          <cell r="AV30">
            <v>0</v>
          </cell>
          <cell r="AW30">
            <v>0</v>
          </cell>
          <cell r="AX30">
            <v>0</v>
          </cell>
          <cell r="AY30">
            <v>0</v>
          </cell>
          <cell r="AZ30">
            <v>0</v>
          </cell>
          <cell r="BA30">
            <v>0</v>
          </cell>
          <cell r="BB30">
            <v>0</v>
          </cell>
          <cell r="BC30">
            <v>0</v>
          </cell>
          <cell r="BD30">
            <v>0</v>
          </cell>
          <cell r="BE30">
            <v>0</v>
          </cell>
          <cell r="BF30">
            <v>0</v>
          </cell>
          <cell r="BG30">
            <v>0</v>
          </cell>
          <cell r="BH30">
            <v>0</v>
          </cell>
          <cell r="BI30">
            <v>0</v>
          </cell>
          <cell r="BJ30">
            <v>0</v>
          </cell>
          <cell r="BK30">
            <v>0</v>
          </cell>
          <cell r="BL30">
            <v>0</v>
          </cell>
          <cell r="BM30">
            <v>0</v>
          </cell>
          <cell r="BN30">
            <v>0</v>
          </cell>
          <cell r="BO30">
            <v>0</v>
          </cell>
          <cell r="BP30">
            <v>0</v>
          </cell>
          <cell r="BQ30">
            <v>0</v>
          </cell>
          <cell r="BR30">
            <v>0</v>
          </cell>
          <cell r="BS30">
            <v>0</v>
          </cell>
          <cell r="BT30">
            <v>0</v>
          </cell>
          <cell r="BU30">
            <v>0</v>
          </cell>
          <cell r="BV30">
            <v>0</v>
          </cell>
          <cell r="BW30">
            <v>0</v>
          </cell>
          <cell r="BX30">
            <v>0</v>
          </cell>
          <cell r="BY30">
            <v>0</v>
          </cell>
          <cell r="BZ30">
            <v>0</v>
          </cell>
          <cell r="CA30">
            <v>0</v>
          </cell>
          <cell r="CB30">
            <v>0</v>
          </cell>
          <cell r="CC30">
            <v>0</v>
          </cell>
          <cell r="CD30">
            <v>0</v>
          </cell>
          <cell r="CE30">
            <v>0</v>
          </cell>
          <cell r="CF30">
            <v>0</v>
          </cell>
          <cell r="CG30">
            <v>0</v>
          </cell>
          <cell r="CH30">
            <v>0</v>
          </cell>
          <cell r="CI30">
            <v>0</v>
          </cell>
          <cell r="CJ30">
            <v>0</v>
          </cell>
          <cell r="CK30">
            <v>0</v>
          </cell>
          <cell r="CL30">
            <v>0</v>
          </cell>
          <cell r="CM30">
            <v>0</v>
          </cell>
          <cell r="CN30">
            <v>0</v>
          </cell>
          <cell r="CO30">
            <v>0</v>
          </cell>
          <cell r="CP30">
            <v>0</v>
          </cell>
          <cell r="CQ30">
            <v>0</v>
          </cell>
          <cell r="CR30">
            <v>0</v>
          </cell>
          <cell r="CS30">
            <v>0</v>
          </cell>
          <cell r="CT30">
            <v>0</v>
          </cell>
          <cell r="CU30">
            <v>0</v>
          </cell>
          <cell r="CV30">
            <v>0</v>
          </cell>
          <cell r="CW30">
            <v>0</v>
          </cell>
          <cell r="CX30">
            <v>0</v>
          </cell>
          <cell r="CY30">
            <v>0</v>
          </cell>
          <cell r="CZ30">
            <v>0</v>
          </cell>
          <cell r="DA30">
            <v>0</v>
          </cell>
          <cell r="DB30">
            <v>0</v>
          </cell>
        </row>
        <row r="31">
          <cell r="D31" t="str">
            <v>AR5 climate diagnostics|Temperature|Exceedance Probability|3.0 ¬∞C|MAGICC6</v>
          </cell>
          <cell r="E31" t="str">
            <v>-</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cell r="AM31">
            <v>0</v>
          </cell>
          <cell r="AN31">
            <v>1.6666669999999999E-3</v>
          </cell>
          <cell r="AO31">
            <v>1.6666669999999999E-3</v>
          </cell>
          <cell r="AP31">
            <v>1.6666669999999999E-3</v>
          </cell>
          <cell r="AQ31">
            <v>1.6666669999999999E-3</v>
          </cell>
          <cell r="AR31">
            <v>1.6666669999999999E-3</v>
          </cell>
          <cell r="AS31">
            <v>1.6666669999999999E-3</v>
          </cell>
          <cell r="AT31">
            <v>1.6666669999999999E-3</v>
          </cell>
          <cell r="AU31">
            <v>1.6666669999999999E-3</v>
          </cell>
          <cell r="AV31">
            <v>1.6666669999999999E-3</v>
          </cell>
          <cell r="AW31">
            <v>1.6666669999999999E-3</v>
          </cell>
          <cell r="AX31">
            <v>1.6666669999999999E-3</v>
          </cell>
          <cell r="AY31">
            <v>1.6666669999999999E-3</v>
          </cell>
          <cell r="AZ31">
            <v>1.6666669999999999E-3</v>
          </cell>
          <cell r="BA31">
            <v>3.333333E-3</v>
          </cell>
          <cell r="BB31">
            <v>3.333333E-3</v>
          </cell>
          <cell r="BC31">
            <v>3.333333E-3</v>
          </cell>
          <cell r="BD31">
            <v>3.333333E-3</v>
          </cell>
          <cell r="BE31">
            <v>3.333333E-3</v>
          </cell>
          <cell r="BF31">
            <v>3.333333E-3</v>
          </cell>
          <cell r="BG31">
            <v>3.333333E-3</v>
          </cell>
          <cell r="BH31">
            <v>3.333333E-3</v>
          </cell>
          <cell r="BI31">
            <v>3.333333E-3</v>
          </cell>
          <cell r="BJ31">
            <v>5.0000000000000001E-3</v>
          </cell>
          <cell r="BK31">
            <v>5.0000000000000001E-3</v>
          </cell>
          <cell r="BL31">
            <v>5.0000000000000001E-3</v>
          </cell>
          <cell r="BM31">
            <v>5.0000000000000001E-3</v>
          </cell>
          <cell r="BN31">
            <v>5.0000000000000001E-3</v>
          </cell>
          <cell r="BO31">
            <v>5.0000000000000001E-3</v>
          </cell>
          <cell r="BP31">
            <v>5.0000000000000001E-3</v>
          </cell>
          <cell r="BQ31">
            <v>5.0000000000000001E-3</v>
          </cell>
          <cell r="BR31">
            <v>6.6666670000000003E-3</v>
          </cell>
          <cell r="BS31">
            <v>6.6666670000000003E-3</v>
          </cell>
          <cell r="BT31">
            <v>6.6666670000000003E-3</v>
          </cell>
          <cell r="BU31">
            <v>6.6666670000000003E-3</v>
          </cell>
          <cell r="BV31">
            <v>6.6666670000000003E-3</v>
          </cell>
          <cell r="BW31">
            <v>6.6666670000000003E-3</v>
          </cell>
          <cell r="BX31">
            <v>6.6666670000000003E-3</v>
          </cell>
          <cell r="BY31">
            <v>8.3333330000000001E-3</v>
          </cell>
          <cell r="BZ31">
            <v>8.3333330000000001E-3</v>
          </cell>
          <cell r="CA31">
            <v>8.3333330000000001E-3</v>
          </cell>
          <cell r="CB31">
            <v>8.3333330000000001E-3</v>
          </cell>
          <cell r="CC31">
            <v>8.3333330000000001E-3</v>
          </cell>
          <cell r="CD31">
            <v>8.3333330000000001E-3</v>
          </cell>
          <cell r="CE31">
            <v>8.3333330000000001E-3</v>
          </cell>
          <cell r="CF31">
            <v>8.3333330000000001E-3</v>
          </cell>
          <cell r="CG31">
            <v>8.3333330000000001E-3</v>
          </cell>
          <cell r="CH31">
            <v>8.3333330000000001E-3</v>
          </cell>
          <cell r="CI31">
            <v>8.3333330000000001E-3</v>
          </cell>
          <cell r="CJ31">
            <v>8.3333330000000001E-3</v>
          </cell>
          <cell r="CK31">
            <v>0.01</v>
          </cell>
          <cell r="CL31">
            <v>8.3333330000000001E-3</v>
          </cell>
          <cell r="CM31">
            <v>8.3333330000000001E-3</v>
          </cell>
          <cell r="CN31">
            <v>8.3333330000000001E-3</v>
          </cell>
          <cell r="CO31">
            <v>8.3333330000000001E-3</v>
          </cell>
          <cell r="CP31">
            <v>8.3333330000000001E-3</v>
          </cell>
          <cell r="CQ31">
            <v>8.3333330000000001E-3</v>
          </cell>
          <cell r="CR31">
            <v>8.3333330000000001E-3</v>
          </cell>
          <cell r="CS31">
            <v>8.3333330000000001E-3</v>
          </cell>
          <cell r="CT31">
            <v>8.3333330000000001E-3</v>
          </cell>
          <cell r="CU31">
            <v>8.3333330000000001E-3</v>
          </cell>
          <cell r="CV31">
            <v>8.3333330000000001E-3</v>
          </cell>
          <cell r="CW31">
            <v>8.3333330000000001E-3</v>
          </cell>
          <cell r="CX31">
            <v>8.3333330000000001E-3</v>
          </cell>
          <cell r="CY31">
            <v>6.6666670000000003E-3</v>
          </cell>
          <cell r="CZ31">
            <v>6.6666670000000003E-3</v>
          </cell>
          <cell r="DA31">
            <v>6.6666670000000003E-3</v>
          </cell>
          <cell r="DB31">
            <v>6.6666670000000003E-3</v>
          </cell>
        </row>
        <row r="32">
          <cell r="D32" t="str">
            <v>AR5 climate diagnostics|Temperature|Exceedance Probability|3.5 ¬∞C|FAIR</v>
          </cell>
          <cell r="E32" t="str">
            <v>-</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cell r="BF32">
            <v>0</v>
          </cell>
          <cell r="BG32">
            <v>0</v>
          </cell>
          <cell r="BH32">
            <v>0</v>
          </cell>
          <cell r="BI32">
            <v>0</v>
          </cell>
          <cell r="BJ32">
            <v>0</v>
          </cell>
          <cell r="BK32">
            <v>0</v>
          </cell>
          <cell r="BL32">
            <v>0</v>
          </cell>
          <cell r="BM32">
            <v>0</v>
          </cell>
          <cell r="BN32">
            <v>0</v>
          </cell>
          <cell r="BO32">
            <v>0</v>
          </cell>
          <cell r="BP32">
            <v>0</v>
          </cell>
          <cell r="BQ32">
            <v>0</v>
          </cell>
          <cell r="BR32">
            <v>0</v>
          </cell>
          <cell r="BS32">
            <v>0</v>
          </cell>
          <cell r="BT32">
            <v>0</v>
          </cell>
          <cell r="BU32">
            <v>0</v>
          </cell>
          <cell r="BV32">
            <v>0</v>
          </cell>
          <cell r="BW32">
            <v>0</v>
          </cell>
          <cell r="BX32">
            <v>0</v>
          </cell>
          <cell r="BY32">
            <v>0</v>
          </cell>
          <cell r="BZ32">
            <v>0</v>
          </cell>
          <cell r="CA32">
            <v>0</v>
          </cell>
          <cell r="CB32">
            <v>0</v>
          </cell>
          <cell r="CC32">
            <v>0</v>
          </cell>
          <cell r="CD32">
            <v>0</v>
          </cell>
          <cell r="CE32">
            <v>0</v>
          </cell>
          <cell r="CF32">
            <v>0</v>
          </cell>
          <cell r="CG32">
            <v>0</v>
          </cell>
          <cell r="CH32">
            <v>0</v>
          </cell>
          <cell r="CI32">
            <v>0</v>
          </cell>
          <cell r="CJ32">
            <v>0</v>
          </cell>
          <cell r="CK32">
            <v>0</v>
          </cell>
          <cell r="CL32">
            <v>0</v>
          </cell>
          <cell r="CM32">
            <v>0</v>
          </cell>
          <cell r="CN32">
            <v>0</v>
          </cell>
          <cell r="CO32">
            <v>0</v>
          </cell>
          <cell r="CP32">
            <v>0</v>
          </cell>
          <cell r="CQ32">
            <v>0</v>
          </cell>
          <cell r="CR32">
            <v>0</v>
          </cell>
          <cell r="CS32">
            <v>0</v>
          </cell>
          <cell r="CT32">
            <v>0</v>
          </cell>
          <cell r="CU32">
            <v>0</v>
          </cell>
          <cell r="CV32">
            <v>0</v>
          </cell>
          <cell r="CW32">
            <v>0</v>
          </cell>
          <cell r="CX32">
            <v>0</v>
          </cell>
          <cell r="CY32">
            <v>0</v>
          </cell>
          <cell r="CZ32">
            <v>0</v>
          </cell>
          <cell r="DA32">
            <v>0</v>
          </cell>
          <cell r="DB32">
            <v>0</v>
          </cell>
        </row>
        <row r="33">
          <cell r="D33" t="str">
            <v>AR5 climate diagnostics|Temperature|Exceedance Probability|3.5 ¬∞C|MAGICC6</v>
          </cell>
          <cell r="E33" t="str">
            <v>-</v>
          </cell>
          <cell r="F33">
            <v>0</v>
          </cell>
          <cell r="G33">
            <v>0</v>
          </cell>
          <cell r="H33">
            <v>0</v>
          </cell>
          <cell r="I33">
            <v>0</v>
          </cell>
          <cell r="J33">
            <v>0</v>
          </cell>
          <cell r="K33">
            <v>0</v>
          </cell>
          <cell r="L33">
            <v>0</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1.6666669999999999E-3</v>
          </cell>
          <cell r="AX33">
            <v>1.6666669999999999E-3</v>
          </cell>
          <cell r="AY33">
            <v>1.6666669999999999E-3</v>
          </cell>
          <cell r="AZ33">
            <v>1.6666669999999999E-3</v>
          </cell>
          <cell r="BA33">
            <v>1.6666669999999999E-3</v>
          </cell>
          <cell r="BB33">
            <v>1.6666669999999999E-3</v>
          </cell>
          <cell r="BC33">
            <v>1.6666669999999999E-3</v>
          </cell>
          <cell r="BD33">
            <v>1.6666669999999999E-3</v>
          </cell>
          <cell r="BE33">
            <v>1.6666669999999999E-3</v>
          </cell>
          <cell r="BF33">
            <v>1.6666669999999999E-3</v>
          </cell>
          <cell r="BG33">
            <v>1.6666669999999999E-3</v>
          </cell>
          <cell r="BH33">
            <v>1.6666669999999999E-3</v>
          </cell>
          <cell r="BI33">
            <v>1.6666669999999999E-3</v>
          </cell>
          <cell r="BJ33">
            <v>1.6666669999999999E-3</v>
          </cell>
          <cell r="BK33">
            <v>1.6666669999999999E-3</v>
          </cell>
          <cell r="BL33">
            <v>1.6666669999999999E-3</v>
          </cell>
          <cell r="BM33">
            <v>1.6666669999999999E-3</v>
          </cell>
          <cell r="BN33">
            <v>1.6666669999999999E-3</v>
          </cell>
          <cell r="BO33">
            <v>1.6666669999999999E-3</v>
          </cell>
          <cell r="BP33">
            <v>1.6666669999999999E-3</v>
          </cell>
          <cell r="BQ33">
            <v>1.6666669999999999E-3</v>
          </cell>
          <cell r="BR33">
            <v>1.6666669999999999E-3</v>
          </cell>
          <cell r="BS33">
            <v>1.6666669999999999E-3</v>
          </cell>
          <cell r="BT33">
            <v>1.6666669999999999E-3</v>
          </cell>
          <cell r="BU33">
            <v>1.6666669999999999E-3</v>
          </cell>
          <cell r="BV33">
            <v>1.6666669999999999E-3</v>
          </cell>
          <cell r="BW33">
            <v>1.6666669999999999E-3</v>
          </cell>
          <cell r="BX33">
            <v>1.6666669999999999E-3</v>
          </cell>
          <cell r="BY33">
            <v>1.6666669999999999E-3</v>
          </cell>
          <cell r="BZ33">
            <v>1.6666669999999999E-3</v>
          </cell>
          <cell r="CA33">
            <v>1.6666669999999999E-3</v>
          </cell>
          <cell r="CB33">
            <v>1.6666669999999999E-3</v>
          </cell>
          <cell r="CC33">
            <v>1.6666669999999999E-3</v>
          </cell>
          <cell r="CD33">
            <v>1.6666669999999999E-3</v>
          </cell>
          <cell r="CE33">
            <v>1.6666669999999999E-3</v>
          </cell>
          <cell r="CF33">
            <v>1.6666669999999999E-3</v>
          </cell>
          <cell r="CG33">
            <v>1.6666669999999999E-3</v>
          </cell>
          <cell r="CH33">
            <v>1.6666669999999999E-3</v>
          </cell>
          <cell r="CI33">
            <v>1.6666669999999999E-3</v>
          </cell>
          <cell r="CJ33">
            <v>1.6666669999999999E-3</v>
          </cell>
          <cell r="CK33">
            <v>1.6666669999999999E-3</v>
          </cell>
          <cell r="CL33">
            <v>1.6666669999999999E-3</v>
          </cell>
          <cell r="CM33">
            <v>1.6666669999999999E-3</v>
          </cell>
          <cell r="CN33">
            <v>1.6666669999999999E-3</v>
          </cell>
          <cell r="CO33">
            <v>1.6666669999999999E-3</v>
          </cell>
          <cell r="CP33">
            <v>1.6666669999999999E-3</v>
          </cell>
          <cell r="CQ33">
            <v>1.6666669999999999E-3</v>
          </cell>
          <cell r="CR33">
            <v>1.6666669999999999E-3</v>
          </cell>
          <cell r="CS33">
            <v>1.6666669999999999E-3</v>
          </cell>
          <cell r="CT33">
            <v>1.6666669999999999E-3</v>
          </cell>
          <cell r="CU33">
            <v>1.6666669999999999E-3</v>
          </cell>
          <cell r="CV33">
            <v>1.6666669999999999E-3</v>
          </cell>
          <cell r="CW33">
            <v>1.6666669999999999E-3</v>
          </cell>
          <cell r="CX33">
            <v>1.6666669999999999E-3</v>
          </cell>
          <cell r="CY33">
            <v>1.6666669999999999E-3</v>
          </cell>
          <cell r="CZ33">
            <v>1.6666669999999999E-3</v>
          </cell>
          <cell r="DA33">
            <v>1.6666669999999999E-3</v>
          </cell>
          <cell r="DB33">
            <v>1.6666669999999999E-3</v>
          </cell>
        </row>
        <row r="34">
          <cell r="D34" t="str">
            <v>AR5 climate diagnostics|Temperature|Exceedance Probability|4.0 ¬∞C|FAIR</v>
          </cell>
          <cell r="E34" t="str">
            <v>-</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B34">
            <v>0</v>
          </cell>
          <cell r="BC34">
            <v>0</v>
          </cell>
          <cell r="BD34">
            <v>0</v>
          </cell>
          <cell r="BE34">
            <v>0</v>
          </cell>
          <cell r="BF34">
            <v>0</v>
          </cell>
          <cell r="BG34">
            <v>0</v>
          </cell>
          <cell r="BH34">
            <v>0</v>
          </cell>
          <cell r="BI34">
            <v>0</v>
          </cell>
          <cell r="BJ34">
            <v>0</v>
          </cell>
          <cell r="BK34">
            <v>0</v>
          </cell>
          <cell r="BL34">
            <v>0</v>
          </cell>
          <cell r="BM34">
            <v>0</v>
          </cell>
          <cell r="BN34">
            <v>0</v>
          </cell>
          <cell r="BO34">
            <v>0</v>
          </cell>
          <cell r="BP34">
            <v>0</v>
          </cell>
          <cell r="BQ34">
            <v>0</v>
          </cell>
          <cell r="BR34">
            <v>0</v>
          </cell>
          <cell r="BS34">
            <v>0</v>
          </cell>
          <cell r="BT34">
            <v>0</v>
          </cell>
          <cell r="BU34">
            <v>0</v>
          </cell>
          <cell r="BV34">
            <v>0</v>
          </cell>
          <cell r="BW34">
            <v>0</v>
          </cell>
          <cell r="BX34">
            <v>0</v>
          </cell>
          <cell r="BY34">
            <v>0</v>
          </cell>
          <cell r="BZ34">
            <v>0</v>
          </cell>
          <cell r="CA34">
            <v>0</v>
          </cell>
          <cell r="CB34">
            <v>0</v>
          </cell>
          <cell r="CC34">
            <v>0</v>
          </cell>
          <cell r="CD34">
            <v>0</v>
          </cell>
          <cell r="CE34">
            <v>0</v>
          </cell>
          <cell r="CF34">
            <v>0</v>
          </cell>
          <cell r="CG34">
            <v>0</v>
          </cell>
          <cell r="CH34">
            <v>0</v>
          </cell>
          <cell r="CI34">
            <v>0</v>
          </cell>
          <cell r="CJ34">
            <v>0</v>
          </cell>
          <cell r="CK34">
            <v>0</v>
          </cell>
          <cell r="CL34">
            <v>0</v>
          </cell>
          <cell r="CM34">
            <v>0</v>
          </cell>
          <cell r="CN34">
            <v>0</v>
          </cell>
          <cell r="CO34">
            <v>0</v>
          </cell>
          <cell r="CP34">
            <v>0</v>
          </cell>
          <cell r="CQ34">
            <v>0</v>
          </cell>
          <cell r="CR34">
            <v>0</v>
          </cell>
          <cell r="CS34">
            <v>0</v>
          </cell>
          <cell r="CT34">
            <v>0</v>
          </cell>
          <cell r="CU34">
            <v>0</v>
          </cell>
          <cell r="CV34">
            <v>0</v>
          </cell>
          <cell r="CW34">
            <v>0</v>
          </cell>
          <cell r="CX34">
            <v>0</v>
          </cell>
          <cell r="CY34">
            <v>0</v>
          </cell>
          <cell r="CZ34">
            <v>0</v>
          </cell>
          <cell r="DA34">
            <v>0</v>
          </cell>
          <cell r="DB34">
            <v>0</v>
          </cell>
        </row>
        <row r="35">
          <cell r="D35" t="str">
            <v>AR5 climate diagnostics|Temperature|Exceedance Probability|4.0 ¬∞C|MAGICC6</v>
          </cell>
          <cell r="E35" t="str">
            <v>-</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0</v>
          </cell>
          <cell r="AR35">
            <v>0</v>
          </cell>
          <cell r="AS35">
            <v>0</v>
          </cell>
          <cell r="AT35">
            <v>0</v>
          </cell>
          <cell r="AU35">
            <v>0</v>
          </cell>
          <cell r="AV35">
            <v>0</v>
          </cell>
          <cell r="AW35">
            <v>0</v>
          </cell>
          <cell r="AX35">
            <v>0</v>
          </cell>
          <cell r="AY35">
            <v>0</v>
          </cell>
          <cell r="AZ35">
            <v>0</v>
          </cell>
          <cell r="BA35">
            <v>0</v>
          </cell>
          <cell r="BB35">
            <v>0</v>
          </cell>
          <cell r="BC35">
            <v>0</v>
          </cell>
          <cell r="BD35">
            <v>0</v>
          </cell>
          <cell r="BE35">
            <v>0</v>
          </cell>
          <cell r="BF35">
            <v>0</v>
          </cell>
          <cell r="BG35">
            <v>0</v>
          </cell>
          <cell r="BH35">
            <v>0</v>
          </cell>
          <cell r="BI35">
            <v>0</v>
          </cell>
          <cell r="BJ35">
            <v>0</v>
          </cell>
          <cell r="BK35">
            <v>0</v>
          </cell>
          <cell r="BL35">
            <v>0</v>
          </cell>
          <cell r="BM35">
            <v>0</v>
          </cell>
          <cell r="BN35">
            <v>0</v>
          </cell>
          <cell r="BO35">
            <v>0</v>
          </cell>
          <cell r="BP35">
            <v>0</v>
          </cell>
          <cell r="BQ35">
            <v>0</v>
          </cell>
          <cell r="BR35">
            <v>0</v>
          </cell>
          <cell r="BS35">
            <v>0</v>
          </cell>
          <cell r="BT35">
            <v>0</v>
          </cell>
          <cell r="BU35">
            <v>0</v>
          </cell>
          <cell r="BV35">
            <v>0</v>
          </cell>
          <cell r="BW35">
            <v>0</v>
          </cell>
          <cell r="BX35">
            <v>1.6666669999999999E-3</v>
          </cell>
          <cell r="BY35">
            <v>1.6666669999999999E-3</v>
          </cell>
          <cell r="BZ35">
            <v>1.6666669999999999E-3</v>
          </cell>
          <cell r="CA35">
            <v>1.6666669999999999E-3</v>
          </cell>
          <cell r="CB35">
            <v>1.6666669999999999E-3</v>
          </cell>
          <cell r="CC35">
            <v>1.6666669999999999E-3</v>
          </cell>
          <cell r="CD35">
            <v>1.6666669999999999E-3</v>
          </cell>
          <cell r="CE35">
            <v>1.6666669999999999E-3</v>
          </cell>
          <cell r="CF35">
            <v>1.6666669999999999E-3</v>
          </cell>
          <cell r="CG35">
            <v>1.6666669999999999E-3</v>
          </cell>
          <cell r="CH35">
            <v>1.6666669999999999E-3</v>
          </cell>
          <cell r="CI35">
            <v>1.6666669999999999E-3</v>
          </cell>
          <cell r="CJ35">
            <v>1.6666669999999999E-3</v>
          </cell>
          <cell r="CK35">
            <v>1.6666669999999999E-3</v>
          </cell>
          <cell r="CL35">
            <v>1.6666669999999999E-3</v>
          </cell>
          <cell r="CM35">
            <v>1.6666669999999999E-3</v>
          </cell>
          <cell r="CN35">
            <v>1.6666669999999999E-3</v>
          </cell>
          <cell r="CO35">
            <v>1.6666669999999999E-3</v>
          </cell>
          <cell r="CP35">
            <v>1.6666669999999999E-3</v>
          </cell>
          <cell r="CQ35">
            <v>1.6666669999999999E-3</v>
          </cell>
          <cell r="CR35">
            <v>1.6666669999999999E-3</v>
          </cell>
          <cell r="CS35">
            <v>1.6666669999999999E-3</v>
          </cell>
          <cell r="CT35">
            <v>1.6666669999999999E-3</v>
          </cell>
          <cell r="CU35">
            <v>1.6666669999999999E-3</v>
          </cell>
          <cell r="CV35">
            <v>1.6666669999999999E-3</v>
          </cell>
          <cell r="CW35">
            <v>1.6666669999999999E-3</v>
          </cell>
          <cell r="CX35">
            <v>1.6666669999999999E-3</v>
          </cell>
          <cell r="CY35">
            <v>1.6666669999999999E-3</v>
          </cell>
          <cell r="CZ35">
            <v>1.6666669999999999E-3</v>
          </cell>
          <cell r="DA35">
            <v>1.6666669999999999E-3</v>
          </cell>
          <cell r="DB35">
            <v>1.6666669999999999E-3</v>
          </cell>
        </row>
        <row r="36">
          <cell r="D36" t="str">
            <v>AR5 climate diagnostics|Temperature|Global Mean|FAIR|Expected value</v>
          </cell>
          <cell r="E36" t="str">
            <v>¬∞C</v>
          </cell>
          <cell r="P36">
            <v>0.85599999999999998</v>
          </cell>
          <cell r="Q36">
            <v>0.879</v>
          </cell>
          <cell r="R36">
            <v>0.90300000000000002</v>
          </cell>
          <cell r="S36">
            <v>0.92700000000000005</v>
          </cell>
          <cell r="T36">
            <v>0.95099999999999996</v>
          </cell>
          <cell r="U36">
            <v>0.97499999999999998</v>
          </cell>
          <cell r="V36">
            <v>1</v>
          </cell>
          <cell r="W36">
            <v>1.0249999999999999</v>
          </cell>
          <cell r="X36">
            <v>1.0489999999999999</v>
          </cell>
          <cell r="Y36">
            <v>1.0740000000000001</v>
          </cell>
          <cell r="Z36">
            <v>1.099</v>
          </cell>
          <cell r="AA36">
            <v>1.1240000000000001</v>
          </cell>
          <cell r="AB36">
            <v>1.1479999999999999</v>
          </cell>
          <cell r="AC36">
            <v>1.171</v>
          </cell>
          <cell r="AD36">
            <v>1.1930000000000001</v>
          </cell>
          <cell r="AE36">
            <v>1.214</v>
          </cell>
          <cell r="AF36">
            <v>1.2330000000000001</v>
          </cell>
          <cell r="AG36">
            <v>1.2509999999999999</v>
          </cell>
          <cell r="AH36">
            <v>1.268</v>
          </cell>
          <cell r="AI36">
            <v>1.2829999999999999</v>
          </cell>
          <cell r="AJ36">
            <v>1.2969999999999999</v>
          </cell>
          <cell r="AK36">
            <v>1.3080000000000001</v>
          </cell>
          <cell r="AL36">
            <v>1.3169999999999999</v>
          </cell>
          <cell r="AM36">
            <v>1.325</v>
          </cell>
          <cell r="AN36">
            <v>1.331</v>
          </cell>
          <cell r="AO36">
            <v>1.335</v>
          </cell>
          <cell r="AP36">
            <v>1.34</v>
          </cell>
          <cell r="AQ36">
            <v>1.343</v>
          </cell>
          <cell r="AR36">
            <v>1.3460000000000001</v>
          </cell>
          <cell r="AS36">
            <v>1.3480000000000001</v>
          </cell>
          <cell r="AT36">
            <v>1.35</v>
          </cell>
          <cell r="AU36">
            <v>1.35</v>
          </cell>
          <cell r="AV36">
            <v>1.351</v>
          </cell>
          <cell r="AW36">
            <v>1.35</v>
          </cell>
          <cell r="AX36">
            <v>1.349</v>
          </cell>
          <cell r="AY36">
            <v>1.3480000000000001</v>
          </cell>
          <cell r="AZ36">
            <v>1.347</v>
          </cell>
          <cell r="BA36">
            <v>1.345</v>
          </cell>
          <cell r="BB36">
            <v>1.343</v>
          </cell>
          <cell r="BC36">
            <v>1.341</v>
          </cell>
          <cell r="BD36">
            <v>1.3380000000000001</v>
          </cell>
          <cell r="BE36">
            <v>1.3360000000000001</v>
          </cell>
          <cell r="BF36">
            <v>1.333</v>
          </cell>
          <cell r="BG36">
            <v>1.33</v>
          </cell>
          <cell r="BH36">
            <v>1.3260000000000001</v>
          </cell>
          <cell r="BI36">
            <v>1.323</v>
          </cell>
          <cell r="BJ36">
            <v>1.32</v>
          </cell>
          <cell r="BK36">
            <v>1.3169999999999999</v>
          </cell>
          <cell r="BL36">
            <v>1.3140000000000001</v>
          </cell>
          <cell r="BM36">
            <v>1.3109999999999999</v>
          </cell>
          <cell r="BN36">
            <v>1.3080000000000001</v>
          </cell>
          <cell r="BO36">
            <v>1.3049999999999999</v>
          </cell>
          <cell r="BP36">
            <v>1.302</v>
          </cell>
          <cell r="BQ36">
            <v>1.2989999999999999</v>
          </cell>
          <cell r="BR36">
            <v>1.2969999999999999</v>
          </cell>
          <cell r="BS36">
            <v>1.294</v>
          </cell>
          <cell r="BT36">
            <v>1.2909999999999999</v>
          </cell>
          <cell r="BU36">
            <v>1.2889999999999999</v>
          </cell>
          <cell r="BV36">
            <v>1.2869999999999999</v>
          </cell>
          <cell r="BW36">
            <v>1.284</v>
          </cell>
          <cell r="BX36">
            <v>1.282</v>
          </cell>
          <cell r="BY36">
            <v>1.28</v>
          </cell>
          <cell r="BZ36">
            <v>1.278</v>
          </cell>
          <cell r="CA36">
            <v>1.276</v>
          </cell>
          <cell r="CB36">
            <v>1.274</v>
          </cell>
          <cell r="CC36">
            <v>1.272</v>
          </cell>
          <cell r="CD36">
            <v>1.27</v>
          </cell>
          <cell r="CE36">
            <v>1.2689999999999999</v>
          </cell>
          <cell r="CF36">
            <v>1.2669999999999999</v>
          </cell>
          <cell r="CG36">
            <v>1.266</v>
          </cell>
          <cell r="CH36">
            <v>1.264</v>
          </cell>
          <cell r="CI36">
            <v>1.2629999999999999</v>
          </cell>
          <cell r="CJ36">
            <v>1.2609999999999999</v>
          </cell>
          <cell r="CK36">
            <v>1.26</v>
          </cell>
          <cell r="CL36">
            <v>1.2589999999999999</v>
          </cell>
          <cell r="CM36">
            <v>1.2569999999999999</v>
          </cell>
          <cell r="CN36">
            <v>1.256</v>
          </cell>
          <cell r="CO36">
            <v>1.2549999999999999</v>
          </cell>
          <cell r="CP36">
            <v>1.254</v>
          </cell>
          <cell r="CQ36">
            <v>1.2529999999999999</v>
          </cell>
          <cell r="CR36">
            <v>1.252</v>
          </cell>
          <cell r="CS36">
            <v>1.25</v>
          </cell>
          <cell r="CT36">
            <v>1.2490000000000001</v>
          </cell>
          <cell r="CU36">
            <v>1.248</v>
          </cell>
          <cell r="CV36">
            <v>1.2469999999999899</v>
          </cell>
          <cell r="CW36">
            <v>1.246</v>
          </cell>
          <cell r="CX36">
            <v>1.2450000000000001</v>
          </cell>
          <cell r="CY36">
            <v>1.244</v>
          </cell>
          <cell r="CZ36">
            <v>1.2429999999999899</v>
          </cell>
          <cell r="DA36">
            <v>1.242</v>
          </cell>
          <cell r="DB36">
            <v>1.2410000000000001</v>
          </cell>
        </row>
        <row r="37">
          <cell r="D37" t="str">
            <v>AR5 climate diagnostics|Temperature|Global Mean|FAIR|Expected value|Non CO2</v>
          </cell>
          <cell r="E37" t="str">
            <v>¬∞C</v>
          </cell>
          <cell r="P37">
            <v>-7.0000000000000001E-3</v>
          </cell>
          <cell r="Q37">
            <v>3.0000000000000001E-3</v>
          </cell>
          <cell r="R37">
            <v>1.4E-2</v>
          </cell>
          <cell r="S37">
            <v>2.5000000000000001E-2</v>
          </cell>
          <cell r="T37">
            <v>3.5000000000000003E-2</v>
          </cell>
          <cell r="U37">
            <v>4.5999999999999999E-2</v>
          </cell>
          <cell r="V37">
            <v>5.6000000000000001E-2</v>
          </cell>
          <cell r="W37">
            <v>6.7000000000000004E-2</v>
          </cell>
          <cell r="X37">
            <v>7.6999999999999999E-2</v>
          </cell>
          <cell r="Y37">
            <v>8.6999999999999994E-2</v>
          </cell>
          <cell r="Z37">
            <v>9.8000000000000004E-2</v>
          </cell>
          <cell r="AA37">
            <v>0.108</v>
          </cell>
          <cell r="AB37">
            <v>0.11799999999999999</v>
          </cell>
          <cell r="AC37">
            <v>0.128</v>
          </cell>
          <cell r="AD37">
            <v>0.13800000000000001</v>
          </cell>
          <cell r="AE37">
            <v>0.14699999999999999</v>
          </cell>
          <cell r="AF37">
            <v>0.155</v>
          </cell>
          <cell r="AG37">
            <v>0.16400000000000001</v>
          </cell>
          <cell r="AH37">
            <v>0.17100000000000001</v>
          </cell>
          <cell r="AI37">
            <v>0.17899999999999999</v>
          </cell>
          <cell r="AJ37">
            <v>0.185</v>
          </cell>
          <cell r="AK37">
            <v>0.19</v>
          </cell>
          <cell r="AL37">
            <v>0.193</v>
          </cell>
          <cell r="AM37">
            <v>0.19500000000000001</v>
          </cell>
          <cell r="AN37">
            <v>0.19600000000000001</v>
          </cell>
          <cell r="AO37">
            <v>0.19700000000000001</v>
          </cell>
          <cell r="AP37">
            <v>0.19700000000000001</v>
          </cell>
          <cell r="AQ37">
            <v>0.19600000000000001</v>
          </cell>
          <cell r="AR37">
            <v>0.19500000000000001</v>
          </cell>
          <cell r="AS37">
            <v>0.19400000000000001</v>
          </cell>
          <cell r="AT37">
            <v>0.193</v>
          </cell>
          <cell r="AU37">
            <v>0.191</v>
          </cell>
          <cell r="AV37">
            <v>0.189</v>
          </cell>
          <cell r="AW37">
            <v>0.186</v>
          </cell>
          <cell r="AX37">
            <v>0.184</v>
          </cell>
          <cell r="AY37">
            <v>0.18</v>
          </cell>
          <cell r="AZ37">
            <v>0.17699999999999999</v>
          </cell>
          <cell r="BA37">
            <v>0.17399999999999999</v>
          </cell>
          <cell r="BB37">
            <v>0.17</v>
          </cell>
          <cell r="BC37">
            <v>0.16700000000000001</v>
          </cell>
          <cell r="BD37">
            <v>0.16300000000000001</v>
          </cell>
          <cell r="BE37">
            <v>0.16</v>
          </cell>
          <cell r="BF37">
            <v>0.156</v>
          </cell>
          <cell r="BG37">
            <v>0.152</v>
          </cell>
          <cell r="BH37">
            <v>0.14799999999999999</v>
          </cell>
          <cell r="BI37">
            <v>0.14399999999999999</v>
          </cell>
          <cell r="BJ37">
            <v>0.14099999999999999</v>
          </cell>
          <cell r="BK37">
            <v>0.13700000000000001</v>
          </cell>
          <cell r="BL37">
            <v>0.13400000000000001</v>
          </cell>
          <cell r="BM37">
            <v>0.13</v>
          </cell>
          <cell r="BN37">
            <v>0.127</v>
          </cell>
          <cell r="BO37">
            <v>0.124</v>
          </cell>
          <cell r="BP37">
            <v>0.121</v>
          </cell>
          <cell r="BQ37">
            <v>0.11899999999999999</v>
          </cell>
          <cell r="BR37">
            <v>0.11600000000000001</v>
          </cell>
          <cell r="BS37">
            <v>0.113</v>
          </cell>
          <cell r="BT37">
            <v>0.111</v>
          </cell>
          <cell r="BU37">
            <v>0.109</v>
          </cell>
          <cell r="BV37">
            <v>0.107</v>
          </cell>
          <cell r="BW37">
            <v>0.105</v>
          </cell>
          <cell r="BX37">
            <v>0.10299999999999999</v>
          </cell>
          <cell r="BY37">
            <v>0.10100000000000001</v>
          </cell>
          <cell r="BZ37">
            <v>9.9000000000000005E-2</v>
          </cell>
          <cell r="CA37">
            <v>9.8000000000000004E-2</v>
          </cell>
          <cell r="CB37">
            <v>9.6000000000000002E-2</v>
          </cell>
          <cell r="CC37">
            <v>9.5000000000000001E-2</v>
          </cell>
          <cell r="CD37">
            <v>9.4E-2</v>
          </cell>
          <cell r="CE37">
            <v>9.2999999999999999E-2</v>
          </cell>
          <cell r="CF37">
            <v>9.1999999999999998E-2</v>
          </cell>
          <cell r="CG37">
            <v>9.0999999999999998E-2</v>
          </cell>
          <cell r="CH37">
            <v>0.09</v>
          </cell>
          <cell r="CI37">
            <v>8.8999999999999996E-2</v>
          </cell>
          <cell r="CJ37">
            <v>8.7999999999999995E-2</v>
          </cell>
          <cell r="CK37">
            <v>8.6999999999999994E-2</v>
          </cell>
          <cell r="CL37">
            <v>8.6999999999999994E-2</v>
          </cell>
          <cell r="CM37">
            <v>8.5999999999999993E-2</v>
          </cell>
          <cell r="CN37">
            <v>8.5999999999999993E-2</v>
          </cell>
          <cell r="CO37">
            <v>8.5000000000000006E-2</v>
          </cell>
          <cell r="CP37">
            <v>8.5000000000000006E-2</v>
          </cell>
          <cell r="CQ37">
            <v>8.4000000000000005E-2</v>
          </cell>
          <cell r="CR37">
            <v>8.4000000000000005E-2</v>
          </cell>
          <cell r="CS37">
            <v>8.4000000000000005E-2</v>
          </cell>
          <cell r="CT37">
            <v>8.3000000000000004E-2</v>
          </cell>
          <cell r="CU37">
            <v>8.3000000000000004E-2</v>
          </cell>
          <cell r="CV37">
            <v>8.3000000000000004E-2</v>
          </cell>
          <cell r="CW37">
            <v>8.3000000000000004E-2</v>
          </cell>
          <cell r="CX37">
            <v>8.3000000000000004E-2</v>
          </cell>
          <cell r="CY37">
            <v>8.2000000000000003E-2</v>
          </cell>
          <cell r="CZ37">
            <v>8.2000000000000003E-2</v>
          </cell>
          <cell r="DA37">
            <v>8.2000000000000003E-2</v>
          </cell>
          <cell r="DB37">
            <v>8.2000000000000003E-2</v>
          </cell>
        </row>
        <row r="38">
          <cell r="D38" t="str">
            <v>AR5 climate diagnostics|Temperature|Global Mean|FAIR|MED</v>
          </cell>
          <cell r="E38" t="str">
            <v>¬∞C</v>
          </cell>
          <cell r="P38">
            <v>0.85699999999999998</v>
          </cell>
          <cell r="Q38">
            <v>0.879</v>
          </cell>
          <cell r="R38">
            <v>0.90100000000000002</v>
          </cell>
          <cell r="S38">
            <v>0.92300000000000004</v>
          </cell>
          <cell r="T38">
            <v>0.94599999999999995</v>
          </cell>
          <cell r="U38">
            <v>0.96899999999999997</v>
          </cell>
          <cell r="V38">
            <v>0.99199999999999999</v>
          </cell>
          <cell r="W38">
            <v>1.0149999999999999</v>
          </cell>
          <cell r="X38">
            <v>1.038</v>
          </cell>
          <cell r="Y38">
            <v>1.0620000000000001</v>
          </cell>
          <cell r="Z38">
            <v>1.085</v>
          </cell>
          <cell r="AA38">
            <v>1.107</v>
          </cell>
          <cell r="AB38">
            <v>1.129</v>
          </cell>
          <cell r="AC38">
            <v>1.151</v>
          </cell>
          <cell r="AD38">
            <v>1.1719999999999999</v>
          </cell>
          <cell r="AE38">
            <v>1.1910000000000001</v>
          </cell>
          <cell r="AF38">
            <v>1.208</v>
          </cell>
          <cell r="AG38">
            <v>1.224</v>
          </cell>
          <cell r="AH38">
            <v>1.238</v>
          </cell>
          <cell r="AI38">
            <v>1.252</v>
          </cell>
          <cell r="AJ38">
            <v>1.266</v>
          </cell>
          <cell r="AK38">
            <v>1.274</v>
          </cell>
          <cell r="AL38">
            <v>1.282</v>
          </cell>
          <cell r="AM38">
            <v>1.2889999999999999</v>
          </cell>
          <cell r="AN38">
            <v>1.296</v>
          </cell>
          <cell r="AO38">
            <v>1.3</v>
          </cell>
          <cell r="AP38">
            <v>1.3029999999999999</v>
          </cell>
          <cell r="AQ38">
            <v>1.306</v>
          </cell>
          <cell r="AR38">
            <v>1.3080000000000001</v>
          </cell>
          <cell r="AS38">
            <v>1.3069999999999999</v>
          </cell>
          <cell r="AT38">
            <v>1.306</v>
          </cell>
          <cell r="AU38">
            <v>1.3049999999999999</v>
          </cell>
          <cell r="AV38">
            <v>1.306</v>
          </cell>
          <cell r="AW38">
            <v>1.3089999999999999</v>
          </cell>
          <cell r="AX38">
            <v>1.306</v>
          </cell>
          <cell r="AY38">
            <v>1.3029999999999999</v>
          </cell>
          <cell r="AZ38">
            <v>1.3049999999999999</v>
          </cell>
          <cell r="BA38">
            <v>1.304</v>
          </cell>
          <cell r="BB38">
            <v>1.3029999999999999</v>
          </cell>
          <cell r="BC38">
            <v>1.3</v>
          </cell>
          <cell r="BD38">
            <v>1.298</v>
          </cell>
          <cell r="BE38">
            <v>1.2949999999999999</v>
          </cell>
          <cell r="BF38">
            <v>1.2929999999999999</v>
          </cell>
          <cell r="BG38">
            <v>1.29</v>
          </cell>
          <cell r="BH38">
            <v>1.286</v>
          </cell>
          <cell r="BI38">
            <v>1.284</v>
          </cell>
          <cell r="BJ38">
            <v>1.2829999999999999</v>
          </cell>
          <cell r="BK38">
            <v>1.2809999999999999</v>
          </cell>
          <cell r="BL38">
            <v>1.2789999999999999</v>
          </cell>
          <cell r="BM38">
            <v>1.2769999999999999</v>
          </cell>
          <cell r="BN38">
            <v>1.2749999999999999</v>
          </cell>
          <cell r="BO38">
            <v>1.2709999999999999</v>
          </cell>
          <cell r="BP38">
            <v>1.268</v>
          </cell>
          <cell r="BQ38">
            <v>1.264</v>
          </cell>
          <cell r="BR38">
            <v>1.2609999999999999</v>
          </cell>
          <cell r="BS38">
            <v>1.2589999999999999</v>
          </cell>
          <cell r="BT38">
            <v>1.256</v>
          </cell>
          <cell r="BU38">
            <v>1.254</v>
          </cell>
          <cell r="BV38">
            <v>1.252</v>
          </cell>
          <cell r="BW38">
            <v>1.248</v>
          </cell>
          <cell r="BX38">
            <v>1.246</v>
          </cell>
          <cell r="BY38">
            <v>1.2429999999999899</v>
          </cell>
          <cell r="BZ38">
            <v>1.2410000000000001</v>
          </cell>
          <cell r="CA38">
            <v>1.2390000000000001</v>
          </cell>
          <cell r="CB38">
            <v>1.238</v>
          </cell>
          <cell r="CC38">
            <v>1.238</v>
          </cell>
          <cell r="CD38">
            <v>1.238</v>
          </cell>
          <cell r="CE38">
            <v>1.2370000000000001</v>
          </cell>
          <cell r="CF38">
            <v>1.2370000000000001</v>
          </cell>
          <cell r="CG38">
            <v>1.2350000000000001</v>
          </cell>
          <cell r="CH38">
            <v>1.2330000000000001</v>
          </cell>
          <cell r="CI38">
            <v>1.232</v>
          </cell>
          <cell r="CJ38">
            <v>1.232</v>
          </cell>
          <cell r="CK38">
            <v>1.23</v>
          </cell>
          <cell r="CL38">
            <v>1.23</v>
          </cell>
          <cell r="CM38">
            <v>1.23</v>
          </cell>
          <cell r="CN38">
            <v>1.2290000000000001</v>
          </cell>
          <cell r="CO38">
            <v>1.2290000000000001</v>
          </cell>
          <cell r="CP38">
            <v>1.228</v>
          </cell>
          <cell r="CQ38">
            <v>1.226</v>
          </cell>
          <cell r="CR38">
            <v>1.224</v>
          </cell>
          <cell r="CS38">
            <v>1.222</v>
          </cell>
          <cell r="CT38">
            <v>1.22</v>
          </cell>
          <cell r="CU38">
            <v>1.22</v>
          </cell>
          <cell r="CV38">
            <v>1.22</v>
          </cell>
          <cell r="CW38">
            <v>1.22</v>
          </cell>
          <cell r="CX38">
            <v>1.218</v>
          </cell>
          <cell r="CY38">
            <v>1.218</v>
          </cell>
          <cell r="CZ38">
            <v>1.218</v>
          </cell>
          <cell r="DA38">
            <v>1.2170000000000001</v>
          </cell>
          <cell r="DB38">
            <v>1.216</v>
          </cell>
        </row>
        <row r="39">
          <cell r="D39" t="str">
            <v>AR5 climate diagnostics|Temperature|Global Mean|FAIR|MED|Non CO2</v>
          </cell>
          <cell r="E39" t="str">
            <v>¬∞C</v>
          </cell>
          <cell r="P39">
            <v>-6.0000000000000001E-3</v>
          </cell>
          <cell r="Q39">
            <v>3.0000000000000001E-3</v>
          </cell>
          <cell r="R39">
            <v>1.2999999999999999E-2</v>
          </cell>
          <cell r="S39">
            <v>2.3E-2</v>
          </cell>
          <cell r="T39">
            <v>3.2000000000000001E-2</v>
          </cell>
          <cell r="U39">
            <v>4.2000000000000003E-2</v>
          </cell>
          <cell r="V39">
            <v>5.0999999999999997E-2</v>
          </cell>
          <cell r="W39">
            <v>0.06</v>
          </cell>
          <cell r="X39">
            <v>6.9000000000000006E-2</v>
          </cell>
          <cell r="Y39">
            <v>7.8E-2</v>
          </cell>
          <cell r="Z39">
            <v>8.6999999999999994E-2</v>
          </cell>
          <cell r="AA39">
            <v>9.6000000000000002E-2</v>
          </cell>
          <cell r="AB39">
            <v>0.105</v>
          </cell>
          <cell r="AC39">
            <v>0.114</v>
          </cell>
          <cell r="AD39">
            <v>0.122</v>
          </cell>
          <cell r="AE39">
            <v>0.13</v>
          </cell>
          <cell r="AF39">
            <v>0.13700000000000001</v>
          </cell>
          <cell r="AG39">
            <v>0.14399999999999999</v>
          </cell>
          <cell r="AH39">
            <v>0.15</v>
          </cell>
          <cell r="AI39">
            <v>0.156</v>
          </cell>
          <cell r="AJ39">
            <v>0.16200000000000001</v>
          </cell>
          <cell r="AK39">
            <v>0.16600000000000001</v>
          </cell>
          <cell r="AL39">
            <v>0.16900000000000001</v>
          </cell>
          <cell r="AM39">
            <v>0.17100000000000001</v>
          </cell>
          <cell r="AN39">
            <v>0.17100000000000001</v>
          </cell>
          <cell r="AO39">
            <v>0.17</v>
          </cell>
          <cell r="AP39">
            <v>0.16900000000000001</v>
          </cell>
          <cell r="AQ39">
            <v>0.16900000000000001</v>
          </cell>
          <cell r="AR39">
            <v>0.16900000000000001</v>
          </cell>
          <cell r="AS39">
            <v>0.16900000000000001</v>
          </cell>
          <cell r="AT39">
            <v>0.16500000000000001</v>
          </cell>
          <cell r="AU39">
            <v>0.16300000000000001</v>
          </cell>
          <cell r="AV39">
            <v>0.16200000000000001</v>
          </cell>
          <cell r="AW39">
            <v>0.16</v>
          </cell>
          <cell r="AX39">
            <v>0.155</v>
          </cell>
          <cell r="AY39">
            <v>0.153</v>
          </cell>
          <cell r="AZ39">
            <v>0.15</v>
          </cell>
          <cell r="BA39">
            <v>0.14499999999999999</v>
          </cell>
          <cell r="BB39">
            <v>0.14199999999999999</v>
          </cell>
          <cell r="BC39">
            <v>0.14000000000000001</v>
          </cell>
          <cell r="BD39">
            <v>0.13700000000000001</v>
          </cell>
          <cell r="BE39">
            <v>0.13300000000000001</v>
          </cell>
          <cell r="BF39">
            <v>0.128</v>
          </cell>
          <cell r="BG39">
            <v>0.124</v>
          </cell>
          <cell r="BH39">
            <v>0.121</v>
          </cell>
          <cell r="BI39">
            <v>0.11799999999999999</v>
          </cell>
          <cell r="BJ39">
            <v>0.115</v>
          </cell>
          <cell r="BK39">
            <v>0.112</v>
          </cell>
          <cell r="BL39">
            <v>0.109</v>
          </cell>
          <cell r="BM39">
            <v>0.106</v>
          </cell>
          <cell r="BN39">
            <v>0.10299999999999999</v>
          </cell>
          <cell r="BO39">
            <v>0.1</v>
          </cell>
          <cell r="BP39">
            <v>9.8000000000000004E-2</v>
          </cell>
          <cell r="BQ39">
            <v>9.7000000000000003E-2</v>
          </cell>
          <cell r="BR39">
            <v>9.4E-2</v>
          </cell>
          <cell r="BS39">
            <v>9.1999999999999998E-2</v>
          </cell>
          <cell r="BT39">
            <v>0.09</v>
          </cell>
          <cell r="BU39">
            <v>8.6999999999999994E-2</v>
          </cell>
          <cell r="BV39">
            <v>8.4000000000000005E-2</v>
          </cell>
          <cell r="BW39">
            <v>8.2000000000000003E-2</v>
          </cell>
          <cell r="BX39">
            <v>7.9000000000000001E-2</v>
          </cell>
          <cell r="BY39">
            <v>7.8E-2</v>
          </cell>
          <cell r="BZ39">
            <v>7.5999999999999998E-2</v>
          </cell>
          <cell r="CA39">
            <v>7.4999999999999997E-2</v>
          </cell>
          <cell r="CB39">
            <v>7.2999999999999995E-2</v>
          </cell>
          <cell r="CC39">
            <v>7.0999999999999994E-2</v>
          </cell>
          <cell r="CD39">
            <v>7.0000000000000007E-2</v>
          </cell>
          <cell r="CE39">
            <v>6.8000000000000005E-2</v>
          </cell>
          <cell r="CF39">
            <v>6.7000000000000004E-2</v>
          </cell>
          <cell r="CG39">
            <v>6.6000000000000003E-2</v>
          </cell>
          <cell r="CH39">
            <v>6.5000000000000002E-2</v>
          </cell>
          <cell r="CI39">
            <v>6.5000000000000002E-2</v>
          </cell>
          <cell r="CJ39">
            <v>6.4000000000000001E-2</v>
          </cell>
          <cell r="CK39">
            <v>6.4000000000000001E-2</v>
          </cell>
          <cell r="CL39">
            <v>6.3E-2</v>
          </cell>
          <cell r="CM39">
            <v>6.3E-2</v>
          </cell>
          <cell r="CN39">
            <v>6.3E-2</v>
          </cell>
          <cell r="CO39">
            <v>6.2E-2</v>
          </cell>
          <cell r="CP39">
            <v>6.2E-2</v>
          </cell>
          <cell r="CQ39">
            <v>6.2E-2</v>
          </cell>
          <cell r="CR39">
            <v>6.2E-2</v>
          </cell>
          <cell r="CS39">
            <v>6.2E-2</v>
          </cell>
          <cell r="CT39">
            <v>6.0999999999999999E-2</v>
          </cell>
          <cell r="CU39">
            <v>6.0999999999999999E-2</v>
          </cell>
          <cell r="CV39">
            <v>6.0999999999999999E-2</v>
          </cell>
          <cell r="CW39">
            <v>6.0999999999999999E-2</v>
          </cell>
          <cell r="CX39">
            <v>6.0999999999999999E-2</v>
          </cell>
          <cell r="CY39">
            <v>6.0999999999999999E-2</v>
          </cell>
          <cell r="CZ39">
            <v>6.0999999999999999E-2</v>
          </cell>
          <cell r="DA39">
            <v>6.0999999999999999E-2</v>
          </cell>
          <cell r="DB39">
            <v>6.0999999999999999E-2</v>
          </cell>
        </row>
        <row r="40">
          <cell r="D40" t="str">
            <v>AR5 climate diagnostics|Temperature|Global Mean|FAIR|P5</v>
          </cell>
          <cell r="E40" t="str">
            <v>¬∞C</v>
          </cell>
          <cell r="P40">
            <v>0.84399999999999997</v>
          </cell>
          <cell r="Q40">
            <v>0.876</v>
          </cell>
          <cell r="R40">
            <v>0.89100000000000001</v>
          </cell>
          <cell r="S40">
            <v>0.90400000000000003</v>
          </cell>
          <cell r="T40">
            <v>0.91700000000000004</v>
          </cell>
          <cell r="U40">
            <v>0.93100000000000005</v>
          </cell>
          <cell r="V40">
            <v>0.94499999999999995</v>
          </cell>
          <cell r="W40">
            <v>0.95899999999999996</v>
          </cell>
          <cell r="X40">
            <v>0.97399999999999998</v>
          </cell>
          <cell r="Y40">
            <v>0.98799999999999999</v>
          </cell>
          <cell r="Z40">
            <v>1.002</v>
          </cell>
          <cell r="AA40">
            <v>1.014</v>
          </cell>
          <cell r="AB40">
            <v>1.0249999999999999</v>
          </cell>
          <cell r="AC40">
            <v>1.036</v>
          </cell>
          <cell r="AD40">
            <v>1.0449999999999999</v>
          </cell>
          <cell r="AE40">
            <v>1.052</v>
          </cell>
          <cell r="AF40">
            <v>1.0589999999999999</v>
          </cell>
          <cell r="AG40">
            <v>1.0640000000000001</v>
          </cell>
          <cell r="AH40">
            <v>1.0669999999999999</v>
          </cell>
          <cell r="AI40">
            <v>1.0680000000000001</v>
          </cell>
          <cell r="AJ40">
            <v>1.0680000000000001</v>
          </cell>
          <cell r="AK40">
            <v>1.07</v>
          </cell>
          <cell r="AL40">
            <v>1.07</v>
          </cell>
          <cell r="AM40">
            <v>1.0669999999999999</v>
          </cell>
          <cell r="AN40">
            <v>1.0640000000000001</v>
          </cell>
          <cell r="AO40">
            <v>1.0629999999999999</v>
          </cell>
          <cell r="AP40">
            <v>1.0620000000000001</v>
          </cell>
          <cell r="AQ40">
            <v>1.0609999999999999</v>
          </cell>
          <cell r="AR40">
            <v>1.06</v>
          </cell>
          <cell r="AS40">
            <v>1.0589999999999999</v>
          </cell>
          <cell r="AT40">
            <v>1.056</v>
          </cell>
          <cell r="AU40">
            <v>1.0529999999999999</v>
          </cell>
          <cell r="AV40">
            <v>1.052</v>
          </cell>
          <cell r="AW40">
            <v>1.0509999999999999</v>
          </cell>
          <cell r="AX40">
            <v>1.0489999999999999</v>
          </cell>
          <cell r="AY40">
            <v>1.046</v>
          </cell>
          <cell r="AZ40">
            <v>1.042</v>
          </cell>
          <cell r="BA40">
            <v>1.04</v>
          </cell>
          <cell r="BB40">
            <v>1.0369999999999999</v>
          </cell>
          <cell r="BC40">
            <v>1.034</v>
          </cell>
          <cell r="BD40">
            <v>1.0309999999999999</v>
          </cell>
          <cell r="BE40">
            <v>1.028</v>
          </cell>
          <cell r="BF40">
            <v>1.024</v>
          </cell>
          <cell r="BG40">
            <v>1.0189999999999999</v>
          </cell>
          <cell r="BH40">
            <v>1.0149999999999999</v>
          </cell>
          <cell r="BI40">
            <v>1.01</v>
          </cell>
          <cell r="BJ40">
            <v>1.0049999999999999</v>
          </cell>
          <cell r="BK40">
            <v>1.0009999999999999</v>
          </cell>
          <cell r="BL40">
            <v>0.996</v>
          </cell>
          <cell r="BM40">
            <v>0.99199999999999999</v>
          </cell>
          <cell r="BN40">
            <v>0.98799999999999999</v>
          </cell>
          <cell r="BO40">
            <v>0.98599999999999999</v>
          </cell>
          <cell r="BP40">
            <v>0.98299999999999998</v>
          </cell>
          <cell r="BQ40">
            <v>0.98</v>
          </cell>
          <cell r="BR40">
            <v>0.97699999999999998</v>
          </cell>
          <cell r="BS40">
            <v>0.97299999999999998</v>
          </cell>
          <cell r="BT40">
            <v>0.96899999999999997</v>
          </cell>
          <cell r="BU40">
            <v>0.96499999999999997</v>
          </cell>
          <cell r="BV40">
            <v>0.96099999999999997</v>
          </cell>
          <cell r="BW40">
            <v>0.95699999999999996</v>
          </cell>
          <cell r="BX40">
            <v>0.95299999999999996</v>
          </cell>
          <cell r="BY40">
            <v>0.95099999999999996</v>
          </cell>
          <cell r="BZ40">
            <v>0.94899999999999995</v>
          </cell>
          <cell r="CA40">
            <v>0.94499999999999995</v>
          </cell>
          <cell r="CB40">
            <v>0.94099999999999995</v>
          </cell>
          <cell r="CC40">
            <v>0.93799999999999994</v>
          </cell>
          <cell r="CD40">
            <v>0.93500000000000005</v>
          </cell>
          <cell r="CE40">
            <v>0.93200000000000005</v>
          </cell>
          <cell r="CF40">
            <v>0.93</v>
          </cell>
          <cell r="CG40">
            <v>0.92700000000000005</v>
          </cell>
          <cell r="CH40">
            <v>0.92500000000000004</v>
          </cell>
          <cell r="CI40">
            <v>0.92200000000000004</v>
          </cell>
          <cell r="CJ40">
            <v>0.92</v>
          </cell>
          <cell r="CK40">
            <v>0.91800000000000004</v>
          </cell>
          <cell r="CL40">
            <v>0.91500000000000004</v>
          </cell>
          <cell r="CM40">
            <v>0.91300000000000003</v>
          </cell>
          <cell r="CN40">
            <v>0.91200000000000003</v>
          </cell>
          <cell r="CO40">
            <v>0.91100000000000003</v>
          </cell>
          <cell r="CP40">
            <v>0.91</v>
          </cell>
          <cell r="CQ40">
            <v>0.90700000000000003</v>
          </cell>
          <cell r="CR40">
            <v>0.90500000000000003</v>
          </cell>
          <cell r="CS40">
            <v>0.90300000000000002</v>
          </cell>
          <cell r="CT40">
            <v>0.9</v>
          </cell>
          <cell r="CU40">
            <v>0.89900000000000002</v>
          </cell>
          <cell r="CV40">
            <v>0.89700000000000002</v>
          </cell>
          <cell r="CW40">
            <v>0.89600000000000002</v>
          </cell>
          <cell r="CX40">
            <v>0.89400000000000002</v>
          </cell>
          <cell r="CY40">
            <v>0.89300000000000002</v>
          </cell>
          <cell r="CZ40">
            <v>0.89200000000000002</v>
          </cell>
          <cell r="DA40">
            <v>0.89</v>
          </cell>
          <cell r="DB40">
            <v>0.88900000000000001</v>
          </cell>
        </row>
        <row r="41">
          <cell r="D41" t="str">
            <v>AR5 climate diagnostics|Temperature|Global Mean|FAIR|P5|Non CO2</v>
          </cell>
          <cell r="E41" t="str">
            <v>¬∞C</v>
          </cell>
          <cell r="P41">
            <v>-1.4999999999999999E-2</v>
          </cell>
          <cell r="Q41">
            <v>1E-3</v>
          </cell>
          <cell r="R41">
            <v>7.0000000000000001E-3</v>
          </cell>
          <cell r="S41">
            <v>1.2E-2</v>
          </cell>
          <cell r="T41">
            <v>1.7000000000000001E-2</v>
          </cell>
          <cell r="U41">
            <v>2.1000000000000001E-2</v>
          </cell>
          <cell r="V41">
            <v>2.5000000000000001E-2</v>
          </cell>
          <cell r="W41">
            <v>2.9000000000000001E-2</v>
          </cell>
          <cell r="X41">
            <v>3.3000000000000002E-2</v>
          </cell>
          <cell r="Y41">
            <v>3.6999999999999998E-2</v>
          </cell>
          <cell r="Z41">
            <v>0.04</v>
          </cell>
          <cell r="AA41">
            <v>4.2999999999999997E-2</v>
          </cell>
          <cell r="AB41">
            <v>4.5999999999999999E-2</v>
          </cell>
          <cell r="AC41">
            <v>4.8000000000000001E-2</v>
          </cell>
          <cell r="AD41">
            <v>0.05</v>
          </cell>
          <cell r="AE41">
            <v>0.05</v>
          </cell>
          <cell r="AF41">
            <v>4.9000000000000002E-2</v>
          </cell>
          <cell r="AG41">
            <v>4.7E-2</v>
          </cell>
          <cell r="AH41">
            <v>4.3999999999999997E-2</v>
          </cell>
          <cell r="AI41">
            <v>0.04</v>
          </cell>
          <cell r="AJ41">
            <v>3.5999999999999997E-2</v>
          </cell>
          <cell r="AK41">
            <v>3.2000000000000001E-2</v>
          </cell>
          <cell r="AL41">
            <v>2.7E-2</v>
          </cell>
          <cell r="AM41">
            <v>2.3E-2</v>
          </cell>
          <cell r="AN41">
            <v>1.7999999999999999E-2</v>
          </cell>
          <cell r="AO41">
            <v>1.4E-2</v>
          </cell>
          <cell r="AP41">
            <v>8.9999999999999993E-3</v>
          </cell>
          <cell r="AQ41">
            <v>5.0000000000000001E-3</v>
          </cell>
          <cell r="AR41">
            <v>1E-3</v>
          </cell>
          <cell r="AS41">
            <v>-4.0000000000000001E-3</v>
          </cell>
          <cell r="AT41">
            <v>-8.9999999999999993E-3</v>
          </cell>
          <cell r="AU41">
            <v>-1.2999999999999999E-2</v>
          </cell>
          <cell r="AV41">
            <v>-1.7000000000000001E-2</v>
          </cell>
          <cell r="AW41">
            <v>-2.1000000000000001E-2</v>
          </cell>
          <cell r="AX41">
            <v>-2.5999999999999999E-2</v>
          </cell>
          <cell r="AY41">
            <v>-0.03</v>
          </cell>
          <cell r="AZ41">
            <v>-3.4000000000000002E-2</v>
          </cell>
          <cell r="BA41">
            <v>-3.7999999999999999E-2</v>
          </cell>
          <cell r="BB41">
            <v>-4.2999999999999997E-2</v>
          </cell>
          <cell r="BC41">
            <v>-4.7E-2</v>
          </cell>
          <cell r="BD41">
            <v>-5.0999999999999997E-2</v>
          </cell>
          <cell r="BE41">
            <v>-5.5E-2</v>
          </cell>
          <cell r="BF41">
            <v>-5.8999999999999997E-2</v>
          </cell>
          <cell r="BG41">
            <v>-6.3E-2</v>
          </cell>
          <cell r="BH41">
            <v>-6.7000000000000004E-2</v>
          </cell>
          <cell r="BI41">
            <v>-7.0999999999999994E-2</v>
          </cell>
          <cell r="BJ41">
            <v>-7.5999999999999998E-2</v>
          </cell>
          <cell r="BK41">
            <v>-8.1000000000000003E-2</v>
          </cell>
          <cell r="BL41">
            <v>-8.5000000000000006E-2</v>
          </cell>
          <cell r="BM41">
            <v>-8.7999999999999995E-2</v>
          </cell>
          <cell r="BN41">
            <v>-9.0999999999999998E-2</v>
          </cell>
          <cell r="BO41">
            <v>-9.4E-2</v>
          </cell>
          <cell r="BP41">
            <v>-9.6000000000000002E-2</v>
          </cell>
          <cell r="BQ41">
            <v>-9.8000000000000004E-2</v>
          </cell>
          <cell r="BR41">
            <v>-0.10100000000000001</v>
          </cell>
          <cell r="BS41">
            <v>-0.10299999999999999</v>
          </cell>
          <cell r="BT41">
            <v>-0.105</v>
          </cell>
          <cell r="BU41">
            <v>-0.107</v>
          </cell>
          <cell r="BV41">
            <v>-0.109</v>
          </cell>
          <cell r="BW41">
            <v>-0.11</v>
          </cell>
          <cell r="BX41">
            <v>-0.112</v>
          </cell>
          <cell r="BY41">
            <v>-0.114</v>
          </cell>
          <cell r="BZ41">
            <v>-0.115</v>
          </cell>
          <cell r="CA41">
            <v>-0.11700000000000001</v>
          </cell>
          <cell r="CB41">
            <v>-0.11799999999999999</v>
          </cell>
          <cell r="CC41">
            <v>-0.12</v>
          </cell>
          <cell r="CD41">
            <v>-0.121</v>
          </cell>
          <cell r="CE41">
            <v>-0.122</v>
          </cell>
          <cell r="CF41">
            <v>-0.123</v>
          </cell>
          <cell r="CG41">
            <v>-0.125</v>
          </cell>
          <cell r="CH41">
            <v>-0.126</v>
          </cell>
          <cell r="CI41">
            <v>-0.128</v>
          </cell>
          <cell r="CJ41">
            <v>-0.129</v>
          </cell>
          <cell r="CK41">
            <v>-0.13100000000000001</v>
          </cell>
          <cell r="CL41">
            <v>-0.13200000000000001</v>
          </cell>
          <cell r="CM41">
            <v>-0.13300000000000001</v>
          </cell>
          <cell r="CN41">
            <v>-0.13400000000000001</v>
          </cell>
          <cell r="CO41">
            <v>-0.13500000000000001</v>
          </cell>
          <cell r="CP41">
            <v>-0.13600000000000001</v>
          </cell>
          <cell r="CQ41">
            <v>-0.13700000000000001</v>
          </cell>
          <cell r="CR41">
            <v>-0.13800000000000001</v>
          </cell>
          <cell r="CS41">
            <v>-0.13900000000000001</v>
          </cell>
          <cell r="CT41">
            <v>-0.14000000000000001</v>
          </cell>
          <cell r="CU41">
            <v>-0.14099999999999999</v>
          </cell>
          <cell r="CV41">
            <v>-0.14199999999999999</v>
          </cell>
          <cell r="CW41">
            <v>-0.14299999999999999</v>
          </cell>
          <cell r="CX41">
            <v>-0.14399999999999999</v>
          </cell>
          <cell r="CY41">
            <v>-0.14499999999999999</v>
          </cell>
          <cell r="CZ41">
            <v>-0.14599999999999999</v>
          </cell>
          <cell r="DA41">
            <v>-0.14599999999999999</v>
          </cell>
          <cell r="DB41">
            <v>-0.14699999999999999</v>
          </cell>
        </row>
        <row r="42">
          <cell r="D42" t="str">
            <v>AR5 climate diagnostics|Temperature|Global Mean|FAIR|P66</v>
          </cell>
          <cell r="E42" t="str">
            <v>¬∞C</v>
          </cell>
          <cell r="P42">
            <v>0.85899999999999999</v>
          </cell>
          <cell r="Q42">
            <v>0.879</v>
          </cell>
          <cell r="R42">
            <v>0.90500000000000003</v>
          </cell>
          <cell r="S42">
            <v>0.93100000000000005</v>
          </cell>
          <cell r="T42">
            <v>0.95699999999999996</v>
          </cell>
          <cell r="U42">
            <v>0.98299999999999998</v>
          </cell>
          <cell r="V42">
            <v>1.0089999999999999</v>
          </cell>
          <cell r="W42">
            <v>1.036</v>
          </cell>
          <cell r="X42">
            <v>1.0629999999999999</v>
          </cell>
          <cell r="Y42">
            <v>1.089</v>
          </cell>
          <cell r="Z42">
            <v>1.1160000000000001</v>
          </cell>
          <cell r="AA42">
            <v>1.143</v>
          </cell>
          <cell r="AB42">
            <v>1.17</v>
          </cell>
          <cell r="AC42">
            <v>1.196</v>
          </cell>
          <cell r="AD42">
            <v>1.2210000000000001</v>
          </cell>
          <cell r="AE42">
            <v>1.2429999999999899</v>
          </cell>
          <cell r="AF42">
            <v>1.2649999999999999</v>
          </cell>
          <cell r="AG42">
            <v>1.286</v>
          </cell>
          <cell r="AH42">
            <v>1.306</v>
          </cell>
          <cell r="AI42">
            <v>1.325</v>
          </cell>
          <cell r="AJ42">
            <v>1.345</v>
          </cell>
          <cell r="AK42">
            <v>1.3599999999999901</v>
          </cell>
          <cell r="AL42">
            <v>1.367</v>
          </cell>
          <cell r="AM42">
            <v>1.373</v>
          </cell>
          <cell r="AN42">
            <v>1.3779999999999999</v>
          </cell>
          <cell r="AO42">
            <v>1.383</v>
          </cell>
          <cell r="AP42">
            <v>1.39</v>
          </cell>
          <cell r="AQ42">
            <v>1.401</v>
          </cell>
          <cell r="AR42">
            <v>1.407</v>
          </cell>
          <cell r="AS42">
            <v>1.4119999999999999</v>
          </cell>
          <cell r="AT42">
            <v>1.4159999999999999</v>
          </cell>
          <cell r="AU42">
            <v>1.4179999999999999</v>
          </cell>
          <cell r="AV42">
            <v>1.4159999999999999</v>
          </cell>
          <cell r="AW42">
            <v>1.415</v>
          </cell>
          <cell r="AX42">
            <v>1.411</v>
          </cell>
          <cell r="AY42">
            <v>1.41</v>
          </cell>
          <cell r="AZ42">
            <v>1.4079999999999999</v>
          </cell>
          <cell r="BA42">
            <v>1.409</v>
          </cell>
          <cell r="BB42">
            <v>1.409</v>
          </cell>
          <cell r="BC42">
            <v>1.411</v>
          </cell>
          <cell r="BD42">
            <v>1.4079999999999999</v>
          </cell>
          <cell r="BE42">
            <v>1.4039999999999999</v>
          </cell>
          <cell r="BF42">
            <v>1.405</v>
          </cell>
          <cell r="BG42">
            <v>1.403</v>
          </cell>
          <cell r="BH42">
            <v>1.399</v>
          </cell>
          <cell r="BI42">
            <v>1.395</v>
          </cell>
          <cell r="BJ42">
            <v>1.3939999999999999</v>
          </cell>
          <cell r="BK42">
            <v>1.393</v>
          </cell>
          <cell r="BL42">
            <v>1.393</v>
          </cell>
          <cell r="BM42">
            <v>1.39</v>
          </cell>
          <cell r="BN42">
            <v>1.3859999999999999</v>
          </cell>
          <cell r="BO42">
            <v>1.3819999999999999</v>
          </cell>
          <cell r="BP42">
            <v>1.381</v>
          </cell>
          <cell r="BQ42">
            <v>1.3779999999999999</v>
          </cell>
          <cell r="BR42">
            <v>1.3759999999999999</v>
          </cell>
          <cell r="BS42">
            <v>1.3740000000000001</v>
          </cell>
          <cell r="BT42">
            <v>1.3719999999999899</v>
          </cell>
          <cell r="BU42">
            <v>1.3719999999999899</v>
          </cell>
          <cell r="BV42">
            <v>1.371</v>
          </cell>
          <cell r="BW42">
            <v>1.37</v>
          </cell>
          <cell r="BX42">
            <v>1.371</v>
          </cell>
          <cell r="BY42">
            <v>1.371</v>
          </cell>
          <cell r="BZ42">
            <v>1.37</v>
          </cell>
          <cell r="CA42">
            <v>1.367</v>
          </cell>
          <cell r="CB42">
            <v>1.365</v>
          </cell>
          <cell r="CC42">
            <v>1.365</v>
          </cell>
          <cell r="CD42">
            <v>1.3639999999999901</v>
          </cell>
          <cell r="CE42">
            <v>1.3639999999999901</v>
          </cell>
          <cell r="CF42">
            <v>1.3639999999999901</v>
          </cell>
          <cell r="CG42">
            <v>1.363</v>
          </cell>
          <cell r="CH42">
            <v>1.3620000000000001</v>
          </cell>
          <cell r="CI42">
            <v>1.3599999999999901</v>
          </cell>
          <cell r="CJ42">
            <v>1.359</v>
          </cell>
          <cell r="CK42">
            <v>1.3580000000000001</v>
          </cell>
          <cell r="CL42">
            <v>1.3559999999999901</v>
          </cell>
          <cell r="CM42">
            <v>1.355</v>
          </cell>
          <cell r="CN42">
            <v>1.3540000000000001</v>
          </cell>
          <cell r="CO42">
            <v>1.3519999999999901</v>
          </cell>
          <cell r="CP42">
            <v>1.351</v>
          </cell>
          <cell r="CQ42">
            <v>1.349</v>
          </cell>
          <cell r="CR42">
            <v>1.347</v>
          </cell>
          <cell r="CS42">
            <v>1.345</v>
          </cell>
          <cell r="CT42">
            <v>1.3440000000000001</v>
          </cell>
          <cell r="CU42">
            <v>1.3440000000000001</v>
          </cell>
          <cell r="CV42">
            <v>1.3440000000000001</v>
          </cell>
          <cell r="CW42">
            <v>1.343</v>
          </cell>
          <cell r="CX42">
            <v>1.341</v>
          </cell>
          <cell r="CY42">
            <v>1.34</v>
          </cell>
          <cell r="CZ42">
            <v>1.34</v>
          </cell>
          <cell r="DA42">
            <v>1.339</v>
          </cell>
          <cell r="DB42">
            <v>1.337</v>
          </cell>
        </row>
        <row r="43">
          <cell r="D43" t="str">
            <v>AR5 climate diagnostics|Temperature|Global Mean|FAIR|P66|Non CO2</v>
          </cell>
          <cell r="E43" t="str">
            <v>¬∞C</v>
          </cell>
          <cell r="P43">
            <v>-5.0000000000000001E-3</v>
          </cell>
          <cell r="Q43">
            <v>4.0000000000000001E-3</v>
          </cell>
          <cell r="R43">
            <v>1.4999999999999999E-2</v>
          </cell>
          <cell r="S43">
            <v>2.8000000000000001E-2</v>
          </cell>
          <cell r="T43">
            <v>0.04</v>
          </cell>
          <cell r="U43">
            <v>5.1999999999999998E-2</v>
          </cell>
          <cell r="V43">
            <v>6.3E-2</v>
          </cell>
          <cell r="W43">
            <v>7.3999999999999996E-2</v>
          </cell>
          <cell r="X43">
            <v>8.5000000000000006E-2</v>
          </cell>
          <cell r="Y43">
            <v>9.7000000000000003E-2</v>
          </cell>
          <cell r="Z43">
            <v>0.108</v>
          </cell>
          <cell r="AA43">
            <v>0.12</v>
          </cell>
          <cell r="AB43">
            <v>0.13100000000000001</v>
          </cell>
          <cell r="AC43">
            <v>0.14399999999999999</v>
          </cell>
          <cell r="AD43">
            <v>0.156</v>
          </cell>
          <cell r="AE43">
            <v>0.16700000000000001</v>
          </cell>
          <cell r="AF43">
            <v>0.17799999999999999</v>
          </cell>
          <cell r="AG43">
            <v>0.188</v>
          </cell>
          <cell r="AH43">
            <v>0.19800000000000001</v>
          </cell>
          <cell r="AI43">
            <v>0.20799999999999999</v>
          </cell>
          <cell r="AJ43">
            <v>0.217</v>
          </cell>
          <cell r="AK43">
            <v>0.22500000000000001</v>
          </cell>
          <cell r="AL43">
            <v>0.22800000000000001</v>
          </cell>
          <cell r="AM43">
            <v>0.23100000000000001</v>
          </cell>
          <cell r="AN43">
            <v>0.23200000000000001</v>
          </cell>
          <cell r="AO43">
            <v>0.23400000000000001</v>
          </cell>
          <cell r="AP43">
            <v>0.23599999999999999</v>
          </cell>
          <cell r="AQ43">
            <v>0.23799999999999999</v>
          </cell>
          <cell r="AR43">
            <v>0.23699999999999999</v>
          </cell>
          <cell r="AS43">
            <v>0.23499999999999999</v>
          </cell>
          <cell r="AT43">
            <v>0.23300000000000001</v>
          </cell>
          <cell r="AU43">
            <v>0.23200000000000001</v>
          </cell>
          <cell r="AV43">
            <v>0.23200000000000001</v>
          </cell>
          <cell r="AW43">
            <v>0.23100000000000001</v>
          </cell>
          <cell r="AX43">
            <v>0.22900000000000001</v>
          </cell>
          <cell r="AY43">
            <v>0.22500000000000001</v>
          </cell>
          <cell r="AZ43">
            <v>0.222</v>
          </cell>
          <cell r="BA43">
            <v>0.217</v>
          </cell>
          <cell r="BB43">
            <v>0.21199999999999999</v>
          </cell>
          <cell r="BC43">
            <v>0.20799999999999999</v>
          </cell>
          <cell r="BD43">
            <v>0.20499999999999999</v>
          </cell>
          <cell r="BE43">
            <v>0.20200000000000001</v>
          </cell>
          <cell r="BF43">
            <v>0.19900000000000001</v>
          </cell>
          <cell r="BG43">
            <v>0.19600000000000001</v>
          </cell>
          <cell r="BH43">
            <v>0.192</v>
          </cell>
          <cell r="BI43">
            <v>0.189</v>
          </cell>
          <cell r="BJ43">
            <v>0.186</v>
          </cell>
          <cell r="BK43">
            <v>0.183</v>
          </cell>
          <cell r="BL43">
            <v>0.17899999999999999</v>
          </cell>
          <cell r="BM43">
            <v>0.17599999999999999</v>
          </cell>
          <cell r="BN43">
            <v>0.17299999999999999</v>
          </cell>
          <cell r="BO43">
            <v>0.17</v>
          </cell>
          <cell r="BP43">
            <v>0.16700000000000001</v>
          </cell>
          <cell r="BQ43">
            <v>0.16400000000000001</v>
          </cell>
          <cell r="BR43">
            <v>0.16200000000000001</v>
          </cell>
          <cell r="BS43">
            <v>0.16</v>
          </cell>
          <cell r="BT43">
            <v>0.158</v>
          </cell>
          <cell r="BU43">
            <v>0.157</v>
          </cell>
          <cell r="BV43">
            <v>0.155</v>
          </cell>
          <cell r="BW43">
            <v>0.153</v>
          </cell>
          <cell r="BX43">
            <v>0.151</v>
          </cell>
          <cell r="BY43">
            <v>0.14899999999999999</v>
          </cell>
          <cell r="BZ43">
            <v>0.14799999999999999</v>
          </cell>
          <cell r="CA43">
            <v>0.14599999999999999</v>
          </cell>
          <cell r="CB43">
            <v>0.14399999999999999</v>
          </cell>
          <cell r="CC43">
            <v>0.14299999999999999</v>
          </cell>
          <cell r="CD43">
            <v>0.14299999999999999</v>
          </cell>
          <cell r="CE43">
            <v>0.14199999999999999</v>
          </cell>
          <cell r="CF43">
            <v>0.14099999999999999</v>
          </cell>
          <cell r="CG43">
            <v>0.14099999999999999</v>
          </cell>
          <cell r="CH43">
            <v>0.14000000000000001</v>
          </cell>
          <cell r="CI43">
            <v>0.14000000000000001</v>
          </cell>
          <cell r="CJ43">
            <v>0.13900000000000001</v>
          </cell>
          <cell r="CK43">
            <v>0.13900000000000001</v>
          </cell>
          <cell r="CL43">
            <v>0.13800000000000001</v>
          </cell>
          <cell r="CM43">
            <v>0.13800000000000001</v>
          </cell>
          <cell r="CN43">
            <v>0.13700000000000001</v>
          </cell>
          <cell r="CO43">
            <v>0.13700000000000001</v>
          </cell>
          <cell r="CP43">
            <v>0.13700000000000001</v>
          </cell>
          <cell r="CQ43">
            <v>0.13700000000000001</v>
          </cell>
          <cell r="CR43">
            <v>0.13700000000000001</v>
          </cell>
          <cell r="CS43">
            <v>0.13700000000000001</v>
          </cell>
          <cell r="CT43">
            <v>0.13700000000000001</v>
          </cell>
          <cell r="CU43">
            <v>0.13700000000000001</v>
          </cell>
          <cell r="CV43">
            <v>0.13700000000000001</v>
          </cell>
          <cell r="CW43">
            <v>0.13700000000000001</v>
          </cell>
          <cell r="CX43">
            <v>0.13700000000000001</v>
          </cell>
          <cell r="CY43">
            <v>0.13700000000000001</v>
          </cell>
          <cell r="CZ43">
            <v>0.13700000000000001</v>
          </cell>
          <cell r="DA43">
            <v>0.13800000000000001</v>
          </cell>
          <cell r="DB43">
            <v>0.13800000000000001</v>
          </cell>
        </row>
        <row r="44">
          <cell r="D44" t="str">
            <v>AR5 climate diagnostics|Temperature|Global Mean|FAIR|P90</v>
          </cell>
          <cell r="E44" t="str">
            <v>¬∞C</v>
          </cell>
          <cell r="P44">
            <v>0.86199999999999999</v>
          </cell>
          <cell r="Q44">
            <v>0.88200000000000001</v>
          </cell>
          <cell r="R44">
            <v>0.91600000000000004</v>
          </cell>
          <cell r="S44">
            <v>0.95099999999999996</v>
          </cell>
          <cell r="T44">
            <v>0.98599999999999999</v>
          </cell>
          <cell r="U44">
            <v>1.022</v>
          </cell>
          <cell r="V44">
            <v>1.0569999999999999</v>
          </cell>
          <cell r="W44">
            <v>1.093</v>
          </cell>
          <cell r="X44">
            <v>1.127</v>
          </cell>
          <cell r="Y44">
            <v>1.1639999999999999</v>
          </cell>
          <cell r="Z44">
            <v>1.202</v>
          </cell>
          <cell r="AA44">
            <v>1.2410000000000001</v>
          </cell>
          <cell r="AB44">
            <v>1.2809999999999999</v>
          </cell>
          <cell r="AC44">
            <v>1.3180000000000001</v>
          </cell>
          <cell r="AD44">
            <v>1.353</v>
          </cell>
          <cell r="AE44">
            <v>1.3859999999999999</v>
          </cell>
          <cell r="AF44">
            <v>1.4179999999999999</v>
          </cell>
          <cell r="AG44">
            <v>1.4470000000000001</v>
          </cell>
          <cell r="AH44">
            <v>1.476</v>
          </cell>
          <cell r="AI44">
            <v>1.5029999999999999</v>
          </cell>
          <cell r="AJ44">
            <v>1.528</v>
          </cell>
          <cell r="AK44">
            <v>1.548</v>
          </cell>
          <cell r="AL44">
            <v>1.5680000000000001</v>
          </cell>
          <cell r="AM44">
            <v>1.585</v>
          </cell>
          <cell r="AN44">
            <v>1.6</v>
          </cell>
          <cell r="AO44">
            <v>1.613</v>
          </cell>
          <cell r="AP44">
            <v>1.6240000000000001</v>
          </cell>
          <cell r="AQ44">
            <v>1.633</v>
          </cell>
          <cell r="AR44">
            <v>1.641</v>
          </cell>
          <cell r="AS44">
            <v>1.649</v>
          </cell>
          <cell r="AT44">
            <v>1.655</v>
          </cell>
          <cell r="AU44">
            <v>1.6579999999999999</v>
          </cell>
          <cell r="AV44">
            <v>1.6619999999999999</v>
          </cell>
          <cell r="AW44">
            <v>1.6639999999999999</v>
          </cell>
          <cell r="AX44">
            <v>1.665</v>
          </cell>
          <cell r="AY44">
            <v>1.6659999999999999</v>
          </cell>
          <cell r="AZ44">
            <v>1.665</v>
          </cell>
          <cell r="BA44">
            <v>1.667</v>
          </cell>
          <cell r="BB44">
            <v>1.671</v>
          </cell>
          <cell r="BC44">
            <v>1.669</v>
          </cell>
          <cell r="BD44">
            <v>1.6659999999999999</v>
          </cell>
          <cell r="BE44">
            <v>1.6619999999999999</v>
          </cell>
          <cell r="BF44">
            <v>1.657</v>
          </cell>
          <cell r="BG44">
            <v>1.6579999999999999</v>
          </cell>
          <cell r="BH44">
            <v>1.6539999999999999</v>
          </cell>
          <cell r="BI44">
            <v>1.65</v>
          </cell>
          <cell r="BJ44">
            <v>1.647</v>
          </cell>
          <cell r="BK44">
            <v>1.6419999999999999</v>
          </cell>
          <cell r="BL44">
            <v>1.6359999999999999</v>
          </cell>
          <cell r="BM44">
            <v>1.631</v>
          </cell>
          <cell r="BN44">
            <v>1.6259999999999999</v>
          </cell>
          <cell r="BO44">
            <v>1.621</v>
          </cell>
          <cell r="BP44">
            <v>1.6160000000000001</v>
          </cell>
          <cell r="BQ44">
            <v>1.6139999999999901</v>
          </cell>
          <cell r="BR44">
            <v>1.609</v>
          </cell>
          <cell r="BS44">
            <v>1.6059999999999901</v>
          </cell>
          <cell r="BT44">
            <v>1.6059999999999901</v>
          </cell>
          <cell r="BU44">
            <v>1.6019999999999901</v>
          </cell>
          <cell r="BV44">
            <v>1.599</v>
          </cell>
          <cell r="BW44">
            <v>1.597</v>
          </cell>
          <cell r="BX44">
            <v>1.5939999999999901</v>
          </cell>
          <cell r="BY44">
            <v>1.589</v>
          </cell>
          <cell r="BZ44">
            <v>1.5840000000000001</v>
          </cell>
          <cell r="CA44">
            <v>1.579</v>
          </cell>
          <cell r="CB44">
            <v>1.575</v>
          </cell>
          <cell r="CC44">
            <v>1.571</v>
          </cell>
          <cell r="CD44">
            <v>1.5680000000000001</v>
          </cell>
          <cell r="CE44">
            <v>1.5660000000000001</v>
          </cell>
          <cell r="CF44">
            <v>1.5669999999999999</v>
          </cell>
          <cell r="CG44">
            <v>1.569</v>
          </cell>
          <cell r="CH44">
            <v>1.5680000000000001</v>
          </cell>
          <cell r="CI44">
            <v>1.5669999999999999</v>
          </cell>
          <cell r="CJ44">
            <v>1.5669999999999999</v>
          </cell>
          <cell r="CK44">
            <v>1.5660000000000001</v>
          </cell>
          <cell r="CL44">
            <v>1.5660000000000001</v>
          </cell>
          <cell r="CM44">
            <v>1.5660000000000001</v>
          </cell>
          <cell r="CN44">
            <v>1.5669999999999999</v>
          </cell>
          <cell r="CO44">
            <v>1.5680000000000001</v>
          </cell>
          <cell r="CP44">
            <v>1.569</v>
          </cell>
          <cell r="CQ44">
            <v>1.57</v>
          </cell>
          <cell r="CR44">
            <v>1.571</v>
          </cell>
          <cell r="CS44">
            <v>1.5720000000000001</v>
          </cell>
          <cell r="CT44">
            <v>1.573</v>
          </cell>
          <cell r="CU44">
            <v>1.5740000000000001</v>
          </cell>
          <cell r="CV44">
            <v>1.575</v>
          </cell>
          <cell r="CW44">
            <v>1.5760000000000001</v>
          </cell>
          <cell r="CX44">
            <v>1.5779999999999901</v>
          </cell>
          <cell r="CY44">
            <v>1.579</v>
          </cell>
          <cell r="CZ44">
            <v>1.58</v>
          </cell>
          <cell r="DA44">
            <v>1.581</v>
          </cell>
          <cell r="DB44">
            <v>1.58</v>
          </cell>
        </row>
        <row r="45">
          <cell r="D45" t="str">
            <v>AR5 climate diagnostics|Temperature|Global Mean|FAIR|P90|Non CO2</v>
          </cell>
          <cell r="E45" t="str">
            <v>¬∞C</v>
          </cell>
          <cell r="P45">
            <v>-3.0000000000000001E-3</v>
          </cell>
          <cell r="Q45">
            <v>5.0000000000000001E-3</v>
          </cell>
          <cell r="R45">
            <v>2.1000000000000001E-2</v>
          </cell>
          <cell r="S45">
            <v>3.9E-2</v>
          </cell>
          <cell r="T45">
            <v>5.6000000000000001E-2</v>
          </cell>
          <cell r="U45">
            <v>7.2999999999999995E-2</v>
          </cell>
          <cell r="V45">
            <v>9.0999999999999998E-2</v>
          </cell>
          <cell r="W45">
            <v>0.109</v>
          </cell>
          <cell r="X45">
            <v>0.126</v>
          </cell>
          <cell r="Y45">
            <v>0.14399999999999999</v>
          </cell>
          <cell r="Z45">
            <v>0.16</v>
          </cell>
          <cell r="AA45">
            <v>0.17899999999999999</v>
          </cell>
          <cell r="AB45">
            <v>0.19800000000000001</v>
          </cell>
          <cell r="AC45">
            <v>0.217</v>
          </cell>
          <cell r="AD45">
            <v>0.23699999999999999</v>
          </cell>
          <cell r="AE45">
            <v>0.25600000000000001</v>
          </cell>
          <cell r="AF45">
            <v>0.27100000000000002</v>
          </cell>
          <cell r="AG45">
            <v>0.28799999999999998</v>
          </cell>
          <cell r="AH45">
            <v>0.307</v>
          </cell>
          <cell r="AI45">
            <v>0.32800000000000001</v>
          </cell>
          <cell r="AJ45">
            <v>0.34899999999999998</v>
          </cell>
          <cell r="AK45">
            <v>0.36599999999999999</v>
          </cell>
          <cell r="AL45">
            <v>0.377</v>
          </cell>
          <cell r="AM45">
            <v>0.38300000000000001</v>
          </cell>
          <cell r="AN45">
            <v>0.38800000000000001</v>
          </cell>
          <cell r="AO45">
            <v>0.39200000000000002</v>
          </cell>
          <cell r="AP45">
            <v>0.39400000000000002</v>
          </cell>
          <cell r="AQ45">
            <v>0.39600000000000002</v>
          </cell>
          <cell r="AR45">
            <v>0.39800000000000002</v>
          </cell>
          <cell r="AS45">
            <v>0.39900000000000002</v>
          </cell>
          <cell r="AT45">
            <v>0.4</v>
          </cell>
          <cell r="AU45">
            <v>0.40200000000000002</v>
          </cell>
          <cell r="AV45">
            <v>0.40100000000000002</v>
          </cell>
          <cell r="AW45">
            <v>0.39900000000000002</v>
          </cell>
          <cell r="AX45">
            <v>0.39700000000000002</v>
          </cell>
          <cell r="AY45">
            <v>0.39500000000000002</v>
          </cell>
          <cell r="AZ45">
            <v>0.39500000000000002</v>
          </cell>
          <cell r="BA45">
            <v>0.39400000000000002</v>
          </cell>
          <cell r="BB45">
            <v>0.39300000000000002</v>
          </cell>
          <cell r="BC45">
            <v>0.39100000000000001</v>
          </cell>
          <cell r="BD45">
            <v>0.38900000000000001</v>
          </cell>
          <cell r="BE45">
            <v>0.38700000000000001</v>
          </cell>
          <cell r="BF45">
            <v>0.38400000000000001</v>
          </cell>
          <cell r="BG45">
            <v>0.38200000000000001</v>
          </cell>
          <cell r="BH45">
            <v>0.376</v>
          </cell>
          <cell r="BI45">
            <v>0.373</v>
          </cell>
          <cell r="BJ45">
            <v>0.36899999999999999</v>
          </cell>
          <cell r="BK45">
            <v>0.36599999999999999</v>
          </cell>
          <cell r="BL45">
            <v>0.36399999999999999</v>
          </cell>
          <cell r="BM45">
            <v>0.36099999999999999</v>
          </cell>
          <cell r="BN45">
            <v>0.35899999999999999</v>
          </cell>
          <cell r="BO45">
            <v>0.35499999999999998</v>
          </cell>
          <cell r="BP45">
            <v>0.35299999999999998</v>
          </cell>
          <cell r="BQ45">
            <v>0.35099999999999998</v>
          </cell>
          <cell r="BR45">
            <v>0.34699999999999998</v>
          </cell>
          <cell r="BS45">
            <v>0.34399999999999997</v>
          </cell>
          <cell r="BT45">
            <v>0.34100000000000003</v>
          </cell>
          <cell r="BU45">
            <v>0.33800000000000002</v>
          </cell>
          <cell r="BV45">
            <v>0.33500000000000002</v>
          </cell>
          <cell r="BW45">
            <v>0.33300000000000002</v>
          </cell>
          <cell r="BX45">
            <v>0.33</v>
          </cell>
          <cell r="BY45">
            <v>0.32800000000000001</v>
          </cell>
          <cell r="BZ45">
            <v>0.32600000000000001</v>
          </cell>
          <cell r="CA45">
            <v>0.32400000000000001</v>
          </cell>
          <cell r="CB45">
            <v>0.32300000000000001</v>
          </cell>
          <cell r="CC45">
            <v>0.32100000000000001</v>
          </cell>
          <cell r="CD45">
            <v>0.32</v>
          </cell>
          <cell r="CE45">
            <v>0.31900000000000001</v>
          </cell>
          <cell r="CF45">
            <v>0.317</v>
          </cell>
          <cell r="CG45">
            <v>0.316</v>
          </cell>
          <cell r="CH45">
            <v>0.316</v>
          </cell>
          <cell r="CI45">
            <v>0.315</v>
          </cell>
          <cell r="CJ45">
            <v>0.315</v>
          </cell>
          <cell r="CK45">
            <v>0.314</v>
          </cell>
          <cell r="CL45">
            <v>0.314</v>
          </cell>
          <cell r="CM45">
            <v>0.313</v>
          </cell>
          <cell r="CN45">
            <v>0.313</v>
          </cell>
          <cell r="CO45">
            <v>0.313</v>
          </cell>
          <cell r="CP45">
            <v>0.313</v>
          </cell>
          <cell r="CQ45">
            <v>0.313</v>
          </cell>
          <cell r="CR45">
            <v>0.313</v>
          </cell>
          <cell r="CS45">
            <v>0.314</v>
          </cell>
          <cell r="CT45">
            <v>0.314</v>
          </cell>
          <cell r="CU45">
            <v>0.314</v>
          </cell>
          <cell r="CV45">
            <v>0.315</v>
          </cell>
          <cell r="CW45">
            <v>0.315</v>
          </cell>
          <cell r="CX45">
            <v>0.315</v>
          </cell>
          <cell r="CY45">
            <v>0.316</v>
          </cell>
          <cell r="CZ45">
            <v>0.316</v>
          </cell>
          <cell r="DA45">
            <v>0.317</v>
          </cell>
          <cell r="DB45">
            <v>0.317</v>
          </cell>
        </row>
        <row r="46">
          <cell r="D46" t="str">
            <v>AR5 climate diagnostics|Temperature|Global Mean|FAIR|P95</v>
          </cell>
          <cell r="E46" t="str">
            <v>¬∞C</v>
          </cell>
          <cell r="P46">
            <v>0.86299999999999999</v>
          </cell>
          <cell r="Q46">
            <v>0.88300000000000001</v>
          </cell>
          <cell r="R46">
            <v>0.92</v>
          </cell>
          <cell r="S46">
            <v>0.96099999999999997</v>
          </cell>
          <cell r="T46">
            <v>1.0009999999999999</v>
          </cell>
          <cell r="U46">
            <v>1.0429999999999999</v>
          </cell>
          <cell r="V46">
            <v>1.0840000000000001</v>
          </cell>
          <cell r="W46">
            <v>1.1259999999999999</v>
          </cell>
          <cell r="X46">
            <v>1.169</v>
          </cell>
          <cell r="Y46">
            <v>1.2110000000000001</v>
          </cell>
          <cell r="Z46">
            <v>1.254</v>
          </cell>
          <cell r="AA46">
            <v>1.298</v>
          </cell>
          <cell r="AB46">
            <v>1.341</v>
          </cell>
          <cell r="AC46">
            <v>1.3839999999999999</v>
          </cell>
          <cell r="AD46">
            <v>1.4279999999999999</v>
          </cell>
          <cell r="AE46">
            <v>1.4710000000000001</v>
          </cell>
          <cell r="AF46">
            <v>1.51</v>
          </cell>
          <cell r="AG46">
            <v>1.55</v>
          </cell>
          <cell r="AH46">
            <v>1.5859999999999901</v>
          </cell>
          <cell r="AI46">
            <v>1.6179999999999899</v>
          </cell>
          <cell r="AJ46">
            <v>1.651</v>
          </cell>
          <cell r="AK46">
            <v>1.68</v>
          </cell>
          <cell r="AL46">
            <v>1.7050000000000001</v>
          </cell>
          <cell r="AM46">
            <v>1.726</v>
          </cell>
          <cell r="AN46">
            <v>1.744</v>
          </cell>
          <cell r="AO46">
            <v>1.76</v>
          </cell>
          <cell r="AP46">
            <v>1.7729999999999999</v>
          </cell>
          <cell r="AQ46">
            <v>1.784</v>
          </cell>
          <cell r="AR46">
            <v>1.794</v>
          </cell>
          <cell r="AS46">
            <v>1.802</v>
          </cell>
          <cell r="AT46">
            <v>1.81</v>
          </cell>
          <cell r="AU46">
            <v>1.8160000000000001</v>
          </cell>
          <cell r="AV46">
            <v>1.821</v>
          </cell>
          <cell r="AW46">
            <v>1.823</v>
          </cell>
          <cell r="AX46">
            <v>1.823</v>
          </cell>
          <cell r="AY46">
            <v>1.823</v>
          </cell>
          <cell r="AZ46">
            <v>1.8220000000000001</v>
          </cell>
          <cell r="BA46">
            <v>1.82</v>
          </cell>
          <cell r="BB46">
            <v>1.8180000000000001</v>
          </cell>
          <cell r="BC46">
            <v>1.819</v>
          </cell>
          <cell r="BD46">
            <v>1.8180000000000001</v>
          </cell>
          <cell r="BE46">
            <v>1.8149999999999999</v>
          </cell>
          <cell r="BF46">
            <v>1.8109999999999999</v>
          </cell>
          <cell r="BG46">
            <v>1.806</v>
          </cell>
          <cell r="BH46">
            <v>1.8009999999999999</v>
          </cell>
          <cell r="BI46">
            <v>1.796</v>
          </cell>
          <cell r="BJ46">
            <v>1.7909999999999999</v>
          </cell>
          <cell r="BK46">
            <v>1.786</v>
          </cell>
          <cell r="BL46">
            <v>1.7809999999999999</v>
          </cell>
          <cell r="BM46">
            <v>1.776</v>
          </cell>
          <cell r="BN46">
            <v>1.7709999999999999</v>
          </cell>
          <cell r="BO46">
            <v>1.766</v>
          </cell>
          <cell r="BP46">
            <v>1.76</v>
          </cell>
          <cell r="BQ46">
            <v>1.7549999999999999</v>
          </cell>
          <cell r="BR46">
            <v>1.7509999999999999</v>
          </cell>
          <cell r="BS46">
            <v>1.746</v>
          </cell>
          <cell r="BT46">
            <v>1.742</v>
          </cell>
          <cell r="BU46">
            <v>1.738</v>
          </cell>
          <cell r="BV46">
            <v>1.7349999999999901</v>
          </cell>
          <cell r="BW46">
            <v>1.732</v>
          </cell>
          <cell r="BX46">
            <v>1.73</v>
          </cell>
          <cell r="BY46">
            <v>1.7269999999999901</v>
          </cell>
          <cell r="BZ46">
            <v>1.724</v>
          </cell>
          <cell r="CA46">
            <v>1.72</v>
          </cell>
          <cell r="CB46">
            <v>1.7170000000000001</v>
          </cell>
          <cell r="CC46">
            <v>1.7149999999999901</v>
          </cell>
          <cell r="CD46">
            <v>1.712</v>
          </cell>
          <cell r="CE46">
            <v>1.7090000000000001</v>
          </cell>
          <cell r="CF46">
            <v>1.7069999999999901</v>
          </cell>
          <cell r="CG46">
            <v>1.702</v>
          </cell>
          <cell r="CH46">
            <v>1.698</v>
          </cell>
          <cell r="CI46">
            <v>1.696</v>
          </cell>
          <cell r="CJ46">
            <v>1.694</v>
          </cell>
          <cell r="CK46">
            <v>1.6919999999999999</v>
          </cell>
          <cell r="CL46">
            <v>1.6910000000000001</v>
          </cell>
          <cell r="CM46">
            <v>1.6910000000000001</v>
          </cell>
          <cell r="CN46">
            <v>1.6910000000000001</v>
          </cell>
          <cell r="CO46">
            <v>1.6890000000000001</v>
          </cell>
          <cell r="CP46">
            <v>1.6870000000000001</v>
          </cell>
          <cell r="CQ46">
            <v>1.6859999999999999</v>
          </cell>
          <cell r="CR46">
            <v>1.6839999999999999</v>
          </cell>
          <cell r="CS46">
            <v>1.6819999999999999</v>
          </cell>
          <cell r="CT46">
            <v>1.681</v>
          </cell>
          <cell r="CU46">
            <v>1.679</v>
          </cell>
          <cell r="CV46">
            <v>1.6779999999999999</v>
          </cell>
          <cell r="CW46">
            <v>1.677</v>
          </cell>
          <cell r="CX46">
            <v>1.675</v>
          </cell>
          <cell r="CY46">
            <v>1.6739999999999999</v>
          </cell>
          <cell r="CZ46">
            <v>1.673</v>
          </cell>
          <cell r="DA46">
            <v>1.6719999999999999</v>
          </cell>
          <cell r="DB46">
            <v>1.67</v>
          </cell>
        </row>
        <row r="47">
          <cell r="D47" t="str">
            <v>AR5 climate diagnostics|Temperature|Global Mean|FAIR|P95|Non CO2</v>
          </cell>
          <cell r="E47" t="str">
            <v>¬∞C</v>
          </cell>
          <cell r="P47">
            <v>-2E-3</v>
          </cell>
          <cell r="Q47">
            <v>5.0000000000000001E-3</v>
          </cell>
          <cell r="R47">
            <v>2.5000000000000001E-2</v>
          </cell>
          <cell r="S47">
            <v>4.4999999999999998E-2</v>
          </cell>
          <cell r="T47">
            <v>6.5000000000000002E-2</v>
          </cell>
          <cell r="U47">
            <v>8.5000000000000006E-2</v>
          </cell>
          <cell r="V47">
            <v>0.105</v>
          </cell>
          <cell r="W47">
            <v>0.125</v>
          </cell>
          <cell r="X47">
            <v>0.14499999999999999</v>
          </cell>
          <cell r="Y47">
            <v>0.16500000000000001</v>
          </cell>
          <cell r="Z47">
            <v>0.185</v>
          </cell>
          <cell r="AA47">
            <v>0.20799999999999999</v>
          </cell>
          <cell r="AB47">
            <v>0.22900000000000001</v>
          </cell>
          <cell r="AC47">
            <v>0.251</v>
          </cell>
          <cell r="AD47">
            <v>0.27500000000000002</v>
          </cell>
          <cell r="AE47">
            <v>0.3</v>
          </cell>
          <cell r="AF47">
            <v>0.32700000000000001</v>
          </cell>
          <cell r="AG47">
            <v>0.35299999999999998</v>
          </cell>
          <cell r="AH47">
            <v>0.379</v>
          </cell>
          <cell r="AI47">
            <v>0.40400000000000003</v>
          </cell>
          <cell r="AJ47">
            <v>0.43</v>
          </cell>
          <cell r="AK47">
            <v>0.44500000000000001</v>
          </cell>
          <cell r="AL47">
            <v>0.45400000000000001</v>
          </cell>
          <cell r="AM47">
            <v>0.46100000000000002</v>
          </cell>
          <cell r="AN47">
            <v>0.47</v>
          </cell>
          <cell r="AO47">
            <v>0.47899999999999998</v>
          </cell>
          <cell r="AP47">
            <v>0.48699999999999999</v>
          </cell>
          <cell r="AQ47">
            <v>0.49399999999999999</v>
          </cell>
          <cell r="AR47">
            <v>0.498</v>
          </cell>
          <cell r="AS47">
            <v>0.501</v>
          </cell>
          <cell r="AT47">
            <v>0.503</v>
          </cell>
          <cell r="AU47">
            <v>0.504</v>
          </cell>
          <cell r="AV47">
            <v>0.503</v>
          </cell>
          <cell r="AW47">
            <v>0.502</v>
          </cell>
          <cell r="AX47">
            <v>0.5</v>
          </cell>
          <cell r="AY47">
            <v>0.497</v>
          </cell>
          <cell r="AZ47">
            <v>0.49399999999999999</v>
          </cell>
          <cell r="BA47">
            <v>0.49</v>
          </cell>
          <cell r="BB47">
            <v>0.48799999999999999</v>
          </cell>
          <cell r="BC47">
            <v>0.48699999999999999</v>
          </cell>
          <cell r="BD47">
            <v>0.48599999999999999</v>
          </cell>
          <cell r="BE47">
            <v>0.48399999999999999</v>
          </cell>
          <cell r="BF47">
            <v>0.48199999999999998</v>
          </cell>
          <cell r="BG47">
            <v>0.47899999999999998</v>
          </cell>
          <cell r="BH47">
            <v>0.47499999999999998</v>
          </cell>
          <cell r="BI47">
            <v>0.47199999999999998</v>
          </cell>
          <cell r="BJ47">
            <v>0.46700000000000003</v>
          </cell>
          <cell r="BK47">
            <v>0.46400000000000002</v>
          </cell>
          <cell r="BL47">
            <v>0.46100000000000002</v>
          </cell>
          <cell r="BM47">
            <v>0.45800000000000002</v>
          </cell>
          <cell r="BN47">
            <v>0.45600000000000002</v>
          </cell>
          <cell r="BO47">
            <v>0.45300000000000001</v>
          </cell>
          <cell r="BP47">
            <v>0.45100000000000001</v>
          </cell>
          <cell r="BQ47">
            <v>0.44800000000000001</v>
          </cell>
          <cell r="BR47">
            <v>0.44600000000000001</v>
          </cell>
          <cell r="BS47">
            <v>0.44400000000000001</v>
          </cell>
          <cell r="BT47">
            <v>0.442</v>
          </cell>
          <cell r="BU47">
            <v>0.441</v>
          </cell>
          <cell r="BV47">
            <v>0.439</v>
          </cell>
          <cell r="BW47">
            <v>0.438</v>
          </cell>
          <cell r="BX47">
            <v>0.436</v>
          </cell>
          <cell r="BY47">
            <v>0.435</v>
          </cell>
          <cell r="BZ47">
            <v>0.434</v>
          </cell>
          <cell r="CA47">
            <v>0.433</v>
          </cell>
          <cell r="CB47">
            <v>0.432</v>
          </cell>
          <cell r="CC47">
            <v>0.432</v>
          </cell>
          <cell r="CD47">
            <v>0.43099999999999999</v>
          </cell>
          <cell r="CE47">
            <v>0.43099999999999999</v>
          </cell>
          <cell r="CF47">
            <v>0.43</v>
          </cell>
          <cell r="CG47">
            <v>0.43</v>
          </cell>
          <cell r="CH47">
            <v>0.43</v>
          </cell>
          <cell r="CI47">
            <v>0.43</v>
          </cell>
          <cell r="CJ47">
            <v>0.43</v>
          </cell>
          <cell r="CK47">
            <v>0.43</v>
          </cell>
          <cell r="CL47">
            <v>0.42899999999999999</v>
          </cell>
          <cell r="CM47">
            <v>0.42899999999999999</v>
          </cell>
          <cell r="CN47">
            <v>0.42799999999999999</v>
          </cell>
          <cell r="CO47">
            <v>0.42799999999999999</v>
          </cell>
          <cell r="CP47">
            <v>0.42699999999999999</v>
          </cell>
          <cell r="CQ47">
            <v>0.42699999999999999</v>
          </cell>
          <cell r="CR47">
            <v>0.42699999999999999</v>
          </cell>
          <cell r="CS47">
            <v>0.42699999999999999</v>
          </cell>
          <cell r="CT47">
            <v>0.42699999999999999</v>
          </cell>
          <cell r="CU47">
            <v>0.42699999999999999</v>
          </cell>
          <cell r="CV47">
            <v>0.42699999999999999</v>
          </cell>
          <cell r="CW47">
            <v>0.42699999999999999</v>
          </cell>
          <cell r="CX47">
            <v>0.42699999999999999</v>
          </cell>
          <cell r="CY47">
            <v>0.42699999999999999</v>
          </cell>
          <cell r="CZ47">
            <v>0.42699999999999999</v>
          </cell>
          <cell r="DA47">
            <v>0.42799999999999999</v>
          </cell>
          <cell r="DB47">
            <v>0.42799999999999999</v>
          </cell>
        </row>
        <row r="48">
          <cell r="D48" t="str">
            <v>AR5 climate diagnostics|Temperature|Global Mean|MAGICC6|Expected value</v>
          </cell>
          <cell r="E48" t="str">
            <v>¬∞C</v>
          </cell>
          <cell r="F48">
            <v>0.71235058600000001</v>
          </cell>
          <cell r="G48">
            <v>0.73861783299999995</v>
          </cell>
          <cell r="H48">
            <v>0.76058000299999995</v>
          </cell>
          <cell r="I48">
            <v>0.77741354900000004</v>
          </cell>
          <cell r="J48">
            <v>0.79209276900000003</v>
          </cell>
          <cell r="K48">
            <v>0.80799973800000002</v>
          </cell>
          <cell r="L48">
            <v>0.82663863900000001</v>
          </cell>
          <cell r="M48">
            <v>0.82479876399999996</v>
          </cell>
          <cell r="N48">
            <v>0.83899609500000005</v>
          </cell>
          <cell r="O48">
            <v>0.86658299500000002</v>
          </cell>
          <cell r="P48">
            <v>0.89412630999999998</v>
          </cell>
          <cell r="Q48">
            <v>0.92132556399999999</v>
          </cell>
          <cell r="R48">
            <v>0.948690268</v>
          </cell>
          <cell r="S48">
            <v>0.97631652499999999</v>
          </cell>
          <cell r="T48">
            <v>1.0048751440000001</v>
          </cell>
          <cell r="U48">
            <v>1.034207184</v>
          </cell>
          <cell r="V48">
            <v>1.0632461479999999</v>
          </cell>
          <cell r="W48">
            <v>1.0925342739999999</v>
          </cell>
          <cell r="X48">
            <v>1.1218352389999999</v>
          </cell>
          <cell r="Y48">
            <v>1.1520986609999999</v>
          </cell>
          <cell r="Z48">
            <v>1.182586277</v>
          </cell>
          <cell r="AA48">
            <v>1.2137601229999999</v>
          </cell>
          <cell r="AB48">
            <v>1.2446681289999999</v>
          </cell>
          <cell r="AC48">
            <v>1.2745033910000001</v>
          </cell>
          <cell r="AD48">
            <v>1.303490654</v>
          </cell>
          <cell r="AE48">
            <v>1.330074368</v>
          </cell>
          <cell r="AF48">
            <v>1.3552360269999999</v>
          </cell>
          <cell r="AG48">
            <v>1.379550842</v>
          </cell>
          <cell r="AH48">
            <v>1.4023888849999999</v>
          </cell>
          <cell r="AI48">
            <v>1.4235877349999999</v>
          </cell>
          <cell r="AJ48">
            <v>1.4433489829999999</v>
          </cell>
          <cell r="AK48">
            <v>1.458770393</v>
          </cell>
          <cell r="AL48">
            <v>1.471082359</v>
          </cell>
          <cell r="AM48">
            <v>1.4828318039999999</v>
          </cell>
          <cell r="AN48">
            <v>1.494021625</v>
          </cell>
          <cell r="AO48">
            <v>1.504467462</v>
          </cell>
          <cell r="AP48">
            <v>1.513947811</v>
          </cell>
          <cell r="AQ48">
            <v>1.52431253</v>
          </cell>
          <cell r="AR48">
            <v>1.5335444030000001</v>
          </cell>
          <cell r="AS48">
            <v>1.541337841</v>
          </cell>
          <cell r="AT48">
            <v>1.5484982309999999</v>
          </cell>
          <cell r="AU48">
            <v>1.553532956</v>
          </cell>
          <cell r="AV48">
            <v>1.5580328999999999</v>
          </cell>
          <cell r="AW48">
            <v>1.5621309409999999</v>
          </cell>
          <cell r="AX48">
            <v>1.565149213</v>
          </cell>
          <cell r="AY48">
            <v>1.5669731629999999</v>
          </cell>
          <cell r="AZ48">
            <v>1.568080366</v>
          </cell>
          <cell r="BA48">
            <v>1.569551932</v>
          </cell>
          <cell r="BB48">
            <v>1.5707194289999999</v>
          </cell>
          <cell r="BC48">
            <v>1.571142459</v>
          </cell>
          <cell r="BD48">
            <v>1.5697790190000001</v>
          </cell>
          <cell r="BE48">
            <v>1.567866934</v>
          </cell>
          <cell r="BF48">
            <v>1.5660875919999999</v>
          </cell>
          <cell r="BG48">
            <v>1.563683897</v>
          </cell>
          <cell r="BH48">
            <v>1.561745376</v>
          </cell>
          <cell r="BI48">
            <v>1.5589026239999999</v>
          </cell>
          <cell r="BJ48">
            <v>1.556328121</v>
          </cell>
          <cell r="BK48">
            <v>1.5535925770000001</v>
          </cell>
          <cell r="BL48">
            <v>1.5501131500000001</v>
          </cell>
          <cell r="BM48">
            <v>1.546734045</v>
          </cell>
          <cell r="BN48">
            <v>1.5433592739999999</v>
          </cell>
          <cell r="BO48">
            <v>1.539433877</v>
          </cell>
          <cell r="BP48">
            <v>1.5352832320000001</v>
          </cell>
          <cell r="BQ48">
            <v>1.5318970460000001</v>
          </cell>
          <cell r="BR48">
            <v>1.52872417</v>
          </cell>
          <cell r="BS48">
            <v>1.5257670939999901</v>
          </cell>
          <cell r="BT48">
            <v>1.522637442</v>
          </cell>
          <cell r="BU48">
            <v>1.520168964</v>
          </cell>
          <cell r="BV48">
            <v>1.517963317</v>
          </cell>
          <cell r="BW48">
            <v>1.5155209219999899</v>
          </cell>
          <cell r="BX48">
            <v>1.512790275</v>
          </cell>
          <cell r="BY48">
            <v>1.5099834059999999</v>
          </cell>
          <cell r="BZ48">
            <v>1.507210049</v>
          </cell>
          <cell r="CA48">
            <v>1.5043259</v>
          </cell>
          <cell r="CB48">
            <v>1.5016085320000001</v>
          </cell>
          <cell r="CC48">
            <v>1.4991177120000001</v>
          </cell>
          <cell r="CD48">
            <v>1.496671307</v>
          </cell>
          <cell r="CE48">
            <v>1.494058042</v>
          </cell>
          <cell r="CF48">
            <v>1.491566631</v>
          </cell>
          <cell r="CG48">
            <v>1.488795799</v>
          </cell>
          <cell r="CH48">
            <v>1.4860290650000001</v>
          </cell>
          <cell r="CI48">
            <v>1.4833739269999999</v>
          </cell>
          <cell r="CJ48">
            <v>1.4807132919999999</v>
          </cell>
          <cell r="CK48">
            <v>1.477839817</v>
          </cell>
          <cell r="CL48">
            <v>1.474996848</v>
          </cell>
          <cell r="CM48">
            <v>1.4720996120000001</v>
          </cell>
          <cell r="CN48">
            <v>1.468874333</v>
          </cell>
          <cell r="CO48">
            <v>1.465807045</v>
          </cell>
          <cell r="CP48">
            <v>1.462893496</v>
          </cell>
          <cell r="CQ48">
            <v>1.459515629</v>
          </cell>
          <cell r="CR48">
            <v>1.456601155</v>
          </cell>
          <cell r="CS48">
            <v>1.453949428</v>
          </cell>
          <cell r="CT48">
            <v>1.4514357899999999</v>
          </cell>
          <cell r="CU48">
            <v>1.4485727049999999</v>
          </cell>
          <cell r="CV48">
            <v>1.4458122849999999</v>
          </cell>
          <cell r="CW48">
            <v>1.44312825</v>
          </cell>
          <cell r="CX48">
            <v>1.4403960600000001</v>
          </cell>
          <cell r="CY48">
            <v>1.437786464</v>
          </cell>
          <cell r="CZ48">
            <v>1.435120518</v>
          </cell>
          <cell r="DA48">
            <v>1.4322546620000001</v>
          </cell>
          <cell r="DB48">
            <v>1.429043847</v>
          </cell>
        </row>
        <row r="49">
          <cell r="D49" t="str">
            <v>AR5 climate diagnostics|Temperature|Global Mean|MAGICC6|Expected value|Non CO2</v>
          </cell>
          <cell r="E49" t="str">
            <v>¬∞C</v>
          </cell>
          <cell r="F49">
            <v>0.17506596699999999</v>
          </cell>
          <cell r="K49">
            <v>0.18816334900000001</v>
          </cell>
          <cell r="P49">
            <v>0.222982388</v>
          </cell>
          <cell r="U49">
            <v>0.280886939</v>
          </cell>
          <cell r="Z49">
            <v>0.34428761899999999</v>
          </cell>
          <cell r="AE49">
            <v>0.40720752999999998</v>
          </cell>
          <cell r="AJ49">
            <v>0.45026803599999998</v>
          </cell>
          <cell r="AO49">
            <v>0.46365115000000001</v>
          </cell>
          <cell r="AT49">
            <v>0.46334404400000001</v>
          </cell>
          <cell r="AY49">
            <v>0.44847677800000002</v>
          </cell>
          <cell r="BD49">
            <v>0.42410684500000001</v>
          </cell>
          <cell r="BI49">
            <v>0.39404269200000003</v>
          </cell>
          <cell r="BN49">
            <v>0.36574062800000001</v>
          </cell>
          <cell r="BS49">
            <v>0.339466035</v>
          </cell>
          <cell r="BX49">
            <v>0.31776746900000002</v>
          </cell>
          <cell r="CC49">
            <v>0.300557672</v>
          </cell>
          <cell r="CH49">
            <v>0.28587674800000001</v>
          </cell>
          <cell r="CM49">
            <v>0.27286004699999999</v>
          </cell>
          <cell r="CR49">
            <v>0.26237660600000001</v>
          </cell>
          <cell r="CW49">
            <v>0.25411994799999998</v>
          </cell>
          <cell r="DB49">
            <v>0.24706036300000001</v>
          </cell>
        </row>
        <row r="50">
          <cell r="D50" t="str">
            <v>AR5 climate diagnostics|Temperature|Global Mean|MAGICC6|MED</v>
          </cell>
          <cell r="E50" t="str">
            <v>¬∞C</v>
          </cell>
          <cell r="F50">
            <v>0.71101935699999996</v>
          </cell>
          <cell r="G50">
            <v>0.73766668899999999</v>
          </cell>
          <cell r="H50">
            <v>0.75993302500000004</v>
          </cell>
          <cell r="I50">
            <v>0.77651398500000002</v>
          </cell>
          <cell r="J50">
            <v>0.79030678099999996</v>
          </cell>
          <cell r="K50">
            <v>0.80456433900000002</v>
          </cell>
          <cell r="L50">
            <v>0.822495227</v>
          </cell>
          <cell r="M50">
            <v>0.82249719600000004</v>
          </cell>
          <cell r="N50">
            <v>0.83682336599999996</v>
          </cell>
          <cell r="O50">
            <v>0.86557830499999999</v>
          </cell>
          <cell r="P50">
            <v>0.89309326499999997</v>
          </cell>
          <cell r="Q50">
            <v>0.91919750300000003</v>
          </cell>
          <cell r="R50">
            <v>0.94819269399999995</v>
          </cell>
          <cell r="S50">
            <v>0.97623513500000003</v>
          </cell>
          <cell r="T50">
            <v>1.0024927379999999</v>
          </cell>
          <cell r="U50">
            <v>1.030289491</v>
          </cell>
          <cell r="V50">
            <v>1.0575416710000001</v>
          </cell>
          <cell r="W50">
            <v>1.0849021780000001</v>
          </cell>
          <cell r="X50">
            <v>1.1141676789999999</v>
          </cell>
          <cell r="Y50">
            <v>1.143144267</v>
          </cell>
          <cell r="Z50">
            <v>1.173286399</v>
          </cell>
          <cell r="AA50">
            <v>1.2031719409999999</v>
          </cell>
          <cell r="AB50">
            <v>1.233407439</v>
          </cell>
          <cell r="AC50">
            <v>1.2619016249999999</v>
          </cell>
          <cell r="AD50">
            <v>1.2879127749999999</v>
          </cell>
          <cell r="AE50">
            <v>1.3135318599999899</v>
          </cell>
          <cell r="AF50">
            <v>1.337570164</v>
          </cell>
          <cell r="AG50">
            <v>1.362001891</v>
          </cell>
          <cell r="AH50">
            <v>1.382815125</v>
          </cell>
          <cell r="AI50">
            <v>1.4046557630000001</v>
          </cell>
          <cell r="AJ50">
            <v>1.4226853559999999</v>
          </cell>
          <cell r="AK50">
            <v>1.4358522149999999</v>
          </cell>
          <cell r="AL50">
            <v>1.4483810109999999</v>
          </cell>
          <cell r="AM50">
            <v>1.4602764589999999</v>
          </cell>
          <cell r="AN50">
            <v>1.4687492040000001</v>
          </cell>
          <cell r="AO50">
            <v>1.475778128</v>
          </cell>
          <cell r="AP50">
            <v>1.4853164919999999</v>
          </cell>
          <cell r="AQ50">
            <v>1.4936492770000001</v>
          </cell>
          <cell r="AR50">
            <v>1.499500338</v>
          </cell>
          <cell r="AS50">
            <v>1.504605886</v>
          </cell>
          <cell r="AT50">
            <v>1.5101721269999999</v>
          </cell>
          <cell r="AU50">
            <v>1.5149836489999999</v>
          </cell>
          <cell r="AV50">
            <v>1.5202559870000001</v>
          </cell>
          <cell r="AW50">
            <v>1.5238473130000001</v>
          </cell>
          <cell r="AX50">
            <v>1.5267970230000001</v>
          </cell>
          <cell r="AY50">
            <v>1.5273307270000001</v>
          </cell>
          <cell r="AZ50">
            <v>1.5262017079999901</v>
          </cell>
          <cell r="BA50">
            <v>1.526629265</v>
          </cell>
          <cell r="BB50">
            <v>1.527695391</v>
          </cell>
          <cell r="BC50">
            <v>1.5253277889999901</v>
          </cell>
          <cell r="BD50">
            <v>1.5224985600000001</v>
          </cell>
          <cell r="BE50">
            <v>1.518123804</v>
          </cell>
          <cell r="BF50">
            <v>1.514788228</v>
          </cell>
          <cell r="BG50">
            <v>1.5130741830000001</v>
          </cell>
          <cell r="BH50">
            <v>1.5105047700000001</v>
          </cell>
          <cell r="BI50">
            <v>1.5086749660000001</v>
          </cell>
          <cell r="BJ50">
            <v>1.507046855</v>
          </cell>
          <cell r="BK50">
            <v>1.5056667049999899</v>
          </cell>
          <cell r="BL50">
            <v>1.50352632</v>
          </cell>
          <cell r="BM50">
            <v>1.500605202</v>
          </cell>
          <cell r="BN50">
            <v>1.495166102</v>
          </cell>
          <cell r="BO50">
            <v>1.4920596209999999</v>
          </cell>
          <cell r="BP50">
            <v>1.4858354410000001</v>
          </cell>
          <cell r="BQ50">
            <v>1.481997571</v>
          </cell>
          <cell r="BR50">
            <v>1.479167036</v>
          </cell>
          <cell r="BS50">
            <v>1.476695928</v>
          </cell>
          <cell r="BT50">
            <v>1.473865593</v>
          </cell>
          <cell r="BU50">
            <v>1.4706353160000001</v>
          </cell>
          <cell r="BV50">
            <v>1.4679468389999999</v>
          </cell>
          <cell r="BW50">
            <v>1.463954288</v>
          </cell>
          <cell r="BX50">
            <v>1.460574313</v>
          </cell>
          <cell r="BY50">
            <v>1.4571871080000001</v>
          </cell>
          <cell r="BZ50">
            <v>1.4533757709999999</v>
          </cell>
          <cell r="CA50">
            <v>1.4498299779999999</v>
          </cell>
          <cell r="CB50">
            <v>1.4462319219999999</v>
          </cell>
          <cell r="CC50">
            <v>1.4436793969999999</v>
          </cell>
          <cell r="CD50">
            <v>1.440990676</v>
          </cell>
          <cell r="CE50">
            <v>1.4374212959999999</v>
          </cell>
          <cell r="CF50">
            <v>1.434199711</v>
          </cell>
          <cell r="CG50">
            <v>1.4311350249999999</v>
          </cell>
          <cell r="CH50">
            <v>1.426967951</v>
          </cell>
          <cell r="CI50">
            <v>1.422833061</v>
          </cell>
          <cell r="CJ50">
            <v>1.419193248</v>
          </cell>
          <cell r="CK50">
            <v>1.415897398</v>
          </cell>
          <cell r="CL50">
            <v>1.412669822</v>
          </cell>
          <cell r="CM50">
            <v>1.4086534610000001</v>
          </cell>
          <cell r="CN50">
            <v>1.4051203699999999</v>
          </cell>
          <cell r="CO50">
            <v>1.401573969</v>
          </cell>
          <cell r="CP50">
            <v>1.3980218849999999</v>
          </cell>
          <cell r="CQ50">
            <v>1.3954863159999999</v>
          </cell>
          <cell r="CR50">
            <v>1.39324665</v>
          </cell>
          <cell r="CS50">
            <v>1.3910705649999999</v>
          </cell>
          <cell r="CT50">
            <v>1.388662769</v>
          </cell>
          <cell r="CU50">
            <v>1.3862456599999999</v>
          </cell>
          <cell r="CV50">
            <v>1.383411602</v>
          </cell>
          <cell r="CW50">
            <v>1.380170465</v>
          </cell>
          <cell r="CX50">
            <v>1.3778674660000001</v>
          </cell>
          <cell r="CY50">
            <v>1.3750874230000001</v>
          </cell>
          <cell r="CZ50">
            <v>1.37204339</v>
          </cell>
          <cell r="DA50">
            <v>1.369002418</v>
          </cell>
          <cell r="DB50">
            <v>1.3662293249999999</v>
          </cell>
        </row>
        <row r="51">
          <cell r="D51" t="str">
            <v>AR5 climate diagnostics|Temperature|Global Mean|MAGICC6|P5</v>
          </cell>
          <cell r="E51" t="str">
            <v>¬∞C</v>
          </cell>
          <cell r="F51">
            <v>0.68814304400000004</v>
          </cell>
          <cell r="G51">
            <v>0.70806804700000003</v>
          </cell>
          <cell r="H51">
            <v>0.725291134</v>
          </cell>
          <cell r="I51">
            <v>0.73813671000000003</v>
          </cell>
          <cell r="J51">
            <v>0.74901405099999996</v>
          </cell>
          <cell r="K51">
            <v>0.75952341400000001</v>
          </cell>
          <cell r="L51">
            <v>0.77144199099999999</v>
          </cell>
          <cell r="M51">
            <v>0.76903924300000004</v>
          </cell>
          <cell r="N51">
            <v>0.777568551</v>
          </cell>
          <cell r="O51">
            <v>0.80103528300000004</v>
          </cell>
          <cell r="P51">
            <v>0.82133013099999996</v>
          </cell>
          <cell r="Q51">
            <v>0.84024144599999995</v>
          </cell>
          <cell r="R51">
            <v>0.85830488400000005</v>
          </cell>
          <cell r="S51">
            <v>0.87654596699999998</v>
          </cell>
          <cell r="T51">
            <v>0.89428832000000003</v>
          </cell>
          <cell r="U51">
            <v>0.91336156099999999</v>
          </cell>
          <cell r="V51">
            <v>0.93188100799999996</v>
          </cell>
          <cell r="W51">
            <v>0.95029736399999998</v>
          </cell>
          <cell r="X51">
            <v>0.96913052200000005</v>
          </cell>
          <cell r="Y51">
            <v>0.98861482099999998</v>
          </cell>
          <cell r="Z51">
            <v>1.0085034429999999</v>
          </cell>
          <cell r="AA51">
            <v>1.0276362910000001</v>
          </cell>
          <cell r="AB51">
            <v>1.04534098</v>
          </cell>
          <cell r="AC51">
            <v>1.062385398</v>
          </cell>
          <cell r="AD51">
            <v>1.07652718</v>
          </cell>
          <cell r="AE51">
            <v>1.0892624870000001</v>
          </cell>
          <cell r="AF51">
            <v>1.098072945</v>
          </cell>
          <cell r="AG51">
            <v>1.1040624999999999</v>
          </cell>
          <cell r="AH51">
            <v>1.1101607179999999</v>
          </cell>
          <cell r="AI51">
            <v>1.118406005</v>
          </cell>
          <cell r="AJ51">
            <v>1.1259428439999899</v>
          </cell>
          <cell r="AK51">
            <v>1.130125431</v>
          </cell>
          <cell r="AL51">
            <v>1.1327144090000001</v>
          </cell>
          <cell r="AM51">
            <v>1.1341670639999999</v>
          </cell>
          <cell r="AN51">
            <v>1.1361549630000001</v>
          </cell>
          <cell r="AO51">
            <v>1.1392753769999999</v>
          </cell>
          <cell r="AP51">
            <v>1.141755885</v>
          </cell>
          <cell r="AQ51">
            <v>1.1432378620000001</v>
          </cell>
          <cell r="AR51">
            <v>1.144377628</v>
          </cell>
          <cell r="AS51">
            <v>1.1451885470000001</v>
          </cell>
          <cell r="AT51">
            <v>1.145188415</v>
          </cell>
          <cell r="AU51">
            <v>1.144097055</v>
          </cell>
          <cell r="AV51">
            <v>1.142521219</v>
          </cell>
          <cell r="AW51">
            <v>1.1405813680000001</v>
          </cell>
          <cell r="AX51">
            <v>1.138138836</v>
          </cell>
          <cell r="AY51">
            <v>1.134540393</v>
          </cell>
          <cell r="AZ51">
            <v>1.130747028</v>
          </cell>
          <cell r="BA51">
            <v>1.126973818</v>
          </cell>
          <cell r="BB51">
            <v>1.1227781290000001</v>
          </cell>
          <cell r="BC51">
            <v>1.117495688</v>
          </cell>
          <cell r="BD51">
            <v>1.1116331829999999</v>
          </cell>
          <cell r="BE51">
            <v>1.105338427</v>
          </cell>
          <cell r="BF51">
            <v>1.0990267739999999</v>
          </cell>
          <cell r="BG51">
            <v>1.092803432</v>
          </cell>
          <cell r="BH51">
            <v>1.0866509579999999</v>
          </cell>
          <cell r="BI51">
            <v>1.0805738039999999</v>
          </cell>
          <cell r="BJ51">
            <v>1.074574183</v>
          </cell>
          <cell r="BK51">
            <v>1.069232932</v>
          </cell>
          <cell r="BL51">
            <v>1.0643750380000001</v>
          </cell>
          <cell r="BM51">
            <v>1.05957507</v>
          </cell>
          <cell r="BN51">
            <v>1.0548486960000001</v>
          </cell>
          <cell r="BO51">
            <v>1.0502023300000001</v>
          </cell>
          <cell r="BP51">
            <v>1.0456502050000001</v>
          </cell>
          <cell r="BQ51">
            <v>1.0411964499999999</v>
          </cell>
          <cell r="BR51">
            <v>1.0368381520000001</v>
          </cell>
          <cell r="BS51">
            <v>1.0325704200000001</v>
          </cell>
          <cell r="BT51">
            <v>1.028387165</v>
          </cell>
          <cell r="BU51">
            <v>1.02428176</v>
          </cell>
          <cell r="BV51">
            <v>1.0202473830000001</v>
          </cell>
          <cell r="BW51">
            <v>1.0162772339999999</v>
          </cell>
          <cell r="BX51">
            <v>1.0123271620000001</v>
          </cell>
          <cell r="BY51">
            <v>1.0083674540000001</v>
          </cell>
          <cell r="BZ51">
            <v>1.0044499739999999</v>
          </cell>
          <cell r="CA51">
            <v>1.000592927</v>
          </cell>
          <cell r="CB51">
            <v>0.99679769799999995</v>
          </cell>
          <cell r="CC51">
            <v>0.99220860399999999</v>
          </cell>
          <cell r="CD51">
            <v>0.98727183799999996</v>
          </cell>
          <cell r="CE51">
            <v>0.98205292300000002</v>
          </cell>
          <cell r="CF51">
            <v>0.976908797</v>
          </cell>
          <cell r="CG51">
            <v>0.97157502100000004</v>
          </cell>
          <cell r="CH51">
            <v>0.96582831700000005</v>
          </cell>
          <cell r="CI51">
            <v>0.960174321</v>
          </cell>
          <cell r="CJ51">
            <v>0.95460425000000004</v>
          </cell>
          <cell r="CK51">
            <v>0.94910972500000002</v>
          </cell>
          <cell r="CL51">
            <v>0.94368446699999997</v>
          </cell>
          <cell r="CM51">
            <v>0.93832310399999996</v>
          </cell>
          <cell r="CN51">
            <v>0.93302084600000001</v>
          </cell>
          <cell r="CO51">
            <v>0.92777330899999999</v>
          </cell>
          <cell r="CP51">
            <v>0.92445491199999996</v>
          </cell>
          <cell r="CQ51">
            <v>0.92119321899999995</v>
          </cell>
          <cell r="CR51">
            <v>0.91796906199999995</v>
          </cell>
          <cell r="CS51">
            <v>0.91479215700000005</v>
          </cell>
          <cell r="CT51">
            <v>0.91164491999999997</v>
          </cell>
          <cell r="CU51">
            <v>0.90852814900000001</v>
          </cell>
          <cell r="CV51">
            <v>0.90544563899999997</v>
          </cell>
          <cell r="CW51">
            <v>0.902397326</v>
          </cell>
          <cell r="CX51">
            <v>0.89938192500000003</v>
          </cell>
          <cell r="CY51">
            <v>0.89639779500000005</v>
          </cell>
          <cell r="CZ51">
            <v>0.89344321699999996</v>
          </cell>
          <cell r="DA51">
            <v>0.89051650299999996</v>
          </cell>
          <cell r="DB51">
            <v>0.887540404</v>
          </cell>
        </row>
        <row r="52">
          <cell r="D52" t="str">
            <v>AR5 climate diagnostics|Temperature|Global Mean|MAGICC6|P66</v>
          </cell>
          <cell r="E52" t="str">
            <v>¬∞C</v>
          </cell>
          <cell r="F52">
            <v>0.71879779899999996</v>
          </cell>
          <cell r="G52">
            <v>0.747337539</v>
          </cell>
          <cell r="H52">
            <v>0.77086890600000002</v>
          </cell>
          <cell r="I52">
            <v>0.78909459900000001</v>
          </cell>
          <cell r="J52">
            <v>0.80457654199999995</v>
          </cell>
          <cell r="K52">
            <v>0.82221749200000005</v>
          </cell>
          <cell r="L52">
            <v>0.84284598300000002</v>
          </cell>
          <cell r="M52">
            <v>0.84137597200000003</v>
          </cell>
          <cell r="N52">
            <v>0.85515439500000001</v>
          </cell>
          <cell r="O52">
            <v>0.88399409100000004</v>
          </cell>
          <cell r="P52">
            <v>0.91111995700000004</v>
          </cell>
          <cell r="Q52">
            <v>0.93996953500000002</v>
          </cell>
          <cell r="R52">
            <v>0.96919094299999997</v>
          </cell>
          <cell r="S52">
            <v>0.999048253</v>
          </cell>
          <cell r="T52">
            <v>1.0297972689999999</v>
          </cell>
          <cell r="U52">
            <v>1.060808832</v>
          </cell>
          <cell r="V52">
            <v>1.0911334049999999</v>
          </cell>
          <cell r="W52">
            <v>1.1207439239999999</v>
          </cell>
          <cell r="X52">
            <v>1.153766294</v>
          </cell>
          <cell r="Y52">
            <v>1.1854501369999999</v>
          </cell>
          <cell r="Z52">
            <v>1.2172831239999999</v>
          </cell>
          <cell r="AA52">
            <v>1.2497187400000001</v>
          </cell>
          <cell r="AB52">
            <v>1.2829012049999999</v>
          </cell>
          <cell r="AC52">
            <v>1.3146189960000001</v>
          </cell>
          <cell r="AD52">
            <v>1.3460817519999999</v>
          </cell>
          <cell r="AE52">
            <v>1.3749413880000001</v>
          </cell>
          <cell r="AF52">
            <v>1.4043629559999999</v>
          </cell>
          <cell r="AG52">
            <v>1.431565551</v>
          </cell>
          <cell r="AH52">
            <v>1.454321464</v>
          </cell>
          <cell r="AI52">
            <v>1.4774674560000001</v>
          </cell>
          <cell r="AJ52">
            <v>1.501346925</v>
          </cell>
          <cell r="AK52">
            <v>1.516612904</v>
          </cell>
          <cell r="AL52">
            <v>1.5337087060000001</v>
          </cell>
          <cell r="AM52">
            <v>1.548985268</v>
          </cell>
          <cell r="AN52">
            <v>1.562760175</v>
          </cell>
          <cell r="AO52">
            <v>1.575088966</v>
          </cell>
          <cell r="AP52">
            <v>1.5875304830000001</v>
          </cell>
          <cell r="AQ52">
            <v>1.5996086469999999</v>
          </cell>
          <cell r="AR52">
            <v>1.610408437</v>
          </cell>
          <cell r="AS52">
            <v>1.6220580579999999</v>
          </cell>
          <cell r="AT52">
            <v>1.6301939329999999</v>
          </cell>
          <cell r="AU52">
            <v>1.635820378</v>
          </cell>
          <cell r="AV52">
            <v>1.639284811</v>
          </cell>
          <cell r="AW52">
            <v>1.6439749450000001</v>
          </cell>
          <cell r="AX52">
            <v>1.6468930260000001</v>
          </cell>
          <cell r="AY52">
            <v>1.6479469229999999</v>
          </cell>
          <cell r="AZ52">
            <v>1.6498250910000001</v>
          </cell>
          <cell r="BA52">
            <v>1.6524130989999899</v>
          </cell>
          <cell r="BB52">
            <v>1.656623242</v>
          </cell>
          <cell r="BC52">
            <v>1.6579471539999999</v>
          </cell>
          <cell r="BD52">
            <v>1.660578551</v>
          </cell>
          <cell r="BE52">
            <v>1.660806926</v>
          </cell>
          <cell r="BF52">
            <v>1.660261201</v>
          </cell>
          <cell r="BG52">
            <v>1.6594871200000001</v>
          </cell>
          <cell r="BH52">
            <v>1.6605186999999999</v>
          </cell>
          <cell r="BI52">
            <v>1.6597135139999999</v>
          </cell>
          <cell r="BJ52">
            <v>1.655879329</v>
          </cell>
          <cell r="BK52">
            <v>1.653215742</v>
          </cell>
          <cell r="BL52">
            <v>1.6503415299999999</v>
          </cell>
          <cell r="BM52">
            <v>1.6485582130000001</v>
          </cell>
          <cell r="BN52">
            <v>1.647060457</v>
          </cell>
          <cell r="BO52">
            <v>1.644426349</v>
          </cell>
          <cell r="BP52">
            <v>1.6414902689999999</v>
          </cell>
          <cell r="BQ52">
            <v>1.6382136249999999</v>
          </cell>
          <cell r="BR52">
            <v>1.636285548</v>
          </cell>
          <cell r="BS52">
            <v>1.6330579999999999</v>
          </cell>
          <cell r="BT52">
            <v>1.6298545719999999</v>
          </cell>
          <cell r="BU52">
            <v>1.6266727269999901</v>
          </cell>
          <cell r="BV52">
            <v>1.623919828</v>
          </cell>
          <cell r="BW52">
            <v>1.620750881</v>
          </cell>
          <cell r="BX52">
            <v>1.618225373</v>
          </cell>
          <cell r="BY52">
            <v>1.615407279</v>
          </cell>
          <cell r="BZ52">
            <v>1.613272584</v>
          </cell>
          <cell r="CA52">
            <v>1.6112025459999999</v>
          </cell>
          <cell r="CB52">
            <v>1.6091515249999999</v>
          </cell>
          <cell r="CC52">
            <v>1.6063877660000001</v>
          </cell>
          <cell r="CD52">
            <v>1.60326485</v>
          </cell>
          <cell r="CE52">
            <v>1.6003325689999901</v>
          </cell>
          <cell r="CF52">
            <v>1.5974064189999999</v>
          </cell>
          <cell r="CG52">
            <v>1.5939855700000001</v>
          </cell>
          <cell r="CH52">
            <v>1.591273108</v>
          </cell>
          <cell r="CI52">
            <v>1.5877701280000001</v>
          </cell>
          <cell r="CJ52">
            <v>1.585186639</v>
          </cell>
          <cell r="CK52">
            <v>1.582838948</v>
          </cell>
          <cell r="CL52">
            <v>1.5794385630000001</v>
          </cell>
          <cell r="CM52">
            <v>1.577071796</v>
          </cell>
          <cell r="CN52">
            <v>1.5730781620000001</v>
          </cell>
          <cell r="CO52">
            <v>1.570451389</v>
          </cell>
          <cell r="CP52">
            <v>1.567837589</v>
          </cell>
          <cell r="CQ52">
            <v>1.5649402370000001</v>
          </cell>
          <cell r="CR52">
            <v>1.5614723429999999</v>
          </cell>
          <cell r="CS52">
            <v>1.5581364090000001</v>
          </cell>
          <cell r="CT52">
            <v>1.554538644</v>
          </cell>
          <cell r="CU52">
            <v>1.552455683</v>
          </cell>
          <cell r="CV52">
            <v>1.5494761539999999</v>
          </cell>
          <cell r="CW52">
            <v>1.545672623</v>
          </cell>
          <cell r="CX52">
            <v>1.541892569</v>
          </cell>
          <cell r="CY52">
            <v>1.538645389</v>
          </cell>
          <cell r="CZ52">
            <v>1.535946729</v>
          </cell>
          <cell r="DA52">
            <v>1.533709242</v>
          </cell>
          <cell r="DB52">
            <v>1.53088775</v>
          </cell>
        </row>
        <row r="53">
          <cell r="D53" t="str">
            <v>AR5 climate diagnostics|Temperature|Global Mean|MAGICC6|P90</v>
          </cell>
          <cell r="E53" t="str">
            <v>¬∞C</v>
          </cell>
          <cell r="F53">
            <v>0.73287422499999999</v>
          </cell>
          <cell r="G53">
            <v>0.76460505999999995</v>
          </cell>
          <cell r="H53">
            <v>0.791000017</v>
          </cell>
          <cell r="I53">
            <v>0.81167711600000003</v>
          </cell>
          <cell r="J53">
            <v>0.82928265400000001</v>
          </cell>
          <cell r="K53">
            <v>0.85042820600000002</v>
          </cell>
          <cell r="L53">
            <v>0.872966833</v>
          </cell>
          <cell r="M53">
            <v>0.87193613199999997</v>
          </cell>
          <cell r="N53">
            <v>0.88977898</v>
          </cell>
          <cell r="O53">
            <v>0.918738587</v>
          </cell>
          <cell r="P53">
            <v>0.95293048300000005</v>
          </cell>
          <cell r="Q53">
            <v>0.98809355899999995</v>
          </cell>
          <cell r="R53">
            <v>1.024223114</v>
          </cell>
          <cell r="S53">
            <v>1.0627686670000001</v>
          </cell>
          <cell r="T53">
            <v>1.098348444</v>
          </cell>
          <cell r="U53">
            <v>1.1363984069999999</v>
          </cell>
          <cell r="V53">
            <v>1.174735136</v>
          </cell>
          <cell r="W53">
            <v>1.2170461990000001</v>
          </cell>
          <cell r="X53">
            <v>1.257609813</v>
          </cell>
          <cell r="Y53">
            <v>1.3000353069999999</v>
          </cell>
          <cell r="Z53">
            <v>1.3430463939999999</v>
          </cell>
          <cell r="AA53">
            <v>1.387124955</v>
          </cell>
          <cell r="AB53">
            <v>1.4309147529999999</v>
          </cell>
          <cell r="AC53">
            <v>1.476204493</v>
          </cell>
          <cell r="AD53">
            <v>1.5169711180000001</v>
          </cell>
          <cell r="AE53">
            <v>1.5597218420000001</v>
          </cell>
          <cell r="AF53">
            <v>1.5978219600000001</v>
          </cell>
          <cell r="AG53">
            <v>1.6355078359999999</v>
          </cell>
          <cell r="AH53">
            <v>1.666142016</v>
          </cell>
          <cell r="AI53">
            <v>1.6958093219999999</v>
          </cell>
          <cell r="AJ53">
            <v>1.7255631870000001</v>
          </cell>
          <cell r="AK53">
            <v>1.748701421</v>
          </cell>
          <cell r="AL53">
            <v>1.762467341</v>
          </cell>
          <cell r="AM53">
            <v>1.779026233</v>
          </cell>
          <cell r="AN53">
            <v>1.7967031899999999</v>
          </cell>
          <cell r="AO53">
            <v>1.8153478940000001</v>
          </cell>
          <cell r="AP53">
            <v>1.838458879</v>
          </cell>
          <cell r="AQ53">
            <v>1.860808169</v>
          </cell>
          <cell r="AR53">
            <v>1.8820737190000001</v>
          </cell>
          <cell r="AS53">
            <v>1.897691011</v>
          </cell>
          <cell r="AT53">
            <v>1.915595116</v>
          </cell>
          <cell r="AU53">
            <v>1.9300494210000001</v>
          </cell>
          <cell r="AV53">
            <v>1.946390318</v>
          </cell>
          <cell r="AW53">
            <v>1.959189584</v>
          </cell>
          <cell r="AX53">
            <v>1.971992341</v>
          </cell>
          <cell r="AY53">
            <v>1.9817772819999999</v>
          </cell>
          <cell r="AZ53">
            <v>1.9932186629999999</v>
          </cell>
          <cell r="BA53">
            <v>2.0041093879999998</v>
          </cell>
          <cell r="BB53">
            <v>2.014291182</v>
          </cell>
          <cell r="BC53">
            <v>2.0184656749999998</v>
          </cell>
          <cell r="BD53">
            <v>2.0179000779999998</v>
          </cell>
          <cell r="BE53">
            <v>2.023612934</v>
          </cell>
          <cell r="BF53">
            <v>2.0264418530000001</v>
          </cell>
          <cell r="BG53">
            <v>2.0275072920000001</v>
          </cell>
          <cell r="BH53">
            <v>2.0291192439999999</v>
          </cell>
          <cell r="BI53">
            <v>2.0294031729999999</v>
          </cell>
          <cell r="BJ53">
            <v>2.0307044159999998</v>
          </cell>
          <cell r="BK53">
            <v>2.0302723970000001</v>
          </cell>
          <cell r="BL53">
            <v>2.031769089</v>
          </cell>
          <cell r="BM53">
            <v>2.028202667</v>
          </cell>
          <cell r="BN53">
            <v>2.0252129650000001</v>
          </cell>
          <cell r="BO53">
            <v>2.023806064</v>
          </cell>
          <cell r="BP53">
            <v>2.0241438270000001</v>
          </cell>
          <cell r="BQ53">
            <v>2.0262092740000002</v>
          </cell>
          <cell r="BR53">
            <v>2.0306178020000001</v>
          </cell>
          <cell r="BS53">
            <v>2.0348934339999998</v>
          </cell>
          <cell r="BT53">
            <v>2.0375100769999999</v>
          </cell>
          <cell r="BU53">
            <v>2.0349198770000001</v>
          </cell>
          <cell r="BV53">
            <v>2.0317225360000002</v>
          </cell>
          <cell r="BW53">
            <v>2.0289888789999999</v>
          </cell>
          <cell r="BX53">
            <v>2.0292048500000002</v>
          </cell>
          <cell r="BY53">
            <v>2.0292542340000002</v>
          </cell>
          <cell r="BZ53">
            <v>2.029202223</v>
          </cell>
          <cell r="CA53">
            <v>2.029077037</v>
          </cell>
          <cell r="CB53">
            <v>2.0288895189999998</v>
          </cell>
          <cell r="CC53">
            <v>2.0286466829999998</v>
          </cell>
          <cell r="CD53">
            <v>2.0283528070000001</v>
          </cell>
          <cell r="CE53">
            <v>2.0280103839999999</v>
          </cell>
          <cell r="CF53">
            <v>2.0276207249999998</v>
          </cell>
          <cell r="CG53">
            <v>2.0247360919999999</v>
          </cell>
          <cell r="CH53">
            <v>2.0215575939999999</v>
          </cell>
          <cell r="CI53">
            <v>2.0183632729999998</v>
          </cell>
          <cell r="CJ53">
            <v>2.0126043199999999</v>
          </cell>
          <cell r="CK53">
            <v>2.004955764</v>
          </cell>
          <cell r="CL53">
            <v>1.99737312</v>
          </cell>
          <cell r="CM53">
            <v>1.995176345</v>
          </cell>
          <cell r="CN53">
            <v>1.992941023</v>
          </cell>
          <cell r="CO53">
            <v>1.9906658129999999</v>
          </cell>
          <cell r="CP53">
            <v>1.988349401</v>
          </cell>
          <cell r="CQ53">
            <v>1.9891907870000001</v>
          </cell>
          <cell r="CR53">
            <v>1.990247828</v>
          </cell>
          <cell r="CS53">
            <v>1.9901302270000001</v>
          </cell>
          <cell r="CT53">
            <v>1.98752555</v>
          </cell>
          <cell r="CU53">
            <v>1.9849288140000001</v>
          </cell>
          <cell r="CV53">
            <v>1.982339877</v>
          </cell>
          <cell r="CW53">
            <v>1.979757733</v>
          </cell>
          <cell r="CX53">
            <v>1.977181077</v>
          </cell>
          <cell r="CY53">
            <v>1.9771896520000001</v>
          </cell>
          <cell r="CZ53">
            <v>1.9783661969999999</v>
          </cell>
          <cell r="DA53">
            <v>1.9795164670000001</v>
          </cell>
          <cell r="DB53">
            <v>1.9786171399999899</v>
          </cell>
        </row>
        <row r="54">
          <cell r="D54" t="str">
            <v>AR5 climate diagnostics|Temperature|Global Mean|MAGICC6|P95</v>
          </cell>
          <cell r="E54" t="str">
            <v>¬∞C</v>
          </cell>
          <cell r="F54">
            <v>0.74060264200000003</v>
          </cell>
          <cell r="G54">
            <v>0.77327163099999996</v>
          </cell>
          <cell r="H54">
            <v>0.79975793299999998</v>
          </cell>
          <cell r="I54">
            <v>0.82160102700000004</v>
          </cell>
          <cell r="J54">
            <v>0.83991713099999998</v>
          </cell>
          <cell r="K54">
            <v>0.86278578100000003</v>
          </cell>
          <cell r="L54">
            <v>0.88660057599999997</v>
          </cell>
          <cell r="M54">
            <v>0.88409343900000004</v>
          </cell>
          <cell r="N54">
            <v>0.904662148</v>
          </cell>
          <cell r="O54">
            <v>0.93404852400000005</v>
          </cell>
          <cell r="P54">
            <v>0.97221132600000004</v>
          </cell>
          <cell r="Q54">
            <v>1.012112208</v>
          </cell>
          <cell r="R54">
            <v>1.0529401759999999</v>
          </cell>
          <cell r="S54">
            <v>1.094326607</v>
          </cell>
          <cell r="T54">
            <v>1.1395138680000001</v>
          </cell>
          <cell r="U54">
            <v>1.1832751399999999</v>
          </cell>
          <cell r="V54">
            <v>1.2279345100000001</v>
          </cell>
          <cell r="W54">
            <v>1.2715594859999999</v>
          </cell>
          <cell r="X54">
            <v>1.3140158820000001</v>
          </cell>
          <cell r="Y54">
            <v>1.362622717</v>
          </cell>
          <cell r="Z54">
            <v>1.4113150699999999</v>
          </cell>
          <cell r="AA54">
            <v>1.4595352109999999</v>
          </cell>
          <cell r="AB54">
            <v>1.5112800559999999</v>
          </cell>
          <cell r="AC54">
            <v>1.557933891</v>
          </cell>
          <cell r="AD54">
            <v>1.6070418200000001</v>
          </cell>
          <cell r="AE54">
            <v>1.653229807</v>
          </cell>
          <cell r="AF54">
            <v>1.7006511710000001</v>
          </cell>
          <cell r="AG54">
            <v>1.745463934</v>
          </cell>
          <cell r="AH54">
            <v>1.7873415399999999</v>
          </cell>
          <cell r="AI54">
            <v>1.8248586250000001</v>
          </cell>
          <cell r="AJ54">
            <v>1.8658000450000001</v>
          </cell>
          <cell r="AK54">
            <v>1.8960005470000001</v>
          </cell>
          <cell r="AL54">
            <v>1.9185033170000001</v>
          </cell>
          <cell r="AM54">
            <v>1.938128659</v>
          </cell>
          <cell r="AN54">
            <v>1.959907182</v>
          </cell>
          <cell r="AO54">
            <v>1.978740301</v>
          </cell>
          <cell r="AP54">
            <v>1.9992080400000001</v>
          </cell>
          <cell r="AQ54">
            <v>2.0237305800000001</v>
          </cell>
          <cell r="AR54">
            <v>2.0448627859999999</v>
          </cell>
          <cell r="AS54">
            <v>2.0669303970000001</v>
          </cell>
          <cell r="AT54">
            <v>2.086338901</v>
          </cell>
          <cell r="AU54">
            <v>2.0977553630000001</v>
          </cell>
          <cell r="AV54">
            <v>2.1133017000000001</v>
          </cell>
          <cell r="AW54">
            <v>2.1285568079999999</v>
          </cell>
          <cell r="AX54">
            <v>2.1427133509999998</v>
          </cell>
          <cell r="AY54">
            <v>2.1520408839999998</v>
          </cell>
          <cell r="AZ54">
            <v>2.1640671920000001</v>
          </cell>
          <cell r="BA54">
            <v>2.177464552</v>
          </cell>
          <cell r="BB54">
            <v>2.1895401890000001</v>
          </cell>
          <cell r="BC54">
            <v>2.192750148</v>
          </cell>
          <cell r="BD54">
            <v>2.1947793440000001</v>
          </cell>
          <cell r="BE54">
            <v>2.1986580820000001</v>
          </cell>
          <cell r="BF54">
            <v>2.2034097899999998</v>
          </cell>
          <cell r="BG54">
            <v>2.2082065690000001</v>
          </cell>
          <cell r="BH54">
            <v>2.2129182969999999</v>
          </cell>
          <cell r="BI54">
            <v>2.2171632699999999</v>
          </cell>
          <cell r="BJ54">
            <v>2.2209934150000001</v>
          </cell>
          <cell r="BK54">
            <v>2.2232540690000002</v>
          </cell>
          <cell r="BL54">
            <v>2.221492552</v>
          </cell>
          <cell r="BM54">
            <v>2.2172028199999998</v>
          </cell>
          <cell r="BN54">
            <v>2.214754144</v>
          </cell>
          <cell r="BO54">
            <v>2.209912208</v>
          </cell>
          <cell r="BP54">
            <v>2.2035787359999999</v>
          </cell>
          <cell r="BQ54">
            <v>2.1979368359999998</v>
          </cell>
          <cell r="BR54">
            <v>2.191778566</v>
          </cell>
          <cell r="BS54">
            <v>2.1895096380000001</v>
          </cell>
          <cell r="BT54">
            <v>2.1882629210000002</v>
          </cell>
          <cell r="BU54">
            <v>2.190422785</v>
          </cell>
          <cell r="BV54">
            <v>2.1926819740000001</v>
          </cell>
          <cell r="BW54">
            <v>2.1948528789999999</v>
          </cell>
          <cell r="BX54">
            <v>2.196879445</v>
          </cell>
          <cell r="BY54">
            <v>2.199711239</v>
          </cell>
          <cell r="BZ54">
            <v>2.2016501129999999</v>
          </cell>
          <cell r="CA54">
            <v>2.2034929989999998</v>
          </cell>
          <cell r="CB54">
            <v>2.2052547599999999</v>
          </cell>
          <cell r="CC54">
            <v>2.2069454959999999</v>
          </cell>
          <cell r="CD54">
            <v>2.208571976</v>
          </cell>
          <cell r="CE54">
            <v>2.2101387469999998</v>
          </cell>
          <cell r="CF54">
            <v>2.2142216970000002</v>
          </cell>
          <cell r="CG54">
            <v>2.2145895759999998</v>
          </cell>
          <cell r="CH54">
            <v>2.2166579209999999</v>
          </cell>
          <cell r="CI54">
            <v>2.2203933569999998</v>
          </cell>
          <cell r="CJ54">
            <v>2.2240510269999998</v>
          </cell>
          <cell r="CK54">
            <v>2.227631111</v>
          </cell>
          <cell r="CL54">
            <v>2.2292656439999998</v>
          </cell>
          <cell r="CM54">
            <v>2.2301649769999998</v>
          </cell>
          <cell r="CN54">
            <v>2.230971566</v>
          </cell>
          <cell r="CO54">
            <v>2.2316851309999999</v>
          </cell>
          <cell r="CP54">
            <v>2.2317980660000001</v>
          </cell>
          <cell r="CQ54">
            <v>2.22923217</v>
          </cell>
          <cell r="CR54">
            <v>2.227372055</v>
          </cell>
          <cell r="CS54">
            <v>2.2284615840000002</v>
          </cell>
          <cell r="CT54">
            <v>2.2319231180000001</v>
          </cell>
          <cell r="CU54">
            <v>2.234906337</v>
          </cell>
          <cell r="CV54">
            <v>2.2354281399999998</v>
          </cell>
          <cell r="CW54">
            <v>2.2359103610000002</v>
          </cell>
          <cell r="CX54">
            <v>2.2356544999999999</v>
          </cell>
          <cell r="CY54">
            <v>2.2360302669999998</v>
          </cell>
          <cell r="CZ54">
            <v>2.2363910530000002</v>
          </cell>
          <cell r="DA54">
            <v>2.23617475</v>
          </cell>
          <cell r="DB54">
            <v>2.2342104840000001</v>
          </cell>
        </row>
        <row r="55">
          <cell r="D55" t="str">
            <v>Agricultural Demand</v>
          </cell>
          <cell r="E55" t="str">
            <v>million t DM/yr</v>
          </cell>
          <cell r="F55">
            <v>2699.0252869999999</v>
          </cell>
          <cell r="K55">
            <v>3029.639412</v>
          </cell>
          <cell r="P55">
            <v>3360.2535360000002</v>
          </cell>
          <cell r="Z55">
            <v>4141.0517069999996</v>
          </cell>
          <cell r="AJ55">
            <v>4733.7926040000002</v>
          </cell>
          <cell r="AT55">
            <v>5197.4894389999999</v>
          </cell>
          <cell r="BD55">
            <v>5880.9815399999998</v>
          </cell>
          <cell r="BN55">
            <v>6905.9017599999997</v>
          </cell>
          <cell r="BX55">
            <v>7998.9181900000003</v>
          </cell>
          <cell r="CH55">
            <v>8630.4483049999999</v>
          </cell>
          <cell r="CR55">
            <v>9186.5500670000001</v>
          </cell>
          <cell r="DB55">
            <v>8899.7754199999999</v>
          </cell>
        </row>
        <row r="56">
          <cell r="D56" t="str">
            <v>Agricultural Demand|Crops|Energy</v>
          </cell>
          <cell r="E56" t="str">
            <v>million t DM/yr</v>
          </cell>
          <cell r="F56">
            <v>55.203946190000003</v>
          </cell>
          <cell r="K56">
            <v>173.0962021</v>
          </cell>
          <cell r="P56">
            <v>290.98845799999998</v>
          </cell>
          <cell r="Z56">
            <v>479.26089639999998</v>
          </cell>
          <cell r="AJ56">
            <v>537.59046669999998</v>
          </cell>
          <cell r="AT56">
            <v>514.24942529999998</v>
          </cell>
          <cell r="BD56">
            <v>788.84456590000002</v>
          </cell>
          <cell r="BN56">
            <v>1503.561774</v>
          </cell>
          <cell r="BX56">
            <v>2373.9785379999998</v>
          </cell>
          <cell r="CH56">
            <v>2867.3863980000001</v>
          </cell>
          <cell r="CR56">
            <v>3360.628146</v>
          </cell>
          <cell r="DB56">
            <v>3099.0030219999999</v>
          </cell>
        </row>
        <row r="57">
          <cell r="D57" t="str">
            <v>Agricultural Demand|Crops|Feed</v>
          </cell>
          <cell r="E57" t="str">
            <v>million t DM/yr</v>
          </cell>
          <cell r="F57">
            <v>814.84934299999998</v>
          </cell>
          <cell r="K57">
            <v>891.82205750000003</v>
          </cell>
          <cell r="P57">
            <v>968.7947719</v>
          </cell>
          <cell r="Z57">
            <v>1264.406013</v>
          </cell>
          <cell r="AJ57">
            <v>1532.9553759999999</v>
          </cell>
          <cell r="AT57">
            <v>1787.5227890000001</v>
          </cell>
          <cell r="BD57">
            <v>2020.9487959999999</v>
          </cell>
          <cell r="BN57">
            <v>2214.1517050000002</v>
          </cell>
          <cell r="BX57">
            <v>2374.264443</v>
          </cell>
          <cell r="CH57">
            <v>2502.1497420000001</v>
          </cell>
          <cell r="CR57">
            <v>2592.643223</v>
          </cell>
          <cell r="DB57">
            <v>2626.0477559999999</v>
          </cell>
        </row>
        <row r="58">
          <cell r="D58" t="str">
            <v>Agricultural Demand|Crops|Food</v>
          </cell>
          <cell r="E58" t="str">
            <v>million t DM/yr</v>
          </cell>
          <cell r="F58">
            <v>1342.5288800000001</v>
          </cell>
          <cell r="K58">
            <v>1439.560293</v>
          </cell>
          <cell r="P58">
            <v>1536.591707</v>
          </cell>
          <cell r="Z58">
            <v>1741.20946</v>
          </cell>
          <cell r="AJ58">
            <v>1923.962534</v>
          </cell>
          <cell r="AT58">
            <v>2084.6651449999999</v>
          </cell>
          <cell r="BD58">
            <v>2203.3209940000002</v>
          </cell>
          <cell r="BN58">
            <v>2280.1186379999999</v>
          </cell>
          <cell r="BX58">
            <v>2316.4297539999998</v>
          </cell>
          <cell r="CH58">
            <v>2314.0892050000002</v>
          </cell>
          <cell r="CR58">
            <v>2283.672309</v>
          </cell>
          <cell r="DB58">
            <v>2231.8653129999998</v>
          </cell>
        </row>
        <row r="59">
          <cell r="D59" t="str">
            <v>Agricultural Demand|Crops|Other</v>
          </cell>
          <cell r="E59" t="str">
            <v>million t DM/yr</v>
          </cell>
          <cell r="F59">
            <v>287.23925819999999</v>
          </cell>
          <cell r="K59">
            <v>308.68480149999999</v>
          </cell>
          <cell r="P59">
            <v>330.13034490000001</v>
          </cell>
          <cell r="Z59">
            <v>377.85521879999999</v>
          </cell>
          <cell r="AJ59">
            <v>422.3316499</v>
          </cell>
          <cell r="AT59">
            <v>459.75644560000001</v>
          </cell>
          <cell r="BD59">
            <v>487.79283889999999</v>
          </cell>
          <cell r="BN59">
            <v>505.87479619999999</v>
          </cell>
          <cell r="BX59">
            <v>515.67420070000003</v>
          </cell>
          <cell r="CH59">
            <v>515.92301880000002</v>
          </cell>
          <cell r="CR59">
            <v>510.92718919999999</v>
          </cell>
          <cell r="DB59">
            <v>502.2461399</v>
          </cell>
        </row>
        <row r="60">
          <cell r="D60" t="str">
            <v>Agricultural Demand|Livestock</v>
          </cell>
          <cell r="E60" t="str">
            <v>million t DM/yr</v>
          </cell>
          <cell r="F60">
            <v>199.20385949999999</v>
          </cell>
          <cell r="K60">
            <v>216.47605709999999</v>
          </cell>
          <cell r="P60">
            <v>233.74825469999999</v>
          </cell>
          <cell r="Z60">
            <v>278.32011840000001</v>
          </cell>
          <cell r="AJ60">
            <v>316.9525769</v>
          </cell>
          <cell r="AT60">
            <v>351.29563359999997</v>
          </cell>
          <cell r="BD60">
            <v>380.0743458</v>
          </cell>
          <cell r="BN60">
            <v>402.19484690000002</v>
          </cell>
          <cell r="BX60">
            <v>418.57125409999998</v>
          </cell>
          <cell r="CH60">
            <v>430.8999407</v>
          </cell>
          <cell r="CR60">
            <v>438.67919929999999</v>
          </cell>
          <cell r="DB60">
            <v>440.61318790000001</v>
          </cell>
        </row>
        <row r="61">
          <cell r="D61" t="str">
            <v>Agricultural Demand|Livestock|Food</v>
          </cell>
          <cell r="E61" t="str">
            <v>million t DM/yr</v>
          </cell>
          <cell r="F61">
            <v>182.59179889999999</v>
          </cell>
          <cell r="K61">
            <v>198.5524054</v>
          </cell>
          <cell r="P61">
            <v>214.513012</v>
          </cell>
          <cell r="Z61">
            <v>255.66291039999999</v>
          </cell>
          <cell r="AJ61">
            <v>291.07476339999999</v>
          </cell>
          <cell r="AT61">
            <v>322.44432979999999</v>
          </cell>
          <cell r="BD61">
            <v>348.6646791</v>
          </cell>
          <cell r="BN61">
            <v>368.7327823</v>
          </cell>
          <cell r="BX61">
            <v>383.64872819999999</v>
          </cell>
          <cell r="CH61">
            <v>394.97705289999999</v>
          </cell>
          <cell r="CR61">
            <v>402.13563909999999</v>
          </cell>
          <cell r="DB61">
            <v>403.87614309999998</v>
          </cell>
        </row>
        <row r="62">
          <cell r="D62" t="str">
            <v>Agricultural Demand|Livestock|Other</v>
          </cell>
          <cell r="E62" t="str">
            <v>million t DM/yr</v>
          </cell>
          <cell r="F62">
            <v>16.612060660000001</v>
          </cell>
          <cell r="K62">
            <v>17.923651660000001</v>
          </cell>
          <cell r="P62">
            <v>19.235242660000001</v>
          </cell>
          <cell r="Z62">
            <v>22.657207939999999</v>
          </cell>
          <cell r="AJ62">
            <v>25.87781343</v>
          </cell>
          <cell r="AT62">
            <v>28.851303739999999</v>
          </cell>
          <cell r="BD62">
            <v>31.409666680000001</v>
          </cell>
          <cell r="BN62">
            <v>33.462064679999997</v>
          </cell>
          <cell r="BX62">
            <v>34.92252586</v>
          </cell>
          <cell r="CH62">
            <v>35.922887809999999</v>
          </cell>
          <cell r="CR62">
            <v>36.543560139999997</v>
          </cell>
          <cell r="DB62">
            <v>36.737044789999999</v>
          </cell>
        </row>
        <row r="63">
          <cell r="D63" t="str">
            <v>Agricultural Production</v>
          </cell>
          <cell r="E63" t="str">
            <v>million t DM/yr</v>
          </cell>
          <cell r="F63">
            <v>2699.0252869999999</v>
          </cell>
          <cell r="K63">
            <v>3029.639412</v>
          </cell>
          <cell r="P63">
            <v>3360.2535360000002</v>
          </cell>
          <cell r="Z63">
            <v>4141.0517069999996</v>
          </cell>
          <cell r="AJ63">
            <v>4733.7926040000002</v>
          </cell>
          <cell r="AT63">
            <v>5197.4894389999999</v>
          </cell>
          <cell r="BD63">
            <v>5880.9815399999998</v>
          </cell>
          <cell r="BN63">
            <v>6905.9017599999997</v>
          </cell>
          <cell r="BX63">
            <v>7998.9181900000003</v>
          </cell>
          <cell r="CH63">
            <v>8630.4483049999999</v>
          </cell>
          <cell r="CR63">
            <v>9186.5500670000001</v>
          </cell>
          <cell r="DB63">
            <v>8899.7754199999999</v>
          </cell>
        </row>
        <row r="64">
          <cell r="D64" t="str">
            <v>Agricultural Production|Energy</v>
          </cell>
          <cell r="E64" t="str">
            <v>million t DM/yr</v>
          </cell>
          <cell r="F64">
            <v>0.65246744599999995</v>
          </cell>
          <cell r="K64">
            <v>0</v>
          </cell>
          <cell r="P64">
            <v>0</v>
          </cell>
          <cell r="Z64">
            <v>186.01041670000001</v>
          </cell>
          <cell r="AJ64">
            <v>244.19791670000001</v>
          </cell>
          <cell r="AT64">
            <v>220.71875</v>
          </cell>
          <cell r="BD64">
            <v>495.39583329999999</v>
          </cell>
          <cell r="BN64">
            <v>1210.34375</v>
          </cell>
          <cell r="BX64">
            <v>2081.0889550000002</v>
          </cell>
          <cell r="CH64">
            <v>2574.833333</v>
          </cell>
          <cell r="CR64">
            <v>3068.479167</v>
          </cell>
          <cell r="DB64">
            <v>2807.364583</v>
          </cell>
        </row>
        <row r="65">
          <cell r="D65" t="str">
            <v>Agricultural Production|Energy|Crops</v>
          </cell>
          <cell r="E65" t="str">
            <v>million t DM/yr</v>
          </cell>
          <cell r="F65">
            <v>0.65246744599999995</v>
          </cell>
          <cell r="K65">
            <v>0</v>
          </cell>
          <cell r="P65">
            <v>0</v>
          </cell>
          <cell r="Z65">
            <v>186.01041670000001</v>
          </cell>
          <cell r="AJ65">
            <v>244.19791670000001</v>
          </cell>
          <cell r="AT65">
            <v>220.71875</v>
          </cell>
          <cell r="BD65">
            <v>495.39583329999999</v>
          </cell>
          <cell r="BN65">
            <v>1210.34375</v>
          </cell>
          <cell r="BX65">
            <v>2081.0889550000002</v>
          </cell>
          <cell r="CH65">
            <v>2574.833333</v>
          </cell>
          <cell r="CR65">
            <v>3068.479167</v>
          </cell>
          <cell r="DB65">
            <v>2807.364583</v>
          </cell>
        </row>
        <row r="66">
          <cell r="D66" t="str">
            <v>Agricultural Production|Non-Energy</v>
          </cell>
          <cell r="E66" t="str">
            <v>million t DM/yr</v>
          </cell>
          <cell r="F66">
            <v>2698.3728190000002</v>
          </cell>
          <cell r="K66">
            <v>3029.3131779999999</v>
          </cell>
          <cell r="P66">
            <v>3360.2535360000002</v>
          </cell>
          <cell r="Z66">
            <v>3955.041291</v>
          </cell>
          <cell r="AJ66">
            <v>4489.5946869999998</v>
          </cell>
          <cell r="AT66">
            <v>4976.7706889999999</v>
          </cell>
          <cell r="BD66">
            <v>5385.5857070000002</v>
          </cell>
          <cell r="BN66">
            <v>5695.5580099999997</v>
          </cell>
          <cell r="BX66">
            <v>5917.8292350000002</v>
          </cell>
          <cell r="CH66">
            <v>6055.6149720000003</v>
          </cell>
          <cell r="CR66">
            <v>6118.0708999999997</v>
          </cell>
          <cell r="DB66">
            <v>6092.410836</v>
          </cell>
        </row>
        <row r="67">
          <cell r="D67" t="str">
            <v>Agricultural Production|Non-Energy|Crops</v>
          </cell>
          <cell r="E67" t="str">
            <v>million t DM/yr</v>
          </cell>
          <cell r="F67">
            <v>2499.16896</v>
          </cell>
          <cell r="K67">
            <v>2812.837121</v>
          </cell>
          <cell r="P67">
            <v>3126.5052820000001</v>
          </cell>
          <cell r="Z67">
            <v>3676.721172</v>
          </cell>
          <cell r="AJ67">
            <v>4172.6421099999998</v>
          </cell>
          <cell r="AT67">
            <v>4625.4750560000002</v>
          </cell>
          <cell r="BD67">
            <v>5005.5113609999999</v>
          </cell>
          <cell r="BN67">
            <v>5293.363163</v>
          </cell>
          <cell r="BX67">
            <v>5499.2579809999997</v>
          </cell>
          <cell r="CH67">
            <v>5624.7150309999997</v>
          </cell>
          <cell r="CR67">
            <v>5679.3917009999996</v>
          </cell>
          <cell r="DB67">
            <v>5651.7976479999998</v>
          </cell>
        </row>
        <row r="68">
          <cell r="D68" t="str">
            <v>Agricultural Production|Non-Energy|Livestock</v>
          </cell>
          <cell r="E68" t="str">
            <v>million t DM/yr</v>
          </cell>
          <cell r="F68">
            <v>199.20385949999999</v>
          </cell>
          <cell r="K68">
            <v>216.47605709999999</v>
          </cell>
          <cell r="P68">
            <v>233.74825469999999</v>
          </cell>
          <cell r="Z68">
            <v>278.32011840000001</v>
          </cell>
          <cell r="AJ68">
            <v>316.9525769</v>
          </cell>
          <cell r="AT68">
            <v>351.29563359999997</v>
          </cell>
          <cell r="BD68">
            <v>380.0743458</v>
          </cell>
          <cell r="BN68">
            <v>402.19484690000002</v>
          </cell>
          <cell r="BX68">
            <v>418.57125409999998</v>
          </cell>
          <cell r="CH68">
            <v>430.8999407</v>
          </cell>
          <cell r="CR68">
            <v>438.67919929999999</v>
          </cell>
          <cell r="DB68">
            <v>440.61318790000001</v>
          </cell>
        </row>
        <row r="69">
          <cell r="D69" t="str">
            <v>Carbon Sequestration|CCS</v>
          </cell>
          <cell r="E69" t="str">
            <v>Mt CO2/yr</v>
          </cell>
          <cell r="F69">
            <v>0</v>
          </cell>
          <cell r="K69">
            <v>0</v>
          </cell>
          <cell r="P69">
            <v>0</v>
          </cell>
          <cell r="Z69">
            <v>0</v>
          </cell>
          <cell r="AJ69">
            <v>0</v>
          </cell>
          <cell r="AT69">
            <v>0</v>
          </cell>
          <cell r="BD69">
            <v>0</v>
          </cell>
          <cell r="BN69">
            <v>0</v>
          </cell>
          <cell r="BX69">
            <v>0</v>
          </cell>
          <cell r="CH69">
            <v>0</v>
          </cell>
          <cell r="CR69">
            <v>0</v>
          </cell>
          <cell r="DB69">
            <v>0</v>
          </cell>
        </row>
        <row r="70">
          <cell r="D70" t="str">
            <v>Carbon Sequestration|Land Use</v>
          </cell>
          <cell r="E70" t="str">
            <v>Mt CO2/yr</v>
          </cell>
          <cell r="F70">
            <v>83.480676259999996</v>
          </cell>
          <cell r="K70">
            <v>159.99238919999999</v>
          </cell>
          <cell r="P70">
            <v>236.50410210000001</v>
          </cell>
          <cell r="Z70">
            <v>612.94616180000003</v>
          </cell>
          <cell r="AJ70">
            <v>1255.648471</v>
          </cell>
          <cell r="AT70">
            <v>1636.8283819999999</v>
          </cell>
          <cell r="BD70">
            <v>2414.9370509999999</v>
          </cell>
          <cell r="BN70">
            <v>3332.2815879999998</v>
          </cell>
          <cell r="BX70">
            <v>3895.3603520000001</v>
          </cell>
          <cell r="CH70">
            <v>4201.4389309999997</v>
          </cell>
          <cell r="CR70">
            <v>4729.409721</v>
          </cell>
          <cell r="DB70">
            <v>4784.3461010000001</v>
          </cell>
        </row>
        <row r="71">
          <cell r="D71" t="str">
            <v>Diagnostics|MAGICC6|Harmonized Input|Emissions|BC</v>
          </cell>
          <cell r="E71" t="str">
            <v>Mt BC/yr</v>
          </cell>
          <cell r="F71">
            <v>7.8048000000000002</v>
          </cell>
          <cell r="K71">
            <v>8.2512000000000008</v>
          </cell>
          <cell r="P71">
            <v>8.0344999999999995</v>
          </cell>
          <cell r="Z71">
            <v>6.7088362677865598</v>
          </cell>
          <cell r="AJ71">
            <v>2.8803396479806</v>
          </cell>
          <cell r="AT71">
            <v>2.0848624565257499</v>
          </cell>
          <cell r="BD71">
            <v>1.5867655757883099</v>
          </cell>
          <cell r="BN71">
            <v>1.4609943616761101</v>
          </cell>
          <cell r="BX71">
            <v>1.3738249915776899</v>
          </cell>
          <cell r="CH71">
            <v>1.2715847671320899</v>
          </cell>
          <cell r="CR71">
            <v>1.1838436608003999</v>
          </cell>
          <cell r="DB71">
            <v>1.07697878333159</v>
          </cell>
        </row>
        <row r="72">
          <cell r="D72" t="str">
            <v>Diagnostics|MAGICC6|Harmonized Input|Emissions|C2F6</v>
          </cell>
          <cell r="E72" t="str">
            <v>kt C2F6/yr</v>
          </cell>
          <cell r="F72">
            <v>2.3748999999999998</v>
          </cell>
          <cell r="K72">
            <v>2.6495000000000002</v>
          </cell>
          <cell r="P72">
            <v>2.3992</v>
          </cell>
          <cell r="Z72">
            <v>7.6638456480449104</v>
          </cell>
          <cell r="AJ72">
            <v>0.223428294524221</v>
          </cell>
          <cell r="AT72">
            <v>0.24550976980100001</v>
          </cell>
          <cell r="BD72">
            <v>0.44181099670099</v>
          </cell>
          <cell r="BN72">
            <v>0.26182331595633701</v>
          </cell>
          <cell r="BX72">
            <v>0.18127079965710299</v>
          </cell>
          <cell r="CH72">
            <v>9.9841393973052001E-2</v>
          </cell>
          <cell r="CR72">
            <v>6.1921629211699997E-2</v>
          </cell>
          <cell r="DB72">
            <v>6.1896782275321E-2</v>
          </cell>
        </row>
        <row r="73">
          <cell r="D73" t="str">
            <v>Diagnostics|MAGICC6|Harmonized Input|Emissions|C6F14</v>
          </cell>
          <cell r="E73" t="str">
            <v>kt C6F14/yr</v>
          </cell>
          <cell r="F73">
            <v>0.46239999999999998</v>
          </cell>
          <cell r="K73">
            <v>0.43580000000000002</v>
          </cell>
          <cell r="P73">
            <v>0.46660000000000001</v>
          </cell>
          <cell r="Z73">
            <v>0.33249296018125701</v>
          </cell>
          <cell r="AJ73">
            <v>9.0358887576599003E-2</v>
          </cell>
          <cell r="AT73">
            <v>9.0619659273647998E-2</v>
          </cell>
          <cell r="BD73">
            <v>0.10182659417623099</v>
          </cell>
          <cell r="BN73">
            <v>8.7166191628143999E-2</v>
          </cell>
          <cell r="BX73">
            <v>7.4036394028127006E-2</v>
          </cell>
          <cell r="CH73">
            <v>6.8145703605439006E-2</v>
          </cell>
          <cell r="CR73">
            <v>6.5421438453973996E-2</v>
          </cell>
          <cell r="DB73">
            <v>6.4063948190790004E-2</v>
          </cell>
        </row>
        <row r="74">
          <cell r="D74" t="str">
            <v>Diagnostics|MAGICC6|Harmonized Input|Emissions|CH4</v>
          </cell>
          <cell r="E74" t="str">
            <v>Mt CH4/yr</v>
          </cell>
          <cell r="F74">
            <v>308.602220804571</v>
          </cell>
          <cell r="K74">
            <v>346.472038947464</v>
          </cell>
          <cell r="P74">
            <v>372.18052412864802</v>
          </cell>
          <cell r="Z74">
            <v>366.13139258508397</v>
          </cell>
          <cell r="AJ74">
            <v>242.70136873904301</v>
          </cell>
          <cell r="AT74">
            <v>191.98560901345499</v>
          </cell>
          <cell r="BD74">
            <v>144.50457237235699</v>
          </cell>
          <cell r="BN74">
            <v>127.763036084494</v>
          </cell>
          <cell r="BX74">
            <v>117.252192818372</v>
          </cell>
          <cell r="CH74">
            <v>109.21338225667699</v>
          </cell>
          <cell r="CR74">
            <v>101.683776802751</v>
          </cell>
          <cell r="DB74">
            <v>94.271929844361594</v>
          </cell>
        </row>
        <row r="75">
          <cell r="D75" t="str">
            <v>Diagnostics|MAGICC6|Harmonized Input|Emissions|CO</v>
          </cell>
          <cell r="E75" t="str">
            <v>Mt CO/yr</v>
          </cell>
          <cell r="F75">
            <v>1068.0008</v>
          </cell>
          <cell r="K75">
            <v>1061.5255</v>
          </cell>
          <cell r="P75">
            <v>1048.8921</v>
          </cell>
          <cell r="Z75">
            <v>905.01496792032299</v>
          </cell>
          <cell r="AJ75">
            <v>453.23649211010297</v>
          </cell>
          <cell r="AT75">
            <v>341.22725149572699</v>
          </cell>
          <cell r="BD75">
            <v>252.60895063863799</v>
          </cell>
          <cell r="BN75">
            <v>231.78602926764199</v>
          </cell>
          <cell r="BX75">
            <v>214.51319430232701</v>
          </cell>
          <cell r="CH75">
            <v>199.115087605502</v>
          </cell>
          <cell r="CR75">
            <v>185.26462036100301</v>
          </cell>
          <cell r="DB75">
            <v>166.66865731909499</v>
          </cell>
        </row>
        <row r="76">
          <cell r="D76" t="str">
            <v>Diagnostics|MAGICC6|Harmonized Input|Emissions|CO2|AFOLU</v>
          </cell>
          <cell r="E76" t="str">
            <v>Mt CO2/yr</v>
          </cell>
          <cell r="F76">
            <v>4212.2708789375502</v>
          </cell>
          <cell r="K76">
            <v>4383.5043835043798</v>
          </cell>
          <cell r="P76">
            <v>3827.2704939371602</v>
          </cell>
          <cell r="Z76">
            <v>3216.8949294918398</v>
          </cell>
          <cell r="AJ76">
            <v>-1091.76731942007</v>
          </cell>
          <cell r="AT76">
            <v>-1157.6586990251899</v>
          </cell>
          <cell r="BD76">
            <v>-1708.58585442311</v>
          </cell>
          <cell r="BN76">
            <v>-2808.3087986976998</v>
          </cell>
          <cell r="BX76">
            <v>-3381.6697313439099</v>
          </cell>
          <cell r="CH76">
            <v>-3678.0791255146601</v>
          </cell>
          <cell r="CR76">
            <v>-4214.04979085373</v>
          </cell>
          <cell r="DB76">
            <v>-4342.75875252277</v>
          </cell>
        </row>
        <row r="77">
          <cell r="D77" t="str">
            <v>Diagnostics|MAGICC6|Harmonized Input|Emissions|CO2|Energy and Industrial Processes</v>
          </cell>
          <cell r="E77" t="str">
            <v>Mt CO2/yr</v>
          </cell>
          <cell r="F77">
            <v>24695.024695024698</v>
          </cell>
          <cell r="K77">
            <v>29227.029227029099</v>
          </cell>
          <cell r="P77">
            <v>32727.232727232698</v>
          </cell>
          <cell r="Z77">
            <v>34855.965531235299</v>
          </cell>
          <cell r="AJ77">
            <v>16311.813916024499</v>
          </cell>
          <cell r="AT77">
            <v>8534.1210356438605</v>
          </cell>
          <cell r="BD77">
            <v>4444.2235822677603</v>
          </cell>
          <cell r="BN77">
            <v>2740.5490491390101</v>
          </cell>
          <cell r="BX77">
            <v>1711.5080274939401</v>
          </cell>
          <cell r="CH77">
            <v>1215.87469036629</v>
          </cell>
          <cell r="CR77">
            <v>911.79963053736299</v>
          </cell>
          <cell r="DB77">
            <v>818.27239846231498</v>
          </cell>
        </row>
        <row r="78">
          <cell r="D78" t="str">
            <v>Diagnostics|MAGICC6|Harmonized Input|Emissions|HFC|HFC125</v>
          </cell>
          <cell r="E78" t="str">
            <v>kt HFC23/yr</v>
          </cell>
          <cell r="F78">
            <v>8.5381</v>
          </cell>
          <cell r="K78">
            <v>13.7591</v>
          </cell>
          <cell r="P78">
            <v>34.598399999999998</v>
          </cell>
          <cell r="Z78">
            <v>134.00597734309699</v>
          </cell>
          <cell r="AJ78">
            <v>34.056215708877502</v>
          </cell>
          <cell r="AT78">
            <v>39.718410883847703</v>
          </cell>
          <cell r="BD78">
            <v>43.7339712741691</v>
          </cell>
          <cell r="BN78">
            <v>41.780709135028502</v>
          </cell>
          <cell r="BX78">
            <v>40.226082369637098</v>
          </cell>
          <cell r="CH78">
            <v>39.255377373065997</v>
          </cell>
          <cell r="CR78">
            <v>38.213433133594698</v>
          </cell>
          <cell r="DB78">
            <v>37.158422979235702</v>
          </cell>
        </row>
        <row r="79">
          <cell r="D79" t="str">
            <v>Diagnostics|MAGICC6|Harmonized Input|Emissions|HFC|HFC134a</v>
          </cell>
          <cell r="E79" t="str">
            <v>kt HFC23/yr</v>
          </cell>
          <cell r="F79">
            <v>75.039299999999997</v>
          </cell>
          <cell r="K79">
            <v>120.93340000000001</v>
          </cell>
          <cell r="P79">
            <v>152.51320000000001</v>
          </cell>
          <cell r="Z79">
            <v>207.11524260648599</v>
          </cell>
          <cell r="AJ79">
            <v>142.114482594062</v>
          </cell>
          <cell r="AT79">
            <v>141.873234335224</v>
          </cell>
          <cell r="BD79">
            <v>152.75718629202399</v>
          </cell>
          <cell r="BN79">
            <v>155.111135053965</v>
          </cell>
          <cell r="BX79">
            <v>151.71920471088399</v>
          </cell>
          <cell r="CH79">
            <v>148.043688801298</v>
          </cell>
          <cell r="CR79">
            <v>144.20404202860001</v>
          </cell>
          <cell r="DB79">
            <v>139.60309935874099</v>
          </cell>
        </row>
        <row r="80">
          <cell r="D80" t="str">
            <v>Diagnostics|MAGICC6|Harmonized Input|Emissions|HFC|HFC143a</v>
          </cell>
          <cell r="E80" t="str">
            <v>kt HFC23/yr</v>
          </cell>
          <cell r="F80">
            <v>6.234</v>
          </cell>
          <cell r="K80">
            <v>12.4483</v>
          </cell>
          <cell r="P80">
            <v>26.537299999999998</v>
          </cell>
          <cell r="Z80">
            <v>60.562051234335797</v>
          </cell>
          <cell r="AJ80">
            <v>32.503956369453597</v>
          </cell>
          <cell r="AT80">
            <v>37.777959043354201</v>
          </cell>
          <cell r="BD80">
            <v>41.633123460326402</v>
          </cell>
          <cell r="BN80">
            <v>40.132868996765701</v>
          </cell>
          <cell r="BX80">
            <v>38.792881358132</v>
          </cell>
          <cell r="CH80">
            <v>37.961518503409899</v>
          </cell>
          <cell r="CR80">
            <v>37.058894771853701</v>
          </cell>
          <cell r="DB80">
            <v>36.142231347058498</v>
          </cell>
        </row>
        <row r="81">
          <cell r="D81" t="str">
            <v>Diagnostics|MAGICC6|Harmonized Input|Emissions|HFC|HFC227ea</v>
          </cell>
          <cell r="E81" t="str">
            <v>kt HFC23/yr</v>
          </cell>
          <cell r="F81">
            <v>1.9509000000000001</v>
          </cell>
          <cell r="K81">
            <v>4.8899999999999997</v>
          </cell>
          <cell r="P81">
            <v>11.5413</v>
          </cell>
          <cell r="Z81">
            <v>11.102454644772999</v>
          </cell>
          <cell r="AJ81">
            <v>8.8825603093038907</v>
          </cell>
          <cell r="AT81">
            <v>6.5649653624353403</v>
          </cell>
          <cell r="BD81">
            <v>4.1708391973633603</v>
          </cell>
          <cell r="BN81">
            <v>4.0110704751069699</v>
          </cell>
          <cell r="BX81">
            <v>3.8217481115635099</v>
          </cell>
          <cell r="CH81">
            <v>3.6178088519338498</v>
          </cell>
          <cell r="CR81">
            <v>3.40878701985761</v>
          </cell>
          <cell r="DB81">
            <v>3.2148764189244701</v>
          </cell>
        </row>
        <row r="82">
          <cell r="D82" t="str">
            <v>Diagnostics|MAGICC6|Harmonized Input|Emissions|HFC|HFC23</v>
          </cell>
          <cell r="E82" t="str">
            <v>kt HFC23/yr</v>
          </cell>
          <cell r="F82">
            <v>10.3949</v>
          </cell>
          <cell r="K82">
            <v>10.8117</v>
          </cell>
          <cell r="P82">
            <v>9.5221999999999998</v>
          </cell>
          <cell r="Z82">
            <v>7.1416500000000003</v>
          </cell>
          <cell r="AJ82">
            <v>4.7610999999999999</v>
          </cell>
          <cell r="AT82">
            <v>2.3805499999999999</v>
          </cell>
          <cell r="BD82">
            <v>0</v>
          </cell>
          <cell r="BN82">
            <v>0</v>
          </cell>
          <cell r="BX82">
            <v>0</v>
          </cell>
          <cell r="CH82">
            <v>0</v>
          </cell>
          <cell r="CR82">
            <v>0</v>
          </cell>
          <cell r="DB82">
            <v>0</v>
          </cell>
        </row>
        <row r="83">
          <cell r="D83" t="str">
            <v>Diagnostics|MAGICC6|Harmonized Input|Emissions|HFC|HFC245ca</v>
          </cell>
          <cell r="E83" t="str">
            <v>kt HFC23/yr</v>
          </cell>
          <cell r="P83">
            <v>49.704984080979301</v>
          </cell>
          <cell r="Z83">
            <v>56.641063797921298</v>
          </cell>
          <cell r="AJ83">
            <v>2.39195770678741</v>
          </cell>
          <cell r="AT83">
            <v>0</v>
          </cell>
          <cell r="BD83">
            <v>0</v>
          </cell>
          <cell r="BN83">
            <v>0</v>
          </cell>
          <cell r="BX83">
            <v>0</v>
          </cell>
          <cell r="CH83">
            <v>0</v>
          </cell>
          <cell r="CR83">
            <v>0</v>
          </cell>
          <cell r="DB83">
            <v>0</v>
          </cell>
        </row>
        <row r="84">
          <cell r="D84" t="str">
            <v>Diagnostics|MAGICC6|Harmonized Input|Emissions|HFC|HFC32</v>
          </cell>
          <cell r="E84" t="str">
            <v>kt HFC23/yr</v>
          </cell>
          <cell r="F84">
            <v>4</v>
          </cell>
          <cell r="K84">
            <v>10.993399999999999</v>
          </cell>
          <cell r="P84">
            <v>17.9421</v>
          </cell>
          <cell r="Z84">
            <v>87.306899893541299</v>
          </cell>
          <cell r="AJ84">
            <v>2.2784099553514299</v>
          </cell>
          <cell r="AT84">
            <v>1.7105182435305699</v>
          </cell>
          <cell r="BD84">
            <v>0.37405111846545303</v>
          </cell>
          <cell r="BN84">
            <v>0.33533678453029803</v>
          </cell>
          <cell r="BX84">
            <v>0.31398602579815499</v>
          </cell>
          <cell r="CH84">
            <v>0.29242721980740299</v>
          </cell>
          <cell r="CR84">
            <v>0.27252177913411102</v>
          </cell>
          <cell r="DB84">
            <v>0.252576365089828</v>
          </cell>
        </row>
        <row r="85">
          <cell r="D85" t="str">
            <v>Diagnostics|MAGICC6|Harmonized Input|Emissions|HFC|HFC43-10</v>
          </cell>
          <cell r="E85" t="str">
            <v>kt HFC23/yr</v>
          </cell>
          <cell r="F85">
            <v>0</v>
          </cell>
          <cell r="K85">
            <v>3.2351999999999999</v>
          </cell>
          <cell r="P85">
            <v>6.4866999999999999</v>
          </cell>
          <cell r="Z85">
            <v>5.1899730381732496</v>
          </cell>
          <cell r="AJ85">
            <v>3.8239537986046201</v>
          </cell>
          <cell r="AT85">
            <v>2.4498715705152398</v>
          </cell>
          <cell r="BD85">
            <v>1.0675540754466</v>
          </cell>
          <cell r="BN85">
            <v>1.1026052989394199</v>
          </cell>
          <cell r="BX85">
            <v>1.1301685447432599</v>
          </cell>
          <cell r="CH85">
            <v>1.1470399152167099</v>
          </cell>
          <cell r="CR85">
            <v>1.152131013897</v>
          </cell>
          <cell r="DB85">
            <v>1.1457247319541699</v>
          </cell>
        </row>
        <row r="86">
          <cell r="D86" t="str">
            <v>Diagnostics|MAGICC6|Harmonized Input|Emissions|N2O</v>
          </cell>
          <cell r="E86" t="str">
            <v>kt N2O/yr</v>
          </cell>
          <cell r="F86">
            <v>9194.4605247174695</v>
          </cell>
          <cell r="K86">
            <v>9943.0634832613396</v>
          </cell>
          <cell r="P86">
            <v>10340.114293327701</v>
          </cell>
          <cell r="Z86">
            <v>10804.4984484176</v>
          </cell>
          <cell r="AJ86">
            <v>9560.8591721442499</v>
          </cell>
          <cell r="AT86">
            <v>8868.8953901136192</v>
          </cell>
          <cell r="BD86">
            <v>8253.11544703037</v>
          </cell>
          <cell r="BN86">
            <v>8044.5426655658202</v>
          </cell>
          <cell r="BX86">
            <v>7560.1673886580202</v>
          </cell>
          <cell r="CH86">
            <v>7412.6927115281596</v>
          </cell>
          <cell r="CR86">
            <v>7251.4165246181201</v>
          </cell>
          <cell r="DB86">
            <v>7028.6346170863599</v>
          </cell>
        </row>
        <row r="87">
          <cell r="D87" t="str">
            <v>Diagnostics|MAGICC6|Harmonized Input|Emissions|NH3</v>
          </cell>
          <cell r="E87" t="str">
            <v>Mt NH3/yr</v>
          </cell>
          <cell r="F87">
            <v>48.594014271830297</v>
          </cell>
          <cell r="K87">
            <v>50.858778556897498</v>
          </cell>
          <cell r="P87">
            <v>52.836849984903701</v>
          </cell>
          <cell r="Z87">
            <v>47.204291874492398</v>
          </cell>
          <cell r="AJ87">
            <v>30.8106364310114</v>
          </cell>
          <cell r="AT87">
            <v>31.258580917196198</v>
          </cell>
          <cell r="BD87">
            <v>31.860781445268</v>
          </cell>
          <cell r="BN87">
            <v>31.4626827800721</v>
          </cell>
          <cell r="BX87">
            <v>30.974614841801799</v>
          </cell>
          <cell r="CH87">
            <v>30.2318504825347</v>
          </cell>
          <cell r="CR87">
            <v>29.3753000718037</v>
          </cell>
          <cell r="DB87">
            <v>28.0316139240261</v>
          </cell>
        </row>
        <row r="88">
          <cell r="D88" t="str">
            <v>Diagnostics|MAGICC6|Harmonized Input|Emissions|NOx</v>
          </cell>
          <cell r="E88" t="str">
            <v>Mt NO2/yr</v>
          </cell>
          <cell r="F88">
            <v>125.390414285714</v>
          </cell>
          <cell r="K88">
            <v>127.46862860784699</v>
          </cell>
          <cell r="P88">
            <v>129.36842860838999</v>
          </cell>
          <cell r="Z88">
            <v>115.14577211663</v>
          </cell>
          <cell r="AJ88">
            <v>70.996239188099395</v>
          </cell>
          <cell r="AT88">
            <v>50.481192539640503</v>
          </cell>
          <cell r="BD88">
            <v>41.3933756566664</v>
          </cell>
          <cell r="BN88">
            <v>39.742134425565297</v>
          </cell>
          <cell r="BX88">
            <v>38.088030100387698</v>
          </cell>
          <cell r="CH88">
            <v>36.9674609622109</v>
          </cell>
          <cell r="CR88">
            <v>35.747677928772703</v>
          </cell>
          <cell r="DB88">
            <v>33.9960220715964</v>
          </cell>
        </row>
        <row r="89">
          <cell r="D89" t="str">
            <v>Diagnostics|MAGICC6|Harmonized Input|Emissions|OC</v>
          </cell>
          <cell r="E89" t="str">
            <v>Mt OC/yr</v>
          </cell>
          <cell r="F89">
            <v>35.543500000000002</v>
          </cell>
          <cell r="K89">
            <v>36.3917</v>
          </cell>
          <cell r="P89">
            <v>35.3887</v>
          </cell>
          <cell r="Z89">
            <v>31.643649970621802</v>
          </cell>
          <cell r="AJ89">
            <v>13.114349171157601</v>
          </cell>
          <cell r="AT89">
            <v>11.0241084765454</v>
          </cell>
          <cell r="BD89">
            <v>9.5160467354603</v>
          </cell>
          <cell r="BN89">
            <v>8.8933388896478096</v>
          </cell>
          <cell r="BX89">
            <v>8.5002335573982695</v>
          </cell>
          <cell r="CH89">
            <v>8.0269322254820494</v>
          </cell>
          <cell r="CR89">
            <v>7.6314274068604604</v>
          </cell>
          <cell r="DB89">
            <v>7.0081206153066598</v>
          </cell>
        </row>
        <row r="90">
          <cell r="D90" t="str">
            <v>Diagnostics|MAGICC6|Harmonized Input|Emissions|PFC</v>
          </cell>
          <cell r="E90" t="str">
            <v>kt CF4/yr</v>
          </cell>
          <cell r="F90">
            <v>12.0001</v>
          </cell>
          <cell r="K90">
            <v>11.6059</v>
          </cell>
          <cell r="P90">
            <v>10.634399999999999</v>
          </cell>
          <cell r="Z90">
            <v>18.492733769047799</v>
          </cell>
          <cell r="AJ90">
            <v>3.1006567775516798</v>
          </cell>
          <cell r="AT90">
            <v>2.94975792629117</v>
          </cell>
          <cell r="BD90">
            <v>2.47393523117006</v>
          </cell>
          <cell r="BN90">
            <v>1.7660504164992501</v>
          </cell>
          <cell r="BX90">
            <v>1.4846169493852099</v>
          </cell>
          <cell r="CH90">
            <v>0.95344272176145894</v>
          </cell>
          <cell r="CR90">
            <v>0.80477836142205506</v>
          </cell>
          <cell r="DB90">
            <v>0.78869905327165502</v>
          </cell>
        </row>
        <row r="91">
          <cell r="D91" t="str">
            <v>Diagnostics|MAGICC6|Harmonized Input|Emissions|SF6</v>
          </cell>
          <cell r="E91" t="str">
            <v>kt SF6/yr</v>
          </cell>
          <cell r="F91">
            <v>5.5381999999999998</v>
          </cell>
          <cell r="K91">
            <v>6.3407999999999998</v>
          </cell>
          <cell r="P91">
            <v>7.0442999999999998</v>
          </cell>
          <cell r="Z91">
            <v>7.6688660275584501</v>
          </cell>
          <cell r="AJ91">
            <v>2.0622844963520399</v>
          </cell>
          <cell r="AT91">
            <v>2.03600304667872</v>
          </cell>
          <cell r="BD91">
            <v>1.4869220383388799</v>
          </cell>
          <cell r="BN91">
            <v>1.09809407456396</v>
          </cell>
          <cell r="BX91">
            <v>0.63380798007983696</v>
          </cell>
          <cell r="CH91">
            <v>0.46357761721083002</v>
          </cell>
          <cell r="CR91">
            <v>0.38647362680421699</v>
          </cell>
          <cell r="DB91">
            <v>0.32021006165905302</v>
          </cell>
        </row>
        <row r="92">
          <cell r="D92" t="str">
            <v>Diagnostics|MAGICC6|Harmonized Input|Emissions|Sulfur</v>
          </cell>
          <cell r="E92" t="str">
            <v>Mt SO2/yr</v>
          </cell>
          <cell r="F92">
            <v>107.6824</v>
          </cell>
          <cell r="K92">
            <v>113.43899999999999</v>
          </cell>
          <cell r="P92">
            <v>100.4414</v>
          </cell>
          <cell r="Z92">
            <v>72.098867556248393</v>
          </cell>
          <cell r="AJ92">
            <v>37.359932025575702</v>
          </cell>
          <cell r="AT92">
            <v>22.545574275909502</v>
          </cell>
          <cell r="BD92">
            <v>17.466533464967199</v>
          </cell>
          <cell r="BN92">
            <v>16.331505694624401</v>
          </cell>
          <cell r="BX92">
            <v>14.9840013520939</v>
          </cell>
          <cell r="CH92">
            <v>14.1613652004446</v>
          </cell>
          <cell r="CR92">
            <v>13.323295054856899</v>
          </cell>
          <cell r="DB92">
            <v>12.4526032574864</v>
          </cell>
        </row>
        <row r="93">
          <cell r="D93" t="str">
            <v>Diagnostics|MAGICC6|Harmonized Input|Emissions|VOC</v>
          </cell>
          <cell r="E93" t="str">
            <v>Mt VOC/yr</v>
          </cell>
          <cell r="F93">
            <v>210.62299999999999</v>
          </cell>
          <cell r="K93">
            <v>215.46289999999999</v>
          </cell>
          <cell r="P93">
            <v>216.41569999999999</v>
          </cell>
          <cell r="Z93">
            <v>194.027609630065</v>
          </cell>
          <cell r="AJ93">
            <v>111.688116616993</v>
          </cell>
          <cell r="AT93">
            <v>90.9085106542597</v>
          </cell>
          <cell r="BD93">
            <v>76.858190801059294</v>
          </cell>
          <cell r="BN93">
            <v>73.727451050788702</v>
          </cell>
          <cell r="BX93">
            <v>71.741307301232396</v>
          </cell>
          <cell r="CH93">
            <v>69.745373817566104</v>
          </cell>
          <cell r="CR93">
            <v>67.882568600766405</v>
          </cell>
          <cell r="DB93">
            <v>65.285422283690295</v>
          </cell>
        </row>
        <row r="94">
          <cell r="D94" t="str">
            <v>Emissions|BC</v>
          </cell>
          <cell r="E94" t="str">
            <v>Mt BC/yr</v>
          </cell>
          <cell r="F94">
            <v>6.9080729859999996</v>
          </cell>
          <cell r="K94">
            <v>7.0515210660000003</v>
          </cell>
          <cell r="P94">
            <v>7.0969671229999998</v>
          </cell>
          <cell r="Z94">
            <v>6.0056866099999997</v>
          </cell>
          <cell r="AJ94">
            <v>2.4115732090000002</v>
          </cell>
          <cell r="AT94">
            <v>1.8504792370000001</v>
          </cell>
          <cell r="BD94">
            <v>1.5867655759999999</v>
          </cell>
          <cell r="BN94">
            <v>1.4609943620000001</v>
          </cell>
          <cell r="BX94">
            <v>1.3738249920000001</v>
          </cell>
          <cell r="CH94">
            <v>1.271584767</v>
          </cell>
          <cell r="CR94">
            <v>1.183843661</v>
          </cell>
          <cell r="DB94">
            <v>1.0769787829999999</v>
          </cell>
        </row>
        <row r="95">
          <cell r="D95" t="str">
            <v>Emissions|CH4</v>
          </cell>
          <cell r="E95" t="str">
            <v>Mt CH4/yr</v>
          </cell>
          <cell r="F95">
            <v>309.87015359999998</v>
          </cell>
          <cell r="K95">
            <v>334.57317269999999</v>
          </cell>
          <cell r="P95">
            <v>327.91906799999998</v>
          </cell>
          <cell r="Z95">
            <v>332.93530049999998</v>
          </cell>
          <cell r="AJ95">
            <v>220.57064070000001</v>
          </cell>
          <cell r="AT95">
            <v>180.92024499999999</v>
          </cell>
          <cell r="BD95">
            <v>144.5045724</v>
          </cell>
          <cell r="BN95">
            <v>127.76303609999999</v>
          </cell>
          <cell r="BX95">
            <v>117.2521928</v>
          </cell>
          <cell r="CH95">
            <v>109.21338230000001</v>
          </cell>
          <cell r="CR95">
            <v>101.6837768</v>
          </cell>
          <cell r="DB95">
            <v>94.271929839999999</v>
          </cell>
        </row>
        <row r="96">
          <cell r="D96" t="str">
            <v>Emissions|CH4|AFOLU</v>
          </cell>
          <cell r="E96" t="str">
            <v>Mt CH4/yr</v>
          </cell>
          <cell r="F96">
            <v>146.127329</v>
          </cell>
          <cell r="K96">
            <v>148.4991856</v>
          </cell>
          <cell r="P96">
            <v>150.86735580000001</v>
          </cell>
          <cell r="Z96">
            <v>157.9207567</v>
          </cell>
          <cell r="AJ96">
            <v>114.7460852</v>
          </cell>
          <cell r="AT96">
            <v>107.15151109999999</v>
          </cell>
          <cell r="BD96">
            <v>101.6058017</v>
          </cell>
          <cell r="BN96">
            <v>96.51845926</v>
          </cell>
          <cell r="BX96">
            <v>92.00235266</v>
          </cell>
          <cell r="CH96">
            <v>87.92285905</v>
          </cell>
          <cell r="CR96">
            <v>83.551393750000003</v>
          </cell>
          <cell r="DB96">
            <v>78.431893889999998</v>
          </cell>
        </row>
        <row r="97">
          <cell r="D97" t="str">
            <v>Emissions|CO</v>
          </cell>
          <cell r="E97" t="str">
            <v>Mt CO/yr</v>
          </cell>
          <cell r="F97">
            <v>859.45265259999996</v>
          </cell>
          <cell r="K97">
            <v>892.33667660000003</v>
          </cell>
          <cell r="P97">
            <v>861.13609210000004</v>
          </cell>
          <cell r="Z97">
            <v>764.19796199999996</v>
          </cell>
          <cell r="AJ97">
            <v>359.35848820000001</v>
          </cell>
          <cell r="AT97">
            <v>294.28824950000001</v>
          </cell>
          <cell r="BD97">
            <v>252.60895059999999</v>
          </cell>
          <cell r="BN97">
            <v>231.7860293</v>
          </cell>
          <cell r="BX97">
            <v>214.51319430000001</v>
          </cell>
          <cell r="CH97">
            <v>199.11508760000001</v>
          </cell>
          <cell r="CR97">
            <v>185.26462040000001</v>
          </cell>
          <cell r="DB97">
            <v>166.66865730000001</v>
          </cell>
        </row>
        <row r="98">
          <cell r="D98" t="str">
            <v>Emissions|CO2</v>
          </cell>
          <cell r="E98" t="str">
            <v>Mt CO2/yr</v>
          </cell>
          <cell r="F98">
            <v>31667.90813</v>
          </cell>
          <cell r="K98">
            <v>36073.78658</v>
          </cell>
          <cell r="P98">
            <v>38542.037320000003</v>
          </cell>
          <cell r="Z98">
            <v>39563.511039999998</v>
          </cell>
          <cell r="AJ98">
            <v>16213.81365</v>
          </cell>
          <cell r="AT98">
            <v>7873.3458620000001</v>
          </cell>
          <cell r="BD98">
            <v>2735.6377280000002</v>
          </cell>
          <cell r="BN98">
            <v>-67.759749560000003</v>
          </cell>
          <cell r="BX98">
            <v>-1670.1617040000001</v>
          </cell>
          <cell r="CH98">
            <v>-2462.2044350000001</v>
          </cell>
          <cell r="CR98">
            <v>-3302.2501600000001</v>
          </cell>
          <cell r="DB98">
            <v>-3524.4863540000001</v>
          </cell>
        </row>
        <row r="99">
          <cell r="D99" t="str">
            <v>Emissions|CO2|AFOLU</v>
          </cell>
          <cell r="E99" t="str">
            <v>Mt CO2/yr</v>
          </cell>
          <cell r="F99">
            <v>5198.6340259999997</v>
          </cell>
          <cell r="K99">
            <v>5289.5416370000003</v>
          </cell>
          <cell r="P99">
            <v>5380.4492479999999</v>
          </cell>
          <cell r="Z99">
            <v>4381.7789949999997</v>
          </cell>
          <cell r="AJ99">
            <v>-315.17794249999997</v>
          </cell>
          <cell r="AT99">
            <v>-769.36401049999995</v>
          </cell>
          <cell r="BD99">
            <v>-1708.5858539999999</v>
          </cell>
          <cell r="BN99">
            <v>-2808.3087989999999</v>
          </cell>
          <cell r="BX99">
            <v>-3381.669731</v>
          </cell>
          <cell r="CH99">
            <v>-3678.0791260000001</v>
          </cell>
          <cell r="CR99">
            <v>-4214.0497910000004</v>
          </cell>
          <cell r="DB99">
            <v>-4342.7587530000001</v>
          </cell>
        </row>
        <row r="100">
          <cell r="D100" t="str">
            <v>Emissions|CO2|Fossil Fuels and Industry</v>
          </cell>
          <cell r="E100" t="str">
            <v>Mt CO2/yr</v>
          </cell>
          <cell r="F100">
            <v>26469.274099999999</v>
          </cell>
          <cell r="K100">
            <v>30784.24495</v>
          </cell>
          <cell r="P100">
            <v>33161.588080000001</v>
          </cell>
          <cell r="Z100">
            <v>35181.732040000003</v>
          </cell>
          <cell r="AJ100">
            <v>16528.991590000001</v>
          </cell>
          <cell r="AT100">
            <v>8642.7098729999998</v>
          </cell>
          <cell r="BD100">
            <v>4444.2235819999996</v>
          </cell>
          <cell r="BN100">
            <v>2740.5490490000002</v>
          </cell>
          <cell r="BX100">
            <v>1711.5080270000001</v>
          </cell>
          <cell r="CH100">
            <v>1215.8746900000001</v>
          </cell>
          <cell r="CR100">
            <v>911.79963050000003</v>
          </cell>
          <cell r="DB100">
            <v>818.27239850000001</v>
          </cell>
        </row>
        <row r="101">
          <cell r="D101" t="str">
            <v>Emissions|CO2|Energy|Demand</v>
          </cell>
          <cell r="E101" t="str">
            <v>Mt CO2/yr</v>
          </cell>
          <cell r="F101">
            <v>12299.71226</v>
          </cell>
          <cell r="K101">
            <v>13651.50259</v>
          </cell>
          <cell r="P101">
            <v>14993.15148</v>
          </cell>
          <cell r="Z101">
            <v>16794.852910000001</v>
          </cell>
          <cell r="AJ101">
            <v>8582.3238870000005</v>
          </cell>
          <cell r="AT101">
            <v>3802.4146089999999</v>
          </cell>
          <cell r="BD101">
            <v>1434.31267</v>
          </cell>
          <cell r="BN101">
            <v>750.28672770000003</v>
          </cell>
          <cell r="BX101">
            <v>361.2357538</v>
          </cell>
          <cell r="CH101">
            <v>159.03016220000001</v>
          </cell>
          <cell r="CR101">
            <v>36.558010359999997</v>
          </cell>
          <cell r="DB101">
            <v>2.618969844</v>
          </cell>
        </row>
        <row r="102">
          <cell r="D102" t="str">
            <v>Emissions|CO2|Energy|Demand|Industry</v>
          </cell>
          <cell r="E102" t="str">
            <v>Mt CO2/yr</v>
          </cell>
          <cell r="F102">
            <v>3512.0111149999998</v>
          </cell>
          <cell r="K102">
            <v>4015.1865619999999</v>
          </cell>
          <cell r="P102">
            <v>4845.8766310000001</v>
          </cell>
          <cell r="Z102">
            <v>6438.7789599999996</v>
          </cell>
          <cell r="AJ102">
            <v>2805.9795779999999</v>
          </cell>
          <cell r="AT102">
            <v>1089.592864</v>
          </cell>
          <cell r="BD102">
            <v>417.8992647</v>
          </cell>
          <cell r="BN102">
            <v>191.6725194</v>
          </cell>
          <cell r="BX102">
            <v>37.417021390000002</v>
          </cell>
          <cell r="CH102">
            <v>13.294420110000001</v>
          </cell>
          <cell r="CR102">
            <v>4.6372063429999999</v>
          </cell>
          <cell r="DB102">
            <v>1.9150269820000001</v>
          </cell>
        </row>
        <row r="103">
          <cell r="D103" t="str">
            <v>Emissions|CO2|Energy|Demand|Residential and Commercial</v>
          </cell>
          <cell r="E103" t="str">
            <v>Mt CO2/yr</v>
          </cell>
          <cell r="F103">
            <v>3119.3668280338302</v>
          </cell>
          <cell r="K103">
            <v>3368.7691975583002</v>
          </cell>
          <cell r="P103">
            <v>3322.6437595940001</v>
          </cell>
          <cell r="Z103">
            <v>2820.6670181260902</v>
          </cell>
          <cell r="AJ103">
            <v>1335.26990481803</v>
          </cell>
          <cell r="AT103">
            <v>474.568607594605</v>
          </cell>
          <cell r="BD103">
            <v>165.98495416155001</v>
          </cell>
          <cell r="BN103">
            <v>71.9449425259712</v>
          </cell>
          <cell r="BX103">
            <v>54.847925031088103</v>
          </cell>
          <cell r="CH103">
            <v>42.657396451015302</v>
          </cell>
          <cell r="CR103">
            <v>7.9810279164941296</v>
          </cell>
          <cell r="DB103">
            <v>0.70394286236667702</v>
          </cell>
        </row>
        <row r="104">
          <cell r="D104" t="str">
            <v>Emissions|CO2|Energy|Supply</v>
          </cell>
          <cell r="E104" t="str">
            <v>Mt CO2/yr</v>
          </cell>
          <cell r="F104">
            <v>11702.201940000001</v>
          </cell>
          <cell r="K104">
            <v>14183.10484</v>
          </cell>
          <cell r="P104">
            <v>14889.597400000001</v>
          </cell>
          <cell r="Z104">
            <v>14289.88171</v>
          </cell>
          <cell r="AJ104">
            <v>4569.068045</v>
          </cell>
          <cell r="AT104">
            <v>1979.0341989999999</v>
          </cell>
          <cell r="BD104">
            <v>485.98079630000001</v>
          </cell>
          <cell r="BN104">
            <v>-107.9527397</v>
          </cell>
          <cell r="BX104">
            <v>-391.31034140000003</v>
          </cell>
          <cell r="CH104">
            <v>-489.71376400000003</v>
          </cell>
          <cell r="CR104">
            <v>-581.24822070000005</v>
          </cell>
          <cell r="DB104">
            <v>-630.89498200000003</v>
          </cell>
        </row>
        <row r="105">
          <cell r="D105" t="str">
            <v>Emissions|CO2|Energy|Supply|Electricity</v>
          </cell>
          <cell r="E105" t="str">
            <v>Mt CO2/yr</v>
          </cell>
          <cell r="F105">
            <v>8819.7638618592191</v>
          </cell>
          <cell r="K105">
            <v>10988.329905815401</v>
          </cell>
          <cell r="P105">
            <v>11692.1746688038</v>
          </cell>
          <cell r="Z105">
            <v>11458.282503833299</v>
          </cell>
          <cell r="AJ105">
            <v>3175.8006963478601</v>
          </cell>
          <cell r="AT105">
            <v>736.04098610696201</v>
          </cell>
          <cell r="BD105">
            <v>23.772350298670499</v>
          </cell>
          <cell r="BN105">
            <v>3.0125420294376601</v>
          </cell>
          <cell r="BX105">
            <v>-1.2418643238692699</v>
          </cell>
          <cell r="CH105">
            <v>-1.69998657977499</v>
          </cell>
          <cell r="CR105">
            <v>-1.4911604604908699</v>
          </cell>
          <cell r="DB105">
            <v>-1.0056885006837</v>
          </cell>
        </row>
        <row r="106">
          <cell r="D106" t="str">
            <v>Emissions|F-Gases</v>
          </cell>
          <cell r="E106" t="str">
            <v>Mt CO2-equiv/yr</v>
          </cell>
          <cell r="F106">
            <v>420.0151606</v>
          </cell>
          <cell r="K106">
            <v>547.94045800000004</v>
          </cell>
          <cell r="P106">
            <v>733.17641809999998</v>
          </cell>
          <cell r="Z106">
            <v>1445.2458529999999</v>
          </cell>
          <cell r="AJ106">
            <v>588.34903359999998</v>
          </cell>
          <cell r="AT106">
            <v>637.18374459999995</v>
          </cell>
          <cell r="BD106">
            <v>682.82711940000002</v>
          </cell>
          <cell r="BN106">
            <v>661.38711179999996</v>
          </cell>
          <cell r="BX106">
            <v>631.95788470000002</v>
          </cell>
          <cell r="CH106">
            <v>613.69857630000001</v>
          </cell>
          <cell r="CR106">
            <v>596.52450009999995</v>
          </cell>
          <cell r="DB106">
            <v>578.83705010000006</v>
          </cell>
        </row>
        <row r="107">
          <cell r="D107" t="str">
            <v>Emissions|HFC</v>
          </cell>
          <cell r="E107" t="str">
            <v>kt HFC134a-equiv/yr</v>
          </cell>
          <cell r="F107">
            <v>112.76950720000001</v>
          </cell>
          <cell r="K107">
            <v>177.1692956</v>
          </cell>
          <cell r="P107">
            <v>227.5923908</v>
          </cell>
          <cell r="Z107">
            <v>827.76278019999995</v>
          </cell>
          <cell r="AJ107">
            <v>368.81494950000001</v>
          </cell>
          <cell r="AT107">
            <v>413.12047050000001</v>
          </cell>
          <cell r="BD107">
            <v>456.04511439999999</v>
          </cell>
          <cell r="BN107">
            <v>447.7165372</v>
          </cell>
          <cell r="BX107">
            <v>435.33617379999998</v>
          </cell>
          <cell r="CH107">
            <v>426.17433210000002</v>
          </cell>
          <cell r="CR107">
            <v>416.43891550000001</v>
          </cell>
          <cell r="DB107">
            <v>404.46060920000002</v>
          </cell>
        </row>
        <row r="108">
          <cell r="D108" t="str">
            <v>Emissions|Kyoto Gases</v>
          </cell>
          <cell r="E108" t="str">
            <v>Mt CO2-equiv/yr</v>
          </cell>
          <cell r="F108">
            <v>42137.351889999998</v>
          </cell>
          <cell r="K108">
            <v>47422.36939</v>
          </cell>
          <cell r="P108">
            <v>50047.960039999998</v>
          </cell>
          <cell r="Z108">
            <v>52201.18316</v>
          </cell>
          <cell r="AJ108">
            <v>24931.881659999999</v>
          </cell>
          <cell r="AT108">
            <v>15560.07209</v>
          </cell>
          <cell r="BD108">
            <v>9491.4281769999998</v>
          </cell>
          <cell r="BN108">
            <v>6185.7529770000001</v>
          </cell>
          <cell r="BX108">
            <v>4146.7299949999997</v>
          </cell>
          <cell r="CH108">
            <v>3091.434585</v>
          </cell>
          <cell r="CR108">
            <v>1997.8534099999999</v>
          </cell>
          <cell r="DB108">
            <v>1506.1966159999999</v>
          </cell>
        </row>
        <row r="109">
          <cell r="D109" t="str">
            <v>Emissions|Kyoto Gases (AR4-GWP100)</v>
          </cell>
          <cell r="E109" t="str">
            <v>Mt CO2-equiv/yr</v>
          </cell>
          <cell r="F109">
            <v>42031.728280000003</v>
          </cell>
          <cell r="K109">
            <v>47297.241520000003</v>
          </cell>
          <cell r="P109">
            <v>49956.594349999999</v>
          </cell>
          <cell r="U109">
            <v>51118.184410000002</v>
          </cell>
          <cell r="Z109">
            <v>52279.77448</v>
          </cell>
          <cell r="AJ109">
            <v>24959.840459999999</v>
          </cell>
          <cell r="AT109">
            <v>15590.90739</v>
          </cell>
          <cell r="BD109">
            <v>9512.0091580000008</v>
          </cell>
          <cell r="BN109">
            <v>6201.9121729999997</v>
          </cell>
          <cell r="BX109">
            <v>4162.0258679999997</v>
          </cell>
          <cell r="CH109">
            <v>3104.1573560000002</v>
          </cell>
          <cell r="CR109">
            <v>2011.032944</v>
          </cell>
          <cell r="DB109">
            <v>1518.3529550000001</v>
          </cell>
        </row>
        <row r="110">
          <cell r="D110" t="str">
            <v>Emissions|Kyoto Gases (AR5-GWP100)</v>
          </cell>
          <cell r="E110" t="str">
            <v>Mt CO2-equiv/yr</v>
          </cell>
          <cell r="F110">
            <v>42845.299310000002</v>
          </cell>
          <cell r="K110">
            <v>48174.26829</v>
          </cell>
          <cell r="P110">
            <v>50778.16646</v>
          </cell>
          <cell r="U110">
            <v>51892.820189999999</v>
          </cell>
          <cell r="Z110">
            <v>53007.47393</v>
          </cell>
          <cell r="AJ110">
            <v>25390.49077</v>
          </cell>
          <cell r="AT110">
            <v>15887.6319</v>
          </cell>
          <cell r="BD110">
            <v>9683.6569259999997</v>
          </cell>
          <cell r="BN110">
            <v>6323.2349869999998</v>
          </cell>
          <cell r="BX110">
            <v>4264.1370770000003</v>
          </cell>
          <cell r="CH110">
            <v>3184.5032649999998</v>
          </cell>
          <cell r="CR110">
            <v>2071.703681</v>
          </cell>
          <cell r="DB110">
            <v>1562.0011380000001</v>
          </cell>
        </row>
        <row r="111">
          <cell r="D111" t="str">
            <v>Emissions|Kyoto Gases (SAR-GWP100)</v>
          </cell>
          <cell r="E111" t="str">
            <v>Mt CO2-equiv/yr</v>
          </cell>
          <cell r="F111">
            <v>40877.447339999999</v>
          </cell>
          <cell r="K111">
            <v>46041.931709999997</v>
          </cell>
          <cell r="P111">
            <v>48715.884149999998</v>
          </cell>
          <cell r="U111">
            <v>49830.790079999999</v>
          </cell>
          <cell r="Z111">
            <v>50945.696020000003</v>
          </cell>
          <cell r="AJ111">
            <v>24132.94499</v>
          </cell>
          <cell r="AT111">
            <v>14914.10871</v>
          </cell>
          <cell r="BD111">
            <v>8973.1762010000002</v>
          </cell>
          <cell r="BN111">
            <v>5728.8275089999997</v>
          </cell>
          <cell r="BX111">
            <v>3726.521283</v>
          </cell>
          <cell r="CH111">
            <v>2700.5148469999999</v>
          </cell>
          <cell r="CR111">
            <v>1636.8866439999999</v>
          </cell>
          <cell r="DB111">
            <v>1172.6792600000001</v>
          </cell>
        </row>
        <row r="112">
          <cell r="D112" t="str">
            <v>Emissions|N2O</v>
          </cell>
          <cell r="E112" t="str">
            <v>kt N2O/yr</v>
          </cell>
          <cell r="F112">
            <v>7833.6756480000004</v>
          </cell>
          <cell r="K112">
            <v>8288.0317599999998</v>
          </cell>
          <cell r="P112">
            <v>8761.4773440000008</v>
          </cell>
          <cell r="Z112">
            <v>9620.5207360000004</v>
          </cell>
          <cell r="AJ112">
            <v>8771.5406970000004</v>
          </cell>
          <cell r="AT112">
            <v>8474.2361529999998</v>
          </cell>
          <cell r="BD112">
            <v>8253.1154470000001</v>
          </cell>
          <cell r="BN112">
            <v>8044.5426660000003</v>
          </cell>
          <cell r="BX112">
            <v>7560.1673890000002</v>
          </cell>
          <cell r="CH112">
            <v>7412.692712</v>
          </cell>
          <cell r="CR112">
            <v>7251.4165249999996</v>
          </cell>
          <cell r="DB112">
            <v>7028.6346169999997</v>
          </cell>
        </row>
        <row r="113">
          <cell r="D113" t="str">
            <v>Emissions|N2O|AFOLU</v>
          </cell>
          <cell r="E113" t="str">
            <v>kt N2O/yr</v>
          </cell>
          <cell r="F113">
            <v>5769.4283640000003</v>
          </cell>
          <cell r="K113">
            <v>6108.2826160000004</v>
          </cell>
          <cell r="P113">
            <v>6447.1368679999996</v>
          </cell>
          <cell r="Z113">
            <v>7144.8579339999997</v>
          </cell>
          <cell r="AJ113">
            <v>6761.7935230000003</v>
          </cell>
          <cell r="AT113">
            <v>6804.3485259999998</v>
          </cell>
          <cell r="BD113">
            <v>6809.6835540000002</v>
          </cell>
          <cell r="BN113">
            <v>6743.0226290000001</v>
          </cell>
          <cell r="BX113">
            <v>6618.6496630000001</v>
          </cell>
          <cell r="CH113">
            <v>6484.008632</v>
          </cell>
          <cell r="CR113">
            <v>6329.7354539999997</v>
          </cell>
          <cell r="DB113">
            <v>6115.7340480000003</v>
          </cell>
        </row>
        <row r="114">
          <cell r="D114" t="str">
            <v>Emissions|NH3</v>
          </cell>
          <cell r="E114" t="str">
            <v>Mt NH3/yr</v>
          </cell>
          <cell r="F114">
            <v>52.213030209999999</v>
          </cell>
          <cell r="K114">
            <v>54.267484680000003</v>
          </cell>
          <cell r="P114">
            <v>56.040233319999999</v>
          </cell>
          <cell r="Z114">
            <v>49.606829380000001</v>
          </cell>
          <cell r="AJ114">
            <v>32.412328100000003</v>
          </cell>
          <cell r="AT114">
            <v>32.05942675</v>
          </cell>
          <cell r="BD114">
            <v>31.860781450000001</v>
          </cell>
          <cell r="BN114">
            <v>31.462682780000002</v>
          </cell>
          <cell r="BX114">
            <v>30.974614840000001</v>
          </cell>
          <cell r="CH114">
            <v>30.231850479999999</v>
          </cell>
          <cell r="CR114">
            <v>29.375300070000002</v>
          </cell>
          <cell r="DB114">
            <v>28.031613920000002</v>
          </cell>
        </row>
        <row r="115">
          <cell r="D115" t="str">
            <v>Emissions|NOx</v>
          </cell>
          <cell r="E115" t="str">
            <v>Mt NO2/yr</v>
          </cell>
          <cell r="F115">
            <v>112.1667334</v>
          </cell>
          <cell r="K115">
            <v>119.5270866</v>
          </cell>
          <cell r="P115">
            <v>114.36005280000001</v>
          </cell>
          <cell r="Z115">
            <v>103.88949030000001</v>
          </cell>
          <cell r="AJ115">
            <v>63.492051279999998</v>
          </cell>
          <cell r="AT115">
            <v>46.72909859</v>
          </cell>
          <cell r="BD115">
            <v>41.393375659999997</v>
          </cell>
          <cell r="BN115">
            <v>39.74213443</v>
          </cell>
          <cell r="BX115">
            <v>38.088030099999997</v>
          </cell>
          <cell r="CH115">
            <v>36.967460959999997</v>
          </cell>
          <cell r="CR115">
            <v>35.747677930000002</v>
          </cell>
          <cell r="DB115">
            <v>33.996022070000002</v>
          </cell>
        </row>
        <row r="116">
          <cell r="D116" t="str">
            <v>Emissions|OC</v>
          </cell>
          <cell r="E116" t="str">
            <v>Mt OC/yr</v>
          </cell>
          <cell r="F116">
            <v>34.543517360000003</v>
          </cell>
          <cell r="K116">
            <v>33.993361319999998</v>
          </cell>
          <cell r="P116">
            <v>33.306901099999997</v>
          </cell>
          <cell r="Z116">
            <v>30.082300790000001</v>
          </cell>
          <cell r="AJ116">
            <v>12.073449719999999</v>
          </cell>
          <cell r="AT116">
            <v>10.50365875</v>
          </cell>
          <cell r="BD116">
            <v>9.5160467349999998</v>
          </cell>
          <cell r="BN116">
            <v>8.8933388900000008</v>
          </cell>
          <cell r="BX116">
            <v>8.5002335569999996</v>
          </cell>
          <cell r="CH116">
            <v>8.0269322249999995</v>
          </cell>
          <cell r="CR116">
            <v>7.6314274070000003</v>
          </cell>
          <cell r="DB116">
            <v>7.0081206150000002</v>
          </cell>
        </row>
        <row r="117">
          <cell r="D117" t="str">
            <v>Emissions|PFC</v>
          </cell>
          <cell r="E117" t="str">
            <v>kt CF4-equiv/yr</v>
          </cell>
          <cell r="P117">
            <v>14.52281934</v>
          </cell>
          <cell r="Z117">
            <v>21.40904828</v>
          </cell>
          <cell r="AJ117">
            <v>5.0448664489999997</v>
          </cell>
          <cell r="AT117">
            <v>3.9218627619999999</v>
          </cell>
          <cell r="BD117">
            <v>2.473935231</v>
          </cell>
          <cell r="BN117">
            <v>1.7660504159999999</v>
          </cell>
          <cell r="BX117">
            <v>1.4846169490000001</v>
          </cell>
          <cell r="CH117">
            <v>0.95344272200000002</v>
          </cell>
          <cell r="CR117">
            <v>0.804778361</v>
          </cell>
          <cell r="DB117">
            <v>0.78869905299999998</v>
          </cell>
        </row>
        <row r="118">
          <cell r="D118" t="str">
            <v>Emissions|SF6</v>
          </cell>
          <cell r="E118" t="str">
            <v>kt SF6/yr</v>
          </cell>
          <cell r="F118">
            <v>5.3232708459999998</v>
          </cell>
          <cell r="K118">
            <v>5.9622831950000004</v>
          </cell>
          <cell r="P118">
            <v>7.582426237</v>
          </cell>
          <cell r="Z118">
            <v>8.0724607049999992</v>
          </cell>
          <cell r="AJ118">
            <v>2.3313476149999999</v>
          </cell>
          <cell r="AT118">
            <v>2.1705346059999999</v>
          </cell>
          <cell r="BD118">
            <v>1.4869220379999999</v>
          </cell>
          <cell r="BN118">
            <v>1.0980940749999999</v>
          </cell>
          <cell r="BX118">
            <v>0.63380798000000005</v>
          </cell>
          <cell r="CH118">
            <v>0.463577617</v>
          </cell>
          <cell r="CR118">
            <v>0.38647362699999999</v>
          </cell>
          <cell r="DB118">
            <v>0.32021006200000002</v>
          </cell>
        </row>
        <row r="119">
          <cell r="D119" t="str">
            <v>Emissions|Sulfur</v>
          </cell>
          <cell r="E119" t="str">
            <v>Mt SO2/yr</v>
          </cell>
          <cell r="F119">
            <v>92.154182550000002</v>
          </cell>
          <cell r="K119">
            <v>108.5628476</v>
          </cell>
          <cell r="P119">
            <v>99.946938509999995</v>
          </cell>
          <cell r="Z119">
            <v>71.728021440000006</v>
          </cell>
          <cell r="AJ119">
            <v>37.112701280000003</v>
          </cell>
          <cell r="AT119">
            <v>22.4219589</v>
          </cell>
          <cell r="BD119">
            <v>17.466533460000001</v>
          </cell>
          <cell r="BN119">
            <v>16.33150569</v>
          </cell>
          <cell r="BX119">
            <v>14.98400135</v>
          </cell>
          <cell r="CH119">
            <v>14.161365200000001</v>
          </cell>
          <cell r="CR119">
            <v>13.32329505</v>
          </cell>
          <cell r="DB119">
            <v>12.45260326</v>
          </cell>
        </row>
        <row r="120">
          <cell r="D120" t="str">
            <v>Emissions|VOC</v>
          </cell>
          <cell r="E120" t="str">
            <v>Mt VOC/yr</v>
          </cell>
          <cell r="F120">
            <v>190.76592840000001</v>
          </cell>
          <cell r="K120">
            <v>196.47869270000001</v>
          </cell>
          <cell r="P120">
            <v>189.8171299</v>
          </cell>
          <cell r="Z120">
            <v>174.07868199999999</v>
          </cell>
          <cell r="AJ120">
            <v>98.38883156</v>
          </cell>
          <cell r="AT120">
            <v>84.258868120000002</v>
          </cell>
          <cell r="BD120">
            <v>76.858190800000003</v>
          </cell>
          <cell r="BN120">
            <v>73.727451049999999</v>
          </cell>
          <cell r="BX120">
            <v>71.741307300000003</v>
          </cell>
          <cell r="CH120">
            <v>69.745373819999998</v>
          </cell>
          <cell r="CR120">
            <v>67.882568599999999</v>
          </cell>
          <cell r="DB120">
            <v>65.285422280000006</v>
          </cell>
        </row>
        <row r="121">
          <cell r="D121" t="str">
            <v>Final Energy</v>
          </cell>
          <cell r="E121" t="str">
            <v>EJ/yr</v>
          </cell>
          <cell r="F121">
            <v>287.92665490000002</v>
          </cell>
          <cell r="K121">
            <v>323.04154369999998</v>
          </cell>
          <cell r="P121">
            <v>361.84435259999998</v>
          </cell>
          <cell r="Z121">
            <v>417.61872779999999</v>
          </cell>
          <cell r="AJ121">
            <v>309.32063260000001</v>
          </cell>
          <cell r="AT121">
            <v>266.30870629999998</v>
          </cell>
          <cell r="BD121">
            <v>245.41767730000001</v>
          </cell>
          <cell r="BN121">
            <v>241.0692837</v>
          </cell>
          <cell r="BX121">
            <v>237.18468669999999</v>
          </cell>
          <cell r="CH121">
            <v>236.45664339999999</v>
          </cell>
          <cell r="CR121">
            <v>236.0343699</v>
          </cell>
          <cell r="DB121">
            <v>234.97393289999999</v>
          </cell>
        </row>
        <row r="122">
          <cell r="D122" t="str">
            <v>Final Energy|Electricity</v>
          </cell>
          <cell r="E122" t="str">
            <v>EJ/yr</v>
          </cell>
          <cell r="F122">
            <v>45.39739616</v>
          </cell>
          <cell r="K122">
            <v>54.203764169999999</v>
          </cell>
          <cell r="P122">
            <v>63.721661220000001</v>
          </cell>
          <cell r="Z122">
            <v>85.183634260000005</v>
          </cell>
          <cell r="AJ122">
            <v>98.91504716</v>
          </cell>
          <cell r="AT122">
            <v>122.63087109999999</v>
          </cell>
          <cell r="BD122">
            <v>132.17469130000001</v>
          </cell>
          <cell r="BN122">
            <v>134.8384819</v>
          </cell>
          <cell r="BX122">
            <v>134.4857849</v>
          </cell>
          <cell r="CH122">
            <v>134.34156300000001</v>
          </cell>
          <cell r="CR122">
            <v>130.42601970000001</v>
          </cell>
          <cell r="DB122">
            <v>127.5760307</v>
          </cell>
        </row>
        <row r="123">
          <cell r="D123" t="str">
            <v>Final Energy|Gases</v>
          </cell>
          <cell r="E123" t="str">
            <v>EJ/yr</v>
          </cell>
          <cell r="F123">
            <v>44.15479835</v>
          </cell>
          <cell r="K123">
            <v>48.199274520000003</v>
          </cell>
          <cell r="P123">
            <v>52.403977249999997</v>
          </cell>
          <cell r="Z123">
            <v>47.518365039999999</v>
          </cell>
          <cell r="AJ123">
            <v>36.749310139999999</v>
          </cell>
          <cell r="AT123">
            <v>30.178711700000001</v>
          </cell>
          <cell r="BD123">
            <v>26.485977259999999</v>
          </cell>
          <cell r="BN123">
            <v>26.22278408</v>
          </cell>
          <cell r="BX123">
            <v>23.24030862</v>
          </cell>
          <cell r="CH123">
            <v>19.015523460000001</v>
          </cell>
          <cell r="CR123">
            <v>16.416007530000002</v>
          </cell>
          <cell r="DB123">
            <v>16.197902450000001</v>
          </cell>
        </row>
        <row r="124">
          <cell r="D124" t="str">
            <v>Final Energy|Geothermal</v>
          </cell>
          <cell r="E124" t="str">
            <v>EJ/yr</v>
          </cell>
          <cell r="F124">
            <v>0</v>
          </cell>
          <cell r="K124">
            <v>0</v>
          </cell>
          <cell r="P124">
            <v>0</v>
          </cell>
          <cell r="Z124">
            <v>0</v>
          </cell>
          <cell r="AJ124">
            <v>0</v>
          </cell>
          <cell r="AT124">
            <v>0</v>
          </cell>
          <cell r="BD124">
            <v>0</v>
          </cell>
          <cell r="BN124">
            <v>0</v>
          </cell>
          <cell r="BX124">
            <v>0</v>
          </cell>
          <cell r="CH124">
            <v>0</v>
          </cell>
          <cell r="CR124">
            <v>0</v>
          </cell>
          <cell r="DB124">
            <v>0</v>
          </cell>
        </row>
        <row r="125">
          <cell r="D125" t="str">
            <v>Final Energy|Heat</v>
          </cell>
          <cell r="E125" t="str">
            <v>EJ/yr</v>
          </cell>
          <cell r="F125">
            <v>9.9219083000000001</v>
          </cell>
          <cell r="K125">
            <v>10.96067229</v>
          </cell>
          <cell r="P125">
            <v>11.5426843599999</v>
          </cell>
          <cell r="Z125">
            <v>13.335880510000001</v>
          </cell>
          <cell r="AJ125">
            <v>10.50868163</v>
          </cell>
          <cell r="AT125">
            <v>7.7123169010000003</v>
          </cell>
          <cell r="BD125">
            <v>6.431675341</v>
          </cell>
          <cell r="BN125">
            <v>5.7222885369999998</v>
          </cell>
          <cell r="BX125">
            <v>5.2087414330000001</v>
          </cell>
          <cell r="CH125">
            <v>4.8961268090000001</v>
          </cell>
          <cell r="CR125">
            <v>4.8624276120000003</v>
          </cell>
          <cell r="DB125">
            <v>4.9603345330000002</v>
          </cell>
        </row>
        <row r="126">
          <cell r="D126" t="str">
            <v>Final Energy|Hydrogen</v>
          </cell>
          <cell r="E126" t="str">
            <v>EJ/yr</v>
          </cell>
          <cell r="F126">
            <v>0</v>
          </cell>
          <cell r="K126">
            <v>0</v>
          </cell>
          <cell r="P126">
            <v>0</v>
          </cell>
          <cell r="Z126">
            <v>0</v>
          </cell>
          <cell r="AJ126">
            <v>0.225645551</v>
          </cell>
          <cell r="AT126">
            <v>3.5390631039999998</v>
          </cell>
          <cell r="BD126">
            <v>11.314610310000001</v>
          </cell>
          <cell r="BN126">
            <v>18.422338480000001</v>
          </cell>
          <cell r="BX126">
            <v>27.356986089999999</v>
          </cell>
          <cell r="CH126">
            <v>33.30946471</v>
          </cell>
          <cell r="CR126">
            <v>37.953747589999999</v>
          </cell>
          <cell r="DB126">
            <v>42.202740110000001</v>
          </cell>
        </row>
        <row r="127">
          <cell r="D127" t="str">
            <v>Final Energy|Industry</v>
          </cell>
          <cell r="E127" t="str">
            <v>EJ/yr</v>
          </cell>
          <cell r="F127">
            <v>101.4033931</v>
          </cell>
          <cell r="K127">
            <v>116.8440198</v>
          </cell>
          <cell r="P127">
            <v>135.0411641</v>
          </cell>
          <cell r="Z127">
            <v>165.14638439999999</v>
          </cell>
          <cell r="AJ127">
            <v>135.3421792</v>
          </cell>
          <cell r="AT127">
            <v>115.6933368</v>
          </cell>
          <cell r="BD127">
            <v>107.31043560000001</v>
          </cell>
          <cell r="BN127">
            <v>103.7824246</v>
          </cell>
          <cell r="BX127">
            <v>101.03488830000001</v>
          </cell>
          <cell r="CH127">
            <v>100.09427890000001</v>
          </cell>
          <cell r="CR127">
            <v>100.7469368</v>
          </cell>
          <cell r="DB127">
            <v>101.5934385</v>
          </cell>
        </row>
        <row r="128">
          <cell r="D128" t="str">
            <v>Final Energy|Industry|Electricity</v>
          </cell>
          <cell r="E128" t="str">
            <v>EJ/yr</v>
          </cell>
          <cell r="F128">
            <v>19.066635250000001</v>
          </cell>
          <cell r="K128">
            <v>22.476495870000001</v>
          </cell>
          <cell r="P128">
            <v>26.41188837</v>
          </cell>
          <cell r="Z128">
            <v>30.892337950000002</v>
          </cell>
          <cell r="AJ128">
            <v>30.37890363</v>
          </cell>
          <cell r="AT128">
            <v>34.064996129999997</v>
          </cell>
          <cell r="BD128">
            <v>38.176573259999998</v>
          </cell>
          <cell r="BN128">
            <v>39.619664640000003</v>
          </cell>
          <cell r="BX128">
            <v>39.829038369999999</v>
          </cell>
          <cell r="CH128">
            <v>39.740152080000001</v>
          </cell>
          <cell r="CR128">
            <v>37.904437690000002</v>
          </cell>
          <cell r="DB128">
            <v>36.30967192</v>
          </cell>
        </row>
        <row r="129">
          <cell r="D129" t="str">
            <v>Final Energy|Industry|Gases</v>
          </cell>
          <cell r="E129" t="str">
            <v>EJ/yr</v>
          </cell>
          <cell r="F129">
            <v>21.48653861</v>
          </cell>
          <cell r="K129">
            <v>23.14537009</v>
          </cell>
          <cell r="P129">
            <v>25.798459579999999</v>
          </cell>
          <cell r="Z129">
            <v>23.159777120000001</v>
          </cell>
          <cell r="AJ129">
            <v>15.99398879</v>
          </cell>
          <cell r="AT129">
            <v>15.79638797</v>
          </cell>
          <cell r="BD129">
            <v>14.75817859</v>
          </cell>
          <cell r="BN129">
            <v>17.113999339999999</v>
          </cell>
          <cell r="BX129">
            <v>18.001169260000001</v>
          </cell>
          <cell r="CH129">
            <v>16.77701712</v>
          </cell>
          <cell r="CR129">
            <v>15.74811006</v>
          </cell>
          <cell r="DB129">
            <v>16.197504439999999</v>
          </cell>
        </row>
        <row r="130">
          <cell r="D130" t="str">
            <v>Final Energy|Industry|Heat</v>
          </cell>
          <cell r="E130" t="str">
            <v>EJ/yr</v>
          </cell>
          <cell r="F130">
            <v>3.8075008019999999</v>
          </cell>
          <cell r="K130">
            <v>4.7236372549999999</v>
          </cell>
          <cell r="P130">
            <v>5.2391094489999999</v>
          </cell>
          <cell r="Z130">
            <v>5.5270848089999998</v>
          </cell>
          <cell r="AJ130">
            <v>6.3749393400000001</v>
          </cell>
          <cell r="AT130">
            <v>4.8004128130000003</v>
          </cell>
          <cell r="BD130">
            <v>3.2854204849999999</v>
          </cell>
          <cell r="BN130">
            <v>1.974876761</v>
          </cell>
          <cell r="BX130">
            <v>1.5269172819999901</v>
          </cell>
          <cell r="CH130">
            <v>1.243078863</v>
          </cell>
          <cell r="CR130">
            <v>1.0926136529999999</v>
          </cell>
          <cell r="DB130">
            <v>0.93024180400000001</v>
          </cell>
        </row>
        <row r="131">
          <cell r="D131" t="str">
            <v>Final Energy|Industry|Hydrogen</v>
          </cell>
          <cell r="E131" t="str">
            <v>EJ/yr</v>
          </cell>
          <cell r="F131">
            <v>0</v>
          </cell>
          <cell r="K131">
            <v>0</v>
          </cell>
          <cell r="P131">
            <v>0</v>
          </cell>
          <cell r="Z131">
            <v>0</v>
          </cell>
          <cell r="AJ131">
            <v>0</v>
          </cell>
          <cell r="AT131">
            <v>8.5404975999999994E-2</v>
          </cell>
          <cell r="BD131">
            <v>0.62656085399999994</v>
          </cell>
          <cell r="BN131">
            <v>4.0512220660000002</v>
          </cell>
          <cell r="BX131">
            <v>9.8722699249999994</v>
          </cell>
          <cell r="CH131">
            <v>11.590333299999999</v>
          </cell>
          <cell r="CR131">
            <v>13.9182475</v>
          </cell>
          <cell r="DB131">
            <v>17.603088799999998</v>
          </cell>
        </row>
        <row r="132">
          <cell r="D132" t="str">
            <v>Final Energy|Industry|Liquids</v>
          </cell>
          <cell r="E132" t="str">
            <v>EJ/yr</v>
          </cell>
          <cell r="F132">
            <v>33.164595630000001</v>
          </cell>
          <cell r="K132">
            <v>37.03910321</v>
          </cell>
          <cell r="P132">
            <v>39.08747339</v>
          </cell>
          <cell r="Z132">
            <v>63.119343569999998</v>
          </cell>
          <cell r="AJ132">
            <v>42.00931258</v>
          </cell>
          <cell r="AT132">
            <v>27.83979162</v>
          </cell>
          <cell r="BD132">
            <v>19.236014470000001</v>
          </cell>
          <cell r="BN132">
            <v>14.91062112</v>
          </cell>
          <cell r="BX132">
            <v>13.501021850000001</v>
          </cell>
          <cell r="CH132">
            <v>14.73810639</v>
          </cell>
          <cell r="CR132">
            <v>16.570057899999998</v>
          </cell>
          <cell r="DB132">
            <v>15.64664292</v>
          </cell>
        </row>
        <row r="133">
          <cell r="D133" t="str">
            <v>Final Energy|Industry|Other</v>
          </cell>
          <cell r="E133" t="str">
            <v>EJ/yr</v>
          </cell>
          <cell r="F133">
            <v>4.1002E-3</v>
          </cell>
          <cell r="K133">
            <v>5.1504819999999996E-3</v>
          </cell>
          <cell r="P133">
            <v>0.51874358300000001</v>
          </cell>
          <cell r="Z133">
            <v>1.993235477</v>
          </cell>
          <cell r="AJ133">
            <v>10.53934349</v>
          </cell>
          <cell r="AT133">
            <v>11.845939400000001</v>
          </cell>
          <cell r="BD133">
            <v>12.447932229999999</v>
          </cell>
          <cell r="BN133">
            <v>12.63762685</v>
          </cell>
          <cell r="BX133">
            <v>12.771990069999999</v>
          </cell>
          <cell r="CH133">
            <v>12.919864179999999</v>
          </cell>
          <cell r="CR133">
            <v>12.643245159999999</v>
          </cell>
          <cell r="DB133">
            <v>12.24069394</v>
          </cell>
        </row>
        <row r="134">
          <cell r="D134" t="str">
            <v>Final Energy|Industry|Solids</v>
          </cell>
          <cell r="E134" t="str">
            <v>EJ/yr</v>
          </cell>
          <cell r="F134">
            <v>23.8740226</v>
          </cell>
          <cell r="K134">
            <v>29.454262870000001</v>
          </cell>
          <cell r="P134">
            <v>37.985489749999999</v>
          </cell>
          <cell r="Z134">
            <v>40.454605430000001</v>
          </cell>
          <cell r="AJ134">
            <v>30.04569132</v>
          </cell>
          <cell r="AT134">
            <v>21.260403929999999</v>
          </cell>
          <cell r="BD134">
            <v>18.77975571</v>
          </cell>
          <cell r="BN134">
            <v>13.47441383</v>
          </cell>
          <cell r="BX134">
            <v>5.53248154</v>
          </cell>
          <cell r="CH134">
            <v>3.085726974</v>
          </cell>
          <cell r="CR134">
            <v>2.8702248510000001</v>
          </cell>
          <cell r="DB134">
            <v>2.6655946799999999</v>
          </cell>
        </row>
        <row r="135">
          <cell r="D135" t="str">
            <v>Final Energy|Industry|Solids|Biomass</v>
          </cell>
          <cell r="E135" t="str">
            <v>EJ/yr</v>
          </cell>
          <cell r="F135">
            <v>6.838321627</v>
          </cell>
          <cell r="K135">
            <v>7.2364117199999898</v>
          </cell>
          <cell r="P135">
            <v>7.9063851310000004</v>
          </cell>
          <cell r="Z135">
            <v>3.851487391</v>
          </cell>
          <cell r="AJ135">
            <v>13.060457510000001</v>
          </cell>
          <cell r="AT135">
            <v>16.390967180000001</v>
          </cell>
          <cell r="BD135">
            <v>16.79635597</v>
          </cell>
          <cell r="BN135">
            <v>12.77868132</v>
          </cell>
          <cell r="BX135">
            <v>5.5087156410000002</v>
          </cell>
          <cell r="CH135">
            <v>3.085726974</v>
          </cell>
          <cell r="CR135">
            <v>2.8702248510000001</v>
          </cell>
          <cell r="DB135">
            <v>2.6655946799999999</v>
          </cell>
        </row>
        <row r="136">
          <cell r="D136" t="str">
            <v>Final Energy|Industry|Solids|Coal</v>
          </cell>
          <cell r="E136" t="str">
            <v>EJ/yr</v>
          </cell>
          <cell r="F136">
            <v>17.035700970000001</v>
          </cell>
          <cell r="K136">
            <v>22.217851150000001</v>
          </cell>
          <cell r="P136">
            <v>30.079104610000002</v>
          </cell>
          <cell r="Z136">
            <v>36.603118039999998</v>
          </cell>
          <cell r="AJ136">
            <v>16.98523381</v>
          </cell>
          <cell r="AT136">
            <v>4.8694367539999996</v>
          </cell>
          <cell r="BD136">
            <v>1.9833997430000001</v>
          </cell>
          <cell r="BN136">
            <v>0.69573250799999997</v>
          </cell>
          <cell r="BX136">
            <v>2.3765899E-2</v>
          </cell>
          <cell r="CH136">
            <v>0</v>
          </cell>
          <cell r="CR136">
            <v>0</v>
          </cell>
          <cell r="DB136">
            <v>0</v>
          </cell>
        </row>
        <row r="137">
          <cell r="D137" t="str">
            <v>Final Energy|Liquids</v>
          </cell>
          <cell r="E137" t="str">
            <v>EJ/yr</v>
          </cell>
          <cell r="F137">
            <v>129.6592291</v>
          </cell>
          <cell r="K137">
            <v>143.28176089999999</v>
          </cell>
          <cell r="P137">
            <v>151.24840689999999</v>
          </cell>
          <cell r="Z137">
            <v>188.57198650000001</v>
          </cell>
          <cell r="AJ137">
            <v>108.1986769</v>
          </cell>
          <cell r="AT137">
            <v>57.928866130000003</v>
          </cell>
          <cell r="BD137">
            <v>27.663602690000001</v>
          </cell>
          <cell r="BN137">
            <v>19.292931960000001</v>
          </cell>
          <cell r="BX137">
            <v>18.172305900000001</v>
          </cell>
          <cell r="CH137">
            <v>18.405017900000001</v>
          </cell>
          <cell r="CR137">
            <v>20.512154330000001</v>
          </cell>
          <cell r="DB137">
            <v>18.89600587</v>
          </cell>
        </row>
        <row r="138">
          <cell r="D138" t="str">
            <v>Final Energy|Non-Energy Use</v>
          </cell>
          <cell r="E138" t="str">
            <v>EJ/yr</v>
          </cell>
          <cell r="F138">
            <v>24.852889470000001</v>
          </cell>
          <cell r="K138">
            <v>29.877211200000001</v>
          </cell>
          <cell r="P138">
            <v>32.479030960000003</v>
          </cell>
          <cell r="Z138">
            <v>39.797469990000003</v>
          </cell>
          <cell r="AJ138">
            <v>32.997424600000002</v>
          </cell>
          <cell r="AT138">
            <v>28.91405069</v>
          </cell>
          <cell r="BD138">
            <v>27.552925899999899</v>
          </cell>
          <cell r="BN138">
            <v>27.55292583</v>
          </cell>
          <cell r="BX138">
            <v>27.552926410000001</v>
          </cell>
          <cell r="CH138">
            <v>27.552925819999999</v>
          </cell>
          <cell r="CR138">
            <v>27.55292567</v>
          </cell>
          <cell r="DB138">
            <v>27.552926370000002</v>
          </cell>
        </row>
        <row r="139">
          <cell r="D139" t="str">
            <v>Final Energy|Non-Energy Use|Biomass</v>
          </cell>
          <cell r="E139" t="str">
            <v>EJ/yr</v>
          </cell>
          <cell r="F139">
            <v>0</v>
          </cell>
          <cell r="K139">
            <v>0</v>
          </cell>
          <cell r="P139">
            <v>0</v>
          </cell>
          <cell r="Z139">
            <v>0</v>
          </cell>
          <cell r="AJ139">
            <v>6.6234873E-2</v>
          </cell>
          <cell r="AT139">
            <v>0.34479781199999998</v>
          </cell>
          <cell r="BD139">
            <v>1.7185250700000001</v>
          </cell>
          <cell r="BN139">
            <v>4.4942137170000001</v>
          </cell>
          <cell r="BX139">
            <v>7.8337897310000004</v>
          </cell>
          <cell r="CH139">
            <v>10.75047775</v>
          </cell>
          <cell r="CR139">
            <v>11.81684052</v>
          </cell>
          <cell r="DB139">
            <v>11.35542193</v>
          </cell>
        </row>
        <row r="140">
          <cell r="D140" t="str">
            <v>Final Energy|Non-Energy Use|Coal</v>
          </cell>
          <cell r="E140" t="str">
            <v>EJ/yr</v>
          </cell>
          <cell r="F140">
            <v>0.63038999799999995</v>
          </cell>
          <cell r="K140">
            <v>1.0671243450000001</v>
          </cell>
          <cell r="P140">
            <v>1.4104687499999999</v>
          </cell>
          <cell r="Z140">
            <v>3.0706809939999999</v>
          </cell>
          <cell r="AJ140">
            <v>1.912767128</v>
          </cell>
          <cell r="AT140">
            <v>1.6429021879999901</v>
          </cell>
          <cell r="BD140">
            <v>1.910976488</v>
          </cell>
          <cell r="BN140">
            <v>1.8740720999999998E-2</v>
          </cell>
          <cell r="BX140">
            <v>7.4474372999999996E-2</v>
          </cell>
          <cell r="CH140">
            <v>3.5792829999999999E-3</v>
          </cell>
          <cell r="CR140">
            <v>0</v>
          </cell>
          <cell r="DB140">
            <v>0</v>
          </cell>
        </row>
        <row r="141">
          <cell r="D141" t="str">
            <v>Final Energy|Non-Energy Use|Gas</v>
          </cell>
          <cell r="E141" t="str">
            <v>EJ/yr</v>
          </cell>
          <cell r="F141">
            <v>4.4500731880000002</v>
          </cell>
          <cell r="K141">
            <v>5.3541042110000001</v>
          </cell>
          <cell r="P141">
            <v>6.4422342559999999</v>
          </cell>
          <cell r="Z141">
            <v>3.2198787129999999</v>
          </cell>
          <cell r="AJ141">
            <v>3.2948449420000001</v>
          </cell>
          <cell r="AT141">
            <v>6.2586145440000003</v>
          </cell>
          <cell r="BD141">
            <v>10.19069837</v>
          </cell>
          <cell r="BN141">
            <v>15.612712520000001</v>
          </cell>
          <cell r="BX141">
            <v>17.573256789999999</v>
          </cell>
          <cell r="CH141">
            <v>16.640164899999998</v>
          </cell>
          <cell r="CR141">
            <v>15.736085149999999</v>
          </cell>
          <cell r="DB141">
            <v>16.197504439999999</v>
          </cell>
        </row>
        <row r="142">
          <cell r="D142" t="str">
            <v>Final Energy|Non-Energy Use|Oil</v>
          </cell>
          <cell r="E142" t="str">
            <v>EJ/yr</v>
          </cell>
          <cell r="F142">
            <v>19.772426280000001</v>
          </cell>
          <cell r="K142">
            <v>23.455982649999999</v>
          </cell>
          <cell r="P142">
            <v>24.626327960000001</v>
          </cell>
          <cell r="Z142">
            <v>33.50691028</v>
          </cell>
          <cell r="AJ142">
            <v>27.72357766</v>
          </cell>
          <cell r="AT142">
            <v>20.66773615</v>
          </cell>
          <cell r="BD142">
            <v>13.73272598</v>
          </cell>
          <cell r="BN142">
            <v>7.4272588749999997</v>
          </cell>
          <cell r="BX142">
            <v>2.0714055120000001</v>
          </cell>
          <cell r="CH142">
            <v>0.15870388299999999</v>
          </cell>
          <cell r="CR142">
            <v>0</v>
          </cell>
          <cell r="DB142">
            <v>0</v>
          </cell>
        </row>
        <row r="143">
          <cell r="D143" t="str">
            <v>Final Energy|Residential and Commercial</v>
          </cell>
          <cell r="E143" t="str">
            <v>EJ/yr</v>
          </cell>
          <cell r="F143">
            <v>108.53221139999999</v>
          </cell>
          <cell r="K143">
            <v>119.5521634</v>
          </cell>
          <cell r="P143">
            <v>131.28065430000001</v>
          </cell>
          <cell r="Z143">
            <v>142.80780540000001</v>
          </cell>
          <cell r="AJ143">
            <v>91.341748539999998</v>
          </cell>
          <cell r="AT143">
            <v>81.126294389999998</v>
          </cell>
          <cell r="BD143">
            <v>72.643343189999996</v>
          </cell>
          <cell r="BN143">
            <v>72.655435780000005</v>
          </cell>
          <cell r="BX143">
            <v>72.159099819999994</v>
          </cell>
          <cell r="CH143">
            <v>72.54738442</v>
          </cell>
          <cell r="CR143">
            <v>71.496014310000007</v>
          </cell>
          <cell r="DB143">
            <v>70.126994890000006</v>
          </cell>
        </row>
        <row r="144">
          <cell r="D144" t="str">
            <v>Final Energy|Residential and Commercial|Electricity</v>
          </cell>
          <cell r="E144" t="str">
            <v>EJ/yr</v>
          </cell>
          <cell r="F144">
            <v>25.65612041</v>
          </cell>
          <cell r="K144">
            <v>30.947073710000002</v>
          </cell>
          <cell r="P144">
            <v>36.400369570000002</v>
          </cell>
          <cell r="Z144">
            <v>51.543547539999999</v>
          </cell>
          <cell r="AJ144">
            <v>51.241302740000002</v>
          </cell>
          <cell r="AT144">
            <v>58.058006040000002</v>
          </cell>
          <cell r="BD144">
            <v>55.239627859999999</v>
          </cell>
          <cell r="BN144">
            <v>55.255700670000003</v>
          </cell>
          <cell r="BX144">
            <v>55.080881359999999</v>
          </cell>
          <cell r="CH144">
            <v>55.301850940000001</v>
          </cell>
          <cell r="CR144">
            <v>53.931040719999999</v>
          </cell>
          <cell r="DB144">
            <v>53.183768409999999</v>
          </cell>
        </row>
        <row r="145">
          <cell r="D145" t="str">
            <v>Final Energy|Residential and Commercial|Gases</v>
          </cell>
          <cell r="E145" t="str">
            <v>EJ/yr</v>
          </cell>
          <cell r="F145">
            <v>22.493127579999999</v>
          </cell>
          <cell r="K145">
            <v>24.71441102</v>
          </cell>
          <cell r="P145">
            <v>25.93071939</v>
          </cell>
          <cell r="Z145">
            <v>23.466189660000001</v>
          </cell>
          <cell r="AJ145">
            <v>14.799392559999999</v>
          </cell>
          <cell r="AT145">
            <v>5.9394672020000003</v>
          </cell>
          <cell r="BD145">
            <v>1.674733598</v>
          </cell>
          <cell r="BN145">
            <v>0.38745016500000001</v>
          </cell>
          <cell r="BX145">
            <v>0.46165809699999999</v>
          </cell>
          <cell r="CH145">
            <v>0.391295534</v>
          </cell>
          <cell r="CR145">
            <v>0.23888577699999999</v>
          </cell>
          <cell r="DB145">
            <v>3.9801700000000002E-4</v>
          </cell>
        </row>
        <row r="146">
          <cell r="D146" t="str">
            <v>Final Energy|Residential and Commercial|Heat</v>
          </cell>
          <cell r="E146" t="str">
            <v>EJ/yr</v>
          </cell>
          <cell r="F146">
            <v>6.1144074980000003</v>
          </cell>
          <cell r="K146">
            <v>6.2370350380000001</v>
          </cell>
          <cell r="P146">
            <v>6.3035749069999998</v>
          </cell>
          <cell r="Z146">
            <v>7.8087956959999998</v>
          </cell>
          <cell r="AJ146">
            <v>4.1337422909999999</v>
          </cell>
          <cell r="AT146">
            <v>2.911904088</v>
          </cell>
          <cell r="BD146">
            <v>3.1462548560000001</v>
          </cell>
          <cell r="BN146">
            <v>3.7474117759999999</v>
          </cell>
          <cell r="BX146">
            <v>3.6818241509999998</v>
          </cell>
          <cell r="CH146">
            <v>3.653047946</v>
          </cell>
          <cell r="CR146">
            <v>3.7698139579999999</v>
          </cell>
          <cell r="DB146">
            <v>4.0300927299999998</v>
          </cell>
        </row>
        <row r="147">
          <cell r="D147" t="str">
            <v>Final Energy|Residential and Commercial|Hydrogen</v>
          </cell>
          <cell r="E147" t="str">
            <v>EJ/yr</v>
          </cell>
          <cell r="F147">
            <v>0</v>
          </cell>
          <cell r="K147">
            <v>0</v>
          </cell>
          <cell r="P147">
            <v>0</v>
          </cell>
          <cell r="Z147">
            <v>0</v>
          </cell>
          <cell r="AJ147">
            <v>2.7854000000000001E-5</v>
          </cell>
          <cell r="AT147">
            <v>4.2632500000000002E-4</v>
          </cell>
          <cell r="BD147">
            <v>1.295093E-3</v>
          </cell>
          <cell r="BN147">
            <v>1.580793E-3</v>
          </cell>
          <cell r="BX147">
            <v>1.6169419999999999E-3</v>
          </cell>
          <cell r="CH147">
            <v>1.6237770000000001E-3</v>
          </cell>
          <cell r="CR147">
            <v>1.69202E-3</v>
          </cell>
          <cell r="DB147">
            <v>1.7183179999999999E-3</v>
          </cell>
        </row>
        <row r="148">
          <cell r="D148" t="str">
            <v>Final Energy|Residential and Commercial|Liquids</v>
          </cell>
          <cell r="E148" t="str">
            <v>EJ/yr</v>
          </cell>
          <cell r="F148">
            <v>19.596371420000001</v>
          </cell>
          <cell r="K148">
            <v>20.904122690000001</v>
          </cell>
          <cell r="P148">
            <v>18.357276550000002</v>
          </cell>
          <cell r="Z148">
            <v>19.428251939999999</v>
          </cell>
          <cell r="AJ148">
            <v>7.0290467730000001</v>
          </cell>
          <cell r="AT148">
            <v>3.0039567190000001</v>
          </cell>
          <cell r="BD148">
            <v>2.4619993189999998</v>
          </cell>
          <cell r="BN148">
            <v>2.8048742739999999</v>
          </cell>
          <cell r="BX148">
            <v>2.5170311079999999</v>
          </cell>
          <cell r="CH148">
            <v>2.7162099190000002</v>
          </cell>
          <cell r="CR148">
            <v>3.204038615</v>
          </cell>
          <cell r="DB148">
            <v>2.6763868409999998</v>
          </cell>
        </row>
        <row r="149">
          <cell r="D149" t="str">
            <v>Final Energy|Residential and Commercial|Other</v>
          </cell>
          <cell r="E149" t="str">
            <v>EJ/yr</v>
          </cell>
          <cell r="F149">
            <v>0.20147751999999999</v>
          </cell>
          <cell r="K149">
            <v>0.28777096000000002</v>
          </cell>
          <cell r="P149">
            <v>1.759894936</v>
          </cell>
          <cell r="Z149">
            <v>7.7346572880000002</v>
          </cell>
          <cell r="AJ149">
            <v>8.4579740520000009</v>
          </cell>
          <cell r="AT149">
            <v>9.5153018869999997</v>
          </cell>
          <cell r="BD149">
            <v>9.7674417830000007</v>
          </cell>
          <cell r="BN149">
            <v>10.1026341</v>
          </cell>
          <cell r="BX149">
            <v>10.05659125</v>
          </cell>
          <cell r="CH149">
            <v>10.113346119999999</v>
          </cell>
          <cell r="CR149">
            <v>9.9748376850000007</v>
          </cell>
          <cell r="DB149">
            <v>9.8560119109999995</v>
          </cell>
        </row>
        <row r="150">
          <cell r="D150" t="str">
            <v>Final Energy|Residential and Commercial|Solids</v>
          </cell>
          <cell r="E150" t="str">
            <v>EJ/yr</v>
          </cell>
          <cell r="F150">
            <v>34.470706939999999</v>
          </cell>
          <cell r="K150">
            <v>36.461750010000003</v>
          </cell>
          <cell r="P150">
            <v>42.528818960000002</v>
          </cell>
          <cell r="Z150">
            <v>32.826363260000001</v>
          </cell>
          <cell r="AJ150">
            <v>5.6802622710000001</v>
          </cell>
          <cell r="AT150">
            <v>1.697232128</v>
          </cell>
          <cell r="BD150">
            <v>0.351990684</v>
          </cell>
          <cell r="BN150">
            <v>0.35578400399999999</v>
          </cell>
          <cell r="BX150">
            <v>0.35949691900000003</v>
          </cell>
          <cell r="CH150">
            <v>0.37001018000000002</v>
          </cell>
          <cell r="CR150">
            <v>0.37570553099999998</v>
          </cell>
          <cell r="DB150">
            <v>0.37861867199999999</v>
          </cell>
        </row>
        <row r="151">
          <cell r="D151" t="str">
            <v>Final Energy|Residential and Commercial|Solids|Biomass</v>
          </cell>
          <cell r="E151" t="str">
            <v>EJ/yr</v>
          </cell>
          <cell r="F151">
            <v>30.03727533</v>
          </cell>
          <cell r="K151">
            <v>31.719261299999999</v>
          </cell>
          <cell r="P151">
            <v>36.984781339999998</v>
          </cell>
          <cell r="Z151">
            <v>31.987068279999999</v>
          </cell>
          <cell r="AJ151">
            <v>5.6795394789999998</v>
          </cell>
          <cell r="AT151">
            <v>1.6965896460000001</v>
          </cell>
          <cell r="BD151">
            <v>0.35141245100000001</v>
          </cell>
          <cell r="BN151">
            <v>0.35525833800000001</v>
          </cell>
          <cell r="BX151">
            <v>0.35900128999999997</v>
          </cell>
          <cell r="CH151">
            <v>0.36954759300000001</v>
          </cell>
          <cell r="CR151">
            <v>0.37524294499999999</v>
          </cell>
          <cell r="DB151">
            <v>0.37815608499999998</v>
          </cell>
        </row>
        <row r="152">
          <cell r="D152" t="str">
            <v>Final Energy|Residential and Commercial|Solids|Coal</v>
          </cell>
          <cell r="E152" t="str">
            <v>EJ/yr</v>
          </cell>
          <cell r="F152">
            <v>4.433431616</v>
          </cell>
          <cell r="K152">
            <v>4.7424887130000002</v>
          </cell>
          <cell r="P152">
            <v>5.5440376179999999</v>
          </cell>
          <cell r="Z152">
            <v>0.83929498000000002</v>
          </cell>
          <cell r="AJ152">
            <v>7.2279199999999999E-4</v>
          </cell>
          <cell r="AT152">
            <v>6.4248099999999998E-4</v>
          </cell>
          <cell r="BD152">
            <v>5.7823300000000005E-4</v>
          </cell>
          <cell r="BN152">
            <v>5.2566699999999995E-4</v>
          </cell>
          <cell r="BX152">
            <v>4.9562900000000003E-4</v>
          </cell>
          <cell r="CH152">
            <v>4.6258699999999998E-4</v>
          </cell>
          <cell r="CR152">
            <v>4.6258699999999998E-4</v>
          </cell>
          <cell r="DB152">
            <v>4.6258699999999998E-4</v>
          </cell>
        </row>
        <row r="153">
          <cell r="D153" t="str">
            <v>Final Energy|Solar</v>
          </cell>
          <cell r="E153" t="str">
            <v>EJ/yr</v>
          </cell>
          <cell r="F153">
            <v>0.20557771899999999</v>
          </cell>
          <cell r="K153">
            <v>0.292921443</v>
          </cell>
          <cell r="P153">
            <v>2.2786385189999998</v>
          </cell>
          <cell r="Z153">
            <v>9.7278927660000001</v>
          </cell>
          <cell r="AJ153">
            <v>18.997317540000001</v>
          </cell>
          <cell r="AT153">
            <v>21.361241280000002</v>
          </cell>
          <cell r="BD153">
            <v>22.215374010000001</v>
          </cell>
          <cell r="BN153">
            <v>22.74026095</v>
          </cell>
          <cell r="BX153">
            <v>22.828581310000001</v>
          </cell>
          <cell r="CH153">
            <v>23.0332103</v>
          </cell>
          <cell r="CR153">
            <v>22.61808285</v>
          </cell>
          <cell r="DB153">
            <v>22.096705849999999</v>
          </cell>
        </row>
        <row r="154">
          <cell r="D154" t="str">
            <v>Final Energy|Solids</v>
          </cell>
          <cell r="E154" t="str">
            <v>EJ/yr</v>
          </cell>
          <cell r="F154">
            <v>58.587745239999997</v>
          </cell>
          <cell r="K154">
            <v>66.103150330000005</v>
          </cell>
          <cell r="P154">
            <v>80.648984389999995</v>
          </cell>
          <cell r="Z154">
            <v>73.280968689999995</v>
          </cell>
          <cell r="AJ154">
            <v>35.725953590000003</v>
          </cell>
          <cell r="AT154">
            <v>22.957636059999999</v>
          </cell>
          <cell r="BD154">
            <v>19.131746400000001</v>
          </cell>
          <cell r="BN154">
            <v>13.830197829999999</v>
          </cell>
          <cell r="BX154">
            <v>5.8919784589999997</v>
          </cell>
          <cell r="CH154">
            <v>3.4557371539999999</v>
          </cell>
          <cell r="CR154">
            <v>3.2459303830000001</v>
          </cell>
          <cell r="DB154">
            <v>3.0442133509999998</v>
          </cell>
        </row>
        <row r="155">
          <cell r="D155" t="str">
            <v>Final Energy|Solids|Biomass</v>
          </cell>
          <cell r="E155" t="str">
            <v>EJ/yr</v>
          </cell>
          <cell r="F155">
            <v>36.875596950000002</v>
          </cell>
          <cell r="K155">
            <v>38.955673019999999</v>
          </cell>
          <cell r="P155">
            <v>44.891166470000002</v>
          </cell>
          <cell r="Z155">
            <v>35.838555669999998</v>
          </cell>
          <cell r="AJ155">
            <v>18.739996990000002</v>
          </cell>
          <cell r="AT155">
            <v>18.08755682</v>
          </cell>
          <cell r="BD155">
            <v>17.147768419999998</v>
          </cell>
          <cell r="BN155">
            <v>13.133939659999999</v>
          </cell>
          <cell r="BX155">
            <v>5.8677169310000004</v>
          </cell>
          <cell r="CH155">
            <v>3.4552745680000001</v>
          </cell>
          <cell r="CR155">
            <v>3.2454677959999998</v>
          </cell>
          <cell r="DB155">
            <v>3.043750765</v>
          </cell>
        </row>
        <row r="156">
          <cell r="D156" t="str">
            <v>Final Energy|Solids|Biomass|Traditional</v>
          </cell>
          <cell r="E156" t="str">
            <v>EJ/yr</v>
          </cell>
          <cell r="F156">
            <v>27.625408319999998</v>
          </cell>
          <cell r="K156">
            <v>29.321200009999998</v>
          </cell>
          <cell r="P156">
            <v>30.503090480000001</v>
          </cell>
          <cell r="Z156">
            <v>28.32199653</v>
          </cell>
          <cell r="AJ156">
            <v>5.7418304000000003E-2</v>
          </cell>
          <cell r="AT156">
            <v>1.9676754000000001E-2</v>
          </cell>
          <cell r="BD156">
            <v>0</v>
          </cell>
          <cell r="BN156">
            <v>0</v>
          </cell>
          <cell r="BX156">
            <v>0</v>
          </cell>
          <cell r="CH156">
            <v>0</v>
          </cell>
          <cell r="CR156">
            <v>0</v>
          </cell>
          <cell r="DB156">
            <v>0</v>
          </cell>
        </row>
        <row r="157">
          <cell r="D157" t="str">
            <v>Final Energy|Solids|Coal</v>
          </cell>
          <cell r="E157" t="str">
            <v>EJ/yr</v>
          </cell>
          <cell r="F157">
            <v>21.712148289999998</v>
          </cell>
          <cell r="K157">
            <v>27.14747732</v>
          </cell>
          <cell r="P157">
            <v>35.757817920000001</v>
          </cell>
          <cell r="Z157">
            <v>37.442413019999996</v>
          </cell>
          <cell r="AJ157">
            <v>16.985956600000002</v>
          </cell>
          <cell r="AT157">
            <v>4.8700792359999996</v>
          </cell>
          <cell r="BD157">
            <v>1.9839779769999999</v>
          </cell>
          <cell r="BN157">
            <v>0.69625817499999998</v>
          </cell>
          <cell r="BX157">
            <v>2.4261528000000001E-2</v>
          </cell>
          <cell r="CH157">
            <v>4.6258699999999998E-4</v>
          </cell>
          <cell r="CR157">
            <v>4.6258699999999998E-4</v>
          </cell>
          <cell r="DB157">
            <v>4.6258699999999998E-4</v>
          </cell>
        </row>
        <row r="158">
          <cell r="D158" t="str">
            <v>Final Energy|Transportation</v>
          </cell>
          <cell r="E158" t="str">
            <v>EJ/yr</v>
          </cell>
          <cell r="F158">
            <v>77.991050459999997</v>
          </cell>
          <cell r="K158">
            <v>86.645360440000005</v>
          </cell>
          <cell r="P158">
            <v>95.522534219999997</v>
          </cell>
          <cell r="Z158">
            <v>109.66453799999999</v>
          </cell>
          <cell r="AJ158">
            <v>82.636704859999995</v>
          </cell>
          <cell r="AT158">
            <v>69.489075020000001</v>
          </cell>
          <cell r="BD158">
            <v>65.463898470000004</v>
          </cell>
          <cell r="BN158">
            <v>64.631423350000006</v>
          </cell>
          <cell r="BX158">
            <v>63.990698620000003</v>
          </cell>
          <cell r="CH158">
            <v>63.814980040000002</v>
          </cell>
          <cell r="CR158">
            <v>63.791418819999997</v>
          </cell>
          <cell r="DB158">
            <v>63.253499490000003</v>
          </cell>
        </row>
        <row r="159">
          <cell r="D159" t="str">
            <v>Final Energy|Transportation|Electricity</v>
          </cell>
          <cell r="E159" t="str">
            <v>EJ/yr</v>
          </cell>
          <cell r="F159">
            <v>0.67464049400000003</v>
          </cell>
          <cell r="K159">
            <v>0.78019458900000005</v>
          </cell>
          <cell r="P159">
            <v>0.90940328400000003</v>
          </cell>
          <cell r="Z159">
            <v>2.7477487680000001</v>
          </cell>
          <cell r="AJ159">
            <v>17.294840799999999</v>
          </cell>
          <cell r="AT159">
            <v>30.507868899999998</v>
          </cell>
          <cell r="BD159">
            <v>38.758490139999999</v>
          </cell>
          <cell r="BN159">
            <v>39.963116589999998</v>
          </cell>
          <cell r="BX159">
            <v>39.57586517</v>
          </cell>
          <cell r="CH159">
            <v>39.299560020000001</v>
          </cell>
          <cell r="CR159">
            <v>38.590541250000001</v>
          </cell>
          <cell r="DB159">
            <v>38.08259039</v>
          </cell>
        </row>
        <row r="160">
          <cell r="D160" t="str">
            <v>Final Energy|Transportation|Gases</v>
          </cell>
          <cell r="E160" t="str">
            <v>EJ/yr</v>
          </cell>
          <cell r="F160">
            <v>0.17513216100000001</v>
          </cell>
          <cell r="K160">
            <v>0.33949341199999999</v>
          </cell>
          <cell r="P160">
            <v>0.67479828799999997</v>
          </cell>
          <cell r="Z160">
            <v>0.89239825399999995</v>
          </cell>
          <cell r="AJ160">
            <v>5.955928782</v>
          </cell>
          <cell r="AT160">
            <v>8.4428565310000003</v>
          </cell>
          <cell r="BD160">
            <v>10.053065070000001</v>
          </cell>
          <cell r="BN160">
            <v>8.7213345760000003</v>
          </cell>
          <cell r="BX160">
            <v>4.7774812659999997</v>
          </cell>
          <cell r="CH160">
            <v>1.847210802</v>
          </cell>
          <cell r="CR160">
            <v>0.42901169</v>
          </cell>
          <cell r="DB160">
            <v>0</v>
          </cell>
        </row>
        <row r="161">
          <cell r="D161" t="str">
            <v>Final Energy|Transportation|Hydrogen</v>
          </cell>
          <cell r="E161" t="str">
            <v>EJ/yr</v>
          </cell>
          <cell r="F161">
            <v>0</v>
          </cell>
          <cell r="K161">
            <v>0</v>
          </cell>
          <cell r="P161">
            <v>0</v>
          </cell>
          <cell r="Z161">
            <v>0</v>
          </cell>
          <cell r="AJ161">
            <v>0.22561769700000001</v>
          </cell>
          <cell r="AT161">
            <v>3.453231803</v>
          </cell>
          <cell r="BD161">
            <v>10.686754369999999</v>
          </cell>
          <cell r="BN161">
            <v>14.369535620000001</v>
          </cell>
          <cell r="BX161">
            <v>17.483099230000001</v>
          </cell>
          <cell r="CH161">
            <v>21.71750763</v>
          </cell>
          <cell r="CR161">
            <v>24.033808059999998</v>
          </cell>
          <cell r="DB161">
            <v>24.59793298</v>
          </cell>
        </row>
        <row r="162">
          <cell r="D162" t="str">
            <v>Final Energy|Transportation|Liquids</v>
          </cell>
          <cell r="E162" t="str">
            <v>EJ/yr</v>
          </cell>
          <cell r="F162">
            <v>76.898262099999997</v>
          </cell>
          <cell r="K162">
            <v>85.338534989999999</v>
          </cell>
          <cell r="P162">
            <v>93.803656959999998</v>
          </cell>
          <cell r="Z162">
            <v>106.02439099999999</v>
          </cell>
          <cell r="AJ162">
            <v>59.160317589999998</v>
          </cell>
          <cell r="AT162">
            <v>27.085117790000002</v>
          </cell>
          <cell r="BD162">
            <v>5.9655888990000001</v>
          </cell>
          <cell r="BN162">
            <v>1.577436571</v>
          </cell>
          <cell r="BX162">
            <v>2.1542529510000001</v>
          </cell>
          <cell r="CH162">
            <v>0.95070159300000001</v>
          </cell>
          <cell r="CR162">
            <v>0.73805781000000004</v>
          </cell>
          <cell r="DB162">
            <v>0.57297611500000001</v>
          </cell>
        </row>
        <row r="163">
          <cell r="D163" t="str">
            <v>Food Demand</v>
          </cell>
          <cell r="E163" t="str">
            <v>kcal/cap/day</v>
          </cell>
          <cell r="F163">
            <v>2746.71612</v>
          </cell>
          <cell r="K163">
            <v>2775.6197480000001</v>
          </cell>
          <cell r="P163">
            <v>2804.5233750000002</v>
          </cell>
          <cell r="Z163">
            <v>2902.1782229999999</v>
          </cell>
          <cell r="AJ163">
            <v>2983.6493610000002</v>
          </cell>
          <cell r="AT163">
            <v>3063.2806479999999</v>
          </cell>
          <cell r="BD163">
            <v>3130.960165</v>
          </cell>
          <cell r="BN163">
            <v>3194.318487</v>
          </cell>
          <cell r="BX163">
            <v>3253.6760319999999</v>
          </cell>
          <cell r="CH163">
            <v>3306.0090709999999</v>
          </cell>
          <cell r="CR163">
            <v>3359.6617219999998</v>
          </cell>
          <cell r="DB163">
            <v>3403.6207420000001</v>
          </cell>
        </row>
        <row r="164">
          <cell r="D164" t="str">
            <v>Food Demand|Crops</v>
          </cell>
          <cell r="E164" t="str">
            <v>kcal/cap/day</v>
          </cell>
          <cell r="F164">
            <v>2292.8047750000001</v>
          </cell>
          <cell r="K164">
            <v>2308.955845</v>
          </cell>
          <cell r="P164">
            <v>2325.1069160000002</v>
          </cell>
          <cell r="Z164">
            <v>2380.4945859999998</v>
          </cell>
          <cell r="AJ164">
            <v>2429.9044429999999</v>
          </cell>
          <cell r="AT164">
            <v>2481.3689180000001</v>
          </cell>
          <cell r="BD164">
            <v>2523.085458</v>
          </cell>
          <cell r="BN164">
            <v>2562.2271999999998</v>
          </cell>
          <cell r="BX164">
            <v>2597.371799</v>
          </cell>
          <cell r="CH164">
            <v>2624.1003719999999</v>
          </cell>
          <cell r="CR164">
            <v>2649.8983079999998</v>
          </cell>
          <cell r="DB164">
            <v>2669.0390940000002</v>
          </cell>
        </row>
        <row r="165">
          <cell r="D165" t="str">
            <v>Food Demand|Livestock</v>
          </cell>
          <cell r="E165" t="str">
            <v>kcal/cap/day</v>
          </cell>
          <cell r="F165">
            <v>453.9113456</v>
          </cell>
          <cell r="K165">
            <v>466.66390239999998</v>
          </cell>
          <cell r="P165">
            <v>479.41645929999999</v>
          </cell>
          <cell r="Z165">
            <v>521.68363680000004</v>
          </cell>
          <cell r="AJ165">
            <v>553.74491820000003</v>
          </cell>
          <cell r="AT165">
            <v>581.91172959999994</v>
          </cell>
          <cell r="BD165">
            <v>607.87470719999999</v>
          </cell>
          <cell r="BN165">
            <v>632.09128710000005</v>
          </cell>
          <cell r="BX165">
            <v>656.30423370000005</v>
          </cell>
          <cell r="CH165">
            <v>681.90869869999995</v>
          </cell>
          <cell r="CR165">
            <v>709.76341339999999</v>
          </cell>
          <cell r="DB165">
            <v>734.58164829999998</v>
          </cell>
        </row>
        <row r="166">
          <cell r="D166" t="str">
            <v>Food Energy Supply</v>
          </cell>
          <cell r="E166" t="str">
            <v>EJ/yr</v>
          </cell>
          <cell r="F166">
            <v>25.621350970000002</v>
          </cell>
          <cell r="K166">
            <v>27.536500889999999</v>
          </cell>
          <cell r="P166">
            <v>29.45165081</v>
          </cell>
          <cell r="Z166">
            <v>33.758021309999997</v>
          </cell>
          <cell r="AJ166">
            <v>37.643070989999998</v>
          </cell>
          <cell r="AT166">
            <v>41.063276250000001</v>
          </cell>
          <cell r="BD166">
            <v>43.744149550000003</v>
          </cell>
          <cell r="BN166">
            <v>45.620216050000003</v>
          </cell>
          <cell r="BX166">
            <v>46.754778260000002</v>
          </cell>
          <cell r="CH166">
            <v>47.190549400000002</v>
          </cell>
          <cell r="CR166">
            <v>47.114601219999997</v>
          </cell>
          <cell r="DB166">
            <v>46.537010590000001</v>
          </cell>
        </row>
        <row r="167">
          <cell r="D167" t="str">
            <v>Food Energy Supply|Livestock</v>
          </cell>
          <cell r="E167" t="str">
            <v>EJ/yr</v>
          </cell>
          <cell r="F167">
            <v>4.2340822229999997</v>
          </cell>
          <cell r="K167">
            <v>4.6343326899999999</v>
          </cell>
          <cell r="P167">
            <v>5.0345831580000002</v>
          </cell>
          <cell r="Z167">
            <v>6.0682032509999999</v>
          </cell>
          <cell r="AJ167">
            <v>6.9862965590000004</v>
          </cell>
          <cell r="AT167">
            <v>7.8005265760000002</v>
          </cell>
          <cell r="BD167">
            <v>8.4929097470000006</v>
          </cell>
          <cell r="BN167">
            <v>9.027321851</v>
          </cell>
          <cell r="BX167">
            <v>9.4309816380000004</v>
          </cell>
          <cell r="CH167">
            <v>9.7336835560000008</v>
          </cell>
          <cell r="CR167">
            <v>9.9534485779999997</v>
          </cell>
          <cell r="DB167">
            <v>10.0437847</v>
          </cell>
        </row>
        <row r="168">
          <cell r="D168" t="str">
            <v>GDP|MER</v>
          </cell>
          <cell r="E168" t="str">
            <v>billion US$2010/yr</v>
          </cell>
          <cell r="F168">
            <v>0</v>
          </cell>
          <cell r="K168">
            <v>0</v>
          </cell>
          <cell r="P168">
            <v>48829.84375</v>
          </cell>
          <cell r="Z168">
            <v>78904.430269999997</v>
          </cell>
          <cell r="AJ168">
            <v>121261.197</v>
          </cell>
          <cell r="AT168">
            <v>166834.72659999999</v>
          </cell>
          <cell r="BD168">
            <v>217991.37710000001</v>
          </cell>
          <cell r="BN168">
            <v>276919.7156</v>
          </cell>
          <cell r="BX168">
            <v>349111.01449999999</v>
          </cell>
          <cell r="CH168">
            <v>431809.45669999998</v>
          </cell>
          <cell r="CR168">
            <v>527378.40220000001</v>
          </cell>
          <cell r="DB168">
            <v>635423.03040000005</v>
          </cell>
        </row>
        <row r="169">
          <cell r="D169" t="str">
            <v>GDP|PPP</v>
          </cell>
          <cell r="E169" t="str">
            <v>billion US$2010/yr</v>
          </cell>
          <cell r="F169">
            <v>0</v>
          </cell>
          <cell r="K169">
            <v>0</v>
          </cell>
          <cell r="P169">
            <v>74825.651310000001</v>
          </cell>
          <cell r="Z169">
            <v>112042.3438</v>
          </cell>
          <cell r="AJ169">
            <v>158514.76430000001</v>
          </cell>
          <cell r="AT169">
            <v>206032.4375</v>
          </cell>
          <cell r="BD169">
            <v>256275.0258</v>
          </cell>
          <cell r="BN169">
            <v>310790.49810000003</v>
          </cell>
          <cell r="BX169">
            <v>373199.45819999999</v>
          </cell>
          <cell r="CH169">
            <v>441504.04200000002</v>
          </cell>
          <cell r="CR169">
            <v>516100.83100000001</v>
          </cell>
          <cell r="DB169">
            <v>597507.49329999997</v>
          </cell>
        </row>
        <row r="170">
          <cell r="D170" t="str">
            <v>Investment|Energy Supply</v>
          </cell>
          <cell r="E170" t="str">
            <v>billion US$2010/yr</v>
          </cell>
          <cell r="F170">
            <v>758.18042179999998</v>
          </cell>
          <cell r="K170">
            <v>877.28193859999999</v>
          </cell>
          <cell r="P170">
            <v>880.91763189999995</v>
          </cell>
          <cell r="Z170">
            <v>1169.1032889999999</v>
          </cell>
          <cell r="AJ170">
            <v>1248.593116</v>
          </cell>
          <cell r="AT170">
            <v>1137.516314</v>
          </cell>
          <cell r="BD170">
            <v>1053.516623</v>
          </cell>
          <cell r="BN170">
            <v>933.33877359999997</v>
          </cell>
          <cell r="BX170">
            <v>921.38969610000004</v>
          </cell>
          <cell r="CH170">
            <v>928.56138390000001</v>
          </cell>
          <cell r="CR170">
            <v>941.36176269999999</v>
          </cell>
          <cell r="DB170">
            <v>960.22278170000004</v>
          </cell>
        </row>
        <row r="171">
          <cell r="D171" t="str">
            <v>Investment|Energy Supply|CO2 Transport and Storage</v>
          </cell>
          <cell r="E171" t="str">
            <v>billion US$2010/yr</v>
          </cell>
          <cell r="F171">
            <v>0</v>
          </cell>
          <cell r="K171">
            <v>0</v>
          </cell>
          <cell r="P171">
            <v>0</v>
          </cell>
          <cell r="Z171">
            <v>0</v>
          </cell>
          <cell r="AJ171">
            <v>0</v>
          </cell>
          <cell r="AT171">
            <v>0</v>
          </cell>
          <cell r="BD171">
            <v>0</v>
          </cell>
          <cell r="BN171">
            <v>0</v>
          </cell>
          <cell r="BX171">
            <v>0</v>
          </cell>
          <cell r="CH171">
            <v>0</v>
          </cell>
          <cell r="CR171">
            <v>0</v>
          </cell>
          <cell r="DB171">
            <v>0</v>
          </cell>
        </row>
        <row r="172">
          <cell r="D172" t="str">
            <v>Investment|Energy Supply|Electricity</v>
          </cell>
          <cell r="E172" t="str">
            <v>billion US$2010/yr</v>
          </cell>
          <cell r="F172">
            <v>284.08956019999999</v>
          </cell>
          <cell r="K172">
            <v>342.95181689999998</v>
          </cell>
          <cell r="P172">
            <v>384.5496483</v>
          </cell>
          <cell r="Z172">
            <v>611.29287299999999</v>
          </cell>
          <cell r="AJ172">
            <v>911.39474389999998</v>
          </cell>
          <cell r="AT172">
            <v>926.31485410000005</v>
          </cell>
          <cell r="BD172">
            <v>865.34252460000005</v>
          </cell>
          <cell r="BN172">
            <v>787.31487170000003</v>
          </cell>
          <cell r="BX172">
            <v>777.28994939999995</v>
          </cell>
          <cell r="CH172">
            <v>804.38332279999997</v>
          </cell>
          <cell r="CR172">
            <v>805.1655677</v>
          </cell>
          <cell r="DB172">
            <v>854.60799789999999</v>
          </cell>
        </row>
        <row r="173">
          <cell r="D173" t="str">
            <v>Investment|Energy Supply|Electricity|Biomass</v>
          </cell>
          <cell r="E173" t="str">
            <v>billion US$2010/yr</v>
          </cell>
          <cell r="F173">
            <v>0.77408548200000005</v>
          </cell>
          <cell r="K173">
            <v>1.7753488900000001</v>
          </cell>
          <cell r="P173">
            <v>3.1728422510000001</v>
          </cell>
          <cell r="Z173">
            <v>4.3799057799999996</v>
          </cell>
          <cell r="AJ173">
            <v>6.7537923400000004</v>
          </cell>
          <cell r="AT173">
            <v>1.584041569</v>
          </cell>
          <cell r="BD173">
            <v>2.7648407320000001</v>
          </cell>
          <cell r="BN173">
            <v>1.187613593</v>
          </cell>
          <cell r="BX173">
            <v>2.1405232829999998</v>
          </cell>
          <cell r="CH173">
            <v>1.9360903949999999</v>
          </cell>
          <cell r="CR173">
            <v>1.663375117</v>
          </cell>
          <cell r="DB173">
            <v>2.0496568590000002</v>
          </cell>
        </row>
        <row r="174">
          <cell r="D174" t="str">
            <v>Investment|Energy Supply|Electricity|Coal</v>
          </cell>
          <cell r="E174" t="str">
            <v>billion US$2010/yr</v>
          </cell>
          <cell r="F174">
            <v>55.658117699999998</v>
          </cell>
          <cell r="K174">
            <v>60.354308840000002</v>
          </cell>
          <cell r="P174">
            <v>68.709931040000001</v>
          </cell>
          <cell r="Z174">
            <v>50.348988499999997</v>
          </cell>
          <cell r="AJ174">
            <v>6.9228079060000001</v>
          </cell>
          <cell r="AT174">
            <v>0.16713044099999999</v>
          </cell>
          <cell r="BD174">
            <v>0</v>
          </cell>
          <cell r="BN174">
            <v>0</v>
          </cell>
          <cell r="BX174">
            <v>0</v>
          </cell>
          <cell r="CH174">
            <v>0</v>
          </cell>
          <cell r="CR174">
            <v>0</v>
          </cell>
          <cell r="DB174">
            <v>0</v>
          </cell>
        </row>
        <row r="175">
          <cell r="D175" t="str">
            <v>Investment|Energy Supply|Electricity|Electricity Storage</v>
          </cell>
          <cell r="E175" t="str">
            <v>billion US$2010/yr</v>
          </cell>
          <cell r="F175">
            <v>0</v>
          </cell>
          <cell r="K175">
            <v>0</v>
          </cell>
          <cell r="P175">
            <v>0</v>
          </cell>
          <cell r="Z175">
            <v>0</v>
          </cell>
          <cell r="AJ175">
            <v>25.68431567</v>
          </cell>
          <cell r="AT175">
            <v>50.027626359999999</v>
          </cell>
          <cell r="BD175">
            <v>24.087163069999999</v>
          </cell>
          <cell r="BN175">
            <v>14.97781268</v>
          </cell>
          <cell r="BX175">
            <v>35.645426110000002</v>
          </cell>
          <cell r="CH175">
            <v>31.239062709999999</v>
          </cell>
          <cell r="CR175">
            <v>29.66864425</v>
          </cell>
          <cell r="DB175">
            <v>48.00214399</v>
          </cell>
        </row>
        <row r="176">
          <cell r="D176" t="str">
            <v>Investment|Energy Supply|Electricity|Gas</v>
          </cell>
          <cell r="E176" t="str">
            <v>billion US$2010/yr</v>
          </cell>
          <cell r="F176">
            <v>15.003280330000001</v>
          </cell>
          <cell r="K176">
            <v>25.949387689999998</v>
          </cell>
          <cell r="P176">
            <v>15.219207539999999</v>
          </cell>
          <cell r="Z176">
            <v>66.400250260000007</v>
          </cell>
          <cell r="AJ176">
            <v>6.1805256310000001</v>
          </cell>
          <cell r="AT176">
            <v>2.312847251</v>
          </cell>
          <cell r="BD176">
            <v>2.2220131680000001</v>
          </cell>
          <cell r="BN176">
            <v>2.1482675709999999</v>
          </cell>
          <cell r="BX176">
            <v>2.0961918370000001</v>
          </cell>
          <cell r="CH176">
            <v>2.055075548</v>
          </cell>
          <cell r="CR176">
            <v>2.0195827450000001</v>
          </cell>
          <cell r="DB176">
            <v>1.9895530079999999</v>
          </cell>
        </row>
        <row r="177">
          <cell r="D177" t="str">
            <v>Investment|Energy Supply|Electricity|Geothermal</v>
          </cell>
          <cell r="E177" t="str">
            <v>billion US$2010/yr</v>
          </cell>
          <cell r="F177">
            <v>5.835888368</v>
          </cell>
          <cell r="K177">
            <v>0.94892387099999997</v>
          </cell>
          <cell r="P177">
            <v>3.7509206549999998</v>
          </cell>
          <cell r="Z177">
            <v>0.30163962999999999</v>
          </cell>
          <cell r="AJ177">
            <v>0</v>
          </cell>
          <cell r="AT177">
            <v>0.94127871200000002</v>
          </cell>
          <cell r="BD177">
            <v>0.35427077800000001</v>
          </cell>
          <cell r="BN177">
            <v>0</v>
          </cell>
          <cell r="BX177">
            <v>0.197545253</v>
          </cell>
          <cell r="CH177">
            <v>0.136128161</v>
          </cell>
          <cell r="CR177">
            <v>0</v>
          </cell>
          <cell r="DB177">
            <v>7.2860853000000003E-2</v>
          </cell>
        </row>
        <row r="178">
          <cell r="D178" t="str">
            <v>Investment|Energy Supply|Electricity|Hydro</v>
          </cell>
          <cell r="E178" t="str">
            <v>billion US$2010/yr</v>
          </cell>
          <cell r="F178">
            <v>66.95558905</v>
          </cell>
          <cell r="K178">
            <v>57.691219439999998</v>
          </cell>
          <cell r="P178">
            <v>99.172284500000004</v>
          </cell>
          <cell r="Z178">
            <v>49.648947710000002</v>
          </cell>
          <cell r="AJ178">
            <v>104.7531951</v>
          </cell>
          <cell r="AT178">
            <v>66.996407379999994</v>
          </cell>
          <cell r="BD178">
            <v>66.642170469999996</v>
          </cell>
          <cell r="BN178">
            <v>57.595603300000001</v>
          </cell>
          <cell r="BX178">
            <v>86.901017670000002</v>
          </cell>
          <cell r="CH178">
            <v>92.781229980000006</v>
          </cell>
          <cell r="CR178">
            <v>120.5511387</v>
          </cell>
          <cell r="DB178">
            <v>75.471039270000006</v>
          </cell>
        </row>
        <row r="179">
          <cell r="D179" t="str">
            <v>Investment|Energy Supply|Electricity|Nuclear</v>
          </cell>
          <cell r="E179" t="str">
            <v>billion US$2010/yr</v>
          </cell>
          <cell r="F179">
            <v>11.97810087</v>
          </cell>
          <cell r="K179">
            <v>12.81712196</v>
          </cell>
          <cell r="P179">
            <v>4.4095544450000004</v>
          </cell>
          <cell r="Z179">
            <v>20.716442610000001</v>
          </cell>
          <cell r="AJ179">
            <v>48.509525099999998</v>
          </cell>
          <cell r="AT179">
            <v>73.577696160000002</v>
          </cell>
          <cell r="BD179">
            <v>99.493609609999993</v>
          </cell>
          <cell r="BN179">
            <v>61.697650520000003</v>
          </cell>
          <cell r="BX179">
            <v>39.225931639999999</v>
          </cell>
          <cell r="CH179">
            <v>21.077050230000001</v>
          </cell>
          <cell r="CR179">
            <v>16.72791926</v>
          </cell>
          <cell r="DB179">
            <v>23.450539370000001</v>
          </cell>
        </row>
        <row r="180">
          <cell r="D180" t="str">
            <v>Investment|Energy Supply|Electricity|Oil</v>
          </cell>
          <cell r="E180" t="str">
            <v>billion US$2010/yr</v>
          </cell>
          <cell r="F180">
            <v>4.525782124</v>
          </cell>
          <cell r="K180">
            <v>4.7108414969999997</v>
          </cell>
          <cell r="P180">
            <v>2.0532620050000001</v>
          </cell>
          <cell r="Z180">
            <v>5.4682013000000002E-2</v>
          </cell>
          <cell r="AJ180">
            <v>1.658146656</v>
          </cell>
          <cell r="AT180">
            <v>0.251705554</v>
          </cell>
          <cell r="BD180">
            <v>6.4734447000000001E-2</v>
          </cell>
          <cell r="BN180">
            <v>4.9548100000000001E-5</v>
          </cell>
          <cell r="BX180">
            <v>2.99826E-5</v>
          </cell>
          <cell r="CH180">
            <v>0</v>
          </cell>
          <cell r="CR180">
            <v>0</v>
          </cell>
          <cell r="DB180">
            <v>0</v>
          </cell>
        </row>
        <row r="181">
          <cell r="D181" t="str">
            <v>Investment|Energy Supply|Electricity|Other</v>
          </cell>
          <cell r="E181" t="str">
            <v>billion US$2010/yr</v>
          </cell>
          <cell r="F181">
            <v>0</v>
          </cell>
          <cell r="K181">
            <v>0</v>
          </cell>
          <cell r="P181">
            <v>0</v>
          </cell>
          <cell r="Z181">
            <v>0</v>
          </cell>
          <cell r="AJ181">
            <v>0.73865051000000004</v>
          </cell>
          <cell r="AT181">
            <v>0.84957228799999995</v>
          </cell>
          <cell r="BD181">
            <v>0.53812283699999997</v>
          </cell>
          <cell r="BN181">
            <v>0.25563946500000001</v>
          </cell>
          <cell r="BX181">
            <v>0.24152880400000001</v>
          </cell>
          <cell r="CH181">
            <v>0.22729017800000001</v>
          </cell>
          <cell r="CR181">
            <v>0.641823017</v>
          </cell>
          <cell r="DB181">
            <v>1.0251866590000001</v>
          </cell>
        </row>
        <row r="182">
          <cell r="D182" t="str">
            <v>Investment|Energy Supply|Electricity|Solar</v>
          </cell>
          <cell r="E182" t="str">
            <v>billion US$2010/yr</v>
          </cell>
          <cell r="F182">
            <v>0</v>
          </cell>
          <cell r="K182">
            <v>2.4600357380000002</v>
          </cell>
          <cell r="P182">
            <v>11.6535692</v>
          </cell>
          <cell r="Z182">
            <v>37.520891069999998</v>
          </cell>
          <cell r="AJ182">
            <v>243.3023388</v>
          </cell>
          <cell r="AT182">
            <v>67.517336900000004</v>
          </cell>
          <cell r="BD182">
            <v>37.242067810000002</v>
          </cell>
          <cell r="BN182">
            <v>50.203470029999998</v>
          </cell>
          <cell r="BX182">
            <v>46.278249959999997</v>
          </cell>
          <cell r="CH182">
            <v>30.301407139999998</v>
          </cell>
          <cell r="CR182">
            <v>33.235076079999999</v>
          </cell>
          <cell r="DB182">
            <v>31.85035847</v>
          </cell>
        </row>
        <row r="183">
          <cell r="D183" t="str">
            <v>Investment|Energy Supply|Electricity|Transmission and Distribution</v>
          </cell>
          <cell r="E183" t="str">
            <v>billion US$2010/yr</v>
          </cell>
          <cell r="F183">
            <v>118.8701006</v>
          </cell>
          <cell r="K183">
            <v>164.6666443</v>
          </cell>
          <cell r="P183">
            <v>141.294454</v>
          </cell>
          <cell r="Z183">
            <v>322.00597859999999</v>
          </cell>
          <cell r="AJ183">
            <v>336.89269669999999</v>
          </cell>
          <cell r="AT183">
            <v>515.61341230000005</v>
          </cell>
          <cell r="BD183">
            <v>466.28211049999999</v>
          </cell>
          <cell r="BN183">
            <v>388.19750909999999</v>
          </cell>
          <cell r="BX183">
            <v>400.96242059999997</v>
          </cell>
          <cell r="CH183">
            <v>440.0653269</v>
          </cell>
          <cell r="CR183">
            <v>385.2240362</v>
          </cell>
          <cell r="DB183">
            <v>486.43436960000003</v>
          </cell>
        </row>
        <row r="184">
          <cell r="D184" t="str">
            <v>Investment|Energy Supply|Electricity|Wind</v>
          </cell>
          <cell r="E184" t="str">
            <v>billion US$2010/yr</v>
          </cell>
          <cell r="F184">
            <v>4.4886156079999999</v>
          </cell>
          <cell r="K184">
            <v>11.57798463</v>
          </cell>
          <cell r="P184">
            <v>35.113622620000001</v>
          </cell>
          <cell r="Z184">
            <v>59.91514686</v>
          </cell>
          <cell r="AJ184">
            <v>129.9987495</v>
          </cell>
          <cell r="AT184">
            <v>146.47579909999999</v>
          </cell>
          <cell r="BD184">
            <v>165.65142119999999</v>
          </cell>
          <cell r="BN184">
            <v>211.0512559</v>
          </cell>
          <cell r="BX184">
            <v>163.6010843</v>
          </cell>
          <cell r="CH184">
            <v>184.5646615</v>
          </cell>
          <cell r="CR184">
            <v>215.43397229999999</v>
          </cell>
          <cell r="DB184">
            <v>184.26228979999999</v>
          </cell>
        </row>
        <row r="185">
          <cell r="D185" t="str">
            <v>Investment|Energy Supply|Extraction|Coal</v>
          </cell>
          <cell r="E185" t="str">
            <v>billion US$2010/yr</v>
          </cell>
          <cell r="F185">
            <v>19.134111239999999</v>
          </cell>
          <cell r="K185">
            <v>26.112746619999999</v>
          </cell>
          <cell r="P185">
            <v>23.842764349999999</v>
          </cell>
          <cell r="Z185">
            <v>17.956003200000001</v>
          </cell>
          <cell r="AJ185">
            <v>7.3557758240000002</v>
          </cell>
          <cell r="AT185">
            <v>3.8013357989999998</v>
          </cell>
          <cell r="BD185">
            <v>1.875488998</v>
          </cell>
          <cell r="BN185">
            <v>1.1649139129999999</v>
          </cell>
          <cell r="BX185">
            <v>0.66385431299999997</v>
          </cell>
          <cell r="CH185">
            <v>0.35354834099999999</v>
          </cell>
          <cell r="CR185">
            <v>0.203018482</v>
          </cell>
          <cell r="DB185">
            <v>0.107576852</v>
          </cell>
        </row>
        <row r="186">
          <cell r="D186" t="str">
            <v>Investment|Energy Supply|Extraction|Gas</v>
          </cell>
          <cell r="E186" t="str">
            <v>billion US$2010/yr</v>
          </cell>
          <cell r="F186">
            <v>85.794515669999996</v>
          </cell>
          <cell r="K186">
            <v>108.5748013</v>
          </cell>
          <cell r="P186">
            <v>119.392105</v>
          </cell>
          <cell r="Z186">
            <v>129.39559890000001</v>
          </cell>
          <cell r="AJ186">
            <v>80.540229760000003</v>
          </cell>
          <cell r="AT186">
            <v>46.14600274</v>
          </cell>
          <cell r="BD186">
            <v>26.435778490000001</v>
          </cell>
          <cell r="BN186">
            <v>16.7763335</v>
          </cell>
          <cell r="BX186">
            <v>9.5736741629999997</v>
          </cell>
          <cell r="CH186">
            <v>5.5798581140000003</v>
          </cell>
          <cell r="CR186">
            <v>3.336754156</v>
          </cell>
          <cell r="DB186">
            <v>2.3084202280000001</v>
          </cell>
        </row>
        <row r="187">
          <cell r="D187" t="str">
            <v>Investment|Energy Supply|Extraction|Oil</v>
          </cell>
          <cell r="E187" t="str">
            <v>billion US$2010/yr</v>
          </cell>
          <cell r="F187">
            <v>268.99825229999999</v>
          </cell>
          <cell r="K187">
            <v>288.73431540000001</v>
          </cell>
          <cell r="P187">
            <v>265.86091060000001</v>
          </cell>
          <cell r="Z187">
            <v>276.87448860000001</v>
          </cell>
          <cell r="AJ187">
            <v>150.64967519999999</v>
          </cell>
          <cell r="AT187">
            <v>78.006891139999993</v>
          </cell>
          <cell r="BD187">
            <v>42.31169293</v>
          </cell>
          <cell r="BN187">
            <v>21.092961330000001</v>
          </cell>
          <cell r="BX187">
            <v>8.4620184520000006</v>
          </cell>
          <cell r="CH187">
            <v>3.2810611609999998</v>
          </cell>
          <cell r="CR187">
            <v>0.69600079199999998</v>
          </cell>
          <cell r="DB187">
            <v>0.21447225</v>
          </cell>
        </row>
        <row r="188">
          <cell r="D188" t="str">
            <v>Investment|Energy Supply|Heat</v>
          </cell>
          <cell r="E188" t="str">
            <v>billion US$2010/yr</v>
          </cell>
          <cell r="F188">
            <v>19.62486376</v>
          </cell>
          <cell r="K188">
            <v>20.170832099999998</v>
          </cell>
          <cell r="P188">
            <v>12.360327399999999</v>
          </cell>
          <cell r="Z188">
            <v>18.275360500000001</v>
          </cell>
          <cell r="AJ188">
            <v>7.9817212509999997</v>
          </cell>
          <cell r="AT188">
            <v>3.9261864609999999</v>
          </cell>
          <cell r="BD188">
            <v>7.9866234890000003</v>
          </cell>
          <cell r="BN188">
            <v>9.8304686760000006</v>
          </cell>
          <cell r="BX188">
            <v>4.3376774210000004</v>
          </cell>
          <cell r="CH188">
            <v>3.4897693219999999</v>
          </cell>
          <cell r="CR188">
            <v>6.1260565600000003</v>
          </cell>
          <cell r="DB188">
            <v>7.8182276279999998</v>
          </cell>
        </row>
        <row r="189">
          <cell r="D189" t="str">
            <v>Investment|Energy Supply|Hydrogen</v>
          </cell>
          <cell r="E189" t="str">
            <v>billion US$2010/yr</v>
          </cell>
          <cell r="F189">
            <v>0</v>
          </cell>
          <cell r="K189">
            <v>0</v>
          </cell>
          <cell r="P189">
            <v>0.37744827399999997</v>
          </cell>
          <cell r="Z189">
            <v>0</v>
          </cell>
          <cell r="AJ189">
            <v>14.238056670000001</v>
          </cell>
          <cell r="AT189">
            <v>26.564388999999998</v>
          </cell>
          <cell r="BD189">
            <v>37.67633901</v>
          </cell>
          <cell r="BN189">
            <v>28.589943989999998</v>
          </cell>
          <cell r="BX189">
            <v>31.466163680000001</v>
          </cell>
          <cell r="CH189">
            <v>46.513503</v>
          </cell>
          <cell r="CR189">
            <v>42.260698980000001</v>
          </cell>
          <cell r="DB189">
            <v>37.213076970000003</v>
          </cell>
        </row>
        <row r="190">
          <cell r="D190" t="str">
            <v>Investment|Energy Supply|Hydrogen|Fossil</v>
          </cell>
          <cell r="E190" t="str">
            <v>billion US$2010/yr</v>
          </cell>
          <cell r="F190">
            <v>0</v>
          </cell>
          <cell r="K190">
            <v>0</v>
          </cell>
          <cell r="P190">
            <v>0</v>
          </cell>
          <cell r="Z190">
            <v>0</v>
          </cell>
          <cell r="AJ190">
            <v>1.182190214</v>
          </cell>
          <cell r="AT190">
            <v>4.3770181819999996</v>
          </cell>
          <cell r="BD190">
            <v>0.243104299</v>
          </cell>
          <cell r="BN190">
            <v>0</v>
          </cell>
          <cell r="BX190">
            <v>0</v>
          </cell>
          <cell r="CH190">
            <v>0</v>
          </cell>
          <cell r="CR190">
            <v>0</v>
          </cell>
          <cell r="DB190">
            <v>0</v>
          </cell>
        </row>
        <row r="191">
          <cell r="D191" t="str">
            <v>Investment|Energy Supply|Liquids</v>
          </cell>
          <cell r="E191" t="str">
            <v>billion US$2010/yr</v>
          </cell>
          <cell r="F191">
            <v>5.1157698119999999</v>
          </cell>
          <cell r="K191">
            <v>9.6710348760000002</v>
          </cell>
          <cell r="P191">
            <v>19.815014250000001</v>
          </cell>
          <cell r="Z191">
            <v>41.371307610000002</v>
          </cell>
          <cell r="AJ191">
            <v>25.765054079999999</v>
          </cell>
          <cell r="AT191">
            <v>17.33029986</v>
          </cell>
          <cell r="BD191">
            <v>16.34391875</v>
          </cell>
          <cell r="BN191">
            <v>23.944076079999999</v>
          </cell>
          <cell r="BX191">
            <v>34.81812326</v>
          </cell>
          <cell r="CH191">
            <v>29.082627250000002</v>
          </cell>
          <cell r="CR191">
            <v>40.81798912</v>
          </cell>
          <cell r="DB191">
            <v>24.904169970000002</v>
          </cell>
        </row>
        <row r="192">
          <cell r="D192" t="str">
            <v>Investment|Energy Supply|Liquids|Biomass</v>
          </cell>
          <cell r="E192" t="str">
            <v>billion US$2010/yr</v>
          </cell>
          <cell r="F192">
            <v>0.57120394399999996</v>
          </cell>
          <cell r="K192">
            <v>7.4492274250000001</v>
          </cell>
          <cell r="P192">
            <v>12.142731230000001</v>
          </cell>
          <cell r="Z192">
            <v>14.98634073</v>
          </cell>
          <cell r="AJ192">
            <v>11.389534380000001</v>
          </cell>
          <cell r="AT192">
            <v>8.8258737099999998</v>
          </cell>
          <cell r="BD192">
            <v>11.22882886</v>
          </cell>
          <cell r="BN192">
            <v>20.781539550000002</v>
          </cell>
          <cell r="BX192">
            <v>31.830327050000001</v>
          </cell>
          <cell r="CH192">
            <v>26.006583070000001</v>
          </cell>
          <cell r="CR192">
            <v>34.712430490000003</v>
          </cell>
          <cell r="DB192">
            <v>22.670428019999999</v>
          </cell>
        </row>
        <row r="193">
          <cell r="D193" t="str">
            <v>Investment|Energy Supply|Liquids|Coal and Gas</v>
          </cell>
          <cell r="E193" t="str">
            <v>billion US$2010/yr</v>
          </cell>
          <cell r="F193">
            <v>0</v>
          </cell>
          <cell r="K193">
            <v>0</v>
          </cell>
          <cell r="P193">
            <v>0</v>
          </cell>
          <cell r="Z193">
            <v>2.2798373669999998</v>
          </cell>
          <cell r="AJ193">
            <v>4.2260527039999998</v>
          </cell>
          <cell r="AT193">
            <v>2.9170900660000001</v>
          </cell>
          <cell r="BD193">
            <v>0</v>
          </cell>
          <cell r="BN193">
            <v>0.60927087700000004</v>
          </cell>
          <cell r="BX193">
            <v>0.183893689</v>
          </cell>
          <cell r="CH193">
            <v>8.647811E-3</v>
          </cell>
          <cell r="CR193">
            <v>1.780045603</v>
          </cell>
          <cell r="DB193">
            <v>2.8102101000000001E-2</v>
          </cell>
        </row>
        <row r="194">
          <cell r="D194" t="str">
            <v>Investment|Energy Supply|Liquids|Oil</v>
          </cell>
          <cell r="E194" t="str">
            <v>billion US$2010/yr</v>
          </cell>
          <cell r="F194">
            <v>4.5445658680000003</v>
          </cell>
          <cell r="K194">
            <v>2.2218074510000001</v>
          </cell>
          <cell r="P194">
            <v>7.533739068</v>
          </cell>
          <cell r="Z194">
            <v>24.105129510000001</v>
          </cell>
          <cell r="AJ194">
            <v>8.6397265749999992</v>
          </cell>
          <cell r="AT194">
            <v>4.4849905110000003</v>
          </cell>
          <cell r="BD194">
            <v>3.5210080270000002</v>
          </cell>
          <cell r="BN194">
            <v>0.75558986100000003</v>
          </cell>
          <cell r="BX194">
            <v>0.239975143</v>
          </cell>
          <cell r="CH194">
            <v>0.18472823999999999</v>
          </cell>
          <cell r="CR194">
            <v>2.1393564E-2</v>
          </cell>
          <cell r="DB194">
            <v>6.5976569999999998E-3</v>
          </cell>
        </row>
        <row r="195">
          <cell r="D195" t="str">
            <v>Land Cover</v>
          </cell>
          <cell r="E195" t="str">
            <v>million ha</v>
          </cell>
          <cell r="F195">
            <v>12476.58733</v>
          </cell>
          <cell r="K195">
            <v>12476.58733</v>
          </cell>
          <cell r="P195">
            <v>12476.58733</v>
          </cell>
          <cell r="Z195">
            <v>12476.58733</v>
          </cell>
          <cell r="AJ195">
            <v>12476.58733</v>
          </cell>
          <cell r="AT195">
            <v>12476.58733</v>
          </cell>
          <cell r="BD195">
            <v>12476.58733</v>
          </cell>
          <cell r="BN195">
            <v>12476.58733</v>
          </cell>
          <cell r="BX195">
            <v>12476.58733</v>
          </cell>
          <cell r="CH195">
            <v>12476.58733</v>
          </cell>
          <cell r="CR195">
            <v>12476.58733</v>
          </cell>
          <cell r="DB195">
            <v>12476.58733</v>
          </cell>
        </row>
        <row r="196">
          <cell r="D196" t="str">
            <v>Land Cover|Cropland</v>
          </cell>
          <cell r="E196" t="str">
            <v>million ha</v>
          </cell>
          <cell r="F196">
            <v>1507.0358060000001</v>
          </cell>
          <cell r="K196">
            <v>1519.4662840000001</v>
          </cell>
          <cell r="P196">
            <v>1531.8967620000001</v>
          </cell>
          <cell r="Z196">
            <v>1569.2342799999999</v>
          </cell>
          <cell r="AJ196">
            <v>1569.543911</v>
          </cell>
          <cell r="AT196">
            <v>1581.9255189999999</v>
          </cell>
          <cell r="BD196">
            <v>1600.061905</v>
          </cell>
          <cell r="BN196">
            <v>1623.8309850000001</v>
          </cell>
          <cell r="BX196">
            <v>1648.5193529999999</v>
          </cell>
          <cell r="CH196">
            <v>1651.734109</v>
          </cell>
          <cell r="CR196">
            <v>1657.5462849999999</v>
          </cell>
          <cell r="DB196">
            <v>1621.168326</v>
          </cell>
        </row>
        <row r="197">
          <cell r="D197" t="str">
            <v>Land Cover|Cropland|Cereals</v>
          </cell>
          <cell r="E197" t="str">
            <v>million ha</v>
          </cell>
          <cell r="F197">
            <v>627.53361989999996</v>
          </cell>
          <cell r="K197">
            <v>632.61837530000003</v>
          </cell>
          <cell r="P197">
            <v>637.70313069999997</v>
          </cell>
          <cell r="Z197">
            <v>645.84008900000003</v>
          </cell>
          <cell r="AJ197">
            <v>629.48303650000003</v>
          </cell>
          <cell r="AT197">
            <v>631.63513020000005</v>
          </cell>
          <cell r="BD197">
            <v>628.98540890000004</v>
          </cell>
          <cell r="BN197">
            <v>617.59174089999999</v>
          </cell>
          <cell r="BX197">
            <v>598.8773066</v>
          </cell>
          <cell r="CH197">
            <v>580.62723310000001</v>
          </cell>
          <cell r="CR197">
            <v>561.3910032</v>
          </cell>
          <cell r="DB197">
            <v>540.03858200000002</v>
          </cell>
        </row>
        <row r="198">
          <cell r="D198" t="str">
            <v>Land Cover|Cropland|Energy Crops</v>
          </cell>
          <cell r="E198" t="str">
            <v>million ha</v>
          </cell>
          <cell r="F198">
            <v>3.3266348000000001E-2</v>
          </cell>
          <cell r="K198">
            <v>0</v>
          </cell>
          <cell r="P198">
            <v>0</v>
          </cell>
          <cell r="Z198">
            <v>9.4294793779999999</v>
          </cell>
          <cell r="AJ198">
            <v>11.85401012</v>
          </cell>
          <cell r="AT198">
            <v>10.43265452</v>
          </cell>
          <cell r="BD198">
            <v>22.36875199</v>
          </cell>
          <cell r="BN198">
            <v>58.265329940000001</v>
          </cell>
          <cell r="BX198">
            <v>105.3859975</v>
          </cell>
          <cell r="CH198">
            <v>135.644103</v>
          </cell>
          <cell r="CR198">
            <v>166.22610549999999</v>
          </cell>
          <cell r="DB198">
            <v>157.82407370000001</v>
          </cell>
        </row>
        <row r="199">
          <cell r="D199" t="str">
            <v>Land Cover|Cropland|Irrigated</v>
          </cell>
          <cell r="E199" t="str">
            <v>million ha</v>
          </cell>
          <cell r="F199">
            <v>236.51228889999999</v>
          </cell>
          <cell r="K199">
            <v>242.41117510000001</v>
          </cell>
          <cell r="P199">
            <v>248.3100613</v>
          </cell>
          <cell r="Z199">
            <v>257.5934317</v>
          </cell>
          <cell r="AJ199">
            <v>257.94057029999999</v>
          </cell>
          <cell r="AT199">
            <v>262.37810300000001</v>
          </cell>
          <cell r="BD199">
            <v>262.36859020000003</v>
          </cell>
          <cell r="BN199">
            <v>257.35299329999998</v>
          </cell>
          <cell r="BX199">
            <v>245.8798257</v>
          </cell>
          <cell r="CH199">
            <v>231.16445899999999</v>
          </cell>
          <cell r="CR199">
            <v>219.17124129999999</v>
          </cell>
          <cell r="DB199">
            <v>203.84408999999999</v>
          </cell>
        </row>
        <row r="200">
          <cell r="D200" t="str">
            <v>Land Cover|Forest</v>
          </cell>
          <cell r="E200" t="str">
            <v>million ha</v>
          </cell>
          <cell r="F200">
            <v>4049.4088809999998</v>
          </cell>
          <cell r="K200">
            <v>4026.9067920000002</v>
          </cell>
          <cell r="P200">
            <v>4004.404704</v>
          </cell>
          <cell r="Z200">
            <v>3977.804791</v>
          </cell>
          <cell r="AJ200">
            <v>4076.2978889999999</v>
          </cell>
          <cell r="AT200">
            <v>4171.8823380000003</v>
          </cell>
          <cell r="BD200">
            <v>4261.2274799999996</v>
          </cell>
          <cell r="BN200">
            <v>4341.3221389999999</v>
          </cell>
          <cell r="BX200">
            <v>4414.5199119999997</v>
          </cell>
          <cell r="CH200">
            <v>4487.9669739999999</v>
          </cell>
          <cell r="CR200">
            <v>4554.1314240000002</v>
          </cell>
          <cell r="DB200">
            <v>4624.2927259999997</v>
          </cell>
        </row>
        <row r="201">
          <cell r="D201" t="str">
            <v>Land Cover|Forest|Afforestation and Reforestation</v>
          </cell>
          <cell r="E201" t="str">
            <v>million ha</v>
          </cell>
          <cell r="F201">
            <v>0</v>
          </cell>
          <cell r="K201">
            <v>0</v>
          </cell>
          <cell r="P201">
            <v>65.375515710000002</v>
          </cell>
          <cell r="Z201">
            <v>123.45979269999999</v>
          </cell>
          <cell r="AJ201">
            <v>224.44521169999999</v>
          </cell>
          <cell r="AT201">
            <v>321.41964560000002</v>
          </cell>
          <cell r="BD201">
            <v>412.62187280000001</v>
          </cell>
          <cell r="BN201">
            <v>495.68957979999999</v>
          </cell>
          <cell r="BX201">
            <v>571.9789667</v>
          </cell>
          <cell r="CH201">
            <v>647.49434799999995</v>
          </cell>
          <cell r="CR201">
            <v>716.51051740000003</v>
          </cell>
          <cell r="DB201">
            <v>787.51531899999998</v>
          </cell>
        </row>
        <row r="202">
          <cell r="D202" t="str">
            <v>Land Cover|Forest|Managed</v>
          </cell>
          <cell r="E202" t="str">
            <v>million ha</v>
          </cell>
          <cell r="F202">
            <v>642.7347843</v>
          </cell>
          <cell r="K202">
            <v>646.12619770000003</v>
          </cell>
          <cell r="P202">
            <v>649.51761120000003</v>
          </cell>
          <cell r="Z202">
            <v>705.2515353</v>
          </cell>
          <cell r="AJ202">
            <v>825.98696700000005</v>
          </cell>
          <cell r="AT202">
            <v>807.88755349999997</v>
          </cell>
          <cell r="BD202">
            <v>844.869282</v>
          </cell>
          <cell r="BN202">
            <v>885.63041950000002</v>
          </cell>
          <cell r="BX202">
            <v>907.23556799999994</v>
          </cell>
          <cell r="CH202">
            <v>926.65213119999999</v>
          </cell>
          <cell r="CR202">
            <v>937.90413939999996</v>
          </cell>
          <cell r="DB202">
            <v>945.53728260000003</v>
          </cell>
        </row>
        <row r="203">
          <cell r="D203" t="str">
            <v>Land Cover|Forest|Natural Forest</v>
          </cell>
          <cell r="E203" t="str">
            <v>million ha</v>
          </cell>
          <cell r="F203">
            <v>3406.6740960000002</v>
          </cell>
          <cell r="K203">
            <v>3380.7805939999998</v>
          </cell>
          <cell r="P203">
            <v>3354.8870919999999</v>
          </cell>
          <cell r="Z203">
            <v>3272.5532560000001</v>
          </cell>
          <cell r="AJ203">
            <v>3250.3109220000001</v>
          </cell>
          <cell r="AT203">
            <v>3363.9947849999999</v>
          </cell>
          <cell r="BD203">
            <v>3416.3581979999999</v>
          </cell>
          <cell r="BN203">
            <v>3455.6917199999998</v>
          </cell>
          <cell r="BX203">
            <v>3507.2843440000001</v>
          </cell>
          <cell r="CH203">
            <v>3561.3148420000002</v>
          </cell>
          <cell r="CR203">
            <v>3616.2272849999999</v>
          </cell>
          <cell r="DB203">
            <v>3678.755443</v>
          </cell>
        </row>
        <row r="204">
          <cell r="D204" t="str">
            <v>Land Cover|Pasture</v>
          </cell>
          <cell r="E204" t="str">
            <v>million ha</v>
          </cell>
          <cell r="F204">
            <v>3460.8516500000001</v>
          </cell>
          <cell r="K204">
            <v>3454.3723519999999</v>
          </cell>
          <cell r="P204">
            <v>3447.8930540000001</v>
          </cell>
          <cell r="Z204">
            <v>3462.2994170000002</v>
          </cell>
          <cell r="AJ204">
            <v>3253.4608560000001</v>
          </cell>
          <cell r="AT204">
            <v>3151.6895410000002</v>
          </cell>
          <cell r="BD204">
            <v>3084.6625880000001</v>
          </cell>
          <cell r="BN204">
            <v>3027.518</v>
          </cell>
          <cell r="BX204">
            <v>2967.940306</v>
          </cell>
          <cell r="CH204">
            <v>2907.5902350000001</v>
          </cell>
          <cell r="CR204">
            <v>2834.3911560000001</v>
          </cell>
          <cell r="DB204">
            <v>2764.9415359999998</v>
          </cell>
        </row>
        <row r="205">
          <cell r="D205" t="str">
            <v>Population</v>
          </cell>
          <cell r="E205" t="str">
            <v>million</v>
          </cell>
          <cell r="F205">
            <v>6119.4199909999998</v>
          </cell>
          <cell r="K205">
            <v>6503.1299360000003</v>
          </cell>
          <cell r="P205">
            <v>6867.3900379999995</v>
          </cell>
          <cell r="Z205">
            <v>7611.25</v>
          </cell>
          <cell r="AJ205">
            <v>8261.9900130000005</v>
          </cell>
          <cell r="AT205">
            <v>8787.1200640000006</v>
          </cell>
          <cell r="BD205">
            <v>9169.1099699999995</v>
          </cell>
          <cell r="BN205">
            <v>9384.7000119999993</v>
          </cell>
          <cell r="BX205">
            <v>9456.8800890000002</v>
          </cell>
          <cell r="CH205">
            <v>9407.2600170000005</v>
          </cell>
          <cell r="CR205">
            <v>9253.9499510000005</v>
          </cell>
          <cell r="DB205">
            <v>9032.4199449999996</v>
          </cell>
        </row>
        <row r="206">
          <cell r="D206" t="str">
            <v>Population|Rural</v>
          </cell>
          <cell r="E206" t="str">
            <v>million</v>
          </cell>
          <cell r="F206">
            <v>3283.6012049999999</v>
          </cell>
          <cell r="K206">
            <v>3342.3140039999998</v>
          </cell>
          <cell r="P206">
            <v>3396.8155029999998</v>
          </cell>
          <cell r="Z206">
            <v>3398.2798710000002</v>
          </cell>
          <cell r="AJ206">
            <v>3331.4198339999998</v>
          </cell>
          <cell r="AT206">
            <v>3202.4817539999999</v>
          </cell>
          <cell r="BD206">
            <v>3022.4589350000001</v>
          </cell>
          <cell r="BN206">
            <v>2798.1479979999999</v>
          </cell>
          <cell r="BX206">
            <v>2552.040152</v>
          </cell>
          <cell r="CH206">
            <v>2301.2826730000002</v>
          </cell>
          <cell r="CR206">
            <v>2056.3111349999999</v>
          </cell>
          <cell r="DB206">
            <v>1827.9529789999999</v>
          </cell>
        </row>
        <row r="207">
          <cell r="D207" t="str">
            <v>Population|Urban</v>
          </cell>
          <cell r="E207" t="str">
            <v>million</v>
          </cell>
          <cell r="F207">
            <v>2835.8187849999999</v>
          </cell>
          <cell r="K207">
            <v>3160.8159329999999</v>
          </cell>
          <cell r="P207">
            <v>3470.5745339999999</v>
          </cell>
          <cell r="Z207">
            <v>4212.9701290000003</v>
          </cell>
          <cell r="AJ207">
            <v>4930.5701790000003</v>
          </cell>
          <cell r="AT207">
            <v>5584.6383089999999</v>
          </cell>
          <cell r="BD207">
            <v>6146.6510349999999</v>
          </cell>
          <cell r="BN207">
            <v>6586.5520139999999</v>
          </cell>
          <cell r="BX207">
            <v>6904.8399369999997</v>
          </cell>
          <cell r="CH207">
            <v>7105.9773450000002</v>
          </cell>
          <cell r="CR207">
            <v>7197.6388159999997</v>
          </cell>
          <cell r="DB207">
            <v>7204.466966</v>
          </cell>
        </row>
        <row r="208">
          <cell r="D208" t="str">
            <v>Price|Carbon</v>
          </cell>
          <cell r="E208" t="str">
            <v>US$2010/t CO2</v>
          </cell>
          <cell r="F208">
            <v>0</v>
          </cell>
          <cell r="K208">
            <v>0</v>
          </cell>
          <cell r="P208">
            <v>0</v>
          </cell>
          <cell r="Z208">
            <v>0.234714274</v>
          </cell>
          <cell r="AJ208">
            <v>88.917015759999998</v>
          </cell>
          <cell r="AT208">
            <v>119.4970345</v>
          </cell>
          <cell r="BD208">
            <v>160.59401639999999</v>
          </cell>
          <cell r="BN208">
            <v>215.8249356</v>
          </cell>
          <cell r="BX208">
            <v>290.05066520000003</v>
          </cell>
          <cell r="CH208">
            <v>389.80385200000001</v>
          </cell>
          <cell r="CR208">
            <v>523.86379769999996</v>
          </cell>
          <cell r="DB208">
            <v>704.02911349999999</v>
          </cell>
        </row>
        <row r="209">
          <cell r="D209" t="str">
            <v>Price|Primary Energy|Coal</v>
          </cell>
          <cell r="E209" t="str">
            <v>US$2010/GJ</v>
          </cell>
          <cell r="F209">
            <v>0</v>
          </cell>
          <cell r="K209">
            <v>0</v>
          </cell>
          <cell r="P209">
            <v>0</v>
          </cell>
          <cell r="Z209">
            <v>5.8238955619999997</v>
          </cell>
          <cell r="AJ209">
            <v>4.3367238610000003</v>
          </cell>
          <cell r="AT209">
            <v>4.1720230579999997</v>
          </cell>
          <cell r="BD209">
            <v>3.9207367820000001</v>
          </cell>
        </row>
        <row r="210">
          <cell r="D210" t="str">
            <v>Price|Primary Energy|Gas</v>
          </cell>
          <cell r="E210" t="str">
            <v>US$2010/GJ</v>
          </cell>
          <cell r="F210">
            <v>0</v>
          </cell>
          <cell r="K210">
            <v>0</v>
          </cell>
          <cell r="P210">
            <v>0</v>
          </cell>
          <cell r="Z210">
            <v>7.0306539170000004</v>
          </cell>
          <cell r="AJ210">
            <v>3.9687261060000001</v>
          </cell>
          <cell r="AT210">
            <v>2.9886908120000002</v>
          </cell>
          <cell r="BD210">
            <v>3.6600503710000001</v>
          </cell>
        </row>
        <row r="211">
          <cell r="D211" t="str">
            <v>Price|Primary Energy|Oil</v>
          </cell>
          <cell r="E211" t="str">
            <v>US$2010/GJ</v>
          </cell>
          <cell r="F211">
            <v>0</v>
          </cell>
          <cell r="K211">
            <v>0</v>
          </cell>
          <cell r="P211">
            <v>0</v>
          </cell>
          <cell r="Z211">
            <v>8.0619923450000002</v>
          </cell>
          <cell r="AJ211">
            <v>2.2452709739999999</v>
          </cell>
          <cell r="AT211">
            <v>2.973309558</v>
          </cell>
          <cell r="BD211">
            <v>2.293564441</v>
          </cell>
        </row>
        <row r="212">
          <cell r="D212" t="str">
            <v>Primary Energy</v>
          </cell>
          <cell r="E212" t="str">
            <v>EJ/yr</v>
          </cell>
          <cell r="F212">
            <v>403.08774080000001</v>
          </cell>
          <cell r="K212">
            <v>462.50748490000001</v>
          </cell>
          <cell r="P212">
            <v>500.73999500000002</v>
          </cell>
          <cell r="Z212">
            <v>550.94492390000005</v>
          </cell>
          <cell r="AJ212">
            <v>377.75062120000001</v>
          </cell>
          <cell r="AT212">
            <v>315.90502120000002</v>
          </cell>
          <cell r="BD212">
            <v>289.0225087</v>
          </cell>
          <cell r="BN212">
            <v>290.73210319999998</v>
          </cell>
          <cell r="BX212">
            <v>297.2731837</v>
          </cell>
          <cell r="CH212">
            <v>303.8153216</v>
          </cell>
          <cell r="CR212">
            <v>310.38194920000001</v>
          </cell>
          <cell r="DB212">
            <v>308.92121950000001</v>
          </cell>
        </row>
        <row r="213">
          <cell r="D213" t="str">
            <v>Primary Energy|Biomass</v>
          </cell>
          <cell r="E213" t="str">
            <v>EJ/yr</v>
          </cell>
          <cell r="F213">
            <v>44.137706440000002</v>
          </cell>
          <cell r="K213">
            <v>48.749801920000003</v>
          </cell>
          <cell r="P213">
            <v>54.280339040000001</v>
          </cell>
          <cell r="Z213">
            <v>49.55220422</v>
          </cell>
          <cell r="AJ213">
            <v>48.130502069999999</v>
          </cell>
          <cell r="AT213">
            <v>44.438954379999998</v>
          </cell>
          <cell r="BD213">
            <v>45.466154879999998</v>
          </cell>
          <cell r="BN213">
            <v>52.609115299999999</v>
          </cell>
          <cell r="BX213">
            <v>63.46021958</v>
          </cell>
          <cell r="CH213">
            <v>68.641593369999995</v>
          </cell>
          <cell r="CR213">
            <v>77.972660250000004</v>
          </cell>
          <cell r="DB213">
            <v>75.289352149999999</v>
          </cell>
        </row>
        <row r="214">
          <cell r="D214" t="str">
            <v>Primary Energy|Biomass|Modern</v>
          </cell>
          <cell r="E214" t="str">
            <v>EJ/yr</v>
          </cell>
          <cell r="F214">
            <v>16.512298130000001</v>
          </cell>
          <cell r="K214">
            <v>19.428601910000001</v>
          </cell>
          <cell r="P214">
            <v>23.77724856</v>
          </cell>
          <cell r="Z214">
            <v>21.23020769</v>
          </cell>
          <cell r="AJ214">
            <v>48.073083769999997</v>
          </cell>
          <cell r="AT214">
            <v>44.419277620000003</v>
          </cell>
          <cell r="BD214">
            <v>45.466154879999998</v>
          </cell>
          <cell r="BN214">
            <v>52.609115299999999</v>
          </cell>
          <cell r="BX214">
            <v>63.46021958</v>
          </cell>
          <cell r="CH214">
            <v>68.641593369999995</v>
          </cell>
          <cell r="CR214">
            <v>77.972660250000004</v>
          </cell>
          <cell r="DB214">
            <v>75.289352149999999</v>
          </cell>
        </row>
        <row r="215">
          <cell r="D215" t="str">
            <v>Primary Energy|Biomass|Modern|w/ CCS</v>
          </cell>
          <cell r="E215" t="str">
            <v>EJ/yr</v>
          </cell>
          <cell r="F215">
            <v>0</v>
          </cell>
          <cell r="K215">
            <v>0</v>
          </cell>
          <cell r="P215">
            <v>0</v>
          </cell>
          <cell r="Z215">
            <v>0</v>
          </cell>
          <cell r="AJ215">
            <v>0</v>
          </cell>
          <cell r="AT215">
            <v>0</v>
          </cell>
          <cell r="BD215">
            <v>0</v>
          </cell>
          <cell r="BN215">
            <v>0</v>
          </cell>
          <cell r="BX215">
            <v>0</v>
          </cell>
          <cell r="CH215">
            <v>0</v>
          </cell>
          <cell r="CR215">
            <v>0</v>
          </cell>
          <cell r="DB215">
            <v>0</v>
          </cell>
        </row>
        <row r="216">
          <cell r="D216" t="str">
            <v>Primary Energy|Biomass|Modern|w/o CCS</v>
          </cell>
          <cell r="E216" t="str">
            <v>EJ/yr</v>
          </cell>
          <cell r="F216">
            <v>44.137706440000002</v>
          </cell>
          <cell r="K216">
            <v>48.749801920000003</v>
          </cell>
          <cell r="P216">
            <v>54.280339040000001</v>
          </cell>
          <cell r="Z216">
            <v>49.55220422</v>
          </cell>
          <cell r="AJ216">
            <v>48.130502069999999</v>
          </cell>
          <cell r="AT216">
            <v>44.438954379999998</v>
          </cell>
          <cell r="BD216">
            <v>45.466154879999998</v>
          </cell>
          <cell r="BN216">
            <v>52.609115299999999</v>
          </cell>
          <cell r="BX216">
            <v>63.46021958</v>
          </cell>
          <cell r="CH216">
            <v>68.641593369999995</v>
          </cell>
          <cell r="CR216">
            <v>77.972660250000004</v>
          </cell>
          <cell r="DB216">
            <v>75.289352149999999</v>
          </cell>
        </row>
        <row r="217">
          <cell r="D217" t="str">
            <v>Primary Energy|Biomass|Traditional</v>
          </cell>
          <cell r="E217" t="str">
            <v>EJ/yr</v>
          </cell>
          <cell r="F217">
            <v>27.625408319999998</v>
          </cell>
          <cell r="K217">
            <v>29.321200009999998</v>
          </cell>
          <cell r="P217">
            <v>30.503090480000001</v>
          </cell>
          <cell r="Z217">
            <v>28.32199653</v>
          </cell>
          <cell r="AJ217">
            <v>5.7418304000000003E-2</v>
          </cell>
          <cell r="AT217">
            <v>1.9676754000000001E-2</v>
          </cell>
          <cell r="BD217">
            <v>0</v>
          </cell>
          <cell r="BN217">
            <v>0</v>
          </cell>
          <cell r="BX217">
            <v>0</v>
          </cell>
          <cell r="CH217">
            <v>0</v>
          </cell>
          <cell r="CR217">
            <v>0</v>
          </cell>
          <cell r="DB217">
            <v>0</v>
          </cell>
        </row>
        <row r="218">
          <cell r="D218" t="str">
            <v>Primary Energy|Coal</v>
          </cell>
          <cell r="E218" t="str">
            <v>EJ/yr</v>
          </cell>
          <cell r="F218">
            <v>95.645625080000002</v>
          </cell>
          <cell r="K218">
            <v>121.1526844</v>
          </cell>
          <cell r="P218">
            <v>139.45200539999999</v>
          </cell>
          <cell r="Z218">
            <v>122.9950292</v>
          </cell>
          <cell r="AJ218">
            <v>30.850915149999999</v>
          </cell>
          <cell r="AT218">
            <v>12.61792604</v>
          </cell>
          <cell r="BD218">
            <v>4.090786896</v>
          </cell>
          <cell r="BN218">
            <v>1.351856328</v>
          </cell>
          <cell r="BX218">
            <v>0.61041202400000005</v>
          </cell>
          <cell r="CH218">
            <v>9.5666080000000001E-2</v>
          </cell>
          <cell r="CR218">
            <v>5.7464355000000002E-2</v>
          </cell>
          <cell r="DB218">
            <v>3.4591696999999998E-2</v>
          </cell>
        </row>
        <row r="219">
          <cell r="D219" t="str">
            <v>Primary Energy|Fossil</v>
          </cell>
          <cell r="E219" t="str">
            <v>EJ/yr</v>
          </cell>
          <cell r="F219">
            <v>339.73361790000001</v>
          </cell>
          <cell r="K219">
            <v>392.13865370000002</v>
          </cell>
          <cell r="P219">
            <v>418.98955130000002</v>
          </cell>
          <cell r="Z219">
            <v>454.07701470000001</v>
          </cell>
          <cell r="AJ219">
            <v>220.6458762</v>
          </cell>
          <cell r="AT219">
            <v>114.4190907</v>
          </cell>
          <cell r="BD219">
            <v>54.860420670000003</v>
          </cell>
          <cell r="BN219">
            <v>30.260076349999999</v>
          </cell>
          <cell r="BX219">
            <v>14.581034669999999</v>
          </cell>
          <cell r="CH219">
            <v>6.5582551819999999</v>
          </cell>
          <cell r="CR219">
            <v>2.8073398900000002</v>
          </cell>
          <cell r="DB219">
            <v>1.689231315</v>
          </cell>
        </row>
        <row r="220">
          <cell r="D220" t="str">
            <v>Primary Energy|Fossil|w/ CCS</v>
          </cell>
          <cell r="E220" t="str">
            <v>EJ/yr</v>
          </cell>
          <cell r="F220">
            <v>0</v>
          </cell>
          <cell r="K220">
            <v>0</v>
          </cell>
          <cell r="P220">
            <v>0</v>
          </cell>
          <cell r="Z220">
            <v>0</v>
          </cell>
          <cell r="AJ220">
            <v>0</v>
          </cell>
          <cell r="AT220">
            <v>0</v>
          </cell>
          <cell r="BD220">
            <v>0</v>
          </cell>
          <cell r="BN220">
            <v>0</v>
          </cell>
          <cell r="BX220">
            <v>0</v>
          </cell>
          <cell r="CH220">
            <v>0</v>
          </cell>
          <cell r="CR220">
            <v>0</v>
          </cell>
          <cell r="DB220">
            <v>0</v>
          </cell>
        </row>
        <row r="221">
          <cell r="D221" t="str">
            <v>Primary Energy|Fossil|w/o CCS</v>
          </cell>
          <cell r="E221" t="str">
            <v>EJ/yr</v>
          </cell>
          <cell r="F221">
            <v>339.73361790000001</v>
          </cell>
          <cell r="K221">
            <v>392.13865370000002</v>
          </cell>
          <cell r="P221">
            <v>418.98955130000002</v>
          </cell>
          <cell r="Z221">
            <v>454.07701470000001</v>
          </cell>
          <cell r="AJ221">
            <v>220.6458762</v>
          </cell>
          <cell r="AT221">
            <v>114.4190907</v>
          </cell>
          <cell r="BD221">
            <v>54.860420670000003</v>
          </cell>
          <cell r="BN221">
            <v>30.260076349999999</v>
          </cell>
          <cell r="BX221">
            <v>14.581034669999999</v>
          </cell>
          <cell r="CH221">
            <v>6.5582551819999999</v>
          </cell>
          <cell r="CR221">
            <v>2.8073398900000002</v>
          </cell>
          <cell r="DB221">
            <v>1.689231315</v>
          </cell>
        </row>
        <row r="222">
          <cell r="D222" t="str">
            <v>Primary Energy|Gas</v>
          </cell>
          <cell r="E222" t="str">
            <v>EJ/yr</v>
          </cell>
          <cell r="F222">
            <v>90.238926390000003</v>
          </cell>
          <cell r="K222">
            <v>100.5426525</v>
          </cell>
          <cell r="P222">
            <v>105.924182</v>
          </cell>
          <cell r="Z222">
            <v>126.8654519</v>
          </cell>
          <cell r="AJ222">
            <v>79.767596420000004</v>
          </cell>
          <cell r="AT222">
            <v>47.426430959999998</v>
          </cell>
          <cell r="BD222">
            <v>28.067047800000001</v>
          </cell>
          <cell r="BN222">
            <v>18.89939086</v>
          </cell>
          <cell r="BX222">
            <v>10.945623230000001</v>
          </cell>
          <cell r="CH222">
            <v>5.7598442329999999</v>
          </cell>
          <cell r="CR222">
            <v>2.6792561259999998</v>
          </cell>
          <cell r="DB222">
            <v>1.62036359</v>
          </cell>
        </row>
        <row r="223">
          <cell r="D223" t="str">
            <v>Primary Energy|Geothermal</v>
          </cell>
          <cell r="E223" t="str">
            <v>EJ/yr</v>
          </cell>
          <cell r="F223">
            <v>0.30673594999999998</v>
          </cell>
          <cell r="K223">
            <v>0.36026905100000001</v>
          </cell>
          <cell r="P223">
            <v>0.54871193600000001</v>
          </cell>
          <cell r="Z223">
            <v>0.610909123</v>
          </cell>
          <cell r="AJ223">
            <v>0.46974918500000001</v>
          </cell>
          <cell r="AT223">
            <v>0.28125619299999999</v>
          </cell>
          <cell r="BD223">
            <v>0.173906845</v>
          </cell>
          <cell r="BN223">
            <v>0.160556174</v>
          </cell>
          <cell r="BX223">
            <v>0.199941375</v>
          </cell>
          <cell r="CH223">
            <v>0.264844629</v>
          </cell>
          <cell r="CR223">
            <v>0.38284503600000003</v>
          </cell>
          <cell r="DB223">
            <v>0.50148402400000003</v>
          </cell>
        </row>
        <row r="224">
          <cell r="D224" t="str">
            <v>Primary Energy|Hydro</v>
          </cell>
          <cell r="E224" t="str">
            <v>EJ/yr</v>
          </cell>
          <cell r="F224">
            <v>9.3845048280000007</v>
          </cell>
          <cell r="K224">
            <v>10.62492995</v>
          </cell>
          <cell r="P224">
            <v>12.856711860000001</v>
          </cell>
          <cell r="Z224">
            <v>15.80201379</v>
          </cell>
          <cell r="AJ224">
            <v>21.055699130000001</v>
          </cell>
          <cell r="AT224">
            <v>23.188814390000001</v>
          </cell>
          <cell r="BD224">
            <v>24.451414939999999</v>
          </cell>
          <cell r="BN224">
            <v>24.814407039999999</v>
          </cell>
          <cell r="BX224">
            <v>25.22895896</v>
          </cell>
          <cell r="CH224">
            <v>25.91687353</v>
          </cell>
          <cell r="CR224">
            <v>26.002346889999998</v>
          </cell>
          <cell r="DB224">
            <v>26.04934153</v>
          </cell>
        </row>
        <row r="225">
          <cell r="D225" t="str">
            <v>Primary Energy|Non-Biomass Renewables</v>
          </cell>
          <cell r="E225" t="str">
            <v>EJ/yr</v>
          </cell>
          <cell r="F225">
            <v>9.896818498</v>
          </cell>
          <cell r="G225">
            <v>0</v>
          </cell>
          <cell r="H225">
            <v>0</v>
          </cell>
          <cell r="I225">
            <v>0</v>
          </cell>
          <cell r="J225">
            <v>0</v>
          </cell>
          <cell r="K225">
            <v>11.659162179999999</v>
          </cell>
          <cell r="L225">
            <v>0</v>
          </cell>
          <cell r="M225">
            <v>0</v>
          </cell>
          <cell r="N225">
            <v>0</v>
          </cell>
          <cell r="O225">
            <v>0</v>
          </cell>
          <cell r="P225">
            <v>17.588137</v>
          </cell>
          <cell r="Q225">
            <v>0</v>
          </cell>
          <cell r="R225">
            <v>0</v>
          </cell>
          <cell r="S225">
            <v>0</v>
          </cell>
          <cell r="T225">
            <v>0</v>
          </cell>
          <cell r="U225">
            <v>0</v>
          </cell>
          <cell r="Z225">
            <v>36.573458119999998</v>
          </cell>
          <cell r="AJ225">
            <v>93.238981069999994</v>
          </cell>
          <cell r="AT225">
            <v>137.79565930000001</v>
          </cell>
          <cell r="BD225">
            <v>164.09241059999999</v>
          </cell>
          <cell r="BN225">
            <v>179.17806770000001</v>
          </cell>
          <cell r="BX225">
            <v>191.40713109999999</v>
          </cell>
          <cell r="CH225">
            <v>202.85371459999999</v>
          </cell>
          <cell r="CR225">
            <v>210.22946970000001</v>
          </cell>
          <cell r="DB225">
            <v>217.90193489999999</v>
          </cell>
        </row>
        <row r="226">
          <cell r="D226" t="str">
            <v>Primary Energy|Nuclear</v>
          </cell>
          <cell r="E226" t="str">
            <v>EJ/yr</v>
          </cell>
          <cell r="F226">
            <v>9.3270092180000006</v>
          </cell>
          <cell r="K226">
            <v>9.966012224</v>
          </cell>
          <cell r="P226">
            <v>9.8935014999999993</v>
          </cell>
          <cell r="Z226">
            <v>10.7512486</v>
          </cell>
          <cell r="AJ226">
            <v>15.76655674</v>
          </cell>
          <cell r="AT226">
            <v>20.2964895</v>
          </cell>
          <cell r="BD226">
            <v>24.779627980000001</v>
          </cell>
          <cell r="BN226">
            <v>28.957080049999998</v>
          </cell>
          <cell r="BX226">
            <v>28.941443289999999</v>
          </cell>
          <cell r="CH226">
            <v>25.983406259999999</v>
          </cell>
          <cell r="CR226">
            <v>20.558226309999998</v>
          </cell>
          <cell r="DB226">
            <v>15.21791219</v>
          </cell>
        </row>
        <row r="227">
          <cell r="D227" t="str">
            <v>Primary Energy|Oil</v>
          </cell>
          <cell r="E227" t="str">
            <v>EJ/yr</v>
          </cell>
          <cell r="F227">
            <v>153.8490664</v>
          </cell>
          <cell r="K227">
            <v>170.44331679999999</v>
          </cell>
          <cell r="P227">
            <v>173.6133639</v>
          </cell>
          <cell r="Z227">
            <v>204.21653359999999</v>
          </cell>
          <cell r="AJ227">
            <v>110.0273646</v>
          </cell>
          <cell r="AT227">
            <v>54.374733720000002</v>
          </cell>
          <cell r="BD227">
            <v>22.702585979999999</v>
          </cell>
          <cell r="BN227">
            <v>10.00882915</v>
          </cell>
          <cell r="BX227">
            <v>3.024999416</v>
          </cell>
          <cell r="CH227">
            <v>0.70274486899999999</v>
          </cell>
          <cell r="CR227">
            <v>7.0619408999999994E-2</v>
          </cell>
          <cell r="DB227">
            <v>3.4276029E-2</v>
          </cell>
        </row>
        <row r="228">
          <cell r="D228" t="str">
            <v>Primary Energy|Other</v>
          </cell>
          <cell r="E228" t="str">
            <v>EJ/yr</v>
          </cell>
          <cell r="F228">
            <v>0</v>
          </cell>
          <cell r="K228">
            <v>0</v>
          </cell>
          <cell r="P228">
            <v>0</v>
          </cell>
          <cell r="Z228">
            <v>0</v>
          </cell>
          <cell r="AJ228">
            <v>0</v>
          </cell>
          <cell r="AT228">
            <v>0</v>
          </cell>
          <cell r="BD228">
            <v>0.19650153100000001</v>
          </cell>
          <cell r="BN228">
            <v>1.56511362</v>
          </cell>
          <cell r="BX228">
            <v>4.3858662089999996</v>
          </cell>
          <cell r="CH228">
            <v>8.5649124459999992</v>
          </cell>
          <cell r="CR228">
            <v>10.328449470000001</v>
          </cell>
          <cell r="DB228">
            <v>10.67956036</v>
          </cell>
        </row>
        <row r="229">
          <cell r="D229" t="str">
            <v>Primary Energy|Secondary Energy Trade</v>
          </cell>
          <cell r="E229" t="str">
            <v>EJ/yr</v>
          </cell>
          <cell r="F229">
            <v>-7.4112129999999998E-3</v>
          </cell>
          <cell r="K229">
            <v>-6.1450769999999997E-3</v>
          </cell>
          <cell r="P229">
            <v>-1.1533819000000001E-2</v>
          </cell>
          <cell r="Z229">
            <v>-9.0016799999999998E-3</v>
          </cell>
          <cell r="AJ229">
            <v>-3.1294823999999999E-2</v>
          </cell>
          <cell r="AT229">
            <v>-1.0451727369999999</v>
          </cell>
          <cell r="BD229">
            <v>-0.37260695300000002</v>
          </cell>
          <cell r="BN229">
            <v>-1.837349785</v>
          </cell>
          <cell r="BX229">
            <v>-5.5025111369999999</v>
          </cell>
          <cell r="CH229">
            <v>-8.786560326</v>
          </cell>
          <cell r="CR229">
            <v>-11.51419643</v>
          </cell>
          <cell r="DB229">
            <v>-11.85677143</v>
          </cell>
        </row>
        <row r="230">
          <cell r="D230" t="str">
            <v>Primary Energy|Solar</v>
          </cell>
          <cell r="E230" t="str">
            <v>EJ/yr</v>
          </cell>
          <cell r="F230">
            <v>0.20557771899999999</v>
          </cell>
          <cell r="K230">
            <v>0.30775154999999998</v>
          </cell>
          <cell r="P230">
            <v>2.526550158</v>
          </cell>
          <cell r="Z230">
            <v>11.22637744</v>
          </cell>
          <cell r="AJ230">
            <v>47.510328229999999</v>
          </cell>
          <cell r="AT230">
            <v>74.548247939999996</v>
          </cell>
          <cell r="BD230">
            <v>86.936837220000001</v>
          </cell>
          <cell r="BN230">
            <v>91.614405579999996</v>
          </cell>
          <cell r="BX230">
            <v>97.055083530000005</v>
          </cell>
          <cell r="CH230">
            <v>104.6127913</v>
          </cell>
          <cell r="CR230">
            <v>110.2088138</v>
          </cell>
          <cell r="DB230">
            <v>114.8778733</v>
          </cell>
        </row>
        <row r="231">
          <cell r="D231" t="str">
            <v>Primary Energy|Wind</v>
          </cell>
          <cell r="E231" t="str">
            <v>EJ/yr</v>
          </cell>
          <cell r="F231">
            <v>0</v>
          </cell>
          <cell r="K231">
            <v>0.36621162499999999</v>
          </cell>
          <cell r="P231">
            <v>1.6561630469999999</v>
          </cell>
          <cell r="Z231">
            <v>8.9341577720000007</v>
          </cell>
          <cell r="AJ231">
            <v>24.203204530000001</v>
          </cell>
          <cell r="AT231">
            <v>39.777340780000003</v>
          </cell>
          <cell r="BD231">
            <v>52.530251560000004</v>
          </cell>
          <cell r="BN231">
            <v>62.588698890000003</v>
          </cell>
          <cell r="BX231">
            <v>68.923147229999998</v>
          </cell>
          <cell r="CH231">
            <v>72.059205210000002</v>
          </cell>
          <cell r="CR231">
            <v>73.63546393</v>
          </cell>
          <cell r="DB231">
            <v>76.47323609</v>
          </cell>
        </row>
        <row r="232">
          <cell r="D232" t="str">
            <v>Secondary Energy|Electricity</v>
          </cell>
          <cell r="E232" t="str">
            <v>EJ/yr</v>
          </cell>
          <cell r="F232">
            <v>63.833477309999999</v>
          </cell>
          <cell r="K232">
            <v>75.42907572</v>
          </cell>
          <cell r="P232">
            <v>86.634441199999998</v>
          </cell>
          <cell r="Z232">
            <v>112.3516027</v>
          </cell>
          <cell r="AJ232">
            <v>128.85572970000001</v>
          </cell>
          <cell r="AT232">
            <v>161.29906589999999</v>
          </cell>
          <cell r="BD232">
            <v>184.7815344</v>
          </cell>
          <cell r="BN232">
            <v>201.85005799999999</v>
          </cell>
          <cell r="BX232">
            <v>213.2552354</v>
          </cell>
          <cell r="CH232">
            <v>221.61939760000001</v>
          </cell>
          <cell r="CR232">
            <v>223.43614769999999</v>
          </cell>
          <cell r="DB232">
            <v>225.77737479999999</v>
          </cell>
        </row>
        <row r="233">
          <cell r="D233" t="str">
            <v>Secondary Energy|Electricity|Biomass</v>
          </cell>
          <cell r="E233" t="str">
            <v>EJ/yr</v>
          </cell>
          <cell r="F233">
            <v>0.49365088800000001</v>
          </cell>
          <cell r="K233">
            <v>0.48290058600000002</v>
          </cell>
          <cell r="P233">
            <v>0.75713519900000004</v>
          </cell>
          <cell r="Z233">
            <v>1.173563643</v>
          </cell>
          <cell r="AJ233">
            <v>2.889133728</v>
          </cell>
          <cell r="AT233">
            <v>2.0836528109999999</v>
          </cell>
          <cell r="BD233">
            <v>1.249183551</v>
          </cell>
          <cell r="BN233">
            <v>1.1408499489999999</v>
          </cell>
          <cell r="BX233">
            <v>1.394471333</v>
          </cell>
          <cell r="CH233">
            <v>1.46188395</v>
          </cell>
          <cell r="CR233">
            <v>1.4415181539999999</v>
          </cell>
          <cell r="DB233">
            <v>1.3648150219999999</v>
          </cell>
        </row>
        <row r="234">
          <cell r="D234" t="str">
            <v>Secondary Energy|Electricity|Coal</v>
          </cell>
          <cell r="E234" t="str">
            <v>EJ/yr</v>
          </cell>
          <cell r="F234">
            <v>21.686501289999999</v>
          </cell>
          <cell r="K234">
            <v>26.558653119999999</v>
          </cell>
          <cell r="P234">
            <v>31.060736840000001</v>
          </cell>
          <cell r="Z234">
            <v>27.514069760000002</v>
          </cell>
          <cell r="AJ234">
            <v>3.8293493280000002</v>
          </cell>
          <cell r="AT234">
            <v>0.79976336800000003</v>
          </cell>
          <cell r="BD234">
            <v>7.9417218999999997E-2</v>
          </cell>
          <cell r="BN234">
            <v>1.4561839E-2</v>
          </cell>
          <cell r="BX234">
            <v>9.2970299999999995E-3</v>
          </cell>
          <cell r="CH234">
            <v>1.5225939999999999E-3</v>
          </cell>
          <cell r="CR234">
            <v>9.11632E-4</v>
          </cell>
          <cell r="DB234">
            <v>5.4582800000000005E-4</v>
          </cell>
        </row>
        <row r="235">
          <cell r="D235" t="str">
            <v>Secondary Energy|Electricity|Coal|w/ CCS</v>
          </cell>
          <cell r="E235" t="str">
            <v>EJ/yr</v>
          </cell>
          <cell r="F235">
            <v>0</v>
          </cell>
          <cell r="K235">
            <v>0</v>
          </cell>
          <cell r="P235">
            <v>0</v>
          </cell>
          <cell r="Z235">
            <v>0</v>
          </cell>
          <cell r="AJ235">
            <v>0</v>
          </cell>
          <cell r="AT235">
            <v>0</v>
          </cell>
          <cell r="BD235">
            <v>0</v>
          </cell>
          <cell r="BN235">
            <v>0</v>
          </cell>
          <cell r="BX235">
            <v>0</v>
          </cell>
          <cell r="CH235">
            <v>0</v>
          </cell>
          <cell r="CR235">
            <v>0</v>
          </cell>
          <cell r="DB235">
            <v>0</v>
          </cell>
        </row>
        <row r="236">
          <cell r="D236" t="str">
            <v>Secondary Energy|Electricity|Coal|w/o CCS</v>
          </cell>
          <cell r="E236" t="str">
            <v>EJ/yr</v>
          </cell>
          <cell r="F236">
            <v>21.686501289999999</v>
          </cell>
          <cell r="K236">
            <v>26.558653119999999</v>
          </cell>
          <cell r="P236">
            <v>31.060736840000001</v>
          </cell>
          <cell r="Z236">
            <v>27.514069760000002</v>
          </cell>
          <cell r="AJ236">
            <v>3.8293493280000002</v>
          </cell>
          <cell r="AT236">
            <v>0.79976336800000003</v>
          </cell>
          <cell r="BD236">
            <v>7.9417218999999997E-2</v>
          </cell>
          <cell r="BN236">
            <v>1.4561839E-2</v>
          </cell>
          <cell r="BX236">
            <v>9.2970299999999995E-3</v>
          </cell>
          <cell r="CH236">
            <v>1.5225939999999999E-3</v>
          </cell>
          <cell r="CR236">
            <v>9.11632E-4</v>
          </cell>
          <cell r="DB236">
            <v>5.4582800000000005E-4</v>
          </cell>
        </row>
        <row r="237">
          <cell r="D237" t="str">
            <v>Secondary Energy|Electricity|Gas</v>
          </cell>
          <cell r="E237" t="str">
            <v>EJ/yr</v>
          </cell>
          <cell r="F237">
            <v>9.8955233020000009</v>
          </cell>
          <cell r="K237">
            <v>13.021463049999999</v>
          </cell>
          <cell r="P237">
            <v>16.243236419999999</v>
          </cell>
          <cell r="Z237">
            <v>32.145046610000001</v>
          </cell>
          <cell r="AJ237">
            <v>17.34189228</v>
          </cell>
          <cell r="AT237">
            <v>4.7779511550000002</v>
          </cell>
          <cell r="BD237">
            <v>0.118635779</v>
          </cell>
          <cell r="BN237">
            <v>2.03999E-7</v>
          </cell>
          <cell r="BX237">
            <v>2.7791799999999999E-10</v>
          </cell>
          <cell r="CH237">
            <v>5.9009899999999999E-5</v>
          </cell>
          <cell r="CR237">
            <v>2.61171E-12</v>
          </cell>
          <cell r="DB237">
            <v>-2.3165599999999999E-11</v>
          </cell>
        </row>
        <row r="238">
          <cell r="D238" t="str">
            <v>Secondary Energy|Electricity|Gas|w/ CCS</v>
          </cell>
          <cell r="E238" t="str">
            <v>EJ/yr</v>
          </cell>
          <cell r="F238">
            <v>0</v>
          </cell>
          <cell r="K238">
            <v>0</v>
          </cell>
          <cell r="P238">
            <v>0</v>
          </cell>
          <cell r="Z238">
            <v>0</v>
          </cell>
          <cell r="AJ238">
            <v>0</v>
          </cell>
          <cell r="AT238">
            <v>0</v>
          </cell>
          <cell r="BD238">
            <v>0</v>
          </cell>
          <cell r="BN238">
            <v>0</v>
          </cell>
          <cell r="BX238">
            <v>0</v>
          </cell>
          <cell r="CH238">
            <v>0</v>
          </cell>
          <cell r="CR238">
            <v>0</v>
          </cell>
          <cell r="DB238">
            <v>0</v>
          </cell>
        </row>
        <row r="239">
          <cell r="D239" t="str">
            <v>Secondary Energy|Electricity|Gas|w/o CCS</v>
          </cell>
          <cell r="E239" t="str">
            <v>EJ/yr</v>
          </cell>
          <cell r="F239">
            <v>9.8955233020000009</v>
          </cell>
          <cell r="K239">
            <v>13.021463049999999</v>
          </cell>
          <cell r="P239">
            <v>16.243236419999999</v>
          </cell>
          <cell r="Z239">
            <v>32.145046610000001</v>
          </cell>
          <cell r="AJ239">
            <v>17.34189228</v>
          </cell>
          <cell r="AT239">
            <v>4.7779511550000002</v>
          </cell>
          <cell r="BD239">
            <v>0.118635779</v>
          </cell>
          <cell r="BN239">
            <v>2.03999E-7</v>
          </cell>
          <cell r="BX239">
            <v>2.7791799999999999E-10</v>
          </cell>
          <cell r="CH239">
            <v>5.9009899999999999E-5</v>
          </cell>
          <cell r="CR239">
            <v>2.61171E-12</v>
          </cell>
          <cell r="DB239">
            <v>-2.3165599999999999E-11</v>
          </cell>
        </row>
        <row r="240">
          <cell r="D240" t="str">
            <v>Secondary Energy|Electricity|Geothermal</v>
          </cell>
          <cell r="E240" t="str">
            <v>EJ/yr</v>
          </cell>
          <cell r="F240">
            <v>0.18721884999999999</v>
          </cell>
          <cell r="K240">
            <v>0.20891124899999999</v>
          </cell>
          <cell r="P240">
            <v>0.35784155400000001</v>
          </cell>
          <cell r="Z240">
            <v>0.23924273300000001</v>
          </cell>
          <cell r="AJ240">
            <v>0.188301261</v>
          </cell>
          <cell r="AT240">
            <v>0.111805952</v>
          </cell>
          <cell r="BD240">
            <v>7.2080624999999995E-2</v>
          </cell>
          <cell r="BN240">
            <v>4.4232260000000002E-2</v>
          </cell>
          <cell r="BX240">
            <v>2.6478188E-2</v>
          </cell>
          <cell r="CH240">
            <v>1.8769767E-2</v>
          </cell>
          <cell r="CR240">
            <v>1.8277563E-2</v>
          </cell>
          <cell r="DB240">
            <v>1.1934848E-2</v>
          </cell>
        </row>
        <row r="241">
          <cell r="D241" t="str">
            <v>Secondary Energy|Electricity|Hydro</v>
          </cell>
          <cell r="E241" t="str">
            <v>EJ/yr</v>
          </cell>
          <cell r="F241">
            <v>9.3845048280000007</v>
          </cell>
          <cell r="K241">
            <v>10.62492995</v>
          </cell>
          <cell r="P241">
            <v>12.856711860000001</v>
          </cell>
          <cell r="Z241">
            <v>15.80201379</v>
          </cell>
          <cell r="AJ241">
            <v>21.055699130000001</v>
          </cell>
          <cell r="AT241">
            <v>23.188814390000001</v>
          </cell>
          <cell r="BD241">
            <v>24.451414939999999</v>
          </cell>
          <cell r="BN241">
            <v>24.814407039999999</v>
          </cell>
          <cell r="BX241">
            <v>25.22895896</v>
          </cell>
          <cell r="CH241">
            <v>25.91687353</v>
          </cell>
          <cell r="CR241">
            <v>26.002346889999998</v>
          </cell>
          <cell r="DB241">
            <v>26.04934153</v>
          </cell>
        </row>
        <row r="242">
          <cell r="D242" t="str">
            <v>Secondary Energy|Electricity|Non-Biomass Renewables</v>
          </cell>
          <cell r="E242" t="str">
            <v>EJ/yr</v>
          </cell>
          <cell r="F242">
            <v>9.5717236779999997</v>
          </cell>
          <cell r="G242">
            <v>0</v>
          </cell>
          <cell r="H242">
            <v>0</v>
          </cell>
          <cell r="I242">
            <v>0</v>
          </cell>
          <cell r="J242">
            <v>0</v>
          </cell>
          <cell r="K242">
            <v>11.21488293</v>
          </cell>
          <cell r="L242">
            <v>0</v>
          </cell>
          <cell r="M242">
            <v>0</v>
          </cell>
          <cell r="N242">
            <v>0</v>
          </cell>
          <cell r="O242">
            <v>0</v>
          </cell>
          <cell r="P242">
            <v>15.1186281</v>
          </cell>
          <cell r="Q242">
            <v>0</v>
          </cell>
          <cell r="R242">
            <v>0</v>
          </cell>
          <cell r="S242">
            <v>0</v>
          </cell>
          <cell r="T242">
            <v>0</v>
          </cell>
          <cell r="U242">
            <v>0</v>
          </cell>
          <cell r="Z242">
            <v>26.47389897</v>
          </cell>
          <cell r="AJ242">
            <v>73.960215610000006</v>
          </cell>
          <cell r="AT242">
            <v>116.26496779999999</v>
          </cell>
          <cell r="BD242">
            <v>141.7752103</v>
          </cell>
          <cell r="BN242">
            <v>156.32148280000001</v>
          </cell>
          <cell r="BX242">
            <v>168.4050866</v>
          </cell>
          <cell r="CH242">
            <v>179.57442950000001</v>
          </cell>
          <cell r="CR242">
            <v>187.2468193</v>
          </cell>
          <cell r="DB242">
            <v>195.31567989999999</v>
          </cell>
        </row>
        <row r="243">
          <cell r="D243" t="str">
            <v>Secondary Energy|Electricity|Nuclear</v>
          </cell>
          <cell r="E243" t="str">
            <v>EJ/yr</v>
          </cell>
          <cell r="F243">
            <v>9.1940331210000004</v>
          </cell>
          <cell r="K243">
            <v>9.7744088060000003</v>
          </cell>
          <cell r="P243">
            <v>9.7035826140000001</v>
          </cell>
          <cell r="Z243">
            <v>10.57012679</v>
          </cell>
          <cell r="AJ243">
            <v>15.278293870000001</v>
          </cell>
          <cell r="AT243">
            <v>19.593171779999999</v>
          </cell>
          <cell r="BD243">
            <v>24.00456591</v>
          </cell>
          <cell r="BN243">
            <v>28.225926439999999</v>
          </cell>
          <cell r="BX243">
            <v>28.290327250000001</v>
          </cell>
          <cell r="CH243">
            <v>25.375424760000001</v>
          </cell>
          <cell r="CR243">
            <v>19.9643044</v>
          </cell>
          <cell r="DB243">
            <v>14.61889586</v>
          </cell>
        </row>
        <row r="244">
          <cell r="D244" t="str">
            <v>Secondary Energy|Electricity|Oil</v>
          </cell>
          <cell r="E244" t="str">
            <v>EJ/yr</v>
          </cell>
          <cell r="F244">
            <v>4.0029534499999997</v>
          </cell>
          <cell r="K244">
            <v>4.0285823360000004</v>
          </cell>
          <cell r="P244">
            <v>2.549096917</v>
          </cell>
          <cell r="Z244">
            <v>1.1378639180000001</v>
          </cell>
          <cell r="AJ244">
            <v>0.91628641499999997</v>
          </cell>
          <cell r="AT244">
            <v>0.43923691300000001</v>
          </cell>
          <cell r="BD244">
            <v>0.148208854</v>
          </cell>
          <cell r="BN244">
            <v>2.5108881999999999E-2</v>
          </cell>
          <cell r="BX244">
            <v>2.52606E-5</v>
          </cell>
          <cell r="CH244">
            <v>0</v>
          </cell>
          <cell r="CR244">
            <v>0</v>
          </cell>
          <cell r="DB244">
            <v>0</v>
          </cell>
        </row>
        <row r="245">
          <cell r="D245" t="str">
            <v>Secondary Energy|Electricity|Solar</v>
          </cell>
          <cell r="E245" t="str">
            <v>EJ/yr</v>
          </cell>
          <cell r="F245">
            <v>0</v>
          </cell>
          <cell r="K245">
            <v>1.4830108E-2</v>
          </cell>
          <cell r="P245">
            <v>0.24791163899999999</v>
          </cell>
          <cell r="Z245">
            <v>1.4984846700000001</v>
          </cell>
          <cell r="AJ245">
            <v>28.513010690000002</v>
          </cell>
          <cell r="AT245">
            <v>53.187006650000001</v>
          </cell>
          <cell r="BD245">
            <v>64.721463209999996</v>
          </cell>
          <cell r="BN245">
            <v>68.874144630000004</v>
          </cell>
          <cell r="BX245">
            <v>74.22650222</v>
          </cell>
          <cell r="CH245">
            <v>81.579580969999995</v>
          </cell>
          <cell r="CR245">
            <v>87.59073094</v>
          </cell>
          <cell r="DB245">
            <v>92.781167440000004</v>
          </cell>
        </row>
        <row r="246">
          <cell r="D246" t="str">
            <v>Secondary Energy|Electricity|Solar|CSP</v>
          </cell>
          <cell r="E246" t="str">
            <v>EJ/yr</v>
          </cell>
          <cell r="F246">
            <v>0</v>
          </cell>
          <cell r="K246">
            <v>2.1762600000000002E-3</v>
          </cell>
          <cell r="P246">
            <v>1.3113408999999999E-2</v>
          </cell>
          <cell r="Z246">
            <v>0</v>
          </cell>
          <cell r="AJ246">
            <v>0</v>
          </cell>
          <cell r="AT246">
            <v>0</v>
          </cell>
          <cell r="BD246">
            <v>0</v>
          </cell>
          <cell r="BN246">
            <v>0</v>
          </cell>
          <cell r="BX246">
            <v>0</v>
          </cell>
          <cell r="CH246">
            <v>0</v>
          </cell>
          <cell r="CR246">
            <v>0</v>
          </cell>
          <cell r="DB246">
            <v>0</v>
          </cell>
        </row>
        <row r="247">
          <cell r="D247" t="str">
            <v>Secondary Energy|Electricity|Solar|PV</v>
          </cell>
          <cell r="E247" t="str">
            <v>EJ/yr</v>
          </cell>
          <cell r="F247">
            <v>0</v>
          </cell>
          <cell r="K247">
            <v>1.2653848000000001E-2</v>
          </cell>
          <cell r="P247">
            <v>0.23479823</v>
          </cell>
          <cell r="Z247">
            <v>1.4984846700000001</v>
          </cell>
          <cell r="AJ247">
            <v>28.513010690000002</v>
          </cell>
          <cell r="AT247">
            <v>53.187006650000001</v>
          </cell>
          <cell r="BD247">
            <v>64.721463209999996</v>
          </cell>
          <cell r="BN247">
            <v>68.874144630000004</v>
          </cell>
          <cell r="BX247">
            <v>74.22650222</v>
          </cell>
          <cell r="CH247">
            <v>81.579580969999995</v>
          </cell>
          <cell r="CR247">
            <v>87.59073094</v>
          </cell>
          <cell r="DB247">
            <v>92.781167440000004</v>
          </cell>
        </row>
        <row r="248">
          <cell r="D248" t="str">
            <v>Secondary Energy|Electricity|Wind</v>
          </cell>
          <cell r="E248" t="str">
            <v>EJ/yr</v>
          </cell>
          <cell r="F248">
            <v>0</v>
          </cell>
          <cell r="K248">
            <v>0.36621162499999999</v>
          </cell>
          <cell r="P248">
            <v>1.6561630469999999</v>
          </cell>
          <cell r="Z248">
            <v>8.9341577720000007</v>
          </cell>
          <cell r="AJ248">
            <v>24.203204530000001</v>
          </cell>
          <cell r="AT248">
            <v>39.777340780000003</v>
          </cell>
          <cell r="BD248">
            <v>52.530251560000004</v>
          </cell>
          <cell r="BN248">
            <v>62.588698890000003</v>
          </cell>
          <cell r="BX248">
            <v>68.923147229999998</v>
          </cell>
          <cell r="CH248">
            <v>72.059205210000002</v>
          </cell>
          <cell r="CR248">
            <v>73.63546393</v>
          </cell>
          <cell r="DB248">
            <v>76.47323609</v>
          </cell>
        </row>
        <row r="249">
          <cell r="D249" t="str">
            <v>Secondary Energy|Electricity|Wind|Offshore</v>
          </cell>
          <cell r="E249" t="str">
            <v>EJ/yr</v>
          </cell>
          <cell r="F249">
            <v>0</v>
          </cell>
          <cell r="K249">
            <v>0</v>
          </cell>
          <cell r="P249">
            <v>0</v>
          </cell>
          <cell r="Z249">
            <v>0.16085324500000001</v>
          </cell>
          <cell r="AJ249">
            <v>1.4340365230000001</v>
          </cell>
          <cell r="AT249">
            <v>4.3539765289999997</v>
          </cell>
          <cell r="BD249">
            <v>4.1463368259999998</v>
          </cell>
          <cell r="BN249">
            <v>1.977346848</v>
          </cell>
          <cell r="BX249">
            <v>1.1271710880000001</v>
          </cell>
          <cell r="CH249">
            <v>0.21536776999999999</v>
          </cell>
          <cell r="CR249">
            <v>0</v>
          </cell>
          <cell r="DB249">
            <v>0</v>
          </cell>
        </row>
        <row r="250">
          <cell r="D250" t="str">
            <v>Secondary Energy|Electricity|Wind|Onshore</v>
          </cell>
          <cell r="E250" t="str">
            <v>EJ/yr</v>
          </cell>
          <cell r="F250">
            <v>0</v>
          </cell>
          <cell r="K250">
            <v>0.36621162499999999</v>
          </cell>
          <cell r="P250">
            <v>1.6561630469999999</v>
          </cell>
          <cell r="Z250">
            <v>8.7733045270000005</v>
          </cell>
          <cell r="AJ250">
            <v>22.769168010000001</v>
          </cell>
          <cell r="AT250">
            <v>35.423364249999999</v>
          </cell>
          <cell r="BD250">
            <v>48.383914730000001</v>
          </cell>
          <cell r="BN250">
            <v>60.61135204</v>
          </cell>
          <cell r="BX250">
            <v>67.795976139999993</v>
          </cell>
          <cell r="CH250">
            <v>71.843837440000001</v>
          </cell>
          <cell r="CR250">
            <v>73.63546393</v>
          </cell>
          <cell r="DB250">
            <v>76.47323609</v>
          </cell>
        </row>
        <row r="251">
          <cell r="D251" t="str">
            <v>Secondary Energy|Gases|Biomass</v>
          </cell>
          <cell r="E251" t="str">
            <v>EJ/yr</v>
          </cell>
          <cell r="F251">
            <v>9.4493924000000007E-2</v>
          </cell>
          <cell r="K251">
            <v>0.18491891199999999</v>
          </cell>
          <cell r="P251">
            <v>7.3928704999999997E-2</v>
          </cell>
          <cell r="Z251">
            <v>0</v>
          </cell>
          <cell r="AJ251">
            <v>3.7467049000000002E-2</v>
          </cell>
          <cell r="AT251">
            <v>6.0332030000000002E-2</v>
          </cell>
          <cell r="BD251">
            <v>2.8639299650000001</v>
          </cell>
          <cell r="BN251">
            <v>7.6441963749999999</v>
          </cell>
          <cell r="BX251">
            <v>12.71688588</v>
          </cell>
          <cell r="CH251">
            <v>13.7291699</v>
          </cell>
          <cell r="CR251">
            <v>15.859702179999999</v>
          </cell>
          <cell r="DB251">
            <v>16.904050659999999</v>
          </cell>
        </row>
        <row r="252">
          <cell r="D252" t="str">
            <v>Secondary Energy|Gases|Coal</v>
          </cell>
          <cell r="E252" t="str">
            <v>EJ/yr</v>
          </cell>
          <cell r="F252">
            <v>0</v>
          </cell>
          <cell r="K252">
            <v>0</v>
          </cell>
          <cell r="P252">
            <v>0</v>
          </cell>
          <cell r="Z252">
            <v>0</v>
          </cell>
          <cell r="AJ252">
            <v>0</v>
          </cell>
          <cell r="AT252">
            <v>0</v>
          </cell>
          <cell r="BD252">
            <v>0</v>
          </cell>
          <cell r="BN252">
            <v>3.9670672999999997E-2</v>
          </cell>
          <cell r="BX252">
            <v>3.9670672999999997E-2</v>
          </cell>
          <cell r="CH252">
            <v>0</v>
          </cell>
          <cell r="CR252">
            <v>0</v>
          </cell>
          <cell r="DB252">
            <v>0</v>
          </cell>
        </row>
        <row r="253">
          <cell r="D253" t="str">
            <v>Secondary Energy|Gases|Natural Gas</v>
          </cell>
          <cell r="E253" t="str">
            <v>EJ/yr</v>
          </cell>
          <cell r="F253">
            <v>86.784235980000005</v>
          </cell>
          <cell r="K253">
            <v>96.999118350000003</v>
          </cell>
          <cell r="P253">
            <v>102.1312717</v>
          </cell>
          <cell r="Z253">
            <v>121.3982568</v>
          </cell>
          <cell r="AJ253">
            <v>74.450136000000001</v>
          </cell>
          <cell r="AT253">
            <v>39.401403350000002</v>
          </cell>
          <cell r="BD253">
            <v>17.1354428</v>
          </cell>
          <cell r="BN253">
            <v>9.5908454130000003</v>
          </cell>
          <cell r="BX253">
            <v>5.8238617159999997</v>
          </cell>
          <cell r="CH253">
            <v>3.7181891290000002</v>
          </cell>
          <cell r="CR253">
            <v>2.1380512249999999</v>
          </cell>
          <cell r="DB253">
            <v>1.5424012199999999</v>
          </cell>
        </row>
        <row r="254">
          <cell r="D254" t="str">
            <v>Secondary Energy|Hydrogen</v>
          </cell>
          <cell r="E254" t="str">
            <v>EJ/yr</v>
          </cell>
          <cell r="F254">
            <v>0</v>
          </cell>
          <cell r="K254">
            <v>0</v>
          </cell>
          <cell r="P254">
            <v>0.19693636</v>
          </cell>
          <cell r="Z254">
            <v>0</v>
          </cell>
          <cell r="AJ254">
            <v>2.6243423080000001</v>
          </cell>
          <cell r="AT254">
            <v>7.8759240540000004</v>
          </cell>
          <cell r="BD254">
            <v>15.45113271</v>
          </cell>
          <cell r="BN254">
            <v>24.234105540000002</v>
          </cell>
          <cell r="BX254">
            <v>33.564086240000002</v>
          </cell>
          <cell r="CH254">
            <v>39.425338779999997</v>
          </cell>
          <cell r="CR254">
            <v>44.084012229999999</v>
          </cell>
          <cell r="DB254">
            <v>48.581622400000001</v>
          </cell>
        </row>
        <row r="255">
          <cell r="D255" t="str">
            <v>Secondary Energy|Hydrogen|Biomass</v>
          </cell>
          <cell r="E255" t="str">
            <v>EJ/yr</v>
          </cell>
          <cell r="F255">
            <v>0</v>
          </cell>
          <cell r="K255">
            <v>0</v>
          </cell>
          <cell r="P255">
            <v>0</v>
          </cell>
          <cell r="Z255">
            <v>0</v>
          </cell>
          <cell r="AJ255">
            <v>2.3572682729999999</v>
          </cell>
          <cell r="AT255">
            <v>2.5145210050000002</v>
          </cell>
          <cell r="BD255">
            <v>1.8668273520000001</v>
          </cell>
          <cell r="BN255">
            <v>0.40682828399999998</v>
          </cell>
          <cell r="BX255">
            <v>0</v>
          </cell>
          <cell r="CH255">
            <v>0</v>
          </cell>
          <cell r="CR255">
            <v>0</v>
          </cell>
          <cell r="DB255">
            <v>0</v>
          </cell>
        </row>
        <row r="256">
          <cell r="D256" t="str">
            <v>Secondary Energy|Hydrogen|Electricity</v>
          </cell>
          <cell r="E256" t="str">
            <v>EJ/yr</v>
          </cell>
          <cell r="F256">
            <v>0</v>
          </cell>
          <cell r="K256">
            <v>0</v>
          </cell>
          <cell r="P256">
            <v>0.19693636</v>
          </cell>
          <cell r="Z256">
            <v>0</v>
          </cell>
          <cell r="AJ256">
            <v>9.3302881000000004E-2</v>
          </cell>
          <cell r="AT256">
            <v>2.2150954899999999</v>
          </cell>
          <cell r="BD256">
            <v>11.41550423</v>
          </cell>
          <cell r="BN256">
            <v>23.720660670000001</v>
          </cell>
          <cell r="BX256">
            <v>33.564086240000002</v>
          </cell>
          <cell r="CH256">
            <v>39.425338779999997</v>
          </cell>
          <cell r="CR256">
            <v>44.084012229999999</v>
          </cell>
          <cell r="DB256">
            <v>48.581622400000001</v>
          </cell>
        </row>
        <row r="257">
          <cell r="D257" t="str">
            <v>Secondary Energy|Liquids|Biomass</v>
          </cell>
          <cell r="E257" t="str">
            <v>EJ/yr</v>
          </cell>
          <cell r="F257">
            <v>0.42822719599999998</v>
          </cell>
          <cell r="K257">
            <v>0.93159113999999998</v>
          </cell>
          <cell r="P257">
            <v>2.340335118</v>
          </cell>
          <cell r="Z257">
            <v>4.5870769610000002</v>
          </cell>
          <cell r="AJ257">
            <v>7.2165985150000003</v>
          </cell>
          <cell r="AT257">
            <v>6.6318922139999996</v>
          </cell>
          <cell r="BD257">
            <v>6.8854217889999996</v>
          </cell>
          <cell r="BN257">
            <v>10.231169039999999</v>
          </cell>
          <cell r="BX257">
            <v>15.431620860000001</v>
          </cell>
          <cell r="CH257">
            <v>18.03345766</v>
          </cell>
          <cell r="CR257">
            <v>20.747594599999999</v>
          </cell>
          <cell r="DB257">
            <v>19.135361450000001</v>
          </cell>
        </row>
        <row r="258">
          <cell r="D258" t="str">
            <v>Secondary Energy|Liquids|Coal</v>
          </cell>
          <cell r="E258" t="str">
            <v>EJ/yr</v>
          </cell>
          <cell r="F258">
            <v>0</v>
          </cell>
          <cell r="K258">
            <v>0</v>
          </cell>
          <cell r="P258">
            <v>0</v>
          </cell>
          <cell r="Z258">
            <v>0.229723538</v>
          </cell>
          <cell r="AJ258">
            <v>0.83570655900000002</v>
          </cell>
          <cell r="AT258">
            <v>0.75839386099999995</v>
          </cell>
          <cell r="BD258">
            <v>0.193819413</v>
          </cell>
          <cell r="BN258">
            <v>0.19363298600000001</v>
          </cell>
          <cell r="BX258">
            <v>0.241722774</v>
          </cell>
          <cell r="CH258">
            <v>3.9587430999999999E-2</v>
          </cell>
          <cell r="CR258">
            <v>2.3702419999999998E-2</v>
          </cell>
          <cell r="DB258">
            <v>1.4191530000000001E-2</v>
          </cell>
        </row>
        <row r="259">
          <cell r="D259" t="str">
            <v>Secondary Energy|Liquids|Gas</v>
          </cell>
          <cell r="E259" t="str">
            <v>EJ/yr</v>
          </cell>
          <cell r="F259">
            <v>0</v>
          </cell>
          <cell r="K259">
            <v>0</v>
          </cell>
          <cell r="P259">
            <v>0</v>
          </cell>
          <cell r="Z259">
            <v>0.99258330299999997</v>
          </cell>
          <cell r="AJ259">
            <v>2.1818317559999998</v>
          </cell>
          <cell r="AT259">
            <v>2.006248545</v>
          </cell>
          <cell r="BD259">
            <v>0.47191731799999997</v>
          </cell>
          <cell r="BN259">
            <v>1.9219300000000001E-3</v>
          </cell>
          <cell r="BX259">
            <v>1.9219300000000001E-3</v>
          </cell>
          <cell r="CH259">
            <v>2.575057E-3</v>
          </cell>
          <cell r="CR259">
            <v>0.92715458299999998</v>
          </cell>
          <cell r="DB259">
            <v>0.9254407</v>
          </cell>
        </row>
        <row r="260">
          <cell r="D260" t="str">
            <v>Secondary Energy|Liquids|Oil</v>
          </cell>
          <cell r="E260" t="str">
            <v>EJ/yr</v>
          </cell>
          <cell r="F260">
            <v>147.6952545</v>
          </cell>
          <cell r="K260">
            <v>161.889545</v>
          </cell>
          <cell r="P260">
            <v>157.6863658</v>
          </cell>
          <cell r="Z260">
            <v>188.022559</v>
          </cell>
          <cell r="AJ260">
            <v>101.4999205</v>
          </cell>
          <cell r="AT260">
            <v>50.297649640000003</v>
          </cell>
          <cell r="BD260">
            <v>21.04911272</v>
          </cell>
          <cell r="BN260">
            <v>9.1995158929999992</v>
          </cell>
          <cell r="BX260">
            <v>2.8367894370000002</v>
          </cell>
          <cell r="CH260">
            <v>0.95330535100000002</v>
          </cell>
          <cell r="CR260">
            <v>0.25907268300000003</v>
          </cell>
          <cell r="DB260">
            <v>8.0281520999999995E-2</v>
          </cell>
        </row>
        <row r="261">
          <cell r="D261" t="str">
            <v>Secondary Energy|Solids</v>
          </cell>
          <cell r="E261" t="str">
            <v>EJ/yr</v>
          </cell>
          <cell r="F261">
            <v>58.587745239999997</v>
          </cell>
          <cell r="K261">
            <v>66.103150330000005</v>
          </cell>
          <cell r="P261">
            <v>80.648984389999995</v>
          </cell>
          <cell r="Z261">
            <v>73.280968689999995</v>
          </cell>
          <cell r="AJ261">
            <v>35.725953590000003</v>
          </cell>
          <cell r="AT261">
            <v>22.957636059999999</v>
          </cell>
          <cell r="BD261">
            <v>19.131746400000001</v>
          </cell>
          <cell r="BN261">
            <v>13.830197829999999</v>
          </cell>
          <cell r="BX261">
            <v>5.8919784589999997</v>
          </cell>
          <cell r="CH261">
            <v>3.4557371539999999</v>
          </cell>
          <cell r="CR261">
            <v>3.2459303830000001</v>
          </cell>
          <cell r="DB261">
            <v>3.0442133509999998</v>
          </cell>
        </row>
        <row r="262">
          <cell r="D262" t="str">
            <v>Water Consumption</v>
          </cell>
          <cell r="E262" t="str">
            <v>km3/yr</v>
          </cell>
          <cell r="K262">
            <v>2493.3874000000001</v>
          </cell>
          <cell r="Z262">
            <v>2427.9792000000002</v>
          </cell>
          <cell r="AJ262">
            <v>2366.4452000000001</v>
          </cell>
          <cell r="AT262">
            <v>2359.1885000000002</v>
          </cell>
          <cell r="BD262">
            <v>2303.5774999999999</v>
          </cell>
          <cell r="BN262">
            <v>2195.4185000000002</v>
          </cell>
          <cell r="BX262">
            <v>2096.6296000000002</v>
          </cell>
          <cell r="CH262">
            <v>2000.2129</v>
          </cell>
          <cell r="CR262">
            <v>1928.6128000000001</v>
          </cell>
          <cell r="DB262">
            <v>1897.3993</v>
          </cell>
        </row>
        <row r="263">
          <cell r="D263" t="str">
            <v>Water Consumption|Electricity</v>
          </cell>
          <cell r="E263" t="str">
            <v>km3/yr</v>
          </cell>
          <cell r="K263">
            <v>16.967500000000001</v>
          </cell>
          <cell r="Z263">
            <v>81.087699999999998</v>
          </cell>
          <cell r="AJ263">
            <v>67.732200000000006</v>
          </cell>
          <cell r="AT263">
            <v>77.828299999999999</v>
          </cell>
          <cell r="BD263">
            <v>86.588200000000001</v>
          </cell>
          <cell r="BN263">
            <v>85.063299999999998</v>
          </cell>
          <cell r="BX263">
            <v>65.679400000000001</v>
          </cell>
          <cell r="CH263">
            <v>37.3613</v>
          </cell>
          <cell r="CR263">
            <v>21.690200000000001</v>
          </cell>
          <cell r="DB263">
            <v>13.772600000000001</v>
          </cell>
        </row>
        <row r="264">
          <cell r="D264" t="str">
            <v>Water Consumption|Extraction</v>
          </cell>
          <cell r="E264" t="str">
            <v>km3/yr</v>
          </cell>
          <cell r="K264">
            <v>8.5699000000000005</v>
          </cell>
          <cell r="Z264">
            <v>6.07</v>
          </cell>
          <cell r="AJ264">
            <v>2.3892000000000002</v>
          </cell>
          <cell r="AT264">
            <v>1.1598999999999999</v>
          </cell>
          <cell r="BD264">
            <v>0.53320000000000001</v>
          </cell>
          <cell r="BN264">
            <v>0.24660000000000001</v>
          </cell>
          <cell r="BX264">
            <v>9.3299999999999994E-2</v>
          </cell>
          <cell r="CH264">
            <v>3.2899999999999999E-2</v>
          </cell>
          <cell r="CR264">
            <v>1.7899999999999999E-2</v>
          </cell>
          <cell r="DB264">
            <v>1.03E-2</v>
          </cell>
        </row>
        <row r="265">
          <cell r="D265" t="str">
            <v>Water Consumption|Irrigation</v>
          </cell>
          <cell r="E265" t="str">
            <v>km3/yr</v>
          </cell>
          <cell r="K265">
            <v>2336.0500000000002</v>
          </cell>
          <cell r="Z265">
            <v>2184.8245000000002</v>
          </cell>
          <cell r="AJ265">
            <v>2164.7248</v>
          </cell>
          <cell r="AT265">
            <v>2136.0708</v>
          </cell>
          <cell r="BD265">
            <v>2070.2687999999998</v>
          </cell>
          <cell r="BN265">
            <v>1964.0482999999999</v>
          </cell>
          <cell r="BX265">
            <v>1886.2489</v>
          </cell>
          <cell r="CH265">
            <v>1819.6498999999999</v>
          </cell>
          <cell r="CR265">
            <v>1766.4079999999999</v>
          </cell>
          <cell r="DB265">
            <v>1721.5237</v>
          </cell>
        </row>
        <row r="266">
          <cell r="D266" t="str">
            <v>Water Withdrawal</v>
          </cell>
          <cell r="E266" t="str">
            <v>km3/yr</v>
          </cell>
          <cell r="K266">
            <v>3506.6880000000001</v>
          </cell>
          <cell r="Z266">
            <v>3150.4247</v>
          </cell>
          <cell r="AJ266">
            <v>2979.2662</v>
          </cell>
          <cell r="AT266">
            <v>3003.2217000000001</v>
          </cell>
          <cell r="BD266">
            <v>2919.1412999999998</v>
          </cell>
          <cell r="BN266">
            <v>2792.0617000000002</v>
          </cell>
          <cell r="BX266">
            <v>2670.4083000000001</v>
          </cell>
          <cell r="CH266">
            <v>2547.5268000000001</v>
          </cell>
          <cell r="CR266">
            <v>2455.1161999999999</v>
          </cell>
          <cell r="DB266">
            <v>2482.1315</v>
          </cell>
        </row>
        <row r="267">
          <cell r="D267" t="str">
            <v>Water Withdrawal|Electricity</v>
          </cell>
          <cell r="E267" t="str">
            <v>km3/yr</v>
          </cell>
          <cell r="K267">
            <v>378.60759999999999</v>
          </cell>
          <cell r="Z267">
            <v>219.50030000000001</v>
          </cell>
          <cell r="AJ267">
            <v>171.41839999999999</v>
          </cell>
          <cell r="AT267">
            <v>176.84399999999999</v>
          </cell>
          <cell r="BD267">
            <v>154.52930000000001</v>
          </cell>
          <cell r="BN267">
            <v>140.1061</v>
          </cell>
          <cell r="BX267">
            <v>106.3361</v>
          </cell>
          <cell r="CH267">
            <v>59.388100000000001</v>
          </cell>
          <cell r="CR267">
            <v>33.729100000000003</v>
          </cell>
          <cell r="DB267">
            <v>21.617100000000001</v>
          </cell>
        </row>
        <row r="268">
          <cell r="D268" t="str">
            <v>Water Withdrawal|Extraction</v>
          </cell>
          <cell r="E268" t="str">
            <v>km3/yr</v>
          </cell>
          <cell r="K268">
            <v>10.080399999999999</v>
          </cell>
          <cell r="Z268">
            <v>7.1211000000000002</v>
          </cell>
          <cell r="AJ268">
            <v>2.7942</v>
          </cell>
          <cell r="AT268">
            <v>1.3642000000000001</v>
          </cell>
          <cell r="BD268">
            <v>0.63260000000000005</v>
          </cell>
          <cell r="BN268">
            <v>0.2954</v>
          </cell>
          <cell r="BX268">
            <v>0.11509999999999999</v>
          </cell>
          <cell r="CH268">
            <v>4.2799999999999998E-2</v>
          </cell>
          <cell r="CR268">
            <v>2.3300000000000001E-2</v>
          </cell>
          <cell r="DB268">
            <v>1.3299999999999999E-2</v>
          </cell>
        </row>
        <row r="269">
          <cell r="D269" t="str">
            <v>Water Withdrawal|Irrigation</v>
          </cell>
          <cell r="E269" t="str">
            <v>km3/yr</v>
          </cell>
          <cell r="K269">
            <v>2459</v>
          </cell>
          <cell r="Z269">
            <v>2299.8153000000002</v>
          </cell>
          <cell r="AJ269">
            <v>2278.6577000000002</v>
          </cell>
          <cell r="AT269">
            <v>2248.4956000000002</v>
          </cell>
          <cell r="BD269">
            <v>2179.2303000000002</v>
          </cell>
          <cell r="BN269">
            <v>2067.4193</v>
          </cell>
          <cell r="BX269">
            <v>1985.5251000000001</v>
          </cell>
          <cell r="CH269">
            <v>1915.4209000000001</v>
          </cell>
          <cell r="CR269">
            <v>1859.3768</v>
          </cell>
          <cell r="DB269">
            <v>1812.1302000000001</v>
          </cell>
        </row>
      </sheetData>
      <sheetData sheetId="4">
        <row r="13">
          <cell r="A13" t="str">
            <v>Model</v>
          </cell>
          <cell r="B13" t="str">
            <v>Scenario</v>
          </cell>
          <cell r="C13" t="str">
            <v>Region</v>
          </cell>
          <cell r="D13" t="str">
            <v>Variable</v>
          </cell>
          <cell r="E13" t="str">
            <v>Unit</v>
          </cell>
          <cell r="F13">
            <v>2000</v>
          </cell>
          <cell r="G13">
            <v>2005</v>
          </cell>
          <cell r="H13">
            <v>2010</v>
          </cell>
          <cell r="I13">
            <v>2020</v>
          </cell>
          <cell r="J13">
            <v>2030</v>
          </cell>
          <cell r="K13">
            <v>2040</v>
          </cell>
          <cell r="L13">
            <v>2050</v>
          </cell>
          <cell r="M13">
            <v>2060</v>
          </cell>
          <cell r="N13">
            <v>2070</v>
          </cell>
          <cell r="O13">
            <v>2080</v>
          </cell>
          <cell r="P13">
            <v>2090</v>
          </cell>
          <cell r="Q13">
            <v>2100</v>
          </cell>
        </row>
      </sheetData>
      <sheetData sheetId="5">
        <row r="13">
          <cell r="A13" t="str">
            <v>Model</v>
          </cell>
          <cell r="B13" t="str">
            <v>Scenario</v>
          </cell>
          <cell r="C13" t="str">
            <v>Region</v>
          </cell>
          <cell r="D13" t="str">
            <v>Variable</v>
          </cell>
          <cell r="E13" t="str">
            <v>Unit</v>
          </cell>
          <cell r="F13">
            <v>2000</v>
          </cell>
          <cell r="G13">
            <v>2005</v>
          </cell>
          <cell r="H13">
            <v>2010</v>
          </cell>
          <cell r="I13">
            <v>2020</v>
          </cell>
          <cell r="J13">
            <v>2030</v>
          </cell>
          <cell r="K13">
            <v>2040</v>
          </cell>
          <cell r="L13">
            <v>2050</v>
          </cell>
          <cell r="M13">
            <v>2060</v>
          </cell>
          <cell r="N13">
            <v>2070</v>
          </cell>
          <cell r="O13">
            <v>2080</v>
          </cell>
          <cell r="P13">
            <v>2090</v>
          </cell>
          <cell r="Q13">
            <v>2100</v>
          </cell>
          <cell r="W13">
            <v>2020</v>
          </cell>
          <cell r="X13">
            <v>2030</v>
          </cell>
          <cell r="Y13">
            <v>2040</v>
          </cell>
          <cell r="Z13">
            <v>2050</v>
          </cell>
          <cell r="AA13">
            <v>2060</v>
          </cell>
          <cell r="AB13">
            <v>2070</v>
          </cell>
          <cell r="AC13">
            <v>2080</v>
          </cell>
          <cell r="AD13">
            <v>2090</v>
          </cell>
          <cell r="AE13">
            <v>2100</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ow r="1">
          <cell r="A1" t="str">
            <v>Intervention Case</v>
          </cell>
          <cell r="C1">
            <v>2000</v>
          </cell>
          <cell r="D1">
            <v>2005</v>
          </cell>
          <cell r="E1">
            <v>2010</v>
          </cell>
          <cell r="F1">
            <v>2020</v>
          </cell>
          <cell r="G1">
            <v>2030</v>
          </cell>
          <cell r="H1">
            <v>2040</v>
          </cell>
          <cell r="I1">
            <v>2050</v>
          </cell>
          <cell r="J1">
            <v>2060</v>
          </cell>
          <cell r="K1">
            <v>2070</v>
          </cell>
          <cell r="L1">
            <v>2080</v>
          </cell>
          <cell r="M1">
            <v>2090</v>
          </cell>
          <cell r="N1">
            <v>2100</v>
          </cell>
        </row>
        <row r="8">
          <cell r="E8">
            <v>0</v>
          </cell>
        </row>
        <row r="11">
          <cell r="A11" t="str">
            <v>CCS Biomass Energy</v>
          </cell>
          <cell r="C11">
            <v>0</v>
          </cell>
          <cell r="D11">
            <v>0</v>
          </cell>
          <cell r="E11">
            <v>0</v>
          </cell>
          <cell r="F11">
            <v>0</v>
          </cell>
          <cell r="G11">
            <v>0</v>
          </cell>
          <cell r="H11">
            <v>0</v>
          </cell>
          <cell r="I11">
            <v>0</v>
          </cell>
          <cell r="J11">
            <v>0</v>
          </cell>
          <cell r="K11">
            <v>0</v>
          </cell>
          <cell r="L11">
            <v>0</v>
          </cell>
          <cell r="M11">
            <v>0</v>
          </cell>
          <cell r="N11">
            <v>0</v>
          </cell>
        </row>
        <row r="12">
          <cell r="E12">
            <v>0</v>
          </cell>
        </row>
        <row r="13">
          <cell r="E13">
            <v>0</v>
          </cell>
        </row>
        <row r="14">
          <cell r="E14">
            <v>1</v>
          </cell>
        </row>
        <row r="15">
          <cell r="E15">
            <v>1</v>
          </cell>
        </row>
        <row r="23">
          <cell r="E23">
            <v>31.561588080000003</v>
          </cell>
        </row>
      </sheetData>
      <sheetData sheetId="32" refreshError="1"/>
      <sheetData sheetId="33" refreshError="1"/>
      <sheetData sheetId="34">
        <row r="2">
          <cell r="A2" t="str">
            <v>P</v>
          </cell>
          <cell r="C2">
            <v>0</v>
          </cell>
          <cell r="D2">
            <v>6.5031300000000005</v>
          </cell>
          <cell r="E2">
            <v>6.8673900000000003</v>
          </cell>
          <cell r="F2">
            <v>7.6112500000000001</v>
          </cell>
          <cell r="G2">
            <v>8.2619899999999991</v>
          </cell>
          <cell r="H2">
            <v>8.7871200000000016</v>
          </cell>
          <cell r="I2">
            <v>9.1691099999999999</v>
          </cell>
          <cell r="J2">
            <v>9.3847000000000005</v>
          </cell>
          <cell r="K2">
            <v>9.45688</v>
          </cell>
          <cell r="L2">
            <v>9.4072600000000008</v>
          </cell>
          <cell r="M2">
            <v>9.2539500000000015</v>
          </cell>
          <cell r="N2">
            <v>9.0324200000000001</v>
          </cell>
        </row>
        <row r="3">
          <cell r="E3">
            <v>74.281679999999994</v>
          </cell>
        </row>
        <row r="4">
          <cell r="E4">
            <v>361.84399999999999</v>
          </cell>
        </row>
        <row r="5">
          <cell r="E5">
            <v>500.99400000000003</v>
          </cell>
        </row>
        <row r="6">
          <cell r="E6">
            <v>418.54899999999998</v>
          </cell>
        </row>
        <row r="7">
          <cell r="E7">
            <v>31.533194490000003</v>
          </cell>
        </row>
        <row r="8">
          <cell r="E8">
            <v>31.533194490000003</v>
          </cell>
        </row>
        <row r="16">
          <cell r="E16">
            <v>1</v>
          </cell>
        </row>
        <row r="17">
          <cell r="E17">
            <v>1</v>
          </cell>
        </row>
        <row r="18">
          <cell r="E18">
            <v>1</v>
          </cell>
        </row>
        <row r="19">
          <cell r="E19">
            <v>1</v>
          </cell>
        </row>
        <row r="20">
          <cell r="E20">
            <v>1</v>
          </cell>
        </row>
        <row r="21">
          <cell r="E21">
            <v>1</v>
          </cell>
        </row>
      </sheetData>
      <sheetData sheetId="35">
        <row r="1">
          <cell r="A1" t="str">
            <v>Intervention Case</v>
          </cell>
          <cell r="C1">
            <v>2000</v>
          </cell>
          <cell r="D1">
            <v>2005</v>
          </cell>
          <cell r="E1">
            <v>2010</v>
          </cell>
          <cell r="F1">
            <v>2020</v>
          </cell>
          <cell r="G1">
            <v>2030</v>
          </cell>
          <cell r="H1">
            <v>2040</v>
          </cell>
          <cell r="I1">
            <v>2050</v>
          </cell>
          <cell r="J1">
            <v>2060</v>
          </cell>
          <cell r="K1">
            <v>2070</v>
          </cell>
          <cell r="L1">
            <v>2080</v>
          </cell>
          <cell r="M1">
            <v>2090</v>
          </cell>
          <cell r="N1">
            <v>2100</v>
          </cell>
        </row>
        <row r="2">
          <cell r="A2" t="str">
            <v>P</v>
          </cell>
          <cell r="C2">
            <v>6.119419991</v>
          </cell>
          <cell r="D2">
            <v>6.5031299360000006</v>
          </cell>
          <cell r="E2">
            <v>6.8673900379999999</v>
          </cell>
          <cell r="F2">
            <v>7.6112500000000001</v>
          </cell>
          <cell r="G2">
            <v>8.2619900130000001</v>
          </cell>
          <cell r="H2">
            <v>8.7871200639999998</v>
          </cell>
          <cell r="I2">
            <v>9.1691099699999992</v>
          </cell>
          <cell r="J2">
            <v>9.3847000119999997</v>
          </cell>
          <cell r="K2">
            <v>9.4568800890000002</v>
          </cell>
          <cell r="L2">
            <v>9.4072600170000005</v>
          </cell>
          <cell r="M2">
            <v>9.253949951000001</v>
          </cell>
          <cell r="N2">
            <v>9.0324199449999991</v>
          </cell>
        </row>
        <row r="3">
          <cell r="E3">
            <v>74.825651309999998</v>
          </cell>
        </row>
        <row r="4">
          <cell r="E4">
            <v>361.84435259999998</v>
          </cell>
        </row>
        <row r="5">
          <cell r="E5">
            <v>500.73999500000002</v>
          </cell>
        </row>
        <row r="6">
          <cell r="E6">
            <v>418.98955130000002</v>
          </cell>
        </row>
        <row r="7">
          <cell r="E7">
            <v>31.561588080000003</v>
          </cell>
        </row>
        <row r="8">
          <cell r="E8">
            <v>31.561588080000003</v>
          </cell>
        </row>
        <row r="16">
          <cell r="E16">
            <v>1</v>
          </cell>
        </row>
        <row r="17">
          <cell r="E17">
            <v>1</v>
          </cell>
        </row>
        <row r="18">
          <cell r="E18">
            <v>1</v>
          </cell>
        </row>
        <row r="19">
          <cell r="E19">
            <v>1</v>
          </cell>
        </row>
        <row r="20">
          <cell r="E20">
            <v>1</v>
          </cell>
        </row>
        <row r="21">
          <cell r="E21">
            <v>1</v>
          </cell>
        </row>
      </sheetData>
      <sheetData sheetId="36">
        <row r="1">
          <cell r="A1" t="str">
            <v>Reference Case</v>
          </cell>
          <cell r="C1">
            <v>2000</v>
          </cell>
          <cell r="D1">
            <v>2005</v>
          </cell>
          <cell r="E1">
            <v>2010</v>
          </cell>
          <cell r="F1">
            <v>2020</v>
          </cell>
          <cell r="G1">
            <v>2030</v>
          </cell>
          <cell r="H1">
            <v>2040</v>
          </cell>
          <cell r="I1">
            <v>2050</v>
          </cell>
          <cell r="J1">
            <v>2060</v>
          </cell>
          <cell r="K1">
            <v>2070</v>
          </cell>
          <cell r="L1">
            <v>2080</v>
          </cell>
          <cell r="M1">
            <v>2090</v>
          </cell>
          <cell r="N1">
            <v>2100</v>
          </cell>
        </row>
        <row r="2">
          <cell r="A2" t="str">
            <v>P</v>
          </cell>
          <cell r="B2" t="str">
            <v>billions</v>
          </cell>
          <cell r="D2">
            <v>6.5031300000000005</v>
          </cell>
          <cell r="E2">
            <v>6.8673900000000003</v>
          </cell>
          <cell r="F2">
            <v>7.6112500000000001</v>
          </cell>
          <cell r="G2">
            <v>8.2619899999999991</v>
          </cell>
          <cell r="H2">
            <v>8.7871200000000016</v>
          </cell>
          <cell r="I2">
            <v>9.1691099999999999</v>
          </cell>
          <cell r="J2">
            <v>9.3847000000000005</v>
          </cell>
          <cell r="K2">
            <v>9.45688</v>
          </cell>
          <cell r="L2">
            <v>9.4072600000000008</v>
          </cell>
          <cell r="M2">
            <v>9.2539500000000015</v>
          </cell>
          <cell r="N2">
            <v>9.0324200000000001</v>
          </cell>
        </row>
        <row r="3">
          <cell r="E3">
            <v>10816.58097181025</v>
          </cell>
        </row>
        <row r="4">
          <cell r="E4">
            <v>4.8712414689597763</v>
          </cell>
        </row>
        <row r="5">
          <cell r="E5">
            <v>1.3845579863145445</v>
          </cell>
        </row>
        <row r="6">
          <cell r="E6">
            <v>0.83543715094392335</v>
          </cell>
        </row>
        <row r="7">
          <cell r="E7">
            <v>75.339313891563478</v>
          </cell>
        </row>
        <row r="8">
          <cell r="E8">
            <v>1</v>
          </cell>
        </row>
        <row r="11">
          <cell r="E11">
            <v>6.7445162791148512</v>
          </cell>
        </row>
        <row r="12">
          <cell r="E12">
            <v>62.941261751637747</v>
          </cell>
        </row>
        <row r="15">
          <cell r="E15">
            <v>1</v>
          </cell>
        </row>
        <row r="16">
          <cell r="E16">
            <v>1</v>
          </cell>
        </row>
        <row r="17">
          <cell r="E17">
            <v>1</v>
          </cell>
        </row>
        <row r="18">
          <cell r="E18">
            <v>1</v>
          </cell>
        </row>
        <row r="19">
          <cell r="E19">
            <v>1</v>
          </cell>
        </row>
        <row r="20">
          <cell r="E20">
            <v>1</v>
          </cell>
        </row>
        <row r="21">
          <cell r="E21">
            <v>1</v>
          </cell>
        </row>
        <row r="24">
          <cell r="E24">
            <v>1</v>
          </cell>
        </row>
        <row r="25">
          <cell r="E25">
            <v>1</v>
          </cell>
        </row>
      </sheetData>
      <sheetData sheetId="37">
        <row r="1">
          <cell r="A1" t="str">
            <v>Interence Case</v>
          </cell>
          <cell r="C1">
            <v>2000</v>
          </cell>
          <cell r="D1">
            <v>2005</v>
          </cell>
          <cell r="E1">
            <v>2010</v>
          </cell>
          <cell r="F1">
            <v>2020</v>
          </cell>
          <cell r="G1">
            <v>2030</v>
          </cell>
          <cell r="H1">
            <v>2040</v>
          </cell>
          <cell r="I1">
            <v>2050</v>
          </cell>
          <cell r="J1">
            <v>2060</v>
          </cell>
          <cell r="K1">
            <v>2070</v>
          </cell>
          <cell r="L1">
            <v>2080</v>
          </cell>
          <cell r="M1">
            <v>2090</v>
          </cell>
          <cell r="N1">
            <v>2100</v>
          </cell>
        </row>
        <row r="2">
          <cell r="A2" t="str">
            <v>P</v>
          </cell>
          <cell r="B2" t="str">
            <v>billions</v>
          </cell>
          <cell r="D2">
            <v>6.5031299360000006</v>
          </cell>
          <cell r="E2">
            <v>6.8673900379999999</v>
          </cell>
          <cell r="F2">
            <v>7.6112500000000001</v>
          </cell>
          <cell r="G2">
            <v>8.2619900130000001</v>
          </cell>
          <cell r="H2">
            <v>8.7871200639999998</v>
          </cell>
          <cell r="I2">
            <v>9.1691099699999992</v>
          </cell>
          <cell r="J2">
            <v>9.3847000119999997</v>
          </cell>
          <cell r="K2">
            <v>9.4568800890000002</v>
          </cell>
          <cell r="L2">
            <v>9.4072600170000005</v>
          </cell>
          <cell r="M2">
            <v>9.253949951000001</v>
          </cell>
          <cell r="N2">
            <v>9.0324199449999991</v>
          </cell>
        </row>
        <row r="3">
          <cell r="E3">
            <v>10895.791690286982</v>
          </cell>
        </row>
        <row r="4">
          <cell r="E4">
            <v>4.8358329832759059</v>
          </cell>
        </row>
        <row r="5">
          <cell r="E5">
            <v>1.3838546640343505</v>
          </cell>
        </row>
        <row r="6">
          <cell r="E6">
            <v>0.83674073468008081</v>
          </cell>
        </row>
        <row r="7">
          <cell r="E7">
            <v>75.327864339513425</v>
          </cell>
        </row>
        <row r="8">
          <cell r="E8">
            <v>1</v>
          </cell>
        </row>
        <row r="11">
          <cell r="E11">
            <v>6.6920900283975095</v>
          </cell>
        </row>
        <row r="12">
          <cell r="E12">
            <v>63.029892549325922</v>
          </cell>
        </row>
        <row r="15">
          <cell r="E15">
            <v>1</v>
          </cell>
        </row>
        <row r="16">
          <cell r="E16">
            <v>1</v>
          </cell>
        </row>
        <row r="17">
          <cell r="E17">
            <v>1</v>
          </cell>
        </row>
        <row r="18">
          <cell r="E18">
            <v>1</v>
          </cell>
        </row>
        <row r="19">
          <cell r="E19">
            <v>1</v>
          </cell>
        </row>
        <row r="20">
          <cell r="E20">
            <v>1</v>
          </cell>
        </row>
        <row r="21">
          <cell r="E21">
            <v>1</v>
          </cell>
        </row>
        <row r="24">
          <cell r="E24">
            <v>1</v>
          </cell>
        </row>
        <row r="25">
          <cell r="E25">
            <v>1</v>
          </cell>
        </row>
      </sheetData>
      <sheetData sheetId="38" refreshError="1"/>
      <sheetData sheetId="39">
        <row r="2">
          <cell r="A2" t="str">
            <v>Kaya Factors</v>
          </cell>
          <cell r="D2">
            <v>2005</v>
          </cell>
          <cell r="E2">
            <v>2010</v>
          </cell>
          <cell r="F2">
            <v>2020</v>
          </cell>
          <cell r="G2">
            <v>2030</v>
          </cell>
          <cell r="H2">
            <v>2040</v>
          </cell>
          <cell r="I2">
            <v>2050</v>
          </cell>
          <cell r="J2">
            <v>2060</v>
          </cell>
          <cell r="K2">
            <v>2070</v>
          </cell>
          <cell r="L2">
            <v>2080</v>
          </cell>
          <cell r="M2">
            <v>2090</v>
          </cell>
          <cell r="N2">
            <v>2100</v>
          </cell>
        </row>
        <row r="3">
          <cell r="E3">
            <v>1.33397307876435E-2</v>
          </cell>
        </row>
        <row r="4">
          <cell r="E4">
            <v>1.2523115485857383E-2</v>
          </cell>
        </row>
        <row r="5">
          <cell r="E5">
            <v>3.0635576805107867E-2</v>
          </cell>
        </row>
        <row r="6">
          <cell r="E6">
            <v>3.7463680533559307E-2</v>
          </cell>
        </row>
        <row r="7">
          <cell r="E7">
            <v>2.2275292137704517E-2</v>
          </cell>
        </row>
        <row r="8">
          <cell r="E8">
            <v>1.9094858133720694E-2</v>
          </cell>
        </row>
        <row r="9">
          <cell r="E9">
            <v>2.4420680554374075E-2</v>
          </cell>
        </row>
        <row r="10">
          <cell r="E10">
            <v>2.1935227844802618E-2</v>
          </cell>
        </row>
        <row r="11">
          <cell r="E11">
            <v>2.3994128114132485E-2</v>
          </cell>
        </row>
        <row r="12">
          <cell r="E12">
            <v>2.1944931549882751E-2</v>
          </cell>
        </row>
        <row r="13">
          <cell r="E13">
            <v>2.5412266804053729E-2</v>
          </cell>
        </row>
        <row r="14">
          <cell r="E14">
            <v>2.1907298758519156E-2</v>
          </cell>
        </row>
        <row r="18">
          <cell r="E18">
            <v>1.7068161340146881E-2</v>
          </cell>
        </row>
        <row r="19">
          <cell r="E19">
            <v>2.5565099356545273E-2</v>
          </cell>
        </row>
        <row r="20">
          <cell r="E20">
            <v>-8.1117757387337841E-3</v>
          </cell>
        </row>
        <row r="21">
          <cell r="E21">
            <v>-1.8257046810357003E-2</v>
          </cell>
        </row>
        <row r="22">
          <cell r="E22">
            <v>2.0153774592224227E-3</v>
          </cell>
        </row>
        <row r="23">
          <cell r="E23">
            <v>2.4377147280183475E-3</v>
          </cell>
        </row>
        <row r="24">
          <cell r="E24">
            <v>-4.1638405816923907E-4</v>
          </cell>
        </row>
        <row r="25">
          <cell r="E25">
            <v>9.4954208600395162E-6</v>
          </cell>
        </row>
        <row r="26">
          <cell r="E26">
            <v>1.5451450911869724E-3</v>
          </cell>
        </row>
        <row r="27">
          <cell r="E27">
            <v>7.7771181949937152E-4</v>
          </cell>
        </row>
        <row r="28">
          <cell r="E28">
            <v>-6.116178491340829E-3</v>
          </cell>
        </row>
        <row r="29">
          <cell r="E29">
            <v>-1.5863837554238369E-2</v>
          </cell>
        </row>
        <row r="30">
          <cell r="E30">
            <v>1.1281176592341513E-3</v>
          </cell>
        </row>
        <row r="31">
          <cell r="E31">
            <v>7.872146250604839E-4</v>
          </cell>
        </row>
        <row r="35">
          <cell r="E35">
            <v>6.8673900000000003</v>
          </cell>
        </row>
        <row r="36">
          <cell r="E36">
            <v>6.8673900000000003</v>
          </cell>
        </row>
        <row r="37">
          <cell r="E37">
            <v>74.281679999999994</v>
          </cell>
        </row>
        <row r="38">
          <cell r="E38">
            <v>74.281679999999994</v>
          </cell>
        </row>
        <row r="39">
          <cell r="E39">
            <v>361.84399999999999</v>
          </cell>
        </row>
        <row r="40">
          <cell r="E40">
            <v>361.84399999999999</v>
          </cell>
        </row>
        <row r="41">
          <cell r="E41">
            <v>500.99400000000003</v>
          </cell>
        </row>
        <row r="42">
          <cell r="E42">
            <v>500.99400000000003</v>
          </cell>
        </row>
        <row r="43">
          <cell r="E43">
            <v>418.54899999999998</v>
          </cell>
        </row>
        <row r="44">
          <cell r="E44">
            <v>418.54899999999998</v>
          </cell>
        </row>
        <row r="45">
          <cell r="E45">
            <v>31.533194490000003</v>
          </cell>
        </row>
        <row r="46">
          <cell r="E46">
            <v>31.533194490000003</v>
          </cell>
        </row>
        <row r="50">
          <cell r="E50">
            <v>10816.58097181025</v>
          </cell>
        </row>
        <row r="51">
          <cell r="E51">
            <v>10816.58097181025</v>
          </cell>
        </row>
        <row r="52">
          <cell r="E52">
            <v>4.8712414689597763</v>
          </cell>
        </row>
        <row r="53">
          <cell r="E53">
            <v>4.8712414689597763</v>
          </cell>
        </row>
        <row r="54">
          <cell r="E54">
            <v>1.3845579863145445</v>
          </cell>
        </row>
        <row r="55">
          <cell r="E55">
            <v>1.3845579863145445</v>
          </cell>
        </row>
        <row r="56">
          <cell r="E56">
            <v>0.83543715094392335</v>
          </cell>
        </row>
        <row r="57">
          <cell r="E57">
            <v>0.83543715094392335</v>
          </cell>
        </row>
        <row r="58">
          <cell r="E58">
            <v>75.339313891563478</v>
          </cell>
        </row>
        <row r="59">
          <cell r="E59">
            <v>75.339313891563478</v>
          </cell>
        </row>
        <row r="60">
          <cell r="E60">
            <v>6.7445162791148512</v>
          </cell>
        </row>
        <row r="61">
          <cell r="E61">
            <v>6.7445162791148512</v>
          </cell>
        </row>
        <row r="62">
          <cell r="E62">
            <v>62.941261751637747</v>
          </cell>
        </row>
        <row r="63">
          <cell r="E63">
            <v>62.941261751637747</v>
          </cell>
        </row>
        <row r="66">
          <cell r="E66">
            <v>1</v>
          </cell>
        </row>
        <row r="67">
          <cell r="E67">
            <v>1</v>
          </cell>
        </row>
        <row r="68">
          <cell r="E68">
            <v>1</v>
          </cell>
        </row>
        <row r="69">
          <cell r="E69">
            <v>1</v>
          </cell>
        </row>
        <row r="70">
          <cell r="E70">
            <v>1</v>
          </cell>
        </row>
        <row r="71">
          <cell r="E71">
            <v>1</v>
          </cell>
        </row>
        <row r="72">
          <cell r="E72">
            <v>1</v>
          </cell>
        </row>
        <row r="73">
          <cell r="E73">
            <v>1</v>
          </cell>
        </row>
        <row r="74">
          <cell r="E74">
            <v>1</v>
          </cell>
        </row>
        <row r="75">
          <cell r="E75">
            <v>1</v>
          </cell>
        </row>
        <row r="76">
          <cell r="E76">
            <v>1</v>
          </cell>
        </row>
        <row r="77">
          <cell r="E77">
            <v>1</v>
          </cell>
        </row>
        <row r="81">
          <cell r="E81">
            <v>1</v>
          </cell>
        </row>
        <row r="82">
          <cell r="E82">
            <v>1</v>
          </cell>
        </row>
        <row r="83">
          <cell r="E83">
            <v>1</v>
          </cell>
        </row>
        <row r="84">
          <cell r="E84">
            <v>1</v>
          </cell>
        </row>
        <row r="85">
          <cell r="E85">
            <v>1</v>
          </cell>
        </row>
        <row r="86">
          <cell r="E86">
            <v>1</v>
          </cell>
        </row>
        <row r="87">
          <cell r="E87">
            <v>1</v>
          </cell>
        </row>
        <row r="88">
          <cell r="E88">
            <v>1</v>
          </cell>
        </row>
        <row r="89">
          <cell r="E89">
            <v>1</v>
          </cell>
        </row>
        <row r="90">
          <cell r="E90">
            <v>1</v>
          </cell>
        </row>
        <row r="91">
          <cell r="E91">
            <v>1</v>
          </cell>
        </row>
        <row r="92">
          <cell r="E92">
            <v>1</v>
          </cell>
        </row>
        <row r="93">
          <cell r="E93">
            <v>1</v>
          </cell>
        </row>
        <row r="94">
          <cell r="E94">
            <v>1</v>
          </cell>
        </row>
      </sheetData>
      <sheetData sheetId="40">
        <row r="1">
          <cell r="A1" t="str">
            <v>Factors</v>
          </cell>
          <cell r="C1">
            <v>2000</v>
          </cell>
          <cell r="D1">
            <v>2005</v>
          </cell>
          <cell r="E1">
            <v>2010</v>
          </cell>
          <cell r="F1">
            <v>2020</v>
          </cell>
          <cell r="G1">
            <v>2030</v>
          </cell>
          <cell r="H1">
            <v>2040</v>
          </cell>
          <cell r="I1">
            <v>2050</v>
          </cell>
          <cell r="J1">
            <v>2060</v>
          </cell>
          <cell r="K1">
            <v>2070</v>
          </cell>
          <cell r="L1">
            <v>2080</v>
          </cell>
          <cell r="M1">
            <v>2090</v>
          </cell>
          <cell r="N1">
            <v>2100</v>
          </cell>
        </row>
        <row r="2">
          <cell r="E2">
            <v>3.7999999591420419E-8</v>
          </cell>
        </row>
        <row r="3">
          <cell r="E3">
            <v>0.54397131000000343</v>
          </cell>
        </row>
        <row r="4">
          <cell r="E4">
            <v>3.5259999998515923E-4</v>
          </cell>
        </row>
        <row r="5">
          <cell r="E5">
            <v>-0.25400500000000648</v>
          </cell>
        </row>
        <row r="6">
          <cell r="E6">
            <v>0.44055130000003828</v>
          </cell>
        </row>
        <row r="7">
          <cell r="E7">
            <v>2.8393590000000302E-2</v>
          </cell>
        </row>
        <row r="8">
          <cell r="E8">
            <v>2.8393590000000302E-2</v>
          </cell>
        </row>
        <row r="11">
          <cell r="E11">
            <v>0</v>
          </cell>
        </row>
        <row r="12">
          <cell r="E12">
            <v>0</v>
          </cell>
        </row>
        <row r="13">
          <cell r="E13">
            <v>0</v>
          </cell>
        </row>
        <row r="14">
          <cell r="E14">
            <v>0</v>
          </cell>
        </row>
        <row r="15">
          <cell r="E15">
            <v>0</v>
          </cell>
        </row>
        <row r="16">
          <cell r="E16">
            <v>0</v>
          </cell>
        </row>
        <row r="17">
          <cell r="E17">
            <v>0</v>
          </cell>
        </row>
      </sheetData>
      <sheetData sheetId="41">
        <row r="1">
          <cell r="A1" t="str">
            <v>Ratios</v>
          </cell>
          <cell r="C1">
            <v>2000</v>
          </cell>
          <cell r="D1">
            <v>2005</v>
          </cell>
          <cell r="E1">
            <v>2010</v>
          </cell>
          <cell r="F1">
            <v>2020</v>
          </cell>
          <cell r="G1">
            <v>2030</v>
          </cell>
          <cell r="H1">
            <v>2040</v>
          </cell>
          <cell r="I1">
            <v>2050</v>
          </cell>
          <cell r="J1">
            <v>2060</v>
          </cell>
          <cell r="K1">
            <v>2070</v>
          </cell>
          <cell r="L1">
            <v>2080</v>
          </cell>
          <cell r="M1">
            <v>2090</v>
          </cell>
          <cell r="N1">
            <v>2100</v>
          </cell>
        </row>
        <row r="3">
          <cell r="E3">
            <v>79.210718476731927</v>
          </cell>
        </row>
        <row r="4">
          <cell r="E4">
            <v>-3.5408485683870339E-2</v>
          </cell>
        </row>
        <row r="5">
          <cell r="E5">
            <v>-7.0332228019398535E-4</v>
          </cell>
        </row>
        <row r="6">
          <cell r="E6">
            <v>1.3035837361574654E-3</v>
          </cell>
        </row>
        <row r="7">
          <cell r="E7">
            <v>-1.1449552050052603E-2</v>
          </cell>
        </row>
        <row r="8">
          <cell r="E8">
            <v>0</v>
          </cell>
        </row>
        <row r="11">
          <cell r="E11">
            <v>-5.2426250717341638E-2</v>
          </cell>
        </row>
        <row r="12">
          <cell r="E12">
            <v>8.8630797688175278E-2</v>
          </cell>
        </row>
        <row r="16">
          <cell r="E16">
            <v>0</v>
          </cell>
        </row>
        <row r="17">
          <cell r="E17">
            <v>0</v>
          </cell>
        </row>
        <row r="18">
          <cell r="E18">
            <v>0</v>
          </cell>
        </row>
        <row r="19">
          <cell r="E19">
            <v>0</v>
          </cell>
        </row>
        <row r="20">
          <cell r="E20">
            <v>0</v>
          </cell>
        </row>
        <row r="21">
          <cell r="E21">
            <v>0</v>
          </cell>
        </row>
        <row r="24">
          <cell r="E24">
            <v>0</v>
          </cell>
        </row>
        <row r="25">
          <cell r="E25">
            <v>0</v>
          </cell>
        </row>
      </sheetData>
      <sheetData sheetId="42" refreshError="1"/>
      <sheetData sheetId="43" refreshError="1"/>
      <sheetData sheetId="44">
        <row r="12">
          <cell r="C12">
            <v>0</v>
          </cell>
        </row>
        <row r="22">
          <cell r="C22">
            <v>0</v>
          </cell>
        </row>
        <row r="32">
          <cell r="C32">
            <v>-2.6037701440202954E-2</v>
          </cell>
        </row>
        <row r="42">
          <cell r="C42">
            <v>-1.8134487368355809E-3</v>
          </cell>
        </row>
        <row r="52">
          <cell r="C52">
            <v>-5.4243982297542438E-4</v>
          </cell>
        </row>
        <row r="62">
          <cell r="C62">
            <v>0</v>
          </cell>
        </row>
      </sheetData>
      <sheetData sheetId="45" refreshError="1"/>
      <sheetData sheetId="46" refreshError="1"/>
      <sheetData sheetId="47" refreshError="1"/>
      <sheetData sheetId="48">
        <row r="2">
          <cell r="A2" t="str">
            <v>Intervention Case</v>
          </cell>
          <cell r="B2">
            <v>2010</v>
          </cell>
          <cell r="C2">
            <v>2020</v>
          </cell>
          <cell r="D2">
            <v>2030</v>
          </cell>
          <cell r="E2">
            <v>2040</v>
          </cell>
          <cell r="F2">
            <v>2050</v>
          </cell>
          <cell r="G2">
            <v>2060</v>
          </cell>
          <cell r="H2">
            <v>2070</v>
          </cell>
          <cell r="I2">
            <v>2080</v>
          </cell>
          <cell r="J2">
            <v>2090</v>
          </cell>
          <cell r="K2">
            <v>2100</v>
          </cell>
        </row>
        <row r="28">
          <cell r="B28">
            <v>53.035382306612</v>
          </cell>
        </row>
        <row r="31">
          <cell r="A31" t="str">
            <v>Reference Case</v>
          </cell>
          <cell r="B31">
            <v>2010</v>
          </cell>
          <cell r="C31">
            <v>2020</v>
          </cell>
          <cell r="D31">
            <v>2030</v>
          </cell>
          <cell r="E31">
            <v>2040</v>
          </cell>
          <cell r="F31">
            <v>2050</v>
          </cell>
          <cell r="G31">
            <v>2060</v>
          </cell>
          <cell r="H31">
            <v>2070</v>
          </cell>
          <cell r="I31">
            <v>2080</v>
          </cell>
          <cell r="J31">
            <v>2090</v>
          </cell>
          <cell r="K31">
            <v>2100</v>
          </cell>
        </row>
        <row r="58">
          <cell r="B58">
            <v>54.739824380054003</v>
          </cell>
        </row>
        <row r="68">
          <cell r="B68">
            <v>0</v>
          </cell>
        </row>
        <row r="71">
          <cell r="B71">
            <v>-4.8158874558000164E-2</v>
          </cell>
        </row>
        <row r="74">
          <cell r="B74">
            <v>1.7809945379999998</v>
          </cell>
        </row>
        <row r="77">
          <cell r="B77">
            <v>0</v>
          </cell>
        </row>
        <row r="80">
          <cell r="B80">
            <v>0</v>
          </cell>
        </row>
      </sheetData>
      <sheetData sheetId="49">
        <row r="5">
          <cell r="E5">
            <v>31.533194490000003</v>
          </cell>
        </row>
        <row r="7">
          <cell r="E7">
            <v>1</v>
          </cell>
        </row>
        <row r="15">
          <cell r="E15">
            <v>0</v>
          </cell>
        </row>
        <row r="17">
          <cell r="E17" t="e">
            <v>#DIV/0!</v>
          </cell>
        </row>
        <row r="19">
          <cell r="E19">
            <v>0</v>
          </cell>
        </row>
        <row r="26">
          <cell r="E26">
            <v>1.6</v>
          </cell>
        </row>
        <row r="28">
          <cell r="E28">
            <v>1</v>
          </cell>
        </row>
        <row r="30">
          <cell r="E30">
            <v>5.0740181129044881E-2</v>
          </cell>
        </row>
        <row r="37">
          <cell r="E37">
            <v>7.1614437859999995</v>
          </cell>
        </row>
        <row r="42">
          <cell r="E42">
            <v>1</v>
          </cell>
        </row>
        <row r="45">
          <cell r="E45">
            <v>0.22710809677944555</v>
          </cell>
        </row>
        <row r="53">
          <cell r="E53">
            <v>14.445186104054001</v>
          </cell>
        </row>
        <row r="55">
          <cell r="E55">
            <v>1</v>
          </cell>
        </row>
        <row r="57">
          <cell r="E57">
            <v>0.45809459960153881</v>
          </cell>
        </row>
        <row r="64">
          <cell r="E64">
            <v>54.739824380054003</v>
          </cell>
        </row>
        <row r="66">
          <cell r="E66">
            <v>1</v>
          </cell>
        </row>
        <row r="68">
          <cell r="E68">
            <v>1.7359428775100292</v>
          </cell>
        </row>
        <row r="78">
          <cell r="E78">
            <v>31.561588080000003</v>
          </cell>
        </row>
        <row r="80">
          <cell r="E80">
            <v>1</v>
          </cell>
        </row>
        <row r="88">
          <cell r="E88">
            <v>0</v>
          </cell>
        </row>
        <row r="90">
          <cell r="E90" t="e">
            <v>#DIV/0!</v>
          </cell>
        </row>
        <row r="92">
          <cell r="E92">
            <v>0</v>
          </cell>
        </row>
        <row r="99">
          <cell r="E99">
            <v>1.6</v>
          </cell>
        </row>
        <row r="101">
          <cell r="E101">
            <v>1</v>
          </cell>
        </row>
        <row r="103">
          <cell r="E103">
            <v>5.0740181129044881E-2</v>
          </cell>
        </row>
        <row r="110">
          <cell r="E110">
            <v>5.3804492479999997</v>
          </cell>
        </row>
        <row r="118">
          <cell r="E118">
            <v>1</v>
          </cell>
        </row>
        <row r="121">
          <cell r="E121">
            <v>0.1706281058744708</v>
          </cell>
        </row>
        <row r="130">
          <cell r="E130">
            <v>14.493344978612001</v>
          </cell>
        </row>
        <row r="132">
          <cell r="E132">
            <v>1</v>
          </cell>
        </row>
        <row r="134">
          <cell r="E134">
            <v>0.4596218433628162</v>
          </cell>
        </row>
        <row r="141">
          <cell r="E141">
            <v>53.035382306611993</v>
          </cell>
        </row>
        <row r="143">
          <cell r="E143">
            <v>1</v>
          </cell>
        </row>
        <row r="145">
          <cell r="E145">
            <v>1.6818905653035214</v>
          </cell>
        </row>
        <row r="153">
          <cell r="E153">
            <v>2.8393590000000302E-2</v>
          </cell>
        </row>
        <row r="156">
          <cell r="E156">
            <v>0</v>
          </cell>
        </row>
        <row r="159">
          <cell r="E159">
            <v>0</v>
          </cell>
        </row>
        <row r="162">
          <cell r="E162" t="e">
            <v>#DIV/0!</v>
          </cell>
        </row>
        <row r="165">
          <cell r="E165">
            <v>0</v>
          </cell>
        </row>
        <row r="169">
          <cell r="E169">
            <v>0</v>
          </cell>
        </row>
        <row r="172">
          <cell r="E172">
            <v>0</v>
          </cell>
        </row>
        <row r="175">
          <cell r="E175">
            <v>0</v>
          </cell>
        </row>
        <row r="178">
          <cell r="E178">
            <v>-1.7809945379999998</v>
          </cell>
        </row>
        <row r="181">
          <cell r="E181">
            <v>0</v>
          </cell>
        </row>
        <row r="184">
          <cell r="E184">
            <v>-5.6479990904974742E-2</v>
          </cell>
        </row>
        <row r="187">
          <cell r="E187">
            <v>4.8158874558000164E-2</v>
          </cell>
        </row>
        <row r="190">
          <cell r="E190">
            <v>0</v>
          </cell>
        </row>
        <row r="193">
          <cell r="E193">
            <v>1.5272437612773859E-3</v>
          </cell>
        </row>
        <row r="196">
          <cell r="E196">
            <v>-1.70444207344201</v>
          </cell>
        </row>
        <row r="199">
          <cell r="E199">
            <v>0</v>
          </cell>
        </row>
        <row r="202">
          <cell r="E202">
            <v>-5.4052312206507747E-2</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me"/>
      <sheetName val="Data Download"/>
      <sheetName val="Ref Data input"/>
      <sheetName val="Int Data input"/>
      <sheetName val="Ref Data"/>
      <sheetName val="Int Data"/>
      <sheetName val="Fig3ExpandKAYAfactorsDEq"/>
      <sheetName val="Fig4ExpandKAYAratiosDEq"/>
      <sheetName val="Fig5AvAnn%∆RefDEq"/>
      <sheetName val="Fig5AvAnn%∆IntDEq"/>
      <sheetName val="Fig5AvAnn%∆(Ref-Int)DEq"/>
      <sheetName val="Fig6AdditiveDashboard"/>
      <sheetName val="Fig7CCSgraph"/>
      <sheetName val="Fig8MitChart(LMDI1corrected)DEq"/>
      <sheetName val="WaterfallEnergySector"/>
      <sheetName val="WaterfallAllSectors"/>
      <sheetName val="WaterfallAllSectors (2)"/>
      <sheetName val="WaterfallAllSectors (3)"/>
      <sheetName val="Waterfall2"/>
      <sheetName val="CementvsBETindustry"/>
      <sheetName val="IndustryEmissionsAccountingRef"/>
      <sheetName val="IndustryEmissionsAccountingInt"/>
      <sheetName val="FossilEneEmissionsAccountingRef"/>
      <sheetName val="FossilEneEmissionsAccountingInt"/>
      <sheetName val="PEfossilRef"/>
      <sheetName val="PEfossilInt"/>
      <sheetName val="ExpKayaFactorsRef"/>
      <sheetName val="ExpKayaFactorsInt"/>
      <sheetName val="ExpKayaRatiosRef"/>
      <sheetName val="ExpKayaRatiosInt"/>
      <sheetName val="AvAnn%∆"/>
      <sheetName val="HistoricalGrowthRates"/>
      <sheetName val="AreasForDashboardsFactors"/>
      <sheetName val="AreasForDashboardsRatios"/>
      <sheetName val="WaterfallData"/>
      <sheetName val="LMDI 1 MethodDEq"/>
      <sheetName val="MitTable(LMDI I)DEq"/>
      <sheetName val="OtherGasses"/>
      <sheetName val="TotalEmissions"/>
      <sheetName val="AdditiveDashboardData"/>
    </sheetNames>
    <sheetDataSet>
      <sheetData sheetId="0"/>
      <sheetData sheetId="1"/>
      <sheetData sheetId="2">
        <row r="1">
          <cell r="A1" t="str">
            <v>model</v>
          </cell>
          <cell r="B1" t="str">
            <v>scenario</v>
          </cell>
          <cell r="C1" t="str">
            <v>region</v>
          </cell>
          <cell r="D1" t="str">
            <v>variable</v>
          </cell>
          <cell r="E1" t="str">
            <v>unit</v>
          </cell>
          <cell r="F1" t="str">
            <v>subannual</v>
          </cell>
          <cell r="G1" t="str">
            <v>meta</v>
          </cell>
          <cell r="H1">
            <v>2005</v>
          </cell>
          <cell r="I1">
            <v>2010</v>
          </cell>
          <cell r="J1">
            <v>2015</v>
          </cell>
          <cell r="K1">
            <v>2020</v>
          </cell>
          <cell r="L1">
            <v>2025</v>
          </cell>
          <cell r="M1">
            <v>2030</v>
          </cell>
          <cell r="N1">
            <v>2035</v>
          </cell>
          <cell r="O1">
            <v>2040</v>
          </cell>
          <cell r="P1">
            <v>2045</v>
          </cell>
          <cell r="Q1">
            <v>2050</v>
          </cell>
          <cell r="R1">
            <v>2060</v>
          </cell>
          <cell r="S1">
            <v>2070</v>
          </cell>
          <cell r="T1">
            <v>2080</v>
          </cell>
          <cell r="U1">
            <v>2090</v>
          </cell>
          <cell r="V1">
            <v>2100</v>
          </cell>
        </row>
        <row r="2">
          <cell r="D2" t="str">
            <v>Emissions|CH4</v>
          </cell>
          <cell r="E2" t="str">
            <v>Mt CH4/yr</v>
          </cell>
          <cell r="H2">
            <v>318.37908935546875</v>
          </cell>
          <cell r="I2">
            <v>348.29449462890625</v>
          </cell>
          <cell r="K2">
            <v>395.82830810546875</v>
          </cell>
          <cell r="M2">
            <v>431.79019165039062</v>
          </cell>
          <cell r="O2">
            <v>451.22421264648438</v>
          </cell>
          <cell r="Q2">
            <v>462.93130493164062</v>
          </cell>
          <cell r="R2">
            <v>457.3291015625</v>
          </cell>
          <cell r="S2">
            <v>458.21810913085938</v>
          </cell>
          <cell r="T2">
            <v>461.65969848632812</v>
          </cell>
          <cell r="U2">
            <v>464.66390991210938</v>
          </cell>
          <cell r="V2">
            <v>484.34878540039062</v>
          </cell>
        </row>
        <row r="3">
          <cell r="D3" t="str">
            <v>Emissions|CO2</v>
          </cell>
          <cell r="E3" t="str">
            <v>Mt CO2/yr</v>
          </cell>
          <cell r="H3">
            <v>33182.728193120776</v>
          </cell>
          <cell r="I3">
            <v>35612.614586570846</v>
          </cell>
          <cell r="K3">
            <v>43478.012048223376</v>
          </cell>
          <cell r="M3">
            <v>49474.444340435177</v>
          </cell>
          <cell r="O3">
            <v>52913.738286060339</v>
          </cell>
          <cell r="Q3">
            <v>55991.099288944264</v>
          </cell>
          <cell r="R3">
            <v>57621.595057321661</v>
          </cell>
          <cell r="S3">
            <v>60866.666672200001</v>
          </cell>
          <cell r="T3">
            <v>64443.063156900127</v>
          </cell>
          <cell r="U3">
            <v>67837.071620750343</v>
          </cell>
          <cell r="V3">
            <v>72492.606777423571</v>
          </cell>
        </row>
        <row r="4">
          <cell r="D4" t="str">
            <v>Emissions|CO2|Energy</v>
          </cell>
          <cell r="E4" t="str">
            <v>Mt CO2/yr</v>
          </cell>
          <cell r="H4">
            <v>28132.724285125732</v>
          </cell>
          <cell r="I4">
            <v>30490.629196166992</v>
          </cell>
          <cell r="K4">
            <v>36419.173240661621</v>
          </cell>
          <cell r="M4">
            <v>41178.647677103676</v>
          </cell>
          <cell r="O4">
            <v>44638.25798034668</v>
          </cell>
          <cell r="Q4">
            <v>48651.535034179688</v>
          </cell>
          <cell r="R4">
            <v>53651.107152303055</v>
          </cell>
          <cell r="S4">
            <v>57505.031267801918</v>
          </cell>
          <cell r="T4">
            <v>60643.732706705727</v>
          </cell>
          <cell r="U4">
            <v>64628.26601664225</v>
          </cell>
          <cell r="V4">
            <v>69304.621378580719</v>
          </cell>
        </row>
        <row r="5">
          <cell r="D5" t="str">
            <v>Emissions|CO2|Industrial Processes</v>
          </cell>
          <cell r="E5" t="str">
            <v>Mt CO2/yr</v>
          </cell>
          <cell r="H5">
            <v>1260.6443961461384</v>
          </cell>
          <cell r="I5">
            <v>1619.6451683839161</v>
          </cell>
          <cell r="K5">
            <v>1846.3895320892334</v>
          </cell>
          <cell r="M5">
            <v>2014.8549278577168</v>
          </cell>
          <cell r="O5">
            <v>2097.1979300181069</v>
          </cell>
          <cell r="Q5">
            <v>2292.7681605021157</v>
          </cell>
          <cell r="R5">
            <v>2535.1934035619097</v>
          </cell>
          <cell r="S5">
            <v>2635.3624661763506</v>
          </cell>
          <cell r="T5">
            <v>2885.1141730944314</v>
          </cell>
          <cell r="U5">
            <v>3324.2319027582803</v>
          </cell>
          <cell r="V5">
            <v>3714.6559556325274</v>
          </cell>
        </row>
        <row r="6">
          <cell r="D6" t="str">
            <v>Emissions|F-Gases</v>
          </cell>
          <cell r="E6" t="str">
            <v>Mt CO2-equiv/yr</v>
          </cell>
          <cell r="H6">
            <v>672.6583251953125</v>
          </cell>
          <cell r="I6">
            <v>877.77581787109375</v>
          </cell>
          <cell r="K6">
            <v>1734.1839599609375</v>
          </cell>
          <cell r="M6">
            <v>2202.76806640625</v>
          </cell>
          <cell r="O6">
            <v>2689.511962890625</v>
          </cell>
          <cell r="Q6">
            <v>3184.76708984375</v>
          </cell>
          <cell r="R6">
            <v>3659.216064453125</v>
          </cell>
          <cell r="S6">
            <v>4187.91015625</v>
          </cell>
          <cell r="T6">
            <v>4581.38720703125</v>
          </cell>
          <cell r="U6">
            <v>5028.0751953125</v>
          </cell>
          <cell r="V6">
            <v>5575.55419921875</v>
          </cell>
        </row>
        <row r="7">
          <cell r="D7" t="str">
            <v>Emissions|N2O</v>
          </cell>
          <cell r="E7" t="str">
            <v>kt N2O/yr</v>
          </cell>
          <cell r="H7">
            <v>9158.4775365647329</v>
          </cell>
          <cell r="I7">
            <v>9835.0657757775316</v>
          </cell>
          <cell r="K7">
            <v>11182.576517597528</v>
          </cell>
          <cell r="M7">
            <v>12487.891179629925</v>
          </cell>
          <cell r="O7">
            <v>13332.033757524705</v>
          </cell>
          <cell r="Q7">
            <v>13865.354209388182</v>
          </cell>
          <cell r="R7">
            <v>13554.599605678291</v>
          </cell>
          <cell r="S7">
            <v>13531.404153675689</v>
          </cell>
          <cell r="T7">
            <v>13744.412524153309</v>
          </cell>
          <cell r="U7">
            <v>13744.09486232304</v>
          </cell>
          <cell r="V7">
            <v>13789.851977265917</v>
          </cell>
        </row>
        <row r="8">
          <cell r="D8" t="str">
            <v>Final Energy</v>
          </cell>
          <cell r="E8" t="str">
            <v>EJ/yr</v>
          </cell>
          <cell r="H8">
            <v>341.07290625000002</v>
          </cell>
          <cell r="I8">
            <v>368.1208125</v>
          </cell>
          <cell r="K8">
            <v>423.03090624999999</v>
          </cell>
          <cell r="M8">
            <v>479.42259375000003</v>
          </cell>
          <cell r="O8">
            <v>541.945875</v>
          </cell>
          <cell r="Q8">
            <v>601.97268750000001</v>
          </cell>
          <cell r="R8">
            <v>664.53981250000004</v>
          </cell>
          <cell r="S8">
            <v>719.05137500000001</v>
          </cell>
          <cell r="T8">
            <v>765.49487499999998</v>
          </cell>
          <cell r="U8">
            <v>800.99437499999999</v>
          </cell>
          <cell r="V8">
            <v>831.80218750000006</v>
          </cell>
        </row>
        <row r="9">
          <cell r="D9" t="str">
            <v>GDP|MER</v>
          </cell>
          <cell r="E9" t="str">
            <v>billion US$2010/yr</v>
          </cell>
          <cell r="H9">
            <v>49593.37808000001</v>
          </cell>
          <cell r="I9">
            <v>55776.193800000001</v>
          </cell>
          <cell r="J9">
            <v>0</v>
          </cell>
          <cell r="K9">
            <v>78494.021760000003</v>
          </cell>
          <cell r="L9">
            <v>0</v>
          </cell>
          <cell r="M9">
            <v>109940.23400000001</v>
          </cell>
          <cell r="N9">
            <v>0</v>
          </cell>
          <cell r="O9">
            <v>143359.74736000001</v>
          </cell>
          <cell r="P9">
            <v>0</v>
          </cell>
          <cell r="Q9">
            <v>180095.57264000003</v>
          </cell>
          <cell r="R9">
            <v>221675.58464000002</v>
          </cell>
          <cell r="S9">
            <v>271512.12864000001</v>
          </cell>
          <cell r="T9">
            <v>329316.13664000004</v>
          </cell>
          <cell r="U9">
            <v>396375.65728000004</v>
          </cell>
          <cell r="V9">
            <v>473895.06208000006</v>
          </cell>
        </row>
        <row r="10">
          <cell r="E10" t="str">
            <v>billion US$2005/yr</v>
          </cell>
          <cell r="H10">
            <v>45498.512000000002</v>
          </cell>
          <cell r="I10">
            <v>51170.82</v>
          </cell>
          <cell r="K10">
            <v>72012.864000000001</v>
          </cell>
          <cell r="M10">
            <v>100862.6</v>
          </cell>
          <cell r="O10">
            <v>131522.704</v>
          </cell>
          <cell r="Q10">
            <v>165225.296</v>
          </cell>
          <cell r="R10">
            <v>203372.09599999999</v>
          </cell>
          <cell r="S10">
            <v>249093.696</v>
          </cell>
          <cell r="T10">
            <v>302124.89600000001</v>
          </cell>
          <cell r="U10">
            <v>363647.39199999999</v>
          </cell>
          <cell r="V10">
            <v>434766.11200000002</v>
          </cell>
        </row>
        <row r="11">
          <cell r="D11" t="str">
            <v>GDP|PPP</v>
          </cell>
          <cell r="E11" t="str">
            <v>billion US$2010/yr</v>
          </cell>
          <cell r="H11">
            <v>62574.588007812505</v>
          </cell>
          <cell r="I11">
            <v>74623.452265625005</v>
          </cell>
          <cell r="J11">
            <v>0</v>
          </cell>
          <cell r="K11">
            <v>110746.40140625001</v>
          </cell>
          <cell r="L11">
            <v>0</v>
          </cell>
          <cell r="M11">
            <v>157846.0678125</v>
          </cell>
          <cell r="N11">
            <v>0</v>
          </cell>
          <cell r="O11">
            <v>205461.28718750001</v>
          </cell>
          <cell r="P11">
            <v>0</v>
          </cell>
          <cell r="Q11">
            <v>255292.61281250001</v>
          </cell>
          <cell r="R11">
            <v>308743.14718750003</v>
          </cell>
          <cell r="S11">
            <v>369403.72500000003</v>
          </cell>
          <cell r="T11">
            <v>435660.56718750001</v>
          </cell>
          <cell r="U11">
            <v>507957.23562500003</v>
          </cell>
          <cell r="V11">
            <v>586688.00375000003</v>
          </cell>
        </row>
        <row r="12">
          <cell r="E12" t="str">
            <v>billion US$2005/yr</v>
          </cell>
          <cell r="H12">
            <v>57407.87890625</v>
          </cell>
          <cell r="I12">
            <v>68461.8828125</v>
          </cell>
          <cell r="K12">
            <v>101602.203125</v>
          </cell>
          <cell r="M12">
            <v>144812.90625</v>
          </cell>
          <cell r="O12">
            <v>188496.59375</v>
          </cell>
          <cell r="Q12">
            <v>234213.40625</v>
          </cell>
          <cell r="R12">
            <v>283250.59375</v>
          </cell>
          <cell r="S12">
            <v>338902.5</v>
          </cell>
          <cell r="T12">
            <v>399688.59375</v>
          </cell>
          <cell r="U12">
            <v>466015.8125</v>
          </cell>
          <cell r="V12">
            <v>538245.875</v>
          </cell>
        </row>
        <row r="13">
          <cell r="D13" t="str">
            <v>Population</v>
          </cell>
          <cell r="E13" t="str">
            <v>million</v>
          </cell>
          <cell r="H13">
            <v>6530.5478515625</v>
          </cell>
          <cell r="I13">
            <v>6921.7978515625</v>
          </cell>
          <cell r="K13">
            <v>7671.501953125</v>
          </cell>
          <cell r="M13">
            <v>8327.6826171875</v>
          </cell>
          <cell r="O13">
            <v>8857.17578125</v>
          </cell>
          <cell r="Q13">
            <v>9242.54296875</v>
          </cell>
          <cell r="R13">
            <v>9459.9677734375</v>
          </cell>
          <cell r="S13">
            <v>9531.0947265625</v>
          </cell>
          <cell r="T13">
            <v>9480.2275390625</v>
          </cell>
          <cell r="U13">
            <v>9325.70703125</v>
          </cell>
          <cell r="V13">
            <v>9103.234375</v>
          </cell>
        </row>
        <row r="14">
          <cell r="D14" t="str">
            <v>Primary Energy</v>
          </cell>
          <cell r="E14" t="str">
            <v>EJ/yr</v>
          </cell>
          <cell r="H14">
            <v>459.00759375000001</v>
          </cell>
          <cell r="I14">
            <v>506.23181249999999</v>
          </cell>
          <cell r="K14">
            <v>594.26031250000005</v>
          </cell>
          <cell r="M14">
            <v>676.61637500000006</v>
          </cell>
          <cell r="O14">
            <v>755.57987500000002</v>
          </cell>
          <cell r="Q14">
            <v>832.27637500000003</v>
          </cell>
          <cell r="R14">
            <v>910.11768749999999</v>
          </cell>
          <cell r="S14">
            <v>976.86431249999998</v>
          </cell>
          <cell r="T14">
            <v>1037.7740000000001</v>
          </cell>
          <cell r="U14">
            <v>1095.373</v>
          </cell>
          <cell r="V14">
            <v>1151.866</v>
          </cell>
        </row>
        <row r="15">
          <cell r="D15" t="str">
            <v>Primary Energy|Coal</v>
          </cell>
          <cell r="E15" t="str">
            <v>EJ/yr</v>
          </cell>
          <cell r="H15">
            <v>117.481796875</v>
          </cell>
          <cell r="I15">
            <v>145.98440625000001</v>
          </cell>
          <cell r="K15">
            <v>172.32500000000002</v>
          </cell>
          <cell r="M15">
            <v>211.99509375</v>
          </cell>
          <cell r="O15">
            <v>240.01190625000001</v>
          </cell>
          <cell r="Q15">
            <v>263.81950000000001</v>
          </cell>
          <cell r="R15">
            <v>289.18609375</v>
          </cell>
          <cell r="S15">
            <v>321.66659375</v>
          </cell>
          <cell r="T15">
            <v>366.5186875</v>
          </cell>
          <cell r="U15">
            <v>432.56718749999999</v>
          </cell>
          <cell r="V15">
            <v>510.43531250000001</v>
          </cell>
        </row>
        <row r="16">
          <cell r="D16" t="str">
            <v>Primary Energy|Gas</v>
          </cell>
          <cell r="E16" t="str">
            <v>EJ/yr</v>
          </cell>
          <cell r="H16">
            <v>101.93460156250001</v>
          </cell>
          <cell r="I16">
            <v>112.74639843750001</v>
          </cell>
          <cell r="K16">
            <v>152.18899999999999</v>
          </cell>
          <cell r="M16">
            <v>187.71890625</v>
          </cell>
          <cell r="O16">
            <v>217.01809374999999</v>
          </cell>
          <cell r="Q16">
            <v>236.38829687500001</v>
          </cell>
          <cell r="R16">
            <v>260.61790625000003</v>
          </cell>
          <cell r="S16">
            <v>270.75331249999999</v>
          </cell>
          <cell r="T16">
            <v>269.83550000000002</v>
          </cell>
          <cell r="U16">
            <v>245.80199999999999</v>
          </cell>
          <cell r="V16">
            <v>215.65909375000001</v>
          </cell>
        </row>
        <row r="17">
          <cell r="D17" t="str">
            <v>Primary Energy|Oil</v>
          </cell>
          <cell r="E17" t="str">
            <v>EJ/yr</v>
          </cell>
          <cell r="H17">
            <v>174.80140625000001</v>
          </cell>
          <cell r="I17">
            <v>171.87170312500001</v>
          </cell>
          <cell r="K17">
            <v>176.65059375000001</v>
          </cell>
          <cell r="M17">
            <v>165.22149999999999</v>
          </cell>
          <cell r="O17">
            <v>158.09770312500001</v>
          </cell>
          <cell r="Q17">
            <v>173.017</v>
          </cell>
          <cell r="R17">
            <v>198.71950000000001</v>
          </cell>
          <cell r="S17">
            <v>201.88609375000001</v>
          </cell>
          <cell r="T17">
            <v>191.60340625000001</v>
          </cell>
          <cell r="U17">
            <v>187.47479687500001</v>
          </cell>
          <cell r="V17">
            <v>180.62559375000001</v>
          </cell>
        </row>
        <row r="18">
          <cell r="D18" t="str">
            <v>Emissions|CO2|AFOLU</v>
          </cell>
          <cell r="E18" t="str">
            <v>Mt CO2/yr</v>
          </cell>
          <cell r="H18">
            <v>3789.3629999999998</v>
          </cell>
          <cell r="I18">
            <v>3502.3380000000002</v>
          </cell>
          <cell r="K18">
            <v>5212.4560000000001</v>
          </cell>
          <cell r="M18">
            <v>6280.915</v>
          </cell>
          <cell r="O18">
            <v>6178.3190000000004</v>
          </cell>
          <cell r="Q18">
            <v>5046.7979999999998</v>
          </cell>
          <cell r="R18">
            <v>1435.3140000000001</v>
          </cell>
          <cell r="S18">
            <v>726.26400000000001</v>
          </cell>
          <cell r="T18">
            <v>-115.452</v>
          </cell>
          <cell r="U18">
            <v>914.21400000000006</v>
          </cell>
          <cell r="V18">
            <v>-526.66499999999996</v>
          </cell>
        </row>
        <row r="19">
          <cell r="D19" t="str">
            <v>Emissions|CO2|Fossil Fuels and Industry</v>
          </cell>
          <cell r="H19">
            <v>29393.36868127187</v>
          </cell>
          <cell r="I19">
            <v>32110.274364550907</v>
          </cell>
          <cell r="J19">
            <v>0</v>
          </cell>
          <cell r="K19">
            <v>38265.562772750854</v>
          </cell>
          <cell r="L19">
            <v>0</v>
          </cell>
          <cell r="M19">
            <v>43193.502604961395</v>
          </cell>
          <cell r="N19">
            <v>0</v>
          </cell>
          <cell r="O19">
            <v>46735.455910364784</v>
          </cell>
          <cell r="P19">
            <v>0</v>
          </cell>
          <cell r="Q19">
            <v>50944.303194681801</v>
          </cell>
          <cell r="R19">
            <v>56186.300555864967</v>
          </cell>
          <cell r="S19">
            <v>60140.393733978271</v>
          </cell>
          <cell r="T19">
            <v>63528.846879800156</v>
          </cell>
          <cell r="U19">
            <v>67952.497919400528</v>
          </cell>
          <cell r="V19">
            <v>73019.277334213242</v>
          </cell>
        </row>
        <row r="22">
          <cell r="D22" t="str">
            <v>GDP deflator 2010/2005</v>
          </cell>
          <cell r="E22">
            <v>1.0900000000000001</v>
          </cell>
        </row>
      </sheetData>
      <sheetData sheetId="3">
        <row r="1">
          <cell r="A1" t="str">
            <v>model</v>
          </cell>
          <cell r="B1" t="str">
            <v>scenario</v>
          </cell>
          <cell r="C1" t="str">
            <v>region</v>
          </cell>
          <cell r="D1" t="str">
            <v>variable</v>
          </cell>
          <cell r="E1" t="str">
            <v>unit</v>
          </cell>
          <cell r="F1" t="str">
            <v>subannual</v>
          </cell>
          <cell r="G1" t="str">
            <v>meta</v>
          </cell>
          <cell r="H1">
            <v>2005</v>
          </cell>
          <cell r="I1">
            <v>2010</v>
          </cell>
          <cell r="J1">
            <v>2015</v>
          </cell>
          <cell r="K1">
            <v>2020</v>
          </cell>
          <cell r="L1">
            <v>2025</v>
          </cell>
          <cell r="M1">
            <v>2030</v>
          </cell>
          <cell r="N1">
            <v>2035</v>
          </cell>
          <cell r="O1">
            <v>2040</v>
          </cell>
          <cell r="P1">
            <v>2045</v>
          </cell>
          <cell r="Q1">
            <v>2050</v>
          </cell>
          <cell r="R1">
            <v>2060</v>
          </cell>
          <cell r="S1">
            <v>2070</v>
          </cell>
          <cell r="T1">
            <v>2080</v>
          </cell>
          <cell r="U1">
            <v>2090</v>
          </cell>
          <cell r="V1">
            <v>2100</v>
          </cell>
        </row>
        <row r="2">
          <cell r="D2" t="str">
            <v>Carbon Sequestration|CCS|Biomass|Energy</v>
          </cell>
          <cell r="E2" t="str">
            <v>Mt CO2/yr</v>
          </cell>
          <cell r="H2">
            <v>0</v>
          </cell>
          <cell r="I2">
            <v>0</v>
          </cell>
          <cell r="J2">
            <v>0</v>
          </cell>
          <cell r="K2">
            <v>0.1865578636473777</v>
          </cell>
          <cell r="L2">
            <v>142.31192855610681</v>
          </cell>
          <cell r="M2">
            <v>2046.6819414480899</v>
          </cell>
          <cell r="N2">
            <v>6363.2141649723053</v>
          </cell>
          <cell r="O2">
            <v>10110.809129973251</v>
          </cell>
          <cell r="P2">
            <v>11666.537222762901</v>
          </cell>
          <cell r="Q2">
            <v>12266.038820147514</v>
          </cell>
          <cell r="R2">
            <v>13472.348918517429</v>
          </cell>
          <cell r="S2">
            <v>14589.740599195162</v>
          </cell>
          <cell r="T2">
            <v>14890.738022824127</v>
          </cell>
          <cell r="U2">
            <v>15005.313542981941</v>
          </cell>
          <cell r="V2">
            <v>15717.620703081289</v>
          </cell>
        </row>
        <row r="3">
          <cell r="D3" t="str">
            <v>Carbon Sequestration|CCS|Biomass|Industrial Processes</v>
          </cell>
          <cell r="E3" t="str">
            <v>Mt CO2/yr</v>
          </cell>
          <cell r="H3">
            <v>0</v>
          </cell>
          <cell r="I3">
            <v>0</v>
          </cell>
          <cell r="J3">
            <v>0</v>
          </cell>
          <cell r="K3">
            <v>0.16916394451982342</v>
          </cell>
          <cell r="L3">
            <v>0.63763845537323505</v>
          </cell>
          <cell r="M3">
            <v>2.3935520633434253</v>
          </cell>
          <cell r="N3">
            <v>27.16990808645884</v>
          </cell>
          <cell r="O3">
            <v>137.1482213338216</v>
          </cell>
          <cell r="P3">
            <v>329.0178204576174</v>
          </cell>
          <cell r="Q3">
            <v>548.14354578653968</v>
          </cell>
          <cell r="R3">
            <v>738.50883543491364</v>
          </cell>
          <cell r="S3">
            <v>554.42200601100922</v>
          </cell>
          <cell r="T3">
            <v>550.3333111604054</v>
          </cell>
          <cell r="U3">
            <v>883.95377496878302</v>
          </cell>
          <cell r="V3">
            <v>987.44693398475647</v>
          </cell>
        </row>
        <row r="4">
          <cell r="D4" t="str">
            <v>Carbon Sequestration|CCS|Fossil|Energy</v>
          </cell>
          <cell r="E4" t="str">
            <v>Mt CO2/yr</v>
          </cell>
          <cell r="H4">
            <v>0</v>
          </cell>
          <cell r="I4">
            <v>0</v>
          </cell>
          <cell r="J4">
            <v>0</v>
          </cell>
          <cell r="K4">
            <v>86.523704886895388</v>
          </cell>
          <cell r="L4">
            <v>546.08120805861813</v>
          </cell>
          <cell r="M4">
            <v>1459.5932114173788</v>
          </cell>
          <cell r="N4">
            <v>2852.0526207533594</v>
          </cell>
          <cell r="O4">
            <v>4249.1414828170182</v>
          </cell>
          <cell r="P4">
            <v>5097.1005276611922</v>
          </cell>
          <cell r="Q4">
            <v>5432.0309474035939</v>
          </cell>
          <cell r="R4">
            <v>5855.8124342428828</v>
          </cell>
          <cell r="S4">
            <v>7401.4940122970074</v>
          </cell>
          <cell r="T4">
            <v>9356.7068981040684</v>
          </cell>
          <cell r="U4">
            <v>10342.142114350281</v>
          </cell>
          <cell r="V4">
            <v>11471.151289355475</v>
          </cell>
        </row>
        <row r="5">
          <cell r="D5" t="str">
            <v>Carbon Sequestration|CCS|Fossil|Industrial Processes</v>
          </cell>
          <cell r="E5" t="str">
            <v>Mt CO2/yr</v>
          </cell>
          <cell r="H5">
            <v>0</v>
          </cell>
          <cell r="I5">
            <v>0</v>
          </cell>
          <cell r="J5">
            <v>0</v>
          </cell>
          <cell r="K5">
            <v>84.065855170289666</v>
          </cell>
          <cell r="L5">
            <v>507.36624126633006</v>
          </cell>
          <cell r="M5">
            <v>1244.5107623934746</v>
          </cell>
          <cell r="N5">
            <v>1873.1037626663842</v>
          </cell>
          <cell r="O5">
            <v>2330.1266270379224</v>
          </cell>
          <cell r="P5">
            <v>2551.2974988669157</v>
          </cell>
          <cell r="Q5">
            <v>2512.5507799287634</v>
          </cell>
          <cell r="R5">
            <v>2364.5570445805788</v>
          </cell>
          <cell r="S5">
            <v>2350.8639188418479</v>
          </cell>
          <cell r="T5">
            <v>2154.784124060825</v>
          </cell>
          <cell r="U5">
            <v>1855.3596071360516</v>
          </cell>
          <cell r="V5">
            <v>1854.6294884484571</v>
          </cell>
        </row>
        <row r="6">
          <cell r="D6" t="str">
            <v>Emissions|CH4</v>
          </cell>
          <cell r="E6" t="str">
            <v>Mt CH4/yr</v>
          </cell>
          <cell r="H6">
            <v>318.97500610351562</v>
          </cell>
          <cell r="I6">
            <v>349.47369384765625</v>
          </cell>
          <cell r="J6">
            <v>369.87258911132812</v>
          </cell>
          <cell r="K6">
            <v>320.12420654296875</v>
          </cell>
          <cell r="L6">
            <v>279.63848876953125</v>
          </cell>
          <cell r="M6">
            <v>245.50639343261719</v>
          </cell>
          <cell r="N6">
            <v>221.08619689941406</v>
          </cell>
          <cell r="O6">
            <v>212.76499938964844</v>
          </cell>
          <cell r="P6">
            <v>212.73210144042969</v>
          </cell>
          <cell r="Q6">
            <v>195.48330688476562</v>
          </cell>
          <cell r="R6">
            <v>181.27560424804688</v>
          </cell>
          <cell r="S6">
            <v>176.71240234375</v>
          </cell>
          <cell r="T6">
            <v>173.19419860839844</v>
          </cell>
          <cell r="U6">
            <v>166.80580139160156</v>
          </cell>
          <cell r="V6">
            <v>160.47869873046875</v>
          </cell>
        </row>
        <row r="7">
          <cell r="D7" t="str">
            <v>Emissions|CO2</v>
          </cell>
          <cell r="E7" t="str">
            <v>Mt CO2/yr</v>
          </cell>
          <cell r="H7">
            <v>33242.762698334569</v>
          </cell>
          <cell r="I7">
            <v>35766.07389648063</v>
          </cell>
          <cell r="J7">
            <v>38465.424482663519</v>
          </cell>
          <cell r="K7">
            <v>35469.188479786972</v>
          </cell>
          <cell r="L7">
            <v>29815.390790470905</v>
          </cell>
          <cell r="M7">
            <v>22059.964682995032</v>
          </cell>
          <cell r="N7">
            <v>10742.666423502647</v>
          </cell>
          <cell r="O7">
            <v>4571.0500899337794</v>
          </cell>
          <cell r="P7">
            <v>2832.6201784801669</v>
          </cell>
          <cell r="Q7">
            <v>-1988.1058758317786</v>
          </cell>
          <cell r="R7">
            <v>-8144.6710619383412</v>
          </cell>
          <cell r="S7">
            <v>-10885.680746432316</v>
          </cell>
          <cell r="T7">
            <v>-10413.714681936284</v>
          </cell>
          <cell r="U7">
            <v>-10129.368083603144</v>
          </cell>
          <cell r="V7">
            <v>-11206.807699586509</v>
          </cell>
        </row>
        <row r="8">
          <cell r="D8" t="str">
            <v>Emissions|CO2|AFOLU</v>
          </cell>
          <cell r="E8" t="str">
            <v>Mt CO2/yr</v>
          </cell>
          <cell r="H8">
            <v>3864.9050457191324</v>
          </cell>
          <cell r="I8">
            <v>3609.1870743337117</v>
          </cell>
          <cell r="J8">
            <v>3244.9982715616193</v>
          </cell>
          <cell r="K8">
            <v>3965.2363512544503</v>
          </cell>
          <cell r="L8">
            <v>3328.8264873669823</v>
          </cell>
          <cell r="M8">
            <v>1736.2504752068598</v>
          </cell>
          <cell r="N8">
            <v>1263.9039656675482</v>
          </cell>
          <cell r="O8">
            <v>3044.9569377091034</v>
          </cell>
          <cell r="P8">
            <v>5299.3323286224932</v>
          </cell>
          <cell r="Q8">
            <v>2821.3532519918558</v>
          </cell>
          <cell r="R8">
            <v>-574.72652326285288</v>
          </cell>
          <cell r="S8">
            <v>-1247.5484486561672</v>
          </cell>
          <cell r="T8">
            <v>-223.57453656242268</v>
          </cell>
          <cell r="U8">
            <v>135.26581974067136</v>
          </cell>
          <cell r="V8">
            <v>-223.12548386098808</v>
          </cell>
        </row>
        <row r="9">
          <cell r="D9" t="str">
            <v>Emissions|CO2|Energy</v>
          </cell>
          <cell r="E9" t="str">
            <v>Mt CO2/yr</v>
          </cell>
          <cell r="H9">
            <v>28117.532412211098</v>
          </cell>
          <cell r="I9">
            <v>30537.766138712563</v>
          </cell>
          <cell r="J9">
            <v>33459.158579508461</v>
          </cell>
          <cell r="K9">
            <v>29809.213638305664</v>
          </cell>
          <cell r="L9">
            <v>25024.875164031982</v>
          </cell>
          <cell r="M9">
            <v>19299.023469289143</v>
          </cell>
          <cell r="N9">
            <v>8954.5827706654854</v>
          </cell>
          <cell r="O9">
            <v>1349.1250574588776</v>
          </cell>
          <cell r="P9">
            <v>-2510.0607673327127</v>
          </cell>
          <cell r="Q9">
            <v>-4831.1668237050371</v>
          </cell>
          <cell r="R9">
            <v>-7590.2086893717442</v>
          </cell>
          <cell r="S9">
            <v>-9677.278995513916</v>
          </cell>
          <cell r="T9">
            <v>-10264.503717422485</v>
          </cell>
          <cell r="U9">
            <v>-10356.859604517618</v>
          </cell>
          <cell r="V9">
            <v>-11074.954032897949</v>
          </cell>
        </row>
        <row r="10">
          <cell r="D10" t="str">
            <v>Emissions|CO2|Industrial Processes</v>
          </cell>
          <cell r="E10" t="str">
            <v>Mt CO2/yr</v>
          </cell>
          <cell r="H10">
            <v>1260.3257497151692</v>
          </cell>
          <cell r="I10">
            <v>1619.1233793894448</v>
          </cell>
          <cell r="J10">
            <v>1761.2708310286203</v>
          </cell>
          <cell r="K10">
            <v>1694.7402755419412</v>
          </cell>
          <cell r="L10">
            <v>1461.6862535476685</v>
          </cell>
          <cell r="M10">
            <v>1024.6932705243428</v>
          </cell>
          <cell r="N10">
            <v>524.17785922686255</v>
          </cell>
          <cell r="O10">
            <v>176.96711421012878</v>
          </cell>
          <cell r="P10">
            <v>43.348727126916245</v>
          </cell>
          <cell r="Q10">
            <v>21.70874597504735</v>
          </cell>
          <cell r="R10">
            <v>20.261911830554403</v>
          </cell>
          <cell r="S10">
            <v>39.149879477918148</v>
          </cell>
          <cell r="T10">
            <v>74.364213272929192</v>
          </cell>
          <cell r="U10">
            <v>92.226641873518616</v>
          </cell>
          <cell r="V10">
            <v>91.271508485078812</v>
          </cell>
        </row>
        <row r="11">
          <cell r="D11" t="str">
            <v>Emissions|F-Gases</v>
          </cell>
          <cell r="E11" t="str">
            <v>Mt CO2-equiv/yr</v>
          </cell>
          <cell r="H11">
            <v>672.6583251953125</v>
          </cell>
          <cell r="I11">
            <v>877.77581787109375</v>
          </cell>
          <cell r="J11">
            <v>1232.802001953125</v>
          </cell>
          <cell r="K11">
            <v>1378.137939453125</v>
          </cell>
          <cell r="L11">
            <v>1111.54296875</v>
          </cell>
          <cell r="M11">
            <v>763.29931640625</v>
          </cell>
          <cell r="N11">
            <v>323.23089599609375</v>
          </cell>
          <cell r="O11">
            <v>186.33340454101562</v>
          </cell>
          <cell r="P11">
            <v>171.44529724121094</v>
          </cell>
          <cell r="Q11">
            <v>170.23919677734375</v>
          </cell>
          <cell r="R11">
            <v>173.96270751953125</v>
          </cell>
          <cell r="S11">
            <v>187.34120178222656</v>
          </cell>
          <cell r="T11">
            <v>198.74659729003906</v>
          </cell>
          <cell r="U11">
            <v>199.39259338378906</v>
          </cell>
          <cell r="V11">
            <v>235.86860656738281</v>
          </cell>
        </row>
        <row r="12">
          <cell r="D12" t="str">
            <v>Emissions|N2O</v>
          </cell>
          <cell r="E12" t="str">
            <v>kt N2O/yr</v>
          </cell>
          <cell r="H12">
            <v>9161.758507545981</v>
          </cell>
          <cell r="I12">
            <v>9819.4312891746522</v>
          </cell>
          <cell r="J12">
            <v>10315.425708682238</v>
          </cell>
          <cell r="K12">
            <v>9496.694542610885</v>
          </cell>
          <cell r="L12">
            <v>8855.8501649954833</v>
          </cell>
          <cell r="M12">
            <v>8813.5343865472023</v>
          </cell>
          <cell r="N12">
            <v>8939.3039177629016</v>
          </cell>
          <cell r="O12">
            <v>9522.712888027896</v>
          </cell>
          <cell r="P12">
            <v>10150.006763414853</v>
          </cell>
          <cell r="Q12">
            <v>10140.974118328029</v>
          </cell>
          <cell r="R12">
            <v>9971.8330050929089</v>
          </cell>
          <cell r="S12">
            <v>10058.244695917556</v>
          </cell>
          <cell r="T12">
            <v>10158.581330934834</v>
          </cell>
          <cell r="U12">
            <v>10194.563055255379</v>
          </cell>
          <cell r="V12">
            <v>10231.057335379355</v>
          </cell>
        </row>
        <row r="13">
          <cell r="D13" t="str">
            <v>Final Energy</v>
          </cell>
          <cell r="E13" t="str">
            <v>EJ/yr</v>
          </cell>
          <cell r="H13">
            <v>341.09818749999999</v>
          </cell>
          <cell r="I13">
            <v>367.15600000000001</v>
          </cell>
          <cell r="J13">
            <v>393.10681249999999</v>
          </cell>
          <cell r="K13">
            <v>368.05799999999999</v>
          </cell>
          <cell r="L13">
            <v>340.81650000000002</v>
          </cell>
          <cell r="M13">
            <v>322.483</v>
          </cell>
          <cell r="N13">
            <v>311.13818750000002</v>
          </cell>
          <cell r="O13">
            <v>311.40240625000001</v>
          </cell>
          <cell r="P13">
            <v>318.4205</v>
          </cell>
          <cell r="Q13">
            <v>326.97550000000001</v>
          </cell>
          <cell r="R13">
            <v>350.09509374999999</v>
          </cell>
          <cell r="S13">
            <v>378.23900000000003</v>
          </cell>
          <cell r="T13">
            <v>410.49131249999999</v>
          </cell>
          <cell r="U13">
            <v>438.35290624999999</v>
          </cell>
          <cell r="V13">
            <v>461.12959375000003</v>
          </cell>
        </row>
        <row r="14">
          <cell r="D14" t="str">
            <v>GDP|MER</v>
          </cell>
          <cell r="E14" t="str">
            <v>billion US$2010/yr OR local currency</v>
          </cell>
          <cell r="H14">
            <v>50400.521682880004</v>
          </cell>
          <cell r="I14">
            <v>56683.964146800005</v>
          </cell>
          <cell r="J14">
            <v>65711.67737712001</v>
          </cell>
          <cell r="K14">
            <v>79771.529967360009</v>
          </cell>
          <cell r="L14">
            <v>95395.006308160009</v>
          </cell>
          <cell r="M14">
            <v>111729.53652400001</v>
          </cell>
          <cell r="N14">
            <v>128253.58776096001</v>
          </cell>
          <cell r="O14">
            <v>145692.96012896</v>
          </cell>
          <cell r="P14">
            <v>164049.87796992002</v>
          </cell>
          <cell r="Q14">
            <v>183026.66939104002</v>
          </cell>
          <cell r="R14">
            <v>225283.40562304002</v>
          </cell>
          <cell r="S14">
            <v>275931.05080704001</v>
          </cell>
          <cell r="T14">
            <v>334675.83229504002</v>
          </cell>
          <cell r="U14">
            <v>402826.76201408001</v>
          </cell>
          <cell r="V14">
            <v>481607.81290688005</v>
          </cell>
        </row>
        <row r="15">
          <cell r="D15" t="str">
            <v>GDP|PPP</v>
          </cell>
          <cell r="E15" t="str">
            <v>billion US$2010/yr OR local currency</v>
          </cell>
          <cell r="H15">
            <v>63593.003779609375</v>
          </cell>
          <cell r="I15">
            <v>75837.966066718742</v>
          </cell>
          <cell r="J15">
            <v>90506.408174374999</v>
          </cell>
          <cell r="K15">
            <v>112548.8244896875</v>
          </cell>
          <cell r="L15">
            <v>136289.35429968749</v>
          </cell>
          <cell r="M15">
            <v>160415.04876937499</v>
          </cell>
          <cell r="N15">
            <v>184239.6456603125</v>
          </cell>
          <cell r="O15">
            <v>208805.21676062499</v>
          </cell>
          <cell r="P15">
            <v>234044.74380031248</v>
          </cell>
          <cell r="Q15">
            <v>259447.558639375</v>
          </cell>
          <cell r="R15">
            <v>313768.01272062497</v>
          </cell>
          <cell r="S15">
            <v>375415.85534999997</v>
          </cell>
          <cell r="T15">
            <v>442751.04284062498</v>
          </cell>
          <cell r="U15">
            <v>516224.35613874998</v>
          </cell>
          <cell r="V15">
            <v>596236.48557249992</v>
          </cell>
        </row>
        <row r="16">
          <cell r="D16" t="str">
            <v>Population</v>
          </cell>
          <cell r="E16" t="str">
            <v>million</v>
          </cell>
          <cell r="H16">
            <v>6530.5478515625</v>
          </cell>
          <cell r="I16">
            <v>6921.7978515625</v>
          </cell>
          <cell r="J16">
            <v>7302.09423828125</v>
          </cell>
          <cell r="K16">
            <v>7671.501953125</v>
          </cell>
          <cell r="L16">
            <v>8015.39892578125</v>
          </cell>
          <cell r="M16">
            <v>8327.6826171875</v>
          </cell>
          <cell r="N16">
            <v>8608.79296875</v>
          </cell>
          <cell r="O16">
            <v>8857.17578125</v>
          </cell>
          <cell r="P16">
            <v>9069.8994140625</v>
          </cell>
          <cell r="Q16">
            <v>9242.54296875</v>
          </cell>
          <cell r="R16">
            <v>9459.9677734375</v>
          </cell>
          <cell r="S16">
            <v>9531.0947265625</v>
          </cell>
          <cell r="T16">
            <v>9480.2275390625</v>
          </cell>
          <cell r="U16">
            <v>9325.70703125</v>
          </cell>
          <cell r="V16">
            <v>9103.234375</v>
          </cell>
        </row>
        <row r="17">
          <cell r="D17" t="str">
            <v>Primary Energy</v>
          </cell>
          <cell r="E17" t="str">
            <v>EJ/yr</v>
          </cell>
          <cell r="H17">
            <v>459.51100000000002</v>
          </cell>
          <cell r="I17">
            <v>505.55809375000001</v>
          </cell>
          <cell r="J17">
            <v>550.94281250000006</v>
          </cell>
          <cell r="K17">
            <v>510.54709374999999</v>
          </cell>
          <cell r="L17">
            <v>470.23368750000003</v>
          </cell>
          <cell r="M17">
            <v>456.38109374999999</v>
          </cell>
          <cell r="N17">
            <v>444.35950000000003</v>
          </cell>
          <cell r="O17">
            <v>461.86840625000002</v>
          </cell>
          <cell r="P17">
            <v>479.38690625000004</v>
          </cell>
          <cell r="Q17">
            <v>485.24700000000001</v>
          </cell>
          <cell r="R17">
            <v>510.13018750000003</v>
          </cell>
          <cell r="S17">
            <v>555.05881250000004</v>
          </cell>
          <cell r="T17">
            <v>601.91537500000004</v>
          </cell>
          <cell r="U17">
            <v>631.721</v>
          </cell>
          <cell r="V17">
            <v>659.4681875</v>
          </cell>
        </row>
        <row r="18">
          <cell r="D18" t="str">
            <v>Primary Energy|Coal</v>
          </cell>
          <cell r="E18" t="str">
            <v>EJ/yr</v>
          </cell>
          <cell r="H18">
            <v>117.607203125</v>
          </cell>
          <cell r="I18">
            <v>146.15899999999999</v>
          </cell>
          <cell r="J18">
            <v>159.95140624999999</v>
          </cell>
          <cell r="K18">
            <v>130.73179687500001</v>
          </cell>
          <cell r="L18">
            <v>104.43229687500001</v>
          </cell>
          <cell r="M18">
            <v>79.554218750000004</v>
          </cell>
          <cell r="N18">
            <v>48.7410703125</v>
          </cell>
          <cell r="O18">
            <v>42.745421874999998</v>
          </cell>
          <cell r="P18">
            <v>39.154988281249999</v>
          </cell>
          <cell r="Q18">
            <v>34.248179687499999</v>
          </cell>
          <cell r="R18">
            <v>27.55269921875</v>
          </cell>
          <cell r="S18">
            <v>37.360648437500004</v>
          </cell>
          <cell r="T18">
            <v>54.270050781249999</v>
          </cell>
          <cell r="U18">
            <v>68.709132812500002</v>
          </cell>
          <cell r="V18">
            <v>86.957218749999996</v>
          </cell>
        </row>
        <row r="19">
          <cell r="D19" t="str">
            <v>Primary Energy|Gas</v>
          </cell>
          <cell r="E19" t="str">
            <v>EJ/yr</v>
          </cell>
          <cell r="H19">
            <v>102.980796875</v>
          </cell>
          <cell r="I19">
            <v>114.4786015625</v>
          </cell>
          <cell r="J19">
            <v>130.66539843750002</v>
          </cell>
          <cell r="K19">
            <v>131.51849999999999</v>
          </cell>
          <cell r="L19">
            <v>127.4786015625</v>
          </cell>
          <cell r="M19">
            <v>139.64240624999999</v>
          </cell>
          <cell r="N19">
            <v>135.5515</v>
          </cell>
          <cell r="O19">
            <v>130.019796875</v>
          </cell>
          <cell r="P19">
            <v>128.71529687500001</v>
          </cell>
          <cell r="Q19">
            <v>119.765</v>
          </cell>
          <cell r="R19">
            <v>118.1463984375</v>
          </cell>
          <cell r="S19">
            <v>127.371796875</v>
          </cell>
          <cell r="T19">
            <v>135.66579687500001</v>
          </cell>
          <cell r="U19">
            <v>119.94110156250001</v>
          </cell>
          <cell r="V19">
            <v>103.032703125</v>
          </cell>
        </row>
        <row r="20">
          <cell r="D20" t="str">
            <v>Primary Energy|Oil</v>
          </cell>
          <cell r="E20" t="str">
            <v>EJ/yr</v>
          </cell>
          <cell r="H20">
            <v>173.66499999999999</v>
          </cell>
          <cell r="I20">
            <v>171.025796875</v>
          </cell>
          <cell r="J20">
            <v>177.16440625000001</v>
          </cell>
          <cell r="K20">
            <v>155.83659374999999</v>
          </cell>
          <cell r="L20">
            <v>134.121796875</v>
          </cell>
          <cell r="M20">
            <v>113.13939843750001</v>
          </cell>
          <cell r="N20">
            <v>88.279031250000003</v>
          </cell>
          <cell r="O20">
            <v>62.6579609375</v>
          </cell>
          <cell r="P20">
            <v>46.605578125000001</v>
          </cell>
          <cell r="Q20">
            <v>37.885980468749999</v>
          </cell>
          <cell r="R20">
            <v>28.311509765625001</v>
          </cell>
          <cell r="S20">
            <v>23.396039062500002</v>
          </cell>
          <cell r="T20">
            <v>22.004039062500002</v>
          </cell>
          <cell r="U20">
            <v>22.222609375000001</v>
          </cell>
          <cell r="V20">
            <v>21.776710937499999</v>
          </cell>
        </row>
        <row r="21">
          <cell r="D21" t="str">
            <v>Emissions|CO2|Carbon Capture and Storage</v>
          </cell>
          <cell r="H21">
            <v>0</v>
          </cell>
          <cell r="I21">
            <v>0</v>
          </cell>
          <cell r="J21">
            <v>0</v>
          </cell>
          <cell r="K21">
            <v>170.94528186535226</v>
          </cell>
          <cell r="L21">
            <v>1196.3970163364281</v>
          </cell>
          <cell r="M21">
            <v>4753.1794673222867</v>
          </cell>
          <cell r="N21">
            <v>11115.540456478508</v>
          </cell>
          <cell r="O21">
            <v>16827.225461162016</v>
          </cell>
          <cell r="P21">
            <v>19643.953069748626</v>
          </cell>
          <cell r="Q21">
            <v>20758.764093266411</v>
          </cell>
          <cell r="R21">
            <v>22431.227232775804</v>
          </cell>
          <cell r="S21">
            <v>24896.520536345026</v>
          </cell>
          <cell r="T21">
            <v>26952.562356149429</v>
          </cell>
          <cell r="U21">
            <v>28086.769039437058</v>
          </cell>
          <cell r="V21">
            <v>30030.848414869975</v>
          </cell>
        </row>
        <row r="22">
          <cell r="D22" t="str">
            <v>Emissions|CO2|Carbon Capture and Storage|Biomass</v>
          </cell>
          <cell r="H22">
            <v>0</v>
          </cell>
          <cell r="I22">
            <v>0</v>
          </cell>
          <cell r="J22">
            <v>0</v>
          </cell>
          <cell r="K22">
            <v>0.35572180816720111</v>
          </cell>
          <cell r="L22">
            <v>142.94956701148004</v>
          </cell>
          <cell r="M22">
            <v>2049.0754935114333</v>
          </cell>
          <cell r="N22">
            <v>6390.3840730587644</v>
          </cell>
          <cell r="O22">
            <v>10247.957351307074</v>
          </cell>
          <cell r="P22">
            <v>11995.555043220518</v>
          </cell>
          <cell r="Q22">
            <v>12814.182365934053</v>
          </cell>
          <cell r="R22">
            <v>14210.857753952343</v>
          </cell>
          <cell r="S22">
            <v>15144.162605206171</v>
          </cell>
          <cell r="T22">
            <v>15441.071333984533</v>
          </cell>
          <cell r="U22">
            <v>15889.267317950724</v>
          </cell>
          <cell r="V22">
            <v>16705.067637066044</v>
          </cell>
        </row>
        <row r="23">
          <cell r="D23" t="str">
            <v>Emissions|CO2|Fossil Fuels and Industry</v>
          </cell>
          <cell r="H23">
            <v>29377.858161926266</v>
          </cell>
          <cell r="I23">
            <v>32156.889518102009</v>
          </cell>
          <cell r="J23">
            <v>35220.429410537079</v>
          </cell>
          <cell r="K23">
            <v>31503.953913847607</v>
          </cell>
          <cell r="L23">
            <v>26486.561417579651</v>
          </cell>
          <cell r="M23">
            <v>20323.716739813484</v>
          </cell>
          <cell r="N23">
            <v>9478.7606298923474</v>
          </cell>
          <cell r="O23">
            <v>1526.0921716690063</v>
          </cell>
          <cell r="P23">
            <v>-2466.7120402057963</v>
          </cell>
          <cell r="Q23">
            <v>-4809.4580777299898</v>
          </cell>
          <cell r="R23">
            <v>-7569.9467775411895</v>
          </cell>
          <cell r="S23">
            <v>-9638.1291160359979</v>
          </cell>
          <cell r="T23">
            <v>-10190.139504149556</v>
          </cell>
          <cell r="U23">
            <v>-10264.6329626441</v>
          </cell>
          <cell r="V23">
            <v>-10983.68252441287</v>
          </cell>
        </row>
        <row r="27">
          <cell r="V27">
            <v>0</v>
          </cell>
          <cell r="W27" t="str">
            <v>foss+ind</v>
          </cell>
        </row>
        <row r="28">
          <cell r="V28">
            <v>0</v>
          </cell>
          <cell r="W28" t="str">
            <v>foss+ind</v>
          </cell>
        </row>
      </sheetData>
      <sheetData sheetId="4">
        <row r="13">
          <cell r="A13" t="str">
            <v>Model</v>
          </cell>
          <cell r="B13" t="str">
            <v>Scenario</v>
          </cell>
          <cell r="C13" t="str">
            <v>Region</v>
          </cell>
          <cell r="D13" t="str">
            <v>Variable</v>
          </cell>
          <cell r="E13" t="str">
            <v>Unit</v>
          </cell>
          <cell r="F13">
            <v>2000</v>
          </cell>
          <cell r="G13">
            <v>2005</v>
          </cell>
          <cell r="H13">
            <v>2010</v>
          </cell>
          <cell r="I13">
            <v>2020</v>
          </cell>
          <cell r="J13">
            <v>2030</v>
          </cell>
          <cell r="K13">
            <v>2040</v>
          </cell>
          <cell r="L13">
            <v>2050</v>
          </cell>
          <cell r="M13">
            <v>2060</v>
          </cell>
          <cell r="N13">
            <v>2070</v>
          </cell>
          <cell r="O13">
            <v>2080</v>
          </cell>
          <cell r="P13">
            <v>2090</v>
          </cell>
          <cell r="Q13">
            <v>2100</v>
          </cell>
        </row>
      </sheetData>
      <sheetData sheetId="5">
        <row r="13">
          <cell r="A13" t="str">
            <v>Model</v>
          </cell>
          <cell r="B13" t="str">
            <v>Scenario</v>
          </cell>
          <cell r="C13" t="str">
            <v>Region</v>
          </cell>
          <cell r="D13" t="str">
            <v>Variable</v>
          </cell>
          <cell r="E13" t="str">
            <v>Unit</v>
          </cell>
          <cell r="F13">
            <v>2000</v>
          </cell>
          <cell r="G13">
            <v>2005</v>
          </cell>
          <cell r="H13">
            <v>2010</v>
          </cell>
          <cell r="I13">
            <v>2020</v>
          </cell>
          <cell r="J13">
            <v>2030</v>
          </cell>
          <cell r="K13">
            <v>2040</v>
          </cell>
          <cell r="L13">
            <v>2050</v>
          </cell>
          <cell r="M13">
            <v>2060</v>
          </cell>
          <cell r="N13">
            <v>2070</v>
          </cell>
          <cell r="O13">
            <v>2080</v>
          </cell>
          <cell r="P13">
            <v>2090</v>
          </cell>
          <cell r="Q13">
            <v>2100</v>
          </cell>
        </row>
      </sheetData>
      <sheetData sheetId="6"/>
      <sheetData sheetId="7"/>
      <sheetData sheetId="8" refreshError="1"/>
      <sheetData sheetId="9" refreshError="1"/>
      <sheetData sheetId="10" refreshError="1"/>
      <sheetData sheetId="11"/>
      <sheetData sheetId="12" refreshError="1"/>
      <sheetData sheetId="13" refreshError="1"/>
      <sheetData sheetId="14" refreshError="1"/>
      <sheetData sheetId="15" refreshError="1"/>
      <sheetData sheetId="16" refreshError="1"/>
      <sheetData sheetId="17" refreshError="1"/>
      <sheetData sheetId="18">
        <row r="26">
          <cell r="E26" t="str">
            <v>Pillars</v>
          </cell>
        </row>
      </sheetData>
      <sheetData sheetId="19"/>
      <sheetData sheetId="20"/>
      <sheetData sheetId="21"/>
      <sheetData sheetId="22"/>
      <sheetData sheetId="23">
        <row r="1">
          <cell r="A1" t="str">
            <v>Intervention Case</v>
          </cell>
          <cell r="C1">
            <v>2000</v>
          </cell>
          <cell r="D1">
            <v>2005</v>
          </cell>
          <cell r="E1">
            <v>2010</v>
          </cell>
          <cell r="F1">
            <v>2020</v>
          </cell>
          <cell r="G1">
            <v>2030</v>
          </cell>
          <cell r="H1">
            <v>2040</v>
          </cell>
          <cell r="I1">
            <v>2050</v>
          </cell>
          <cell r="J1">
            <v>2060</v>
          </cell>
          <cell r="K1">
            <v>2070</v>
          </cell>
          <cell r="L1">
            <v>2080</v>
          </cell>
          <cell r="M1">
            <v>2090</v>
          </cell>
          <cell r="N1">
            <v>2100</v>
          </cell>
        </row>
        <row r="8">
          <cell r="E8">
            <v>0</v>
          </cell>
        </row>
        <row r="11">
          <cell r="A11" t="str">
            <v>CCS Biomass Energy</v>
          </cell>
          <cell r="C11">
            <v>0</v>
          </cell>
          <cell r="D11">
            <v>0</v>
          </cell>
          <cell r="E11">
            <v>0</v>
          </cell>
          <cell r="F11">
            <v>0.1865578636473777</v>
          </cell>
          <cell r="G11">
            <v>2046.6819414480899</v>
          </cell>
          <cell r="H11">
            <v>10110.809129973251</v>
          </cell>
          <cell r="I11">
            <v>12266.038820147514</v>
          </cell>
          <cell r="J11">
            <v>13472.348918517429</v>
          </cell>
          <cell r="K11">
            <v>14589.740599195162</v>
          </cell>
          <cell r="L11">
            <v>14890.738022824127</v>
          </cell>
          <cell r="M11">
            <v>15005.313542981941</v>
          </cell>
          <cell r="N11">
            <v>15717.620703081288</v>
          </cell>
        </row>
        <row r="12">
          <cell r="E12">
            <v>0</v>
          </cell>
        </row>
        <row r="13">
          <cell r="E13">
            <v>0</v>
          </cell>
        </row>
        <row r="14">
          <cell r="E14">
            <v>1</v>
          </cell>
        </row>
        <row r="15">
          <cell r="E15">
            <v>1</v>
          </cell>
        </row>
        <row r="23">
          <cell r="E23">
            <v>30.537766138712563</v>
          </cell>
        </row>
      </sheetData>
      <sheetData sheetId="24"/>
      <sheetData sheetId="25"/>
      <sheetData sheetId="26">
        <row r="2">
          <cell r="A2" t="str">
            <v>P</v>
          </cell>
          <cell r="C2">
            <v>0</v>
          </cell>
          <cell r="D2">
            <v>6.5305478515625</v>
          </cell>
          <cell r="E2">
            <v>6.9217978515625003</v>
          </cell>
          <cell r="F2">
            <v>7.6715019531250004</v>
          </cell>
          <cell r="G2">
            <v>8.3276826171875005</v>
          </cell>
          <cell r="H2">
            <v>8.8571757812499996</v>
          </cell>
          <cell r="I2">
            <v>9.2425429687499996</v>
          </cell>
          <cell r="J2">
            <v>9.4599677734374996</v>
          </cell>
          <cell r="K2">
            <v>9.5310947265625003</v>
          </cell>
          <cell r="L2">
            <v>9.4802275390625006</v>
          </cell>
          <cell r="M2">
            <v>9.3257070312499994</v>
          </cell>
          <cell r="N2">
            <v>9.1032343749999995</v>
          </cell>
        </row>
        <row r="3">
          <cell r="E3">
            <v>74.623452265625005</v>
          </cell>
        </row>
        <row r="4">
          <cell r="E4">
            <v>368.1208125</v>
          </cell>
        </row>
        <row r="5">
          <cell r="E5">
            <v>506.23181249999999</v>
          </cell>
        </row>
        <row r="6">
          <cell r="E6">
            <v>430.60250781250005</v>
          </cell>
        </row>
        <row r="7">
          <cell r="E7">
            <v>30.490629196166992</v>
          </cell>
        </row>
        <row r="8">
          <cell r="E8">
            <v>30.490629196166992</v>
          </cell>
        </row>
        <row r="16">
          <cell r="E16">
            <v>1</v>
          </cell>
        </row>
        <row r="17">
          <cell r="E17">
            <v>1</v>
          </cell>
        </row>
        <row r="18">
          <cell r="E18">
            <v>1</v>
          </cell>
        </row>
        <row r="19">
          <cell r="E19">
            <v>1</v>
          </cell>
        </row>
        <row r="20">
          <cell r="E20">
            <v>1</v>
          </cell>
        </row>
        <row r="21">
          <cell r="E21">
            <v>1</v>
          </cell>
        </row>
      </sheetData>
      <sheetData sheetId="27">
        <row r="1">
          <cell r="A1" t="str">
            <v>Intervention Case</v>
          </cell>
          <cell r="C1">
            <v>2000</v>
          </cell>
          <cell r="D1">
            <v>2005</v>
          </cell>
          <cell r="E1">
            <v>2010</v>
          </cell>
          <cell r="F1">
            <v>2020</v>
          </cell>
          <cell r="G1">
            <v>2030</v>
          </cell>
          <cell r="H1">
            <v>2040</v>
          </cell>
          <cell r="I1">
            <v>2050</v>
          </cell>
          <cell r="J1">
            <v>2060</v>
          </cell>
          <cell r="K1">
            <v>2070</v>
          </cell>
          <cell r="L1">
            <v>2080</v>
          </cell>
          <cell r="M1">
            <v>2090</v>
          </cell>
          <cell r="N1">
            <v>2100</v>
          </cell>
        </row>
        <row r="2">
          <cell r="A2" t="str">
            <v>P</v>
          </cell>
          <cell r="C2">
            <v>0</v>
          </cell>
          <cell r="D2">
            <v>6.5305478515625</v>
          </cell>
          <cell r="E2">
            <v>6.9217978515625003</v>
          </cell>
          <cell r="F2">
            <v>7.6715019531250004</v>
          </cell>
          <cell r="G2">
            <v>8.3276826171875005</v>
          </cell>
          <cell r="H2">
            <v>8.8571757812499996</v>
          </cell>
          <cell r="I2">
            <v>9.2425429687499996</v>
          </cell>
          <cell r="J2">
            <v>9.4599677734374996</v>
          </cell>
          <cell r="K2">
            <v>9.5310947265625003</v>
          </cell>
          <cell r="L2">
            <v>9.4802275390625006</v>
          </cell>
          <cell r="M2">
            <v>9.3257070312499994</v>
          </cell>
          <cell r="N2">
            <v>9.1032343749999995</v>
          </cell>
        </row>
        <row r="3">
          <cell r="E3">
            <v>75.837966066718735</v>
          </cell>
        </row>
        <row r="4">
          <cell r="E4">
            <v>367.15600000000001</v>
          </cell>
        </row>
        <row r="5">
          <cell r="E5">
            <v>505.55809375000001</v>
          </cell>
        </row>
        <row r="6">
          <cell r="E6">
            <v>431.66339843749995</v>
          </cell>
        </row>
        <row r="7">
          <cell r="E7">
            <v>30.537766138712563</v>
          </cell>
        </row>
        <row r="8">
          <cell r="E8">
            <v>30.537766138712563</v>
          </cell>
        </row>
        <row r="16">
          <cell r="E16">
            <v>1</v>
          </cell>
        </row>
        <row r="17">
          <cell r="E17">
            <v>1</v>
          </cell>
        </row>
        <row r="18">
          <cell r="E18">
            <v>1</v>
          </cell>
        </row>
        <row r="19">
          <cell r="E19">
            <v>1</v>
          </cell>
        </row>
        <row r="20">
          <cell r="E20">
            <v>1</v>
          </cell>
        </row>
        <row r="21">
          <cell r="E21">
            <v>1</v>
          </cell>
        </row>
      </sheetData>
      <sheetData sheetId="28">
        <row r="1">
          <cell r="A1" t="str">
            <v>Reference Case</v>
          </cell>
          <cell r="C1">
            <v>2000</v>
          </cell>
          <cell r="D1">
            <v>2005</v>
          </cell>
          <cell r="E1">
            <v>2010</v>
          </cell>
          <cell r="F1">
            <v>2020</v>
          </cell>
          <cell r="G1">
            <v>2030</v>
          </cell>
          <cell r="H1">
            <v>2040</v>
          </cell>
          <cell r="I1">
            <v>2050</v>
          </cell>
          <cell r="J1">
            <v>2060</v>
          </cell>
          <cell r="K1">
            <v>2070</v>
          </cell>
          <cell r="L1">
            <v>2080</v>
          </cell>
          <cell r="M1">
            <v>2090</v>
          </cell>
          <cell r="N1">
            <v>2100</v>
          </cell>
        </row>
        <row r="2">
          <cell r="A2" t="str">
            <v>P</v>
          </cell>
          <cell r="B2" t="str">
            <v>billions</v>
          </cell>
          <cell r="D2">
            <v>6.5305478515625</v>
          </cell>
          <cell r="E2">
            <v>6.9217978515625003</v>
          </cell>
          <cell r="F2">
            <v>7.6715019531250004</v>
          </cell>
          <cell r="G2">
            <v>8.3276826171875005</v>
          </cell>
          <cell r="H2">
            <v>8.8571757812499996</v>
          </cell>
          <cell r="I2">
            <v>9.2425429687499996</v>
          </cell>
          <cell r="J2">
            <v>9.4599677734374996</v>
          </cell>
          <cell r="K2">
            <v>9.5310947265625003</v>
          </cell>
          <cell r="L2">
            <v>9.4802275390625006</v>
          </cell>
          <cell r="M2">
            <v>9.3257070312499994</v>
          </cell>
          <cell r="N2">
            <v>9.1032343749999995</v>
          </cell>
        </row>
        <row r="3">
          <cell r="E3">
            <v>10780.9349342353</v>
          </cell>
        </row>
        <row r="4">
          <cell r="E4">
            <v>4.9330445231836775</v>
          </cell>
        </row>
        <row r="5">
          <cell r="E5">
            <v>1.375178461283006</v>
          </cell>
        </row>
        <row r="6">
          <cell r="E6">
            <v>0.850603413653503</v>
          </cell>
        </row>
        <row r="7">
          <cell r="E7">
            <v>70.809223455437277</v>
          </cell>
        </row>
        <row r="8">
          <cell r="E8">
            <v>1</v>
          </cell>
        </row>
        <row r="11">
          <cell r="E11">
            <v>6.7838165768322893</v>
          </cell>
        </row>
        <row r="12">
          <cell r="E12">
            <v>60.230567189348641</v>
          </cell>
        </row>
        <row r="15">
          <cell r="E15">
            <v>1</v>
          </cell>
        </row>
        <row r="16">
          <cell r="E16">
            <v>1</v>
          </cell>
        </row>
        <row r="17">
          <cell r="E17">
            <v>1</v>
          </cell>
        </row>
        <row r="18">
          <cell r="E18">
            <v>1</v>
          </cell>
        </row>
        <row r="19">
          <cell r="E19">
            <v>1</v>
          </cell>
        </row>
        <row r="20">
          <cell r="E20">
            <v>1</v>
          </cell>
        </row>
        <row r="21">
          <cell r="E21">
            <v>1</v>
          </cell>
        </row>
        <row r="24">
          <cell r="E24">
            <v>1</v>
          </cell>
        </row>
        <row r="25">
          <cell r="E25">
            <v>1</v>
          </cell>
        </row>
      </sheetData>
      <sheetData sheetId="29">
        <row r="1">
          <cell r="A1" t="str">
            <v>Interence Case</v>
          </cell>
          <cell r="C1">
            <v>2000</v>
          </cell>
          <cell r="D1">
            <v>2005</v>
          </cell>
          <cell r="E1">
            <v>2010</v>
          </cell>
          <cell r="F1">
            <v>2020</v>
          </cell>
          <cell r="G1">
            <v>2030</v>
          </cell>
          <cell r="H1">
            <v>2040</v>
          </cell>
          <cell r="I1">
            <v>2050</v>
          </cell>
          <cell r="J1">
            <v>2060</v>
          </cell>
          <cell r="K1">
            <v>2070</v>
          </cell>
          <cell r="L1">
            <v>2080</v>
          </cell>
          <cell r="M1">
            <v>2090</v>
          </cell>
          <cell r="N1">
            <v>2100</v>
          </cell>
        </row>
        <row r="2">
          <cell r="A2" t="str">
            <v>P</v>
          </cell>
          <cell r="B2" t="str">
            <v>billions</v>
          </cell>
          <cell r="D2">
            <v>6.5305478515625</v>
          </cell>
          <cell r="E2">
            <v>6.9217978515625003</v>
          </cell>
          <cell r="F2">
            <v>7.6715019531250004</v>
          </cell>
          <cell r="G2">
            <v>8.3276826171875005</v>
          </cell>
          <cell r="H2">
            <v>8.8571757812499996</v>
          </cell>
          <cell r="I2">
            <v>9.2425429687499996</v>
          </cell>
          <cell r="J2">
            <v>9.4599677734374996</v>
          </cell>
          <cell r="K2">
            <v>9.5310947265625003</v>
          </cell>
          <cell r="L2">
            <v>9.4802275390625006</v>
          </cell>
          <cell r="M2">
            <v>9.3257070312499994</v>
          </cell>
          <cell r="N2">
            <v>9.1032343749999995</v>
          </cell>
        </row>
        <row r="3">
          <cell r="E3">
            <v>10956.397122981476</v>
          </cell>
        </row>
        <row r="4">
          <cell r="E4">
            <v>4.8413218212760754</v>
          </cell>
        </row>
        <row r="5">
          <cell r="E5">
            <v>1.3769571891784418</v>
          </cell>
        </row>
        <row r="6">
          <cell r="E6">
            <v>0.8538354024472582</v>
          </cell>
        </row>
        <row r="7">
          <cell r="E7">
            <v>70.744395399866391</v>
          </cell>
        </row>
        <row r="8">
          <cell r="E8">
            <v>1</v>
          </cell>
        </row>
        <row r="11">
          <cell r="E11">
            <v>6.6662928869325597</v>
          </cell>
        </row>
        <row r="12">
          <cell r="E12">
            <v>60.40406931713288</v>
          </cell>
        </row>
        <row r="15">
          <cell r="E15">
            <v>1</v>
          </cell>
        </row>
        <row r="16">
          <cell r="E16">
            <v>1</v>
          </cell>
        </row>
        <row r="17">
          <cell r="E17">
            <v>1</v>
          </cell>
        </row>
        <row r="18">
          <cell r="E18">
            <v>1</v>
          </cell>
        </row>
        <row r="19">
          <cell r="E19">
            <v>1</v>
          </cell>
        </row>
        <row r="20">
          <cell r="E20">
            <v>1</v>
          </cell>
        </row>
        <row r="21">
          <cell r="E21">
            <v>1</v>
          </cell>
        </row>
        <row r="24">
          <cell r="E24">
            <v>1</v>
          </cell>
        </row>
        <row r="25">
          <cell r="E25">
            <v>1</v>
          </cell>
        </row>
      </sheetData>
      <sheetData sheetId="30"/>
      <sheetData sheetId="31">
        <row r="2">
          <cell r="A2" t="str">
            <v>Kaya Factors</v>
          </cell>
          <cell r="D2">
            <v>2005</v>
          </cell>
          <cell r="E2">
            <v>2010</v>
          </cell>
          <cell r="F2">
            <v>2020</v>
          </cell>
          <cell r="G2">
            <v>2030</v>
          </cell>
          <cell r="H2">
            <v>2040</v>
          </cell>
          <cell r="I2">
            <v>2050</v>
          </cell>
          <cell r="J2">
            <v>2060</v>
          </cell>
          <cell r="K2">
            <v>2070</v>
          </cell>
          <cell r="L2">
            <v>2080</v>
          </cell>
          <cell r="M2">
            <v>2090</v>
          </cell>
          <cell r="N2">
            <v>2100</v>
          </cell>
        </row>
        <row r="3">
          <cell r="E3">
            <v>1.33397307876435E-2</v>
          </cell>
        </row>
        <row r="4">
          <cell r="E4">
            <v>1.2523115485857383E-2</v>
          </cell>
        </row>
        <row r="5">
          <cell r="E5">
            <v>3.0635576805107867E-2</v>
          </cell>
        </row>
        <row r="6">
          <cell r="E6">
            <v>3.7463680533559307E-2</v>
          </cell>
        </row>
        <row r="7">
          <cell r="E7">
            <v>2.2275292137704517E-2</v>
          </cell>
        </row>
        <row r="8">
          <cell r="E8">
            <v>1.9094858133720694E-2</v>
          </cell>
        </row>
        <row r="9">
          <cell r="E9">
            <v>2.4420680554374075E-2</v>
          </cell>
        </row>
        <row r="10">
          <cell r="E10">
            <v>2.1935227844802618E-2</v>
          </cell>
        </row>
        <row r="11">
          <cell r="E11">
            <v>2.3994128114132485E-2</v>
          </cell>
        </row>
        <row r="12">
          <cell r="E12">
            <v>2.1944931549882751E-2</v>
          </cell>
        </row>
        <row r="13">
          <cell r="E13">
            <v>2.5412266804053729E-2</v>
          </cell>
        </row>
        <row r="14">
          <cell r="E14">
            <v>2.1907298758519156E-2</v>
          </cell>
        </row>
        <row r="18">
          <cell r="E18">
            <v>1.7068161340146881E-2</v>
          </cell>
        </row>
        <row r="19">
          <cell r="E19">
            <v>2.5565099356545273E-2</v>
          </cell>
        </row>
        <row r="20">
          <cell r="E20">
            <v>-8.1117757387337841E-3</v>
          </cell>
        </row>
        <row r="21">
          <cell r="E21">
            <v>-1.8257046810357003E-2</v>
          </cell>
        </row>
        <row r="22">
          <cell r="E22">
            <v>2.0153774592224227E-3</v>
          </cell>
        </row>
        <row r="23">
          <cell r="E23">
            <v>2.4377147280183475E-3</v>
          </cell>
        </row>
        <row r="24">
          <cell r="E24">
            <v>-4.1638405816923907E-4</v>
          </cell>
        </row>
        <row r="25">
          <cell r="E25">
            <v>9.4954208600395162E-6</v>
          </cell>
        </row>
        <row r="26">
          <cell r="E26">
            <v>1.5451450911869724E-3</v>
          </cell>
        </row>
        <row r="27">
          <cell r="E27">
            <v>7.7771181949937152E-4</v>
          </cell>
        </row>
        <row r="28">
          <cell r="E28">
            <v>-6.116178491340829E-3</v>
          </cell>
        </row>
        <row r="29">
          <cell r="E29">
            <v>-1.5863837554238369E-2</v>
          </cell>
        </row>
        <row r="30">
          <cell r="E30">
            <v>1.1281176592341513E-3</v>
          </cell>
        </row>
        <row r="31">
          <cell r="E31">
            <v>7.872146250604839E-4</v>
          </cell>
        </row>
        <row r="35">
          <cell r="E35">
            <v>6.9217978515625003</v>
          </cell>
        </row>
        <row r="36">
          <cell r="E36">
            <v>6.9217978515625003</v>
          </cell>
        </row>
        <row r="37">
          <cell r="E37">
            <v>74.623452265625005</v>
          </cell>
        </row>
        <row r="38">
          <cell r="E38">
            <v>74.623452265625005</v>
          </cell>
        </row>
        <row r="39">
          <cell r="E39">
            <v>368.1208125</v>
          </cell>
        </row>
        <row r="40">
          <cell r="E40">
            <v>368.1208125</v>
          </cell>
        </row>
        <row r="41">
          <cell r="E41">
            <v>506.23181249999999</v>
          </cell>
        </row>
        <row r="42">
          <cell r="E42">
            <v>506.23181249999999</v>
          </cell>
        </row>
        <row r="43">
          <cell r="E43">
            <v>430.60250781250005</v>
          </cell>
        </row>
        <row r="44">
          <cell r="E44">
            <v>430.60250781250005</v>
          </cell>
        </row>
        <row r="45">
          <cell r="E45">
            <v>30.490629196166992</v>
          </cell>
        </row>
        <row r="46">
          <cell r="E46">
            <v>30.490629196166992</v>
          </cell>
        </row>
        <row r="50">
          <cell r="E50">
            <v>10780.9349342353</v>
          </cell>
        </row>
        <row r="51">
          <cell r="E51">
            <v>10780.9349342353</v>
          </cell>
        </row>
        <row r="52">
          <cell r="E52">
            <v>4.9330445231836775</v>
          </cell>
        </row>
        <row r="53">
          <cell r="E53">
            <v>4.9330445231836775</v>
          </cell>
        </row>
        <row r="54">
          <cell r="E54">
            <v>1.375178461283006</v>
          </cell>
        </row>
        <row r="55">
          <cell r="E55">
            <v>1.375178461283006</v>
          </cell>
        </row>
        <row r="56">
          <cell r="E56">
            <v>0.850603413653503</v>
          </cell>
        </row>
        <row r="57">
          <cell r="E57">
            <v>0.850603413653503</v>
          </cell>
        </row>
        <row r="58">
          <cell r="E58">
            <v>70.809223455437277</v>
          </cell>
        </row>
        <row r="59">
          <cell r="E59">
            <v>70.809223455437277</v>
          </cell>
        </row>
        <row r="60">
          <cell r="E60">
            <v>6.7838165768322893</v>
          </cell>
        </row>
        <row r="61">
          <cell r="E61">
            <v>6.7838165768322893</v>
          </cell>
        </row>
        <row r="62">
          <cell r="E62">
            <v>60.230567189348641</v>
          </cell>
        </row>
        <row r="63">
          <cell r="E63">
            <v>60.230567189348641</v>
          </cell>
        </row>
        <row r="66">
          <cell r="E66">
            <v>1</v>
          </cell>
        </row>
        <row r="67">
          <cell r="E67">
            <v>1</v>
          </cell>
        </row>
        <row r="68">
          <cell r="E68">
            <v>1</v>
          </cell>
        </row>
        <row r="69">
          <cell r="E69">
            <v>1</v>
          </cell>
        </row>
        <row r="70">
          <cell r="E70">
            <v>1</v>
          </cell>
        </row>
        <row r="71">
          <cell r="E71">
            <v>1</v>
          </cell>
        </row>
        <row r="72">
          <cell r="E72">
            <v>1</v>
          </cell>
        </row>
        <row r="73">
          <cell r="E73">
            <v>1</v>
          </cell>
        </row>
        <row r="74">
          <cell r="E74">
            <v>1</v>
          </cell>
        </row>
        <row r="75">
          <cell r="E75">
            <v>1</v>
          </cell>
        </row>
        <row r="76">
          <cell r="E76">
            <v>1</v>
          </cell>
        </row>
        <row r="77">
          <cell r="E77">
            <v>1</v>
          </cell>
        </row>
        <row r="81">
          <cell r="E81">
            <v>1</v>
          </cell>
        </row>
        <row r="82">
          <cell r="E82">
            <v>1</v>
          </cell>
        </row>
        <row r="83">
          <cell r="E83">
            <v>1</v>
          </cell>
        </row>
        <row r="84">
          <cell r="E84">
            <v>1</v>
          </cell>
        </row>
        <row r="85">
          <cell r="E85">
            <v>1</v>
          </cell>
        </row>
        <row r="86">
          <cell r="E86">
            <v>1</v>
          </cell>
        </row>
        <row r="87">
          <cell r="E87">
            <v>1</v>
          </cell>
        </row>
        <row r="88">
          <cell r="E88">
            <v>1</v>
          </cell>
        </row>
        <row r="89">
          <cell r="E89">
            <v>1</v>
          </cell>
        </row>
        <row r="90">
          <cell r="E90">
            <v>1</v>
          </cell>
        </row>
        <row r="91">
          <cell r="E91">
            <v>1</v>
          </cell>
        </row>
        <row r="92">
          <cell r="E92">
            <v>1</v>
          </cell>
        </row>
        <row r="93">
          <cell r="E93">
            <v>1</v>
          </cell>
        </row>
        <row r="94">
          <cell r="E94">
            <v>1</v>
          </cell>
        </row>
      </sheetData>
      <sheetData sheetId="32">
        <row r="1">
          <cell r="A1" t="str">
            <v>Factors</v>
          </cell>
          <cell r="C1">
            <v>2000</v>
          </cell>
          <cell r="D1">
            <v>2005</v>
          </cell>
          <cell r="E1">
            <v>2010</v>
          </cell>
          <cell r="F1">
            <v>2020</v>
          </cell>
          <cell r="G1">
            <v>2030</v>
          </cell>
          <cell r="H1">
            <v>2040</v>
          </cell>
          <cell r="I1">
            <v>2050</v>
          </cell>
          <cell r="J1">
            <v>2060</v>
          </cell>
          <cell r="K1">
            <v>2070</v>
          </cell>
          <cell r="L1">
            <v>2080</v>
          </cell>
          <cell r="M1">
            <v>2090</v>
          </cell>
          <cell r="N1">
            <v>2100</v>
          </cell>
        </row>
        <row r="2">
          <cell r="E2">
            <v>0</v>
          </cell>
        </row>
        <row r="3">
          <cell r="E3">
            <v>1.2145138010937302</v>
          </cell>
        </row>
        <row r="4">
          <cell r="E4">
            <v>-0.96481249999999363</v>
          </cell>
        </row>
        <row r="5">
          <cell r="E5">
            <v>-0.67371874999997772</v>
          </cell>
        </row>
        <row r="6">
          <cell r="E6">
            <v>1.0608906249998995</v>
          </cell>
        </row>
        <row r="7">
          <cell r="E7">
            <v>4.7136942545570548E-2</v>
          </cell>
        </row>
        <row r="8">
          <cell r="E8">
            <v>4.7136942545570548E-2</v>
          </cell>
        </row>
        <row r="11">
          <cell r="E11">
            <v>0</v>
          </cell>
        </row>
        <row r="12">
          <cell r="E12">
            <v>0</v>
          </cell>
        </row>
        <row r="13">
          <cell r="E13">
            <v>0</v>
          </cell>
        </row>
        <row r="14">
          <cell r="E14">
            <v>0</v>
          </cell>
        </row>
        <row r="15">
          <cell r="E15">
            <v>0</v>
          </cell>
        </row>
        <row r="16">
          <cell r="E16">
            <v>0</v>
          </cell>
        </row>
        <row r="17">
          <cell r="E17">
            <v>0</v>
          </cell>
        </row>
      </sheetData>
      <sheetData sheetId="33">
        <row r="1">
          <cell r="A1" t="str">
            <v>Ratios</v>
          </cell>
          <cell r="C1">
            <v>2000</v>
          </cell>
          <cell r="D1">
            <v>2005</v>
          </cell>
          <cell r="E1">
            <v>2010</v>
          </cell>
          <cell r="F1">
            <v>2020</v>
          </cell>
          <cell r="G1">
            <v>2030</v>
          </cell>
          <cell r="H1">
            <v>2040</v>
          </cell>
          <cell r="I1">
            <v>2050</v>
          </cell>
          <cell r="J1">
            <v>2060</v>
          </cell>
          <cell r="K1">
            <v>2070</v>
          </cell>
          <cell r="L1">
            <v>2080</v>
          </cell>
          <cell r="M1">
            <v>2090</v>
          </cell>
          <cell r="N1">
            <v>2100</v>
          </cell>
        </row>
        <row r="3">
          <cell r="E3">
            <v>175.46218874617625</v>
          </cell>
        </row>
        <row r="4">
          <cell r="E4">
            <v>-9.1722701907602122E-2</v>
          </cell>
        </row>
        <row r="5">
          <cell r="E5">
            <v>1.778727895435761E-3</v>
          </cell>
        </row>
        <row r="6">
          <cell r="E6">
            <v>3.2319887937551917E-3</v>
          </cell>
        </row>
        <row r="7">
          <cell r="E7">
            <v>-6.4828055570885113E-2</v>
          </cell>
        </row>
        <row r="8">
          <cell r="E8">
            <v>0</v>
          </cell>
        </row>
        <row r="11">
          <cell r="E11">
            <v>-0.11752368989972961</v>
          </cell>
        </row>
        <row r="12">
          <cell r="E12">
            <v>0.17350212778423924</v>
          </cell>
        </row>
        <row r="16">
          <cell r="E16">
            <v>0</v>
          </cell>
        </row>
        <row r="17">
          <cell r="E17">
            <v>0</v>
          </cell>
        </row>
        <row r="18">
          <cell r="E18">
            <v>0</v>
          </cell>
        </row>
        <row r="19">
          <cell r="E19">
            <v>0</v>
          </cell>
        </row>
        <row r="20">
          <cell r="E20">
            <v>0</v>
          </cell>
        </row>
        <row r="21">
          <cell r="E21">
            <v>0</v>
          </cell>
        </row>
        <row r="24">
          <cell r="E24">
            <v>0</v>
          </cell>
        </row>
        <row r="25">
          <cell r="E25">
            <v>0</v>
          </cell>
        </row>
      </sheetData>
      <sheetData sheetId="34"/>
      <sheetData sheetId="35">
        <row r="12">
          <cell r="C12">
            <v>0</v>
          </cell>
        </row>
        <row r="22">
          <cell r="C22">
            <v>0</v>
          </cell>
        </row>
        <row r="32">
          <cell r="C32">
            <v>-4.4943588117382416E-2</v>
          </cell>
        </row>
        <row r="42">
          <cell r="C42">
            <v>0</v>
          </cell>
        </row>
        <row r="52">
          <cell r="C52">
            <v>-2.1933544281825153E-3</v>
          </cell>
        </row>
        <row r="62">
          <cell r="C62">
            <v>0</v>
          </cell>
        </row>
      </sheetData>
      <sheetData sheetId="36"/>
      <sheetData sheetId="37"/>
      <sheetData sheetId="38">
        <row r="2">
          <cell r="A2" t="str">
            <v>Intervention Case</v>
          </cell>
          <cell r="B2">
            <v>2010</v>
          </cell>
          <cell r="C2">
            <v>2020</v>
          </cell>
          <cell r="D2">
            <v>2030</v>
          </cell>
          <cell r="E2">
            <v>2040</v>
          </cell>
          <cell r="F2">
            <v>2050</v>
          </cell>
          <cell r="G2">
            <v>2060</v>
          </cell>
          <cell r="H2">
            <v>2070</v>
          </cell>
          <cell r="I2">
            <v>2080</v>
          </cell>
          <cell r="J2">
            <v>2090</v>
          </cell>
          <cell r="K2">
            <v>2100</v>
          </cell>
        </row>
        <row r="28">
          <cell r="B28">
            <v>51.452148525301169</v>
          </cell>
        </row>
        <row r="31">
          <cell r="A31" t="str">
            <v>Reference Case</v>
          </cell>
          <cell r="B31">
            <v>2010</v>
          </cell>
          <cell r="C31">
            <v>2020</v>
          </cell>
          <cell r="D31">
            <v>2030</v>
          </cell>
          <cell r="E31">
            <v>2040</v>
          </cell>
          <cell r="F31">
            <v>2050</v>
          </cell>
          <cell r="G31">
            <v>2060</v>
          </cell>
          <cell r="H31">
            <v>2070</v>
          </cell>
          <cell r="I31">
            <v>2080</v>
          </cell>
          <cell r="J31">
            <v>2090</v>
          </cell>
          <cell r="K31">
            <v>2100</v>
          </cell>
        </row>
        <row r="58">
          <cell r="B58">
            <v>51.263250600986524</v>
          </cell>
        </row>
        <row r="68">
          <cell r="B68">
            <v>5.2178899447130611E-4</v>
          </cell>
        </row>
        <row r="71">
          <cell r="B71">
            <v>-3.5433696429841177E-2</v>
          </cell>
        </row>
        <row r="74">
          <cell r="B74">
            <v>-0.1068490743337116</v>
          </cell>
        </row>
        <row r="77">
          <cell r="B77">
            <v>0</v>
          </cell>
        </row>
        <row r="80">
          <cell r="B80">
            <v>0</v>
          </cell>
        </row>
      </sheetData>
      <sheetData sheetId="39">
        <row r="5">
          <cell r="E5">
            <v>30.490629196166992</v>
          </cell>
        </row>
        <row r="7">
          <cell r="E7">
            <v>1</v>
          </cell>
        </row>
        <row r="15">
          <cell r="E15">
            <v>0</v>
          </cell>
        </row>
        <row r="17">
          <cell r="E17" t="e">
            <v>#DIV/0!</v>
          </cell>
        </row>
        <row r="19">
          <cell r="E19">
            <v>0</v>
          </cell>
        </row>
        <row r="26">
          <cell r="E26">
            <v>1.6196451683839161</v>
          </cell>
        </row>
        <row r="28">
          <cell r="E28">
            <v>1</v>
          </cell>
        </row>
        <row r="30">
          <cell r="E30">
            <v>5.311944066367523E-2</v>
          </cell>
        </row>
        <row r="37">
          <cell r="E37">
            <v>3.5023380000000004</v>
          </cell>
        </row>
        <row r="42">
          <cell r="E42">
            <v>1</v>
          </cell>
        </row>
        <row r="45">
          <cell r="E45">
            <v>0.11486604548128783</v>
          </cell>
        </row>
        <row r="53">
          <cell r="E53">
            <v>15.650638236435611</v>
          </cell>
        </row>
        <row r="55">
          <cell r="E55">
            <v>1</v>
          </cell>
        </row>
        <row r="57">
          <cell r="E57">
            <v>0.51329338387031609</v>
          </cell>
        </row>
        <row r="64">
          <cell r="E64">
            <v>51.263250600986517</v>
          </cell>
        </row>
        <row r="66">
          <cell r="E66">
            <v>1</v>
          </cell>
        </row>
        <row r="68">
          <cell r="E68">
            <v>1.681278870015279</v>
          </cell>
        </row>
        <row r="78">
          <cell r="E78">
            <v>30.537766138712563</v>
          </cell>
        </row>
        <row r="80">
          <cell r="E80">
            <v>1</v>
          </cell>
        </row>
        <row r="88">
          <cell r="E88">
            <v>0</v>
          </cell>
        </row>
        <row r="90">
          <cell r="E90" t="e">
            <v>#DIV/0!</v>
          </cell>
        </row>
        <row r="92">
          <cell r="E92">
            <v>0</v>
          </cell>
        </row>
        <row r="99">
          <cell r="E99">
            <v>1.6191233793894448</v>
          </cell>
        </row>
        <row r="101">
          <cell r="E101">
            <v>1</v>
          </cell>
        </row>
        <row r="103">
          <cell r="E103">
            <v>5.3102327569973087E-2</v>
          </cell>
        </row>
        <row r="110">
          <cell r="E110">
            <v>3.609187074333712</v>
          </cell>
        </row>
        <row r="118">
          <cell r="E118">
            <v>1</v>
          </cell>
        </row>
        <row r="121">
          <cell r="E121">
            <v>0.1183703704870553</v>
          </cell>
        </row>
        <row r="130">
          <cell r="E130">
            <v>15.686071932865453</v>
          </cell>
        </row>
        <row r="132">
          <cell r="E132">
            <v>1</v>
          </cell>
        </row>
        <row r="134">
          <cell r="E134">
            <v>0.51445550145739083</v>
          </cell>
        </row>
        <row r="141">
          <cell r="E141">
            <v>51.452148525301169</v>
          </cell>
        </row>
        <row r="143">
          <cell r="E143">
            <v>1</v>
          </cell>
        </row>
        <row r="145">
          <cell r="E145">
            <v>1.687474148016902</v>
          </cell>
        </row>
        <row r="153">
          <cell r="E153">
            <v>4.7136942545570548E-2</v>
          </cell>
        </row>
        <row r="156">
          <cell r="E156">
            <v>0</v>
          </cell>
        </row>
        <row r="159">
          <cell r="E159">
            <v>0</v>
          </cell>
        </row>
        <row r="162">
          <cell r="E162" t="e">
            <v>#DIV/0!</v>
          </cell>
        </row>
        <row r="165">
          <cell r="E165">
            <v>0</v>
          </cell>
        </row>
        <row r="169">
          <cell r="E169">
            <v>-5.2178899447130611E-4</v>
          </cell>
        </row>
        <row r="172">
          <cell r="E172">
            <v>0</v>
          </cell>
        </row>
        <row r="175">
          <cell r="E175">
            <v>-1.7113093702142423E-5</v>
          </cell>
        </row>
        <row r="178">
          <cell r="E178">
            <v>0.1068490743337116</v>
          </cell>
        </row>
        <row r="181">
          <cell r="E181">
            <v>0</v>
          </cell>
        </row>
        <row r="184">
          <cell r="E184">
            <v>3.5043250057674724E-3</v>
          </cell>
        </row>
        <row r="187">
          <cell r="E187">
            <v>3.5433696429841177E-2</v>
          </cell>
        </row>
        <row r="190">
          <cell r="E190">
            <v>0</v>
          </cell>
        </row>
        <row r="193">
          <cell r="E193">
            <v>1.1621175870747402E-3</v>
          </cell>
        </row>
        <row r="196">
          <cell r="E196">
            <v>0.18889792431465224</v>
          </cell>
        </row>
        <row r="199">
          <cell r="E199">
            <v>0</v>
          </cell>
        </row>
        <row r="202">
          <cell r="E202">
            <v>6.1952780016230058E-3</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ents"/>
      <sheetName val="ReadMe"/>
      <sheetName val="Ref Data input"/>
      <sheetName val="Int Data input"/>
      <sheetName val="IEA_ETP"/>
      <sheetName val="Ref Data"/>
      <sheetName val="Int Data"/>
      <sheetName val="Driver Metrics Ref"/>
      <sheetName val="Driver Metrics Int"/>
      <sheetName val="Fig3ExpandKAYAfactorsDEqFossil"/>
      <sheetName val="Fig4ExpandKAYAratiosDEqFossil"/>
      <sheetName val="Fig5AvAnn%∆RefDEqFossil"/>
      <sheetName val="Fig5AvAnn%∆MitDEqFossil"/>
      <sheetName val="Fig5AvAnn%∆(Ref-Mit)DEqFossil"/>
      <sheetName val="Fig6AdditiveDashboard"/>
      <sheetName val="AdditiveDashboardData"/>
      <sheetName val="Fig7CCS graph"/>
      <sheetName val="Fig8MitChrt(LMDI Icorrct)DEqFos"/>
      <sheetName val="MitTable(LMDI I)DEqFF"/>
      <sheetName val="LMDI 1 MethodDEqPEff"/>
      <sheetName val="AreasForDashboards"/>
      <sheetName val="HistoricalTrends"/>
      <sheetName val="Non-energyEmissions"/>
      <sheetName val="CementvsBETindustry"/>
      <sheetName val="Expanded KAYAratiosThEqFossi "/>
      <sheetName val="Expanded KAYAratiosStarFossil"/>
      <sheetName val="Expanded KAYAfactorsThEqFoss"/>
      <sheetName val="Expanded KAYAfactorsStarFossil"/>
      <sheetName val="MitChart(LMDI I,corrct)ThEqPEff"/>
      <sheetName val="MitTable(LMDI I)ThEqFF"/>
      <sheetName val="MitChart(LMDI I,corrct)StarPEff"/>
      <sheetName val="MitTable(LMDI I)StarFF"/>
      <sheetName val="LMDI 1 MethodThEqPEff"/>
      <sheetName val="LMDI 1 MethodStarPEff"/>
      <sheetName val="Mit Chart (simple method)DEqFos"/>
      <sheetName val="Mit Chart(simple method)ThEqFos"/>
      <sheetName val="Mit Chart(simple method)StarFos"/>
      <sheetName val="simpleAttMethodDEqFossil"/>
      <sheetName val="simpleAttMethodThEqFossil"/>
      <sheetName val="simpleAttMethodStarFossil"/>
      <sheetName val="Mit Chart (dissertation)DEqFos"/>
      <sheetName val="Mitigation Calcs(Dissertation)"/>
      <sheetName val="DEq and Efftables(Dissertation)"/>
      <sheetName val="AvAnn%Chg∆RefThEqFossil"/>
      <sheetName val="AvAnn%Chg∆MitThEqFossil"/>
      <sheetName val="AvAnn%Chg∆(Ref-Mit)ThEqFossil"/>
      <sheetName val="AvAnn%Chg∆RefStarFossil"/>
      <sheetName val="AvAnn%Chg∆MitStarFossil"/>
      <sheetName val="AvAnn%Chg∆(Ref-Mit)StarFossil"/>
      <sheetName val="Data input definitions"/>
      <sheetName val="PE(3methods) Ref"/>
      <sheetName val="PE(3methods) Mit"/>
      <sheetName val="Expanded KAYAfactorsStar"/>
      <sheetName val="Expanded KAYAfactorsDeq"/>
      <sheetName val="Expanded KAYAfactorsTheq"/>
      <sheetName val="Expanded KAYAratiosStar"/>
      <sheetName val="Expanded KAYAratiosDeq"/>
      <sheetName val="Expanded KAYAratiosTheq"/>
      <sheetName val="KAYAstar"/>
      <sheetName val="KAYAdeq"/>
      <sheetName val="KAYAtheq"/>
      <sheetName val="AvAnn%ChgRefstar"/>
      <sheetName val="AvAnn%ChgMitstar"/>
      <sheetName val="AvAnn%Chg∆(Ref-Mit)star"/>
      <sheetName val="AvAnn%ChgRefDEq"/>
      <sheetName val="AvAnn%ChgMitDEq"/>
      <sheetName val="AvAnn%Chg∆(Ref-Mit)DEq"/>
      <sheetName val="AvAnn%ChgRefThEq"/>
      <sheetName val="AvAnn%ChgMitThEq"/>
      <sheetName val="AvAnn%Chg∆(Ref-Mit)ThEq"/>
      <sheetName val="Mit Chart (simple method)star"/>
      <sheetName val="Mit Chart (simple method)Deq"/>
      <sheetName val="Mit Chart (simple method)ThEq"/>
      <sheetName val="Mit Chart (LMDI I, corrct)star"/>
      <sheetName val="Mit Chart (LMDI I, corrct)Deq"/>
      <sheetName val="Mit Chart (LMDI I, corrct)ThEq"/>
      <sheetName val="Mit Chart (LMDI I)no corrctThEq"/>
      <sheetName val="Mit Chart (dissertation)DEq"/>
      <sheetName val="Mit Chart (dissertation)star"/>
      <sheetName val="Mit Chart (dissertation)Theq"/>
      <sheetName val="DissertationMethDEq"/>
      <sheetName val="DissertationMethstar"/>
      <sheetName val="DissertationMethThEq"/>
      <sheetName val="DEq and EffdEq"/>
      <sheetName val="DEq and Effstar"/>
      <sheetName val="DEq and EffThEq"/>
      <sheetName val="simpleAttMethodstar"/>
      <sheetName val="simpleAttMethodDEq"/>
      <sheetName val="simpleAttMethodThEq"/>
      <sheetName val="LMDI 1 Methodstar"/>
      <sheetName val="LMDI 1 MethodDEq"/>
      <sheetName val="LMDI 1 MethodThEq"/>
    </sheetNames>
    <sheetDataSet>
      <sheetData sheetId="0"/>
      <sheetData sheetId="1"/>
      <sheetData sheetId="2">
        <row r="1">
          <cell r="E1" t="str">
            <v>units</v>
          </cell>
          <cell r="F1">
            <v>2014</v>
          </cell>
          <cell r="G1">
            <v>2025</v>
          </cell>
          <cell r="H1">
            <v>2030</v>
          </cell>
          <cell r="I1">
            <v>2035</v>
          </cell>
          <cell r="J1">
            <v>2040</v>
          </cell>
          <cell r="K1">
            <v>2045</v>
          </cell>
          <cell r="L1">
            <v>2050</v>
          </cell>
          <cell r="M1">
            <v>2055</v>
          </cell>
          <cell r="N1">
            <v>2060</v>
          </cell>
        </row>
        <row r="3">
          <cell r="D3" t="str">
            <v>Total primary energy demand (EJ)</v>
          </cell>
        </row>
        <row r="4">
          <cell r="D4" t="str">
            <v>Primary Energy|Oil</v>
          </cell>
          <cell r="F4">
            <v>179.60377400539213</v>
          </cell>
          <cell r="G4">
            <v>191.00543578083764</v>
          </cell>
          <cell r="H4">
            <v>197.4066923135276</v>
          </cell>
          <cell r="I4">
            <v>200.94773220399983</v>
          </cell>
          <cell r="J4">
            <v>204.74268298506442</v>
          </cell>
          <cell r="K4">
            <v>206.61949566900228</v>
          </cell>
          <cell r="L4">
            <v>207.96044191028659</v>
          </cell>
          <cell r="M4">
            <v>208.56409239051195</v>
          </cell>
          <cell r="N4">
            <v>209.19640225715773</v>
          </cell>
        </row>
        <row r="5">
          <cell r="D5" t="str">
            <v>Primary Energy|Coal</v>
          </cell>
          <cell r="F5">
            <v>163.853629945488</v>
          </cell>
          <cell r="G5">
            <v>162.39589219188764</v>
          </cell>
          <cell r="H5">
            <v>162.92173111427567</v>
          </cell>
          <cell r="I5">
            <v>164.93501521888916</v>
          </cell>
          <cell r="J5">
            <v>168.45654625766997</v>
          </cell>
          <cell r="K5">
            <v>167.05582520076376</v>
          </cell>
          <cell r="L5">
            <v>163.44666790497277</v>
          </cell>
          <cell r="M5">
            <v>164.93660354914172</v>
          </cell>
          <cell r="N5">
            <v>163.83311722813318</v>
          </cell>
        </row>
        <row r="6">
          <cell r="D6" t="str">
            <v>Primary Energy|Gas</v>
          </cell>
          <cell r="F6">
            <v>121.44143859937201</v>
          </cell>
          <cell r="G6">
            <v>144.57775391101393</v>
          </cell>
          <cell r="H6">
            <v>157.41952869410511</v>
          </cell>
          <cell r="I6">
            <v>166.28221412672357</v>
          </cell>
          <cell r="J6">
            <v>173.94888848311217</v>
          </cell>
          <cell r="K6">
            <v>180.04862582986553</v>
          </cell>
          <cell r="L6">
            <v>183.91128735033988</v>
          </cell>
          <cell r="M6">
            <v>187.02445700405858</v>
          </cell>
          <cell r="N6">
            <v>192.62056225737817</v>
          </cell>
        </row>
        <row r="7">
          <cell r="D7" t="str">
            <v>Primary Energy|Nuclear</v>
          </cell>
          <cell r="F7">
            <v>27.689539085172001</v>
          </cell>
          <cell r="G7">
            <v>35.559834692058679</v>
          </cell>
          <cell r="H7">
            <v>40.109492771140474</v>
          </cell>
          <cell r="I7">
            <v>42.925410641639722</v>
          </cell>
          <cell r="J7">
            <v>46.981144447294035</v>
          </cell>
          <cell r="K7">
            <v>50.750410685106502</v>
          </cell>
          <cell r="L7">
            <v>53.282656124829373</v>
          </cell>
          <cell r="M7">
            <v>55.8361126505567</v>
          </cell>
          <cell r="N7">
            <v>57.499270485224159</v>
          </cell>
        </row>
        <row r="8">
          <cell r="D8" t="str">
            <v>Biomass and waste</v>
          </cell>
          <cell r="F8">
            <v>54.727207129212012</v>
          </cell>
          <cell r="G8">
            <v>70.498107471470703</v>
          </cell>
          <cell r="H8">
            <v>74.552475154914532</v>
          </cell>
          <cell r="I8">
            <v>79.723447504423788</v>
          </cell>
          <cell r="J8">
            <v>84.595559668756962</v>
          </cell>
          <cell r="K8">
            <v>88.714934143848993</v>
          </cell>
          <cell r="L8">
            <v>92.91145546288999</v>
          </cell>
          <cell r="M8">
            <v>96.734258713914528</v>
          </cell>
          <cell r="N8">
            <v>98.896254567430546</v>
          </cell>
        </row>
        <row r="9">
          <cell r="D9" t="str">
            <v>Primary Energy|Hydro</v>
          </cell>
          <cell r="F9">
            <v>14.023472570784001</v>
          </cell>
          <cell r="G9">
            <v>17.784146978225372</v>
          </cell>
          <cell r="H9">
            <v>19.521346344109013</v>
          </cell>
          <cell r="I9">
            <v>21.125119611584456</v>
          </cell>
          <cell r="J9">
            <v>22.542724090040799</v>
          </cell>
          <cell r="K9">
            <v>23.937910411058461</v>
          </cell>
          <cell r="L9">
            <v>25.33609893474117</v>
          </cell>
          <cell r="M9">
            <v>26.751550271835697</v>
          </cell>
          <cell r="N9">
            <v>28.212558083921994</v>
          </cell>
        </row>
        <row r="10">
          <cell r="D10" t="str">
            <v>Other</v>
          </cell>
          <cell r="F10">
            <v>7.7686318090440007</v>
          </cell>
          <cell r="G10">
            <v>21.333194296368362</v>
          </cell>
          <cell r="H10">
            <v>28.996761728250171</v>
          </cell>
          <cell r="I10">
            <v>38.110273112632584</v>
          </cell>
          <cell r="J10">
            <v>47.899020655953038</v>
          </cell>
          <cell r="K10">
            <v>57.896546732785744</v>
          </cell>
          <cell r="L10">
            <v>69.303266971006238</v>
          </cell>
          <cell r="M10">
            <v>81.434204169979935</v>
          </cell>
          <cell r="N10">
            <v>93.23271901470099</v>
          </cell>
        </row>
        <row r="11">
          <cell r="D11" t="str">
            <v>Primary Energy</v>
          </cell>
          <cell r="F11">
            <v>569.10769314446429</v>
          </cell>
          <cell r="G11">
            <v>643.15436532186231</v>
          </cell>
          <cell r="H11">
            <v>680.92802812032267</v>
          </cell>
          <cell r="I11">
            <v>714.04921241989314</v>
          </cell>
          <cell r="J11">
            <v>749.16656658789145</v>
          </cell>
          <cell r="K11">
            <v>775.02374867243134</v>
          </cell>
          <cell r="L11">
            <v>796.15187465906604</v>
          </cell>
          <cell r="M11">
            <v>821.28127874999905</v>
          </cell>
          <cell r="N11">
            <v>843.49088389394672</v>
          </cell>
        </row>
        <row r="12">
          <cell r="D12" t="str">
            <v>Memo: Biofuels and waste (excl. conversion losses of liquid and gaseous biofuels production)</v>
          </cell>
          <cell r="F12">
            <v>0</v>
          </cell>
          <cell r="G12">
            <v>63.683338634108026</v>
          </cell>
          <cell r="H12">
            <v>66.797002793737477</v>
          </cell>
          <cell r="I12">
            <v>70.255462598906874</v>
          </cell>
          <cell r="J12">
            <v>73.759533272210419</v>
          </cell>
          <cell r="K12">
            <v>76.64296342052539</v>
          </cell>
          <cell r="L12">
            <v>80.063791320635247</v>
          </cell>
          <cell r="M12">
            <v>83.760576319606386</v>
          </cell>
          <cell r="N12">
            <v>85.972149491648054</v>
          </cell>
        </row>
        <row r="13">
          <cell r="D13" t="str">
            <v>Primary Energy|Non-Biomass Renewables</v>
          </cell>
          <cell r="F13">
            <v>21.792104379828004</v>
          </cell>
          <cell r="G13">
            <v>39.117341274593734</v>
          </cell>
          <cell r="H13">
            <v>48.518108072359183</v>
          </cell>
          <cell r="I13">
            <v>59.235392724217036</v>
          </cell>
          <cell r="J13">
            <v>70.441744745993844</v>
          </cell>
          <cell r="K13">
            <v>81.834457143844205</v>
          </cell>
          <cell r="L13">
            <v>94.639365905747411</v>
          </cell>
          <cell r="M13">
            <v>108.18575444181563</v>
          </cell>
          <cell r="N13">
            <v>121.44527709862298</v>
          </cell>
        </row>
        <row r="14">
          <cell r="D14" t="str">
            <v>biomass + bofuels</v>
          </cell>
          <cell r="F14">
            <v>54.727207129212012</v>
          </cell>
          <cell r="G14">
            <v>134.18144610557874</v>
          </cell>
          <cell r="H14">
            <v>141.34947794865201</v>
          </cell>
          <cell r="I14">
            <v>149.97891010333066</v>
          </cell>
          <cell r="J14">
            <v>158.35509294096738</v>
          </cell>
          <cell r="K14">
            <v>165.35789756437438</v>
          </cell>
          <cell r="L14">
            <v>172.97524678352522</v>
          </cell>
          <cell r="M14">
            <v>180.49483503352093</v>
          </cell>
          <cell r="N14">
            <v>184.86840405907861</v>
          </cell>
        </row>
        <row r="15">
          <cell r="D15" t="str">
            <v>Primary Energy|Biomass</v>
          </cell>
          <cell r="E15" t="str">
            <v>EJ</v>
          </cell>
          <cell r="F15">
            <v>34.232912731715786</v>
          </cell>
          <cell r="G15">
            <v>83.933055891241494</v>
          </cell>
          <cell r="H15">
            <v>88.416796637644538</v>
          </cell>
          <cell r="I15">
            <v>93.814671175219715</v>
          </cell>
          <cell r="J15">
            <v>99.054133430779586</v>
          </cell>
          <cell r="K15">
            <v>103.43452139730506</v>
          </cell>
          <cell r="L15">
            <v>108.19931873933871</v>
          </cell>
          <cell r="M15">
            <v>112.90296472903394</v>
          </cell>
          <cell r="N15">
            <v>115.63871564035964</v>
          </cell>
        </row>
        <row r="16">
          <cell r="D16" t="str">
            <v>Fuel input electricity and heat generation (PJ)</v>
          </cell>
        </row>
        <row r="17">
          <cell r="D17" t="str">
            <v>Oil</v>
          </cell>
          <cell r="F17">
            <v>11566.695216491995</v>
          </cell>
          <cell r="G17">
            <v>6789.0933842704217</v>
          </cell>
          <cell r="H17">
            <v>5803.8118567605106</v>
          </cell>
          <cell r="I17">
            <v>5360.0963621358751</v>
          </cell>
          <cell r="J17">
            <v>5298.8862323485773</v>
          </cell>
          <cell r="K17">
            <v>4835.4485356156447</v>
          </cell>
          <cell r="L17">
            <v>4284.2515222169131</v>
          </cell>
          <cell r="M17">
            <v>3933.0610488091102</v>
          </cell>
          <cell r="N17">
            <v>3652.7360205736413</v>
          </cell>
        </row>
        <row r="18">
          <cell r="D18" t="str">
            <v>Coal</v>
          </cell>
          <cell r="F18">
            <v>100697.11847513999</v>
          </cell>
          <cell r="G18">
            <v>98997.72708213031</v>
          </cell>
          <cell r="H18">
            <v>98477.571290269349</v>
          </cell>
          <cell r="I18">
            <v>99264.835240946573</v>
          </cell>
          <cell r="J18">
            <v>99900.50081868947</v>
          </cell>
          <cell r="K18">
            <v>100494.18300659812</v>
          </cell>
          <cell r="L18">
            <v>99406.603888736063</v>
          </cell>
          <cell r="M18">
            <v>101102.81010293763</v>
          </cell>
          <cell r="N18">
            <v>100519.19920553775</v>
          </cell>
        </row>
        <row r="19">
          <cell r="D19" t="str">
            <v>Natural gas</v>
          </cell>
          <cell r="F19">
            <v>48458.714105736006</v>
          </cell>
          <cell r="G19">
            <v>55780.017329719805</v>
          </cell>
          <cell r="H19">
            <v>63603.173142907224</v>
          </cell>
          <cell r="I19">
            <v>69511.346799080609</v>
          </cell>
          <cell r="J19">
            <v>74165.763665221748</v>
          </cell>
          <cell r="K19">
            <v>77128.730713757861</v>
          </cell>
          <cell r="L19">
            <v>79025.751897907277</v>
          </cell>
          <cell r="M19">
            <v>81139.307973345436</v>
          </cell>
          <cell r="N19">
            <v>85585.034182678646</v>
          </cell>
        </row>
        <row r="20">
          <cell r="D20" t="str">
            <v>Nuclear</v>
          </cell>
          <cell r="F20">
            <v>27689.539085172</v>
          </cell>
          <cell r="G20">
            <v>35559.834684327398</v>
          </cell>
          <cell r="H20">
            <v>40109.492771140489</v>
          </cell>
          <cell r="I20">
            <v>42925.410641639675</v>
          </cell>
          <cell r="J20">
            <v>46981.144431679255</v>
          </cell>
          <cell r="K20">
            <v>50750.410680130837</v>
          </cell>
          <cell r="L20">
            <v>53282.65603062624</v>
          </cell>
          <cell r="M20">
            <v>55836.11260855438</v>
          </cell>
          <cell r="N20">
            <v>57499.270403978771</v>
          </cell>
        </row>
        <row r="21">
          <cell r="D21" t="str">
            <v>Biomass and waste</v>
          </cell>
          <cell r="F21">
            <v>9116.1306128519991</v>
          </cell>
          <cell r="G21">
            <v>16296.946814660801</v>
          </cell>
          <cell r="H21">
            <v>19809.698891303975</v>
          </cell>
          <cell r="I21">
            <v>23329.582986013997</v>
          </cell>
          <cell r="J21">
            <v>26116.918949699422</v>
          </cell>
          <cell r="K21">
            <v>27804.411287754636</v>
          </cell>
          <cell r="L21">
            <v>30336.720670064919</v>
          </cell>
          <cell r="M21">
            <v>33248.516042398449</v>
          </cell>
          <cell r="N21">
            <v>34666.743135797195</v>
          </cell>
        </row>
        <row r="22">
          <cell r="D22" t="str">
            <v>Hydro</v>
          </cell>
          <cell r="F22">
            <v>14023.472570784001</v>
          </cell>
          <cell r="G22">
            <v>18549.977652244845</v>
          </cell>
          <cell r="H22">
            <v>20280.070484500415</v>
          </cell>
          <cell r="I22">
            <v>21885.263360752379</v>
          </cell>
          <cell r="J22">
            <v>23298.958028224719</v>
          </cell>
          <cell r="K22">
            <v>24677.971578519489</v>
          </cell>
          <cell r="L22">
            <v>26095.463637556673</v>
          </cell>
          <cell r="M22">
            <v>27521.111339424373</v>
          </cell>
          <cell r="N22">
            <v>28985.298130503706</v>
          </cell>
        </row>
        <row r="23">
          <cell r="D23" t="str">
            <v>Geothermal</v>
          </cell>
          <cell r="F23">
            <v>2650.8275793719999</v>
          </cell>
          <cell r="G23">
            <v>6153.1212938084391</v>
          </cell>
          <cell r="H23">
            <v>8316.9315907497785</v>
          </cell>
          <cell r="I23">
            <v>11263.476744563046</v>
          </cell>
          <cell r="J23">
            <v>14850.946731615451</v>
          </cell>
          <cell r="K23">
            <v>18632.167523542968</v>
          </cell>
          <cell r="L23">
            <v>22443.198158715091</v>
          </cell>
          <cell r="M23">
            <v>26299.034383692313</v>
          </cell>
          <cell r="N23">
            <v>30029.950398076817</v>
          </cell>
        </row>
        <row r="24">
          <cell r="D24" t="str">
            <v>Wind</v>
          </cell>
          <cell r="F24">
            <v>2582.2556496000002</v>
          </cell>
          <cell r="G24">
            <v>7893.4700076002737</v>
          </cell>
          <cell r="H24">
            <v>10341.146050807743</v>
          </cell>
          <cell r="I24">
            <v>12544.499589008452</v>
          </cell>
          <cell r="J24">
            <v>14387.003349144585</v>
          </cell>
          <cell r="K24">
            <v>16314.541320079683</v>
          </cell>
          <cell r="L24">
            <v>18905.413314534071</v>
          </cell>
          <cell r="M24">
            <v>21161.408421283035</v>
          </cell>
          <cell r="N24">
            <v>23347.148068417213</v>
          </cell>
        </row>
        <row r="25">
          <cell r="D25" t="str">
            <v>Solar PV</v>
          </cell>
          <cell r="F25">
            <v>683.00331847200005</v>
          </cell>
          <cell r="G25">
            <v>3535.6108001020348</v>
          </cell>
          <cell r="H25">
            <v>5047.5271255581365</v>
          </cell>
          <cell r="I25">
            <v>6588.9130711004773</v>
          </cell>
          <cell r="J25">
            <v>8273.8552821706398</v>
          </cell>
          <cell r="K25">
            <v>10113.709649086342</v>
          </cell>
          <cell r="L25">
            <v>12041.877072990663</v>
          </cell>
          <cell r="M25">
            <v>13512.417774703357</v>
          </cell>
          <cell r="N25">
            <v>15002.736960736258</v>
          </cell>
        </row>
        <row r="26">
          <cell r="D26" t="str">
            <v>Solar CSP</v>
          </cell>
          <cell r="F26">
            <v>117.45845499600001</v>
          </cell>
          <cell r="G26">
            <v>632.49247605446465</v>
          </cell>
          <cell r="H26">
            <v>1119.2912320348182</v>
          </cell>
          <cell r="I26">
            <v>2514.0165603752621</v>
          </cell>
          <cell r="J26">
            <v>4198.0655506668609</v>
          </cell>
          <cell r="K26">
            <v>5588.7914599205224</v>
          </cell>
          <cell r="L26">
            <v>7733.3877675224558</v>
          </cell>
          <cell r="M26">
            <v>11455.549434544197</v>
          </cell>
          <cell r="N26">
            <v>15085.376374632458</v>
          </cell>
        </row>
        <row r="27">
          <cell r="D27" t="str">
            <v>Ocean</v>
          </cell>
          <cell r="F27">
            <v>3.5970473520000001</v>
          </cell>
          <cell r="G27">
            <v>22.687945641695602</v>
          </cell>
          <cell r="H27">
            <v>58.042794964055688</v>
          </cell>
          <cell r="I27">
            <v>110.81003005843172</v>
          </cell>
          <cell r="J27">
            <v>196.48821237815091</v>
          </cell>
          <cell r="K27">
            <v>271.93043431592844</v>
          </cell>
          <cell r="L27">
            <v>349.18653448107409</v>
          </cell>
          <cell r="M27">
            <v>435.9940573399283</v>
          </cell>
          <cell r="N27">
            <v>517.12697273441324</v>
          </cell>
        </row>
        <row r="28">
          <cell r="D28" t="str">
            <v>Hydrogen</v>
          </cell>
          <cell r="F28">
            <v>0</v>
          </cell>
          <cell r="G28">
            <v>0</v>
          </cell>
          <cell r="H28">
            <v>0</v>
          </cell>
          <cell r="I28">
            <v>0</v>
          </cell>
          <cell r="J28">
            <v>0</v>
          </cell>
          <cell r="K28">
            <v>0</v>
          </cell>
          <cell r="L28">
            <v>0</v>
          </cell>
          <cell r="M28">
            <v>0</v>
          </cell>
          <cell r="N28">
            <v>0</v>
          </cell>
        </row>
        <row r="29">
          <cell r="D29" t="str">
            <v>Other</v>
          </cell>
          <cell r="F29">
            <v>10.725241824000001</v>
          </cell>
          <cell r="G29">
            <v>0</v>
          </cell>
          <cell r="H29">
            <v>0</v>
          </cell>
          <cell r="I29">
            <v>0</v>
          </cell>
          <cell r="J29">
            <v>0</v>
          </cell>
          <cell r="K29">
            <v>0</v>
          </cell>
          <cell r="L29">
            <v>0</v>
          </cell>
          <cell r="M29">
            <v>0</v>
          </cell>
          <cell r="N29">
            <v>0</v>
          </cell>
        </row>
        <row r="30">
          <cell r="D30" t="str">
            <v>Total</v>
          </cell>
          <cell r="F30">
            <v>217599.537357792</v>
          </cell>
          <cell r="G30">
            <v>250210.9794705605</v>
          </cell>
          <cell r="H30">
            <v>272966.75723099645</v>
          </cell>
          <cell r="I30">
            <v>295298.25138567481</v>
          </cell>
          <cell r="J30">
            <v>317668.5312518389</v>
          </cell>
          <cell r="K30">
            <v>336612.29618932202</v>
          </cell>
          <cell r="L30">
            <v>353904.51049535139</v>
          </cell>
          <cell r="M30">
            <v>375645.32318703219</v>
          </cell>
          <cell r="N30">
            <v>394890.61985366687</v>
          </cell>
        </row>
        <row r="32">
          <cell r="D32" t="str">
            <v>Final energy demand (EJ)</v>
          </cell>
        </row>
        <row r="33">
          <cell r="D33" t="str">
            <v>Oil</v>
          </cell>
          <cell r="F33">
            <v>157.59628338394796</v>
          </cell>
          <cell r="G33">
            <v>175.81393982889389</v>
          </cell>
          <cell r="H33">
            <v>183.45688109927806</v>
          </cell>
          <cell r="I33">
            <v>188.95039111099001</v>
          </cell>
          <cell r="J33">
            <v>193.41676295655535</v>
          </cell>
          <cell r="K33">
            <v>197.88949183758885</v>
          </cell>
          <cell r="L33">
            <v>201.46649497211072</v>
          </cell>
          <cell r="M33">
            <v>202.96940741988271</v>
          </cell>
          <cell r="N33">
            <v>205.00368409827888</v>
          </cell>
        </row>
        <row r="34">
          <cell r="D34" t="str">
            <v>Final Energy|Solids|Coal</v>
          </cell>
          <cell r="F34">
            <v>60.603622353935997</v>
          </cell>
          <cell r="G34">
            <v>61.211100670708255</v>
          </cell>
          <cell r="H34">
            <v>62.046711449822709</v>
          </cell>
          <cell r="I34">
            <v>63.32719287844975</v>
          </cell>
          <cell r="J34">
            <v>65.560426957032291</v>
          </cell>
          <cell r="K34">
            <v>63.20135285226705</v>
          </cell>
          <cell r="L34">
            <v>62.336655778321465</v>
          </cell>
          <cell r="M34">
            <v>61.876723417212702</v>
          </cell>
          <cell r="N34">
            <v>61.058244355100612</v>
          </cell>
        </row>
        <row r="35">
          <cell r="D35" t="str">
            <v>Natural gas</v>
          </cell>
          <cell r="F35">
            <v>57.067864059888002</v>
          </cell>
          <cell r="G35">
            <v>72.470892518838895</v>
          </cell>
          <cell r="H35">
            <v>76.864104017856377</v>
          </cell>
          <cell r="I35">
            <v>80.518791007711741</v>
          </cell>
          <cell r="J35">
            <v>83.130601134718518</v>
          </cell>
          <cell r="K35">
            <v>86.180713725781473</v>
          </cell>
          <cell r="L35">
            <v>88.447333657986576</v>
          </cell>
          <cell r="M35">
            <v>89.329342858338606</v>
          </cell>
          <cell r="N35">
            <v>89.894702013035129</v>
          </cell>
        </row>
        <row r="36">
          <cell r="D36" t="str">
            <v>Final Energy|Electricity</v>
          </cell>
          <cell r="F36">
            <v>71.504264051208011</v>
          </cell>
          <cell r="G36">
            <v>92.461859780970457</v>
          </cell>
          <cell r="H36">
            <v>103.17185132225934</v>
          </cell>
          <cell r="I36">
            <v>113.96279023184852</v>
          </cell>
          <cell r="J36">
            <v>123.98017249575165</v>
          </cell>
          <cell r="K36">
            <v>134.39477986037051</v>
          </cell>
          <cell r="L36">
            <v>144.12778946128</v>
          </cell>
          <cell r="M36">
            <v>154.95980692098635</v>
          </cell>
          <cell r="N36">
            <v>165.02503827302047</v>
          </cell>
        </row>
        <row r="37">
          <cell r="D37" t="str">
            <v>Final Energy|Heat</v>
          </cell>
          <cell r="F37">
            <v>11.477084340599999</v>
          </cell>
          <cell r="G37">
            <v>14.790090830685088</v>
          </cell>
          <cell r="H37">
            <v>14.667090646668926</v>
          </cell>
          <cell r="I37">
            <v>14.870515722292334</v>
          </cell>
          <cell r="J37">
            <v>14.813731787818343</v>
          </cell>
          <cell r="K37">
            <v>15.154897609627771</v>
          </cell>
          <cell r="L37">
            <v>15.225493885444038</v>
          </cell>
          <cell r="M37">
            <v>15.313079666941958</v>
          </cell>
          <cell r="N37">
            <v>15.243672858923084</v>
          </cell>
        </row>
        <row r="38">
          <cell r="D38" t="str">
            <v>Biomass and waste</v>
          </cell>
          <cell r="F38">
            <v>42.038225518920001</v>
          </cell>
          <cell r="G38">
            <v>48.83485820829398</v>
          </cell>
          <cell r="H38">
            <v>50.428984559273793</v>
          </cell>
          <cell r="I38">
            <v>52.596778516214144</v>
          </cell>
          <cell r="J38">
            <v>54.227040386935045</v>
          </cell>
          <cell r="K38">
            <v>55.771198145310905</v>
          </cell>
          <cell r="L38">
            <v>56.730073914229912</v>
          </cell>
          <cell r="M38">
            <v>57.642844752705528</v>
          </cell>
          <cell r="N38">
            <v>58.335701677298495</v>
          </cell>
        </row>
        <row r="39">
          <cell r="D39" t="str">
            <v>Final Energy|Hydrogen</v>
          </cell>
          <cell r="F39">
            <v>0</v>
          </cell>
          <cell r="G39">
            <v>5.5821700119025354E-3</v>
          </cell>
          <cell r="H39">
            <v>1.4027252823030224E-2</v>
          </cell>
          <cell r="I39">
            <v>2.5462732105835519E-2</v>
          </cell>
          <cell r="J39">
            <v>3.5915940747429161E-2</v>
          </cell>
          <cell r="K39">
            <v>4.7777959528919153E-2</v>
          </cell>
          <cell r="L39">
            <v>6.6098318847191223E-2</v>
          </cell>
          <cell r="M39">
            <v>9.1669110060198108E-2</v>
          </cell>
          <cell r="N39">
            <v>0.12003248684099233</v>
          </cell>
        </row>
        <row r="40">
          <cell r="D40" t="str">
            <v>Other</v>
          </cell>
          <cell r="F40">
            <v>1.5298820082719999</v>
          </cell>
          <cell r="G40">
            <v>2.9950662116446765</v>
          </cell>
          <cell r="H40">
            <v>4.0034233634389702</v>
          </cell>
          <cell r="I40">
            <v>5.0168721723892187</v>
          </cell>
          <cell r="J40">
            <v>6.4188537343368335</v>
          </cell>
          <cell r="K40">
            <v>7.6172569458863286</v>
          </cell>
          <cell r="L40">
            <v>7.3887256452739747</v>
          </cell>
          <cell r="M40">
            <v>8.5460620053018932</v>
          </cell>
          <cell r="N40">
            <v>9.0892514503925028</v>
          </cell>
        </row>
        <row r="41">
          <cell r="D41" t="str">
            <v>Final Energy</v>
          </cell>
          <cell r="F41">
            <v>401.81722571677199</v>
          </cell>
          <cell r="G41">
            <v>468.58339022004714</v>
          </cell>
          <cell r="H41">
            <v>494.65307371142126</v>
          </cell>
          <cell r="I41">
            <v>519.26879437200159</v>
          </cell>
          <cell r="J41">
            <v>541.58350539389539</v>
          </cell>
          <cell r="K41">
            <v>560.25746893636176</v>
          </cell>
          <cell r="L41">
            <v>575.78866563349379</v>
          </cell>
          <cell r="M41">
            <v>590.72893615143016</v>
          </cell>
          <cell r="N41">
            <v>603.77032721289015</v>
          </cell>
        </row>
        <row r="43">
          <cell r="D43" t="str">
            <v>Final energy demand industry sector (PJ)</v>
          </cell>
        </row>
        <row r="44">
          <cell r="D44" t="str">
            <v>Oil</v>
          </cell>
          <cell r="F44">
            <v>12757.195174896</v>
          </cell>
          <cell r="G44">
            <v>13881.277214655684</v>
          </cell>
          <cell r="H44">
            <v>14028.317629972496</v>
          </cell>
          <cell r="I44">
            <v>14241.167920734793</v>
          </cell>
          <cell r="J44">
            <v>14375.168935004998</v>
          </cell>
          <cell r="K44">
            <v>14742.82076624312</v>
          </cell>
          <cell r="L44">
            <v>15105.635712144296</v>
          </cell>
          <cell r="M44">
            <v>14528.619288286811</v>
          </cell>
          <cell r="N44">
            <v>14941.987764405974</v>
          </cell>
        </row>
        <row r="45">
          <cell r="D45" t="str">
            <v>Coal</v>
          </cell>
          <cell r="F45">
            <v>49961.912674644002</v>
          </cell>
          <cell r="G45">
            <v>52727.904102137705</v>
          </cell>
          <cell r="H45">
            <v>53800.585801503206</v>
          </cell>
          <cell r="I45">
            <v>55398.116194074973</v>
          </cell>
          <cell r="J45">
            <v>58066.062831698153</v>
          </cell>
          <cell r="K45">
            <v>56709.610767683858</v>
          </cell>
          <cell r="L45">
            <v>56768.383489985412</v>
          </cell>
          <cell r="M45">
            <v>56509.460801871588</v>
          </cell>
          <cell r="N45">
            <v>55895.108720272656</v>
          </cell>
        </row>
        <row r="46">
          <cell r="D46" t="str">
            <v>Natural gas</v>
          </cell>
          <cell r="F46">
            <v>23052.196616076002</v>
          </cell>
          <cell r="G46">
            <v>32486.297859877352</v>
          </cell>
          <cell r="H46">
            <v>34606.967501715713</v>
          </cell>
          <cell r="I46">
            <v>36746.932282543748</v>
          </cell>
          <cell r="J46">
            <v>37781.808119244786</v>
          </cell>
          <cell r="K46">
            <v>39404.843889506839</v>
          </cell>
          <cell r="L46">
            <v>40816.491845656958</v>
          </cell>
          <cell r="M46">
            <v>41422.807851387042</v>
          </cell>
          <cell r="N46">
            <v>42141.940957395549</v>
          </cell>
        </row>
        <row r="47">
          <cell r="D47" t="str">
            <v>Electricity</v>
          </cell>
          <cell r="F47">
            <v>30134.810820912</v>
          </cell>
          <cell r="G47">
            <v>38628.396933158576</v>
          </cell>
          <cell r="H47">
            <v>42325.946498777448</v>
          </cell>
          <cell r="I47">
            <v>45658.361411356724</v>
          </cell>
          <cell r="J47">
            <v>48476.700606778213</v>
          </cell>
          <cell r="K47">
            <v>51641.6096246577</v>
          </cell>
          <cell r="L47">
            <v>54021.931178445724</v>
          </cell>
          <cell r="M47">
            <v>57207.755441435562</v>
          </cell>
          <cell r="N47">
            <v>59650.79278443753</v>
          </cell>
        </row>
        <row r="48">
          <cell r="D48" t="str">
            <v>Heat</v>
          </cell>
          <cell r="F48">
            <v>5164.3284955559993</v>
          </cell>
          <cell r="G48">
            <v>7895.7154024537558</v>
          </cell>
          <cell r="H48">
            <v>8054.6508964465393</v>
          </cell>
          <cell r="I48">
            <v>8137.6946237076281</v>
          </cell>
          <cell r="J48">
            <v>8015.4083730652155</v>
          </cell>
          <cell r="K48">
            <v>8387.6463432328055</v>
          </cell>
          <cell r="L48">
            <v>8505.9923996653488</v>
          </cell>
          <cell r="M48">
            <v>8739.5326474992999</v>
          </cell>
          <cell r="N48">
            <v>8842.2734707841737</v>
          </cell>
        </row>
        <row r="49">
          <cell r="D49" t="str">
            <v>Biomass and waste</v>
          </cell>
          <cell r="F49">
            <v>7954.318398708001</v>
          </cell>
          <cell r="G49">
            <v>9925.8808322557434</v>
          </cell>
          <cell r="H49">
            <v>11115.92615833486</v>
          </cell>
          <cell r="I49">
            <v>12530.810058272256</v>
          </cell>
          <cell r="J49">
            <v>13839.666256635011</v>
          </cell>
          <cell r="K49">
            <v>15653.38045811518</v>
          </cell>
          <cell r="L49">
            <v>17173.140303486813</v>
          </cell>
          <cell r="M49">
            <v>19397.208502024045</v>
          </cell>
          <cell r="N49">
            <v>21936.298883553718</v>
          </cell>
        </row>
        <row r="50">
          <cell r="D50" t="str">
            <v>Hydrogen</v>
          </cell>
          <cell r="F50">
            <v>0</v>
          </cell>
          <cell r="G50">
            <v>0</v>
          </cell>
          <cell r="H50">
            <v>0</v>
          </cell>
          <cell r="I50">
            <v>0</v>
          </cell>
          <cell r="J50">
            <v>0</v>
          </cell>
          <cell r="K50">
            <v>0</v>
          </cell>
          <cell r="L50">
            <v>0</v>
          </cell>
          <cell r="M50">
            <v>0</v>
          </cell>
          <cell r="N50">
            <v>0</v>
          </cell>
        </row>
        <row r="51">
          <cell r="D51" t="str">
            <v>Other</v>
          </cell>
          <cell r="F51">
            <v>32.617767816000004</v>
          </cell>
          <cell r="G51">
            <v>172.48314521305716</v>
          </cell>
          <cell r="H51">
            <v>379.39866663211041</v>
          </cell>
          <cell r="I51">
            <v>667.5350670675906</v>
          </cell>
          <cell r="J51">
            <v>1382.0093430320269</v>
          </cell>
          <cell r="K51">
            <v>1904.7424278178328</v>
          </cell>
          <cell r="L51">
            <v>1011.9588525750777</v>
          </cell>
          <cell r="M51">
            <v>1596.8303590638066</v>
          </cell>
          <cell r="N51">
            <v>1622.6332858890305</v>
          </cell>
        </row>
        <row r="52">
          <cell r="D52" t="str">
            <v>Total</v>
          </cell>
          <cell r="F52">
            <v>129057.379948608</v>
          </cell>
          <cell r="G52">
            <v>155717.95548975185</v>
          </cell>
          <cell r="H52">
            <v>164311.79315338237</v>
          </cell>
          <cell r="I52">
            <v>173380.61755775771</v>
          </cell>
          <cell r="J52">
            <v>181936.8244654584</v>
          </cell>
          <cell r="K52">
            <v>188444.65427725736</v>
          </cell>
          <cell r="L52">
            <v>193403.53378195962</v>
          </cell>
          <cell r="M52">
            <v>199402.21489156815</v>
          </cell>
          <cell r="N52">
            <v>205031.03586673862</v>
          </cell>
        </row>
        <row r="54">
          <cell r="D54" t="str">
            <v>Final energy demand non-energy use (PJ)</v>
          </cell>
        </row>
        <row r="55">
          <cell r="D55" t="str">
            <v>Total</v>
          </cell>
          <cell r="F55">
            <v>34646.622306876001</v>
          </cell>
          <cell r="G55">
            <v>41117.021703069222</v>
          </cell>
          <cell r="H55">
            <v>44123.678634679993</v>
          </cell>
          <cell r="I55">
            <v>46463.574370934533</v>
          </cell>
          <cell r="J55">
            <v>48276.70974664855</v>
          </cell>
          <cell r="K55">
            <v>50097.325563560575</v>
          </cell>
          <cell r="L55">
            <v>53515.744366849933</v>
          </cell>
          <cell r="M55">
            <v>56221.230488132664</v>
          </cell>
          <cell r="N55">
            <v>59640.527407151028</v>
          </cell>
        </row>
        <row r="57">
          <cell r="D57" t="str">
            <v>Final energy demand transport sector (PJ)</v>
          </cell>
        </row>
        <row r="58">
          <cell r="D58" t="str">
            <v>Oil</v>
          </cell>
          <cell r="F58">
            <v>101570.98527774001</v>
          </cell>
          <cell r="G58">
            <v>114706.07707739188</v>
          </cell>
          <cell r="H58">
            <v>121521.29876809422</v>
          </cell>
          <cell r="I58">
            <v>126096.41618599658</v>
          </cell>
          <cell r="J58">
            <v>129791.83327441242</v>
          </cell>
          <cell r="K58">
            <v>132226.65714921127</v>
          </cell>
          <cell r="L58">
            <v>132443.3247047968</v>
          </cell>
          <cell r="M58">
            <v>132886.68887209817</v>
          </cell>
          <cell r="N58">
            <v>132233.38037600525</v>
          </cell>
        </row>
        <row r="59">
          <cell r="D59" t="str">
            <v>Coal</v>
          </cell>
          <cell r="F59">
            <v>119.92389404400001</v>
          </cell>
          <cell r="G59">
            <v>0</v>
          </cell>
          <cell r="H59">
            <v>0</v>
          </cell>
          <cell r="I59">
            <v>0</v>
          </cell>
          <cell r="J59">
            <v>0</v>
          </cell>
          <cell r="K59">
            <v>0</v>
          </cell>
          <cell r="L59">
            <v>0</v>
          </cell>
          <cell r="M59">
            <v>0</v>
          </cell>
          <cell r="N59">
            <v>0</v>
          </cell>
        </row>
        <row r="60">
          <cell r="D60" t="str">
            <v>Natural gas</v>
          </cell>
          <cell r="F60">
            <v>1628.971757496</v>
          </cell>
          <cell r="G60">
            <v>4658.8486601580144</v>
          </cell>
          <cell r="H60">
            <v>5084.3252985856116</v>
          </cell>
          <cell r="I60">
            <v>5850.1613194209585</v>
          </cell>
          <cell r="J60">
            <v>6740.2062915395009</v>
          </cell>
          <cell r="K60">
            <v>7613.1285502965738</v>
          </cell>
          <cell r="L60">
            <v>8297.2885283169471</v>
          </cell>
          <cell r="M60">
            <v>8674.3459511677411</v>
          </cell>
          <cell r="N60">
            <v>8962.5739523085776</v>
          </cell>
        </row>
        <row r="61">
          <cell r="D61" t="str">
            <v>Electricity</v>
          </cell>
          <cell r="F61">
            <v>976.240091592</v>
          </cell>
          <cell r="G61">
            <v>1870.4421994878776</v>
          </cell>
          <cell r="H61">
            <v>2492.248295316962</v>
          </cell>
          <cell r="I61">
            <v>3290.0303681114524</v>
          </cell>
          <cell r="J61">
            <v>4117.9707256523307</v>
          </cell>
          <cell r="K61">
            <v>5097.515268107567</v>
          </cell>
          <cell r="L61">
            <v>6638.0221518265007</v>
          </cell>
          <cell r="M61">
            <v>8406.8228066088086</v>
          </cell>
          <cell r="N61">
            <v>10360.361717220389</v>
          </cell>
        </row>
        <row r="62">
          <cell r="D62" t="str">
            <v>Biomass</v>
          </cell>
          <cell r="F62">
            <v>3090.1167674280005</v>
          </cell>
          <cell r="G62">
            <v>5009.1613953774586</v>
          </cell>
          <cell r="H62">
            <v>6027.1479335833865</v>
          </cell>
          <cell r="I62">
            <v>7755.496293838055</v>
          </cell>
          <cell r="J62">
            <v>9415.9099369123942</v>
          </cell>
          <cell r="K62">
            <v>11003.822667758091</v>
          </cell>
          <cell r="L62">
            <v>12127.430115859395</v>
          </cell>
          <cell r="M62">
            <v>12490.684299930072</v>
          </cell>
          <cell r="N62">
            <v>12709.828434112527</v>
          </cell>
        </row>
        <row r="63">
          <cell r="D63" t="str">
            <v>Hydrogen</v>
          </cell>
          <cell r="F63">
            <v>0</v>
          </cell>
          <cell r="G63">
            <v>5.5821700119025355</v>
          </cell>
          <cell r="H63">
            <v>14.027252823030224</v>
          </cell>
          <cell r="I63">
            <v>25.462732105835521</v>
          </cell>
          <cell r="J63">
            <v>35.915940747429161</v>
          </cell>
          <cell r="K63">
            <v>47.777959528919155</v>
          </cell>
          <cell r="L63">
            <v>66.098318847191223</v>
          </cell>
          <cell r="M63">
            <v>91.669110060198108</v>
          </cell>
          <cell r="N63">
            <v>120.03248684099232</v>
          </cell>
        </row>
        <row r="64">
          <cell r="D64" t="str">
            <v>Total</v>
          </cell>
          <cell r="F64">
            <v>107386.2377883</v>
          </cell>
          <cell r="G64">
            <v>126250.11150242713</v>
          </cell>
          <cell r="H64">
            <v>135139.04754840321</v>
          </cell>
          <cell r="I64">
            <v>143017.56689947288</v>
          </cell>
          <cell r="J64">
            <v>150101.83616926405</v>
          </cell>
          <cell r="K64">
            <v>155988.90159490242</v>
          </cell>
          <cell r="L64">
            <v>159572.16381964684</v>
          </cell>
          <cell r="M64">
            <v>162550.21103986498</v>
          </cell>
          <cell r="N64">
            <v>164386.17696648775</v>
          </cell>
        </row>
        <row r="66">
          <cell r="D66" t="str">
            <v>Final energy demand residential sector (PJ)</v>
          </cell>
        </row>
        <row r="67">
          <cell r="D67" t="str">
            <v>Oil</v>
          </cell>
          <cell r="F67">
            <v>8669.9752402680024</v>
          </cell>
          <cell r="G67">
            <v>8186.918632113202</v>
          </cell>
          <cell r="H67">
            <v>7345.1373494304189</v>
          </cell>
          <cell r="I67">
            <v>6788.4626801042677</v>
          </cell>
          <cell r="J67">
            <v>6553.7568376639101</v>
          </cell>
          <cell r="K67">
            <v>6344.927912648026</v>
          </cell>
          <cell r="L67">
            <v>6044.5231929879674</v>
          </cell>
          <cell r="M67">
            <v>5665.7342708697834</v>
          </cell>
          <cell r="N67">
            <v>5245.9164783433362</v>
          </cell>
        </row>
        <row r="68">
          <cell r="D68" t="str">
            <v>Coal</v>
          </cell>
          <cell r="F68">
            <v>4603.1949282959986</v>
          </cell>
          <cell r="G68">
            <v>2443.5771086505442</v>
          </cell>
          <cell r="H68">
            <v>1917.372466526873</v>
          </cell>
          <cell r="I68">
            <v>1570.2883065067647</v>
          </cell>
          <cell r="J68">
            <v>1334.4560775946086</v>
          </cell>
          <cell r="K68">
            <v>1179.0526680651883</v>
          </cell>
          <cell r="L68">
            <v>1004.3199796463722</v>
          </cell>
          <cell r="M68">
            <v>822.13826942838045</v>
          </cell>
          <cell r="N68">
            <v>637.84847440560441</v>
          </cell>
        </row>
        <row r="69">
          <cell r="D69" t="str">
            <v>Natural gas</v>
          </cell>
          <cell r="F69">
            <v>17570.527646724</v>
          </cell>
          <cell r="G69">
            <v>19595.244915633833</v>
          </cell>
          <cell r="H69">
            <v>20423.875525221811</v>
          </cell>
          <cell r="I69">
            <v>20425.55506479559</v>
          </cell>
          <cell r="J69">
            <v>20489.183565317886</v>
          </cell>
          <cell r="K69">
            <v>20528.197709948465</v>
          </cell>
          <cell r="L69">
            <v>20316.600441159862</v>
          </cell>
          <cell r="M69">
            <v>19969.653737634704</v>
          </cell>
          <cell r="N69">
            <v>19310.847909280004</v>
          </cell>
        </row>
        <row r="70">
          <cell r="D70" t="str">
            <v>Electricity</v>
          </cell>
          <cell r="F70">
            <v>19355.351736312001</v>
          </cell>
          <cell r="G70">
            <v>26759.245079208515</v>
          </cell>
          <cell r="H70">
            <v>30987.284388360251</v>
          </cell>
          <cell r="I70">
            <v>35471.010467900109</v>
          </cell>
          <cell r="J70">
            <v>39866.648647702968</v>
          </cell>
          <cell r="K70">
            <v>44255.178307297378</v>
          </cell>
          <cell r="L70">
            <v>48397.917708525492</v>
          </cell>
          <cell r="M70">
            <v>52440.752999453325</v>
          </cell>
          <cell r="N70">
            <v>56590.05784533493</v>
          </cell>
        </row>
        <row r="71">
          <cell r="D71" t="str">
            <v>Heat</v>
          </cell>
          <cell r="F71">
            <v>4409.1315147960004</v>
          </cell>
          <cell r="G71">
            <v>5025.6131141775968</v>
          </cell>
          <cell r="H71">
            <v>4721.1466162125844</v>
          </cell>
          <cell r="I71">
            <v>4779.5593211206187</v>
          </cell>
          <cell r="J71">
            <v>4808.0250951233083</v>
          </cell>
          <cell r="K71">
            <v>4766.0838401414148</v>
          </cell>
          <cell r="L71">
            <v>4727.4082718108593</v>
          </cell>
          <cell r="M71">
            <v>4595.9915387960773</v>
          </cell>
          <cell r="N71">
            <v>4450.0684346160015</v>
          </cell>
        </row>
        <row r="72">
          <cell r="D72" t="str">
            <v>Biomass and waste</v>
          </cell>
          <cell r="F72">
            <v>29546.776672080003</v>
          </cell>
          <cell r="G72">
            <v>31872.992927757907</v>
          </cell>
          <cell r="H72">
            <v>30998.170310086974</v>
          </cell>
          <cell r="I72">
            <v>29703.787555661766</v>
          </cell>
          <cell r="J72">
            <v>28075.565343080587</v>
          </cell>
          <cell r="K72">
            <v>26027.258795597907</v>
          </cell>
          <cell r="L72">
            <v>24194.114785595069</v>
          </cell>
          <cell r="M72">
            <v>22389.556269851739</v>
          </cell>
          <cell r="N72">
            <v>20216.529048886317</v>
          </cell>
        </row>
        <row r="73">
          <cell r="D73" t="str">
            <v>Hydrogen</v>
          </cell>
          <cell r="F73">
            <v>0</v>
          </cell>
          <cell r="G73">
            <v>0</v>
          </cell>
          <cell r="H73">
            <v>0</v>
          </cell>
          <cell r="I73">
            <v>0</v>
          </cell>
          <cell r="J73">
            <v>0</v>
          </cell>
          <cell r="K73">
            <v>0</v>
          </cell>
          <cell r="L73">
            <v>0</v>
          </cell>
          <cell r="M73">
            <v>0</v>
          </cell>
          <cell r="N73">
            <v>0</v>
          </cell>
        </row>
        <row r="74">
          <cell r="D74" t="str">
            <v>Other</v>
          </cell>
          <cell r="F74">
            <v>1134.314986464</v>
          </cell>
          <cell r="G74">
            <v>1993.1381180137118</v>
          </cell>
          <cell r="H74">
            <v>2437.3440451734978</v>
          </cell>
          <cell r="I74">
            <v>2855.8941699475008</v>
          </cell>
          <cell r="J74">
            <v>3225.4498658817156</v>
          </cell>
          <cell r="K74">
            <v>3581.3269889494381</v>
          </cell>
          <cell r="L74">
            <v>3920.5696127425499</v>
          </cell>
          <cell r="M74">
            <v>4216.9957022916151</v>
          </cell>
          <cell r="N74">
            <v>4456.6272512337264</v>
          </cell>
        </row>
        <row r="75">
          <cell r="D75" t="str">
            <v>Total</v>
          </cell>
          <cell r="F75">
            <v>85289.272724940005</v>
          </cell>
          <cell r="G75">
            <v>95876.729895555312</v>
          </cell>
          <cell r="H75">
            <v>98830.330701012412</v>
          </cell>
          <cell r="I75">
            <v>101594.55756603662</v>
          </cell>
          <cell r="J75">
            <v>104353.08543236497</v>
          </cell>
          <cell r="K75">
            <v>106682.02622264784</v>
          </cell>
          <cell r="L75">
            <v>108605.45399246816</v>
          </cell>
          <cell r="M75">
            <v>110100.82278832565</v>
          </cell>
          <cell r="N75">
            <v>110907.89544209992</v>
          </cell>
        </row>
        <row r="77">
          <cell r="D77" t="str">
            <v>Final energy demand services sector (PJ)</v>
          </cell>
        </row>
        <row r="78">
          <cell r="D78" t="str">
            <v>Oil</v>
          </cell>
          <cell r="F78">
            <v>4391.433492516001</v>
          </cell>
          <cell r="G78">
            <v>3559.5459915564843</v>
          </cell>
          <cell r="H78">
            <v>3161.3374861907168</v>
          </cell>
          <cell r="I78">
            <v>2916.7814206018902</v>
          </cell>
          <cell r="J78">
            <v>2613.5340869395104</v>
          </cell>
          <cell r="K78">
            <v>2280.874826259917</v>
          </cell>
          <cell r="L78">
            <v>1925.424874538784</v>
          </cell>
          <cell r="M78">
            <v>1743.9989909113833</v>
          </cell>
          <cell r="N78">
            <v>1540.3751233738267</v>
          </cell>
        </row>
        <row r="79">
          <cell r="D79" t="str">
            <v>Coal</v>
          </cell>
          <cell r="F79">
            <v>2827.4384008080001</v>
          </cell>
          <cell r="G79">
            <v>1491.4205085737228</v>
          </cell>
          <cell r="H79">
            <v>1337.5034350125534</v>
          </cell>
          <cell r="I79">
            <v>1161.2197956190678</v>
          </cell>
          <cell r="J79">
            <v>937.42051288508299</v>
          </cell>
          <cell r="K79">
            <v>685.71243793738847</v>
          </cell>
          <cell r="L79">
            <v>419.48880330622512</v>
          </cell>
          <cell r="M79">
            <v>341.95957051336848</v>
          </cell>
          <cell r="N79">
            <v>266.79338481353341</v>
          </cell>
        </row>
        <row r="80">
          <cell r="D80" t="str">
            <v>Natural gas</v>
          </cell>
          <cell r="F80">
            <v>7745.9685350400005</v>
          </cell>
          <cell r="G80">
            <v>8636.5793638614668</v>
          </cell>
          <cell r="H80">
            <v>9157.8036571129214</v>
          </cell>
          <cell r="I80">
            <v>9480.7885706499965</v>
          </cell>
          <cell r="J80">
            <v>9753.3974724648815</v>
          </cell>
          <cell r="K80">
            <v>9987.7698803360709</v>
          </cell>
          <cell r="L80">
            <v>10175.206823326898</v>
          </cell>
          <cell r="M80">
            <v>10026.012620647372</v>
          </cell>
          <cell r="N80">
            <v>9829.3955732432369</v>
          </cell>
        </row>
        <row r="81">
          <cell r="D81" t="str">
            <v>Electricity</v>
          </cell>
          <cell r="F81">
            <v>19010.746987464005</v>
          </cell>
          <cell r="G81">
            <v>22129.144560715486</v>
          </cell>
          <cell r="H81">
            <v>23959.05381660469</v>
          </cell>
          <cell r="I81">
            <v>25817.60909288023</v>
          </cell>
          <cell r="J81">
            <v>27499.172824418136</v>
          </cell>
          <cell r="K81">
            <v>29021.728552205703</v>
          </cell>
          <cell r="L81">
            <v>30360.29519120029</v>
          </cell>
          <cell r="M81">
            <v>31863.97731902681</v>
          </cell>
          <cell r="N81">
            <v>33052.452448385884</v>
          </cell>
        </row>
        <row r="82">
          <cell r="D82" t="str">
            <v>Heat</v>
          </cell>
          <cell r="F82">
            <v>1770.9367251960002</v>
          </cell>
          <cell r="G82">
            <v>1737.7699024537362</v>
          </cell>
          <cell r="H82">
            <v>1754.7573992098046</v>
          </cell>
          <cell r="I82">
            <v>1811.1492250640865</v>
          </cell>
          <cell r="J82">
            <v>1843.6849572298202</v>
          </cell>
          <cell r="K82">
            <v>1853.7334420172924</v>
          </cell>
          <cell r="L82">
            <v>1841.4932559099898</v>
          </cell>
          <cell r="M82">
            <v>1823.7895487671556</v>
          </cell>
          <cell r="N82">
            <v>1794.3990478219018</v>
          </cell>
        </row>
        <row r="83">
          <cell r="D83" t="str">
            <v>Biomass and waste</v>
          </cell>
          <cell r="F83">
            <v>1036.5383014560002</v>
          </cell>
          <cell r="G83">
            <v>1299.7648300648327</v>
          </cell>
          <cell r="H83">
            <v>1394.5862845792067</v>
          </cell>
          <cell r="I83">
            <v>1544.27972281042</v>
          </cell>
          <cell r="J83">
            <v>1663.7498419989604</v>
          </cell>
          <cell r="K83">
            <v>1750.225285485697</v>
          </cell>
          <cell r="L83">
            <v>1797.9815772550801</v>
          </cell>
          <cell r="M83">
            <v>1824.4483402071173</v>
          </cell>
          <cell r="N83">
            <v>1830.8977875427249</v>
          </cell>
        </row>
        <row r="84">
          <cell r="D84" t="str">
            <v>Hydrogen</v>
          </cell>
          <cell r="F84">
            <v>0</v>
          </cell>
          <cell r="G84">
            <v>0</v>
          </cell>
          <cell r="H84">
            <v>0</v>
          </cell>
          <cell r="I84">
            <v>0</v>
          </cell>
          <cell r="J84">
            <v>0</v>
          </cell>
          <cell r="K84">
            <v>0</v>
          </cell>
          <cell r="L84">
            <v>0</v>
          </cell>
          <cell r="M84">
            <v>0</v>
          </cell>
          <cell r="N84">
            <v>0</v>
          </cell>
        </row>
        <row r="85">
          <cell r="D85" t="str">
            <v>Other</v>
          </cell>
          <cell r="F85">
            <v>307.65192552000002</v>
          </cell>
          <cell r="G85">
            <v>697.37652921790777</v>
          </cell>
          <cell r="H85">
            <v>1018.3210500333615</v>
          </cell>
          <cell r="I85">
            <v>1286.4726641741272</v>
          </cell>
          <cell r="J85">
            <v>1564.3188970230913</v>
          </cell>
          <cell r="K85">
            <v>1850.2213842577646</v>
          </cell>
          <cell r="L85">
            <v>2138.5383415871402</v>
          </cell>
          <cell r="M85">
            <v>2377.8844120693516</v>
          </cell>
          <cell r="N85">
            <v>2618.9466878847129</v>
          </cell>
        </row>
        <row r="86">
          <cell r="D86" t="str">
            <v>Total</v>
          </cell>
          <cell r="F86">
            <v>37090.714368000001</v>
          </cell>
          <cell r="G86">
            <v>39551.601686443639</v>
          </cell>
          <cell r="H86">
            <v>41783.363128743251</v>
          </cell>
          <cell r="I86">
            <v>44018.300491799819</v>
          </cell>
          <cell r="J86">
            <v>45875.278592959483</v>
          </cell>
          <cell r="K86">
            <v>47430.265808499833</v>
          </cell>
          <cell r="L86">
            <v>48658.428867124407</v>
          </cell>
          <cell r="M86">
            <v>50002.07080214256</v>
          </cell>
          <cell r="N86">
            <v>50933.260053065816</v>
          </cell>
        </row>
        <row r="88">
          <cell r="D88" t="str">
            <v>Final energy demand agriculture, fisheries and forestry sector (PJ)</v>
          </cell>
        </row>
        <row r="89">
          <cell r="D89" t="str">
            <v>Oil</v>
          </cell>
          <cell r="F89">
            <v>4720.1042426040003</v>
          </cell>
          <cell r="G89">
            <v>4920.599502</v>
          </cell>
          <cell r="H89">
            <v>4887.9675827999999</v>
          </cell>
          <cell r="I89">
            <v>4807.2963204000007</v>
          </cell>
          <cell r="J89">
            <v>4676.0275799999999</v>
          </cell>
          <cell r="K89">
            <v>4773.8491408774089</v>
          </cell>
          <cell r="L89">
            <v>4761.2979578615814</v>
          </cell>
          <cell r="M89">
            <v>4748.7467748457539</v>
          </cell>
          <cell r="N89">
            <v>4736.1955918299273</v>
          </cell>
        </row>
        <row r="90">
          <cell r="D90" t="str">
            <v>Coal</v>
          </cell>
          <cell r="F90">
            <v>635.39940247200002</v>
          </cell>
          <cell r="G90">
            <v>800.19377640000016</v>
          </cell>
          <cell r="H90">
            <v>740.13413040000012</v>
          </cell>
          <cell r="I90">
            <v>676.99299959999996</v>
          </cell>
          <cell r="J90">
            <v>612.35299440000006</v>
          </cell>
          <cell r="K90">
            <v>584.29543432402716</v>
          </cell>
          <cell r="L90">
            <v>536.38410479309096</v>
          </cell>
          <cell r="M90">
            <v>488.47277526215476</v>
          </cell>
          <cell r="N90">
            <v>440.56144573121856</v>
          </cell>
        </row>
        <row r="91">
          <cell r="D91" t="str">
            <v>Natural gas</v>
          </cell>
          <cell r="F91">
            <v>365.92020727199997</v>
          </cell>
          <cell r="G91">
            <v>406.19077560000005</v>
          </cell>
          <cell r="H91">
            <v>427.97469599999999</v>
          </cell>
          <cell r="I91">
            <v>449.20177200000001</v>
          </cell>
          <cell r="J91">
            <v>468.16797600000007</v>
          </cell>
          <cell r="K91">
            <v>488.14330422302191</v>
          </cell>
          <cell r="L91">
            <v>508.2312844748194</v>
          </cell>
          <cell r="M91">
            <v>528.31926472661871</v>
          </cell>
          <cell r="N91">
            <v>548.40724497841802</v>
          </cell>
        </row>
        <row r="92">
          <cell r="D92" t="str">
            <v>Electricity</v>
          </cell>
          <cell r="F92">
            <v>2027.1144149279999</v>
          </cell>
          <cell r="G92">
            <v>3074.6310084000002</v>
          </cell>
          <cell r="H92">
            <v>3407.3183232000001</v>
          </cell>
          <cell r="I92">
            <v>3725.7788916</v>
          </cell>
          <cell r="J92">
            <v>4019.6796912</v>
          </cell>
          <cell r="K92">
            <v>4378.7481081021542</v>
          </cell>
          <cell r="L92">
            <v>4709.6232312820212</v>
          </cell>
          <cell r="M92">
            <v>5040.498354461859</v>
          </cell>
          <cell r="N92">
            <v>5371.3734776417259</v>
          </cell>
        </row>
        <row r="93">
          <cell r="D93" t="str">
            <v>Heat</v>
          </cell>
          <cell r="F93">
            <v>132.68760505200001</v>
          </cell>
          <cell r="G93">
            <v>130.9924116</v>
          </cell>
          <cell r="H93">
            <v>136.5357348</v>
          </cell>
          <cell r="I93">
            <v>142.1125524</v>
          </cell>
          <cell r="J93">
            <v>146.6133624</v>
          </cell>
          <cell r="K93">
            <v>147.43398423625899</v>
          </cell>
          <cell r="L93">
            <v>150.5999580578416</v>
          </cell>
          <cell r="M93">
            <v>153.76593187942444</v>
          </cell>
          <cell r="N93">
            <v>156.93190570100705</v>
          </cell>
        </row>
        <row r="94">
          <cell r="D94" t="str">
            <v>Biomass and waste</v>
          </cell>
          <cell r="F94">
            <v>410.47537924800014</v>
          </cell>
          <cell r="G94">
            <v>605.29404959999999</v>
          </cell>
          <cell r="H94">
            <v>696.57047640000008</v>
          </cell>
          <cell r="I94">
            <v>785.82467880000013</v>
          </cell>
          <cell r="J94">
            <v>869.85375480000016</v>
          </cell>
          <cell r="K94">
            <v>960.85935286964389</v>
          </cell>
          <cell r="L94">
            <v>1049.545430606333</v>
          </cell>
          <cell r="M94">
            <v>1138.2315083430221</v>
          </cell>
          <cell r="N94">
            <v>1226.9175860797113</v>
          </cell>
        </row>
        <row r="95">
          <cell r="D95" t="str">
            <v>Hydrogen</v>
          </cell>
          <cell r="F95">
            <v>0</v>
          </cell>
          <cell r="G95">
            <v>0</v>
          </cell>
          <cell r="H95">
            <v>0</v>
          </cell>
          <cell r="I95">
            <v>0</v>
          </cell>
          <cell r="J95">
            <v>0</v>
          </cell>
          <cell r="K95">
            <v>0</v>
          </cell>
          <cell r="L95">
            <v>0</v>
          </cell>
          <cell r="M95">
            <v>0</v>
          </cell>
          <cell r="N95">
            <v>0</v>
          </cell>
        </row>
        <row r="96">
          <cell r="D96" t="str">
            <v>Other</v>
          </cell>
          <cell r="F96">
            <v>55.297328472000004</v>
          </cell>
          <cell r="G96">
            <v>132.06841919999999</v>
          </cell>
          <cell r="H96">
            <v>168.35960160000002</v>
          </cell>
          <cell r="I96">
            <v>206.97027119999996</v>
          </cell>
          <cell r="J96">
            <v>247.0756284</v>
          </cell>
          <cell r="K96">
            <v>280.96614486129329</v>
          </cell>
          <cell r="L96">
            <v>317.65883836920693</v>
          </cell>
          <cell r="M96">
            <v>354.35153187712058</v>
          </cell>
          <cell r="N96">
            <v>391.04422538503422</v>
          </cell>
        </row>
        <row r="97">
          <cell r="D97" t="str">
            <v>Total</v>
          </cell>
          <cell r="F97">
            <v>8346.998580047999</v>
          </cell>
          <cell r="G97">
            <v>10069.9699428</v>
          </cell>
          <cell r="H97">
            <v>10464.860545199999</v>
          </cell>
          <cell r="I97">
            <v>10794.177486</v>
          </cell>
          <cell r="J97">
            <v>11039.7709872</v>
          </cell>
          <cell r="K97">
            <v>11614.295469493807</v>
          </cell>
          <cell r="L97">
            <v>12033.340805444894</v>
          </cell>
          <cell r="M97">
            <v>12452.386141395953</v>
          </cell>
          <cell r="N97">
            <v>12871.431477347043</v>
          </cell>
        </row>
        <row r="99">
          <cell r="D99" t="str">
            <v>Gross electricity generation (TWh)</v>
          </cell>
          <cell r="O99" t="str">
            <v>EJ/TWh</v>
          </cell>
          <cell r="P99">
            <v>3.5999999999999999E-3</v>
          </cell>
        </row>
        <row r="100">
          <cell r="D100" t="str">
            <v>Oil</v>
          </cell>
          <cell r="F100">
            <v>1033.346</v>
          </cell>
          <cell r="G100">
            <v>731.6395074225735</v>
          </cell>
          <cell r="H100">
            <v>636.182015274489</v>
          </cell>
          <cell r="I100">
            <v>592.2046341563057</v>
          </cell>
          <cell r="J100">
            <v>547.13021911998442</v>
          </cell>
          <cell r="K100">
            <v>501.70026522699101</v>
          </cell>
          <cell r="L100">
            <v>443.3984203392456</v>
          </cell>
          <cell r="M100">
            <v>407.03522270854523</v>
          </cell>
          <cell r="N100">
            <v>380.81049167807845</v>
          </cell>
        </row>
        <row r="101">
          <cell r="D101" t="str">
            <v>Secondary Energy|Electricity|Oil</v>
          </cell>
          <cell r="F101">
            <v>3.7200455999999997</v>
          </cell>
          <cell r="G101">
            <v>2.6339022267212644</v>
          </cell>
          <cell r="H101">
            <v>2.2902552549881605</v>
          </cell>
          <cell r="I101">
            <v>2.1319366829627007</v>
          </cell>
          <cell r="J101">
            <v>1.9696687888319437</v>
          </cell>
          <cell r="K101">
            <v>1.8061209548171675</v>
          </cell>
          <cell r="L101">
            <v>1.5962343132212842</v>
          </cell>
          <cell r="M101">
            <v>1.4653268017507628</v>
          </cell>
          <cell r="N101">
            <v>1.3709177700410824</v>
          </cell>
        </row>
        <row r="102">
          <cell r="D102" t="str">
            <v>Coal</v>
          </cell>
          <cell r="F102">
            <v>9697.148000000001</v>
          </cell>
          <cell r="G102">
            <v>10224.331976909791</v>
          </cell>
          <cell r="H102">
            <v>10399.385794522841</v>
          </cell>
          <cell r="I102">
            <v>10765.576690224972</v>
          </cell>
          <cell r="J102">
            <v>11129.281988298022</v>
          </cell>
          <cell r="K102">
            <v>11511.428555090468</v>
          </cell>
          <cell r="L102">
            <v>11448.663515556824</v>
          </cell>
          <cell r="M102">
            <v>11724.780115575504</v>
          </cell>
          <cell r="N102">
            <v>11865.168796870825</v>
          </cell>
        </row>
        <row r="103">
          <cell r="D103" t="str">
            <v>SE coal</v>
          </cell>
          <cell r="F103">
            <v>34.9097328</v>
          </cell>
          <cell r="G103">
            <v>36.807595116875248</v>
          </cell>
          <cell r="H103">
            <v>37.437788860282225</v>
          </cell>
          <cell r="I103">
            <v>38.756076084809898</v>
          </cell>
          <cell r="J103">
            <v>40.065415157872877</v>
          </cell>
          <cell r="K103">
            <v>41.441142798325686</v>
          </cell>
          <cell r="L103">
            <v>41.215188656004564</v>
          </cell>
          <cell r="M103">
            <v>42.209208416071817</v>
          </cell>
          <cell r="N103">
            <v>42.714607668734971</v>
          </cell>
        </row>
        <row r="104">
          <cell r="D104" t="str">
            <v>Coal with CCS</v>
          </cell>
          <cell r="F104">
            <v>0</v>
          </cell>
          <cell r="G104">
            <v>7.328667259068129</v>
          </cell>
          <cell r="H104">
            <v>11.306445041755779</v>
          </cell>
          <cell r="I104">
            <v>37.015970550771598</v>
          </cell>
          <cell r="J104">
            <v>81.88668052102409</v>
          </cell>
          <cell r="K104">
            <v>115.36180172680058</v>
          </cell>
          <cell r="L104">
            <v>155.70643747834674</v>
          </cell>
          <cell r="M104">
            <v>256.45309660938108</v>
          </cell>
          <cell r="N104">
            <v>394.29256398396149</v>
          </cell>
        </row>
        <row r="105">
          <cell r="D105" t="str">
            <v>Secondary Energy|Electricity|Coal|w/ CCS</v>
          </cell>
          <cell r="F105">
            <v>0</v>
          </cell>
          <cell r="G105">
            <v>2.6383202132645264E-2</v>
          </cell>
          <cell r="H105">
            <v>4.0703202150320805E-2</v>
          </cell>
          <cell r="I105">
            <v>0.13325749398277775</v>
          </cell>
          <cell r="J105">
            <v>0.29479204987568669</v>
          </cell>
          <cell r="K105">
            <v>0.41530248621648208</v>
          </cell>
          <cell r="L105">
            <v>0.5605431749220483</v>
          </cell>
          <cell r="M105">
            <v>0.9232311477937718</v>
          </cell>
          <cell r="N105">
            <v>1.4194532303422613</v>
          </cell>
        </row>
        <row r="106">
          <cell r="D106" t="str">
            <v>Secondary Energy|Electricity|Coal|w/o CCS</v>
          </cell>
          <cell r="F106">
            <v>34.9097328</v>
          </cell>
          <cell r="G106">
            <v>36.807595116875248</v>
          </cell>
          <cell r="H106">
            <v>37.437788860282225</v>
          </cell>
          <cell r="I106">
            <v>38.756076084809898</v>
          </cell>
          <cell r="J106">
            <v>40.065415157872877</v>
          </cell>
          <cell r="K106">
            <v>41.441142798325686</v>
          </cell>
          <cell r="L106">
            <v>41.215188656004564</v>
          </cell>
          <cell r="M106">
            <v>42.209208416071817</v>
          </cell>
          <cell r="N106">
            <v>42.714607668734971</v>
          </cell>
        </row>
        <row r="107">
          <cell r="D107" t="str">
            <v>Natural gas</v>
          </cell>
          <cell r="F107">
            <v>5154.8270000000002</v>
          </cell>
          <cell r="G107">
            <v>6583.3089580030128</v>
          </cell>
          <cell r="H107">
            <v>7763.9542006164847</v>
          </cell>
          <cell r="I107">
            <v>8695.0780110526503</v>
          </cell>
          <cell r="J107">
            <v>9395.0741556384983</v>
          </cell>
          <cell r="K107">
            <v>10057.540813895181</v>
          </cell>
          <cell r="L107">
            <v>10585.977461581271</v>
          </cell>
          <cell r="M107">
            <v>10981.319560540087</v>
          </cell>
          <cell r="N107">
            <v>11701.683111283668</v>
          </cell>
        </row>
        <row r="108">
          <cell r="D108" t="str">
            <v>Natural gas with CCS</v>
          </cell>
          <cell r="F108">
            <v>0</v>
          </cell>
          <cell r="G108">
            <v>0</v>
          </cell>
          <cell r="H108">
            <v>0</v>
          </cell>
          <cell r="I108">
            <v>0</v>
          </cell>
          <cell r="J108">
            <v>0</v>
          </cell>
          <cell r="K108">
            <v>0</v>
          </cell>
          <cell r="L108">
            <v>0</v>
          </cell>
          <cell r="M108">
            <v>0</v>
          </cell>
          <cell r="N108">
            <v>0</v>
          </cell>
        </row>
        <row r="109">
          <cell r="D109" t="str">
            <v>Secondary Energy|Electricity|Gas|w/ CCS</v>
          </cell>
          <cell r="F109">
            <v>0</v>
          </cell>
          <cell r="G109">
            <v>0</v>
          </cell>
          <cell r="H109">
            <v>0</v>
          </cell>
          <cell r="I109">
            <v>0</v>
          </cell>
          <cell r="J109">
            <v>0</v>
          </cell>
          <cell r="K109">
            <v>0</v>
          </cell>
          <cell r="L109">
            <v>0</v>
          </cell>
          <cell r="M109">
            <v>0</v>
          </cell>
          <cell r="N109">
            <v>0</v>
          </cell>
        </row>
        <row r="110">
          <cell r="D110" t="str">
            <v>Secondary Energy|Electricity|Gas|w/o CCS</v>
          </cell>
          <cell r="F110">
            <v>18.557377200000001</v>
          </cell>
          <cell r="G110">
            <v>23.699912248810847</v>
          </cell>
          <cell r="H110">
            <v>27.950235122219343</v>
          </cell>
          <cell r="I110">
            <v>31.302280839789539</v>
          </cell>
          <cell r="J110">
            <v>33.822266960298592</v>
          </cell>
          <cell r="K110">
            <v>36.207146930022652</v>
          </cell>
          <cell r="L110">
            <v>38.109518861692578</v>
          </cell>
          <cell r="M110">
            <v>39.532750417944314</v>
          </cell>
          <cell r="N110">
            <v>42.126059200621206</v>
          </cell>
        </row>
        <row r="111">
          <cell r="D111" t="str">
            <v>Nuclear</v>
          </cell>
          <cell r="F111">
            <v>2535.326</v>
          </cell>
          <cell r="G111">
            <v>3476.4352489146872</v>
          </cell>
          <cell r="H111">
            <v>3858.309433592467</v>
          </cell>
          <cell r="I111">
            <v>4110.6028575443434</v>
          </cell>
          <cell r="J111">
            <v>4470.642667725906</v>
          </cell>
          <cell r="K111">
            <v>4738.6049947554629</v>
          </cell>
          <cell r="L111">
            <v>4951.3005497209251</v>
          </cell>
          <cell r="M111">
            <v>5161.0779411879485</v>
          </cell>
          <cell r="N111">
            <v>5290.4398973588859</v>
          </cell>
        </row>
        <row r="112">
          <cell r="D112" t="str">
            <v>Secondary Energy|Electricity|Nuclear</v>
          </cell>
          <cell r="F112">
            <v>9.127173599999999</v>
          </cell>
          <cell r="G112">
            <v>12.515166896092873</v>
          </cell>
          <cell r="H112">
            <v>13.889913960932882</v>
          </cell>
          <cell r="I112">
            <v>14.798170287159635</v>
          </cell>
          <cell r="J112">
            <v>16.094313603813262</v>
          </cell>
          <cell r="K112">
            <v>17.058977981119668</v>
          </cell>
          <cell r="L112">
            <v>17.824681978995329</v>
          </cell>
          <cell r="M112">
            <v>18.579880588276612</v>
          </cell>
          <cell r="N112">
            <v>19.04558363049199</v>
          </cell>
        </row>
        <row r="113">
          <cell r="D113" t="str">
            <v>Biomass and waste</v>
          </cell>
          <cell r="F113">
            <v>495.94800000000004</v>
          </cell>
          <cell r="G113">
            <v>1031.9215251252633</v>
          </cell>
          <cell r="H113">
            <v>1267.4188623850657</v>
          </cell>
          <cell r="I113">
            <v>1463.2811622450477</v>
          </cell>
          <cell r="J113">
            <v>1692.7129640688756</v>
          </cell>
          <cell r="K113">
            <v>1893.8729089952822</v>
          </cell>
          <cell r="L113">
            <v>2197.8779723738462</v>
          </cell>
          <cell r="M113">
            <v>2522.0628215103143</v>
          </cell>
          <cell r="N113">
            <v>2731.1723470139859</v>
          </cell>
        </row>
        <row r="114">
          <cell r="D114" t="str">
            <v>Biomass with CCS</v>
          </cell>
          <cell r="F114">
            <v>0</v>
          </cell>
          <cell r="G114">
            <v>0</v>
          </cell>
          <cell r="H114">
            <v>0</v>
          </cell>
          <cell r="I114">
            <v>0</v>
          </cell>
          <cell r="J114">
            <v>2.6661947052923547</v>
          </cell>
          <cell r="K114">
            <v>7.0385098799098555</v>
          </cell>
          <cell r="L114">
            <v>12.4021523358698</v>
          </cell>
          <cell r="M114">
            <v>22.876483411876062</v>
          </cell>
          <cell r="N114">
            <v>44.271390324714844</v>
          </cell>
        </row>
        <row r="115">
          <cell r="D115" t="str">
            <v>Hydro (excl. pumped storage)</v>
          </cell>
          <cell r="F115">
            <v>3894.7080000000001</v>
          </cell>
          <cell r="G115">
            <v>4939.2864291594351</v>
          </cell>
          <cell r="H115">
            <v>5421.8413407359367</v>
          </cell>
          <cell r="I115">
            <v>5867.3347559816748</v>
          </cell>
          <cell r="J115">
            <v>6261.1145726070308</v>
          </cell>
          <cell r="K115">
            <v>6648.6687900265624</v>
          </cell>
          <cell r="L115">
            <v>7037.0596029104772</v>
          </cell>
          <cell r="M115">
            <v>7430.2444560580816</v>
          </cell>
          <cell r="N115">
            <v>7836.0845022802187</v>
          </cell>
        </row>
        <row r="116">
          <cell r="D116" t="str">
            <v>Secondary Energy|Electricity|Hydro</v>
          </cell>
          <cell r="F116">
            <v>14.020948799999999</v>
          </cell>
          <cell r="G116">
            <v>17.781431144973965</v>
          </cell>
          <cell r="H116">
            <v>19.518628826649373</v>
          </cell>
          <cell r="I116">
            <v>21.12240512153403</v>
          </cell>
          <cell r="J116">
            <v>22.540012461385309</v>
          </cell>
          <cell r="K116">
            <v>23.935207644095623</v>
          </cell>
          <cell r="L116">
            <v>25.333414570477718</v>
          </cell>
          <cell r="M116">
            <v>26.748880041809095</v>
          </cell>
          <cell r="N116">
            <v>28.209904208208787</v>
          </cell>
        </row>
        <row r="117">
          <cell r="D117" t="str">
            <v>Geothermal</v>
          </cell>
          <cell r="F117">
            <v>77.376999999999995</v>
          </cell>
          <cell r="G117">
            <v>173.87445333030885</v>
          </cell>
          <cell r="H117">
            <v>234.004778963175</v>
          </cell>
          <cell r="I117">
            <v>313.87381015697315</v>
          </cell>
          <cell r="J117">
            <v>407.41063769257062</v>
          </cell>
          <cell r="K117">
            <v>511.58313482880709</v>
          </cell>
          <cell r="L117">
            <v>620.74288416612228</v>
          </cell>
          <cell r="M117">
            <v>727.5549873229138</v>
          </cell>
          <cell r="N117">
            <v>839.03933998829234</v>
          </cell>
        </row>
        <row r="118">
          <cell r="D118" t="str">
            <v>Wind onshore</v>
          </cell>
          <cell r="F118">
            <v>692.12371787999996</v>
          </cell>
          <cell r="G118">
            <v>2111.5128888490908</v>
          </cell>
          <cell r="H118">
            <v>2735.5918940803613</v>
          </cell>
          <cell r="I118">
            <v>3279.3961339638399</v>
          </cell>
          <cell r="J118">
            <v>3702.5045868342222</v>
          </cell>
          <cell r="K118">
            <v>4115.5519676446957</v>
          </cell>
          <cell r="L118">
            <v>4678.0110335836871</v>
          </cell>
          <cell r="M118">
            <v>5094.6863218475009</v>
          </cell>
          <cell r="N118">
            <v>5416.3603228242528</v>
          </cell>
        </row>
        <row r="119">
          <cell r="D119" t="str">
            <v>Wind offshore</v>
          </cell>
          <cell r="F119">
            <v>25.169518119999996</v>
          </cell>
          <cell r="G119">
            <v>81.117565309053333</v>
          </cell>
          <cell r="H119">
            <v>136.94857356387686</v>
          </cell>
          <cell r="I119">
            <v>205.18702956394299</v>
          </cell>
          <cell r="J119">
            <v>293.88522430797775</v>
          </cell>
          <cell r="K119">
            <v>416.26504883152143</v>
          </cell>
          <cell r="L119">
            <v>573.49264135499402</v>
          </cell>
          <cell r="M119">
            <v>783.48264971116009</v>
          </cell>
          <cell r="N119">
            <v>1068.9585367301961</v>
          </cell>
        </row>
        <row r="120">
          <cell r="D120" t="str">
            <v>Solar PV</v>
          </cell>
          <cell r="F120">
            <v>189.68899999999999</v>
          </cell>
          <cell r="G120">
            <v>982.11399161281508</v>
          </cell>
          <cell r="H120">
            <v>1402.090776068967</v>
          </cell>
          <cell r="I120">
            <v>1830.2536160433738</v>
          </cell>
          <cell r="J120">
            <v>2298.2931273896111</v>
          </cell>
          <cell r="K120">
            <v>2809.3637794694155</v>
          </cell>
          <cell r="L120">
            <v>3344.9658360069461</v>
          </cell>
          <cell r="M120">
            <v>3753.4493577511944</v>
          </cell>
          <cell r="N120">
            <v>4167.4269018450977</v>
          </cell>
        </row>
        <row r="121">
          <cell r="D121" t="str">
            <v>Solar CSP</v>
          </cell>
          <cell r="F121">
            <v>8.49</v>
          </cell>
          <cell r="G121">
            <v>65.637475893681824</v>
          </cell>
          <cell r="H121">
            <v>115.6414039224553</v>
          </cell>
          <cell r="I121">
            <v>258.97805025324158</v>
          </cell>
          <cell r="J121">
            <v>432.04011775144664</v>
          </cell>
          <cell r="K121">
            <v>577.47162149249948</v>
          </cell>
          <cell r="L121">
            <v>797.80673491145581</v>
          </cell>
          <cell r="M121">
            <v>1180.1958777413784</v>
          </cell>
          <cell r="N121">
            <v>1549.9733805628302</v>
          </cell>
        </row>
        <row r="122">
          <cell r="D122" t="str">
            <v>Ocean</v>
          </cell>
          <cell r="F122">
            <v>0.999</v>
          </cell>
          <cell r="G122">
            <v>6.3021101126092027</v>
          </cell>
          <cell r="H122">
            <v>16.122901444144141</v>
          </cell>
          <cell r="I122">
            <v>30.780469956664721</v>
          </cell>
          <cell r="J122">
            <v>54.579965806412687</v>
          </cell>
          <cell r="K122">
            <v>75.536138571781166</v>
          </cell>
          <cell r="L122">
            <v>96.996166390653144</v>
          </cell>
          <cell r="M122">
            <v>121.1093672910081</v>
          </cell>
          <cell r="N122">
            <v>143.64629150810222</v>
          </cell>
        </row>
        <row r="123">
          <cell r="D123" t="str">
            <v>Other</v>
          </cell>
          <cell r="F123">
            <v>13.747999999999999</v>
          </cell>
          <cell r="G123">
            <v>0</v>
          </cell>
          <cell r="H123">
            <v>0</v>
          </cell>
          <cell r="I123">
            <v>0</v>
          </cell>
          <cell r="J123">
            <v>0</v>
          </cell>
          <cell r="K123">
            <v>0</v>
          </cell>
          <cell r="L123">
            <v>0</v>
          </cell>
          <cell r="M123">
            <v>0</v>
          </cell>
          <cell r="N123">
            <v>0</v>
          </cell>
        </row>
        <row r="124">
          <cell r="F124">
            <v>4888.5562360000004</v>
          </cell>
          <cell r="G124">
            <v>8359.8449142669942</v>
          </cell>
          <cell r="H124">
            <v>10062.241668778914</v>
          </cell>
          <cell r="I124">
            <v>11785.803865919712</v>
          </cell>
          <cell r="J124">
            <v>13449.828232389274</v>
          </cell>
          <cell r="K124">
            <v>15154.440480865282</v>
          </cell>
          <cell r="L124">
            <v>17149.074899324336</v>
          </cell>
          <cell r="M124">
            <v>19090.723017723234</v>
          </cell>
          <cell r="N124">
            <v>21021.48927573899</v>
          </cell>
        </row>
        <row r="125">
          <cell r="D125" t="str">
            <v>Secondary Energy|Electricity|Non-Biomass Renewables</v>
          </cell>
          <cell r="F125">
            <v>17.598802449600001</v>
          </cell>
          <cell r="G125">
            <v>30.095441691361177</v>
          </cell>
          <cell r="H125">
            <v>36.224070007604091</v>
          </cell>
          <cell r="I125">
            <v>42.428893917310958</v>
          </cell>
          <cell r="J125">
            <v>48.419381636601386</v>
          </cell>
          <cell r="K125">
            <v>54.555985731115015</v>
          </cell>
          <cell r="L125">
            <v>61.736669637567609</v>
          </cell>
          <cell r="M125">
            <v>68.726602863803635</v>
          </cell>
          <cell r="N125">
            <v>75.677361392660359</v>
          </cell>
        </row>
        <row r="126">
          <cell r="D126" t="str">
            <v>Total</v>
          </cell>
          <cell r="F126">
            <v>23818.899236000001</v>
          </cell>
          <cell r="G126">
            <v>30414.810797901395</v>
          </cell>
          <cell r="H126">
            <v>33998.798420212021</v>
          </cell>
          <cell r="I126">
            <v>37449.5631916938</v>
          </cell>
          <cell r="J126">
            <v>40769.223102466865</v>
          </cell>
          <cell r="K126">
            <v>43979.988330435372</v>
          </cell>
          <cell r="L126">
            <v>46944.401408710663</v>
          </cell>
          <cell r="M126">
            <v>50166.328259266898</v>
          </cell>
          <cell r="N126">
            <v>53429.327874253111</v>
          </cell>
        </row>
        <row r="127">
          <cell r="D127" t="str">
            <v>Secondary Energy|Electricity</v>
          </cell>
          <cell r="F127">
            <v>85.748037249600003</v>
          </cell>
          <cell r="G127">
            <v>109.49331887244502</v>
          </cell>
          <cell r="H127">
            <v>122.39567431276328</v>
          </cell>
          <cell r="I127">
            <v>134.81842749009769</v>
          </cell>
          <cell r="J127">
            <v>146.76920316888072</v>
          </cell>
          <cell r="K127">
            <v>158.32795798956732</v>
          </cell>
          <cell r="L127">
            <v>168.99984507135838</v>
          </cell>
          <cell r="M127">
            <v>180.59878173336082</v>
          </cell>
          <cell r="N127">
            <v>192.3455803473112</v>
          </cell>
        </row>
        <row r="128">
          <cell r="D128" t="str">
            <v>Gross electricity capacity (GW)</v>
          </cell>
        </row>
        <row r="129">
          <cell r="D129" t="str">
            <v>Oil</v>
          </cell>
          <cell r="F129">
            <v>442.34508278658268</v>
          </cell>
          <cell r="G129">
            <v>412.25726398093832</v>
          </cell>
          <cell r="H129">
            <v>334.80739288811037</v>
          </cell>
          <cell r="I129">
            <v>284.31426209862917</v>
          </cell>
          <cell r="J129">
            <v>255.06501813470425</v>
          </cell>
          <cell r="K129">
            <v>236.47033425401193</v>
          </cell>
          <cell r="L129">
            <v>204.31890877543393</v>
          </cell>
          <cell r="M129">
            <v>154.88134483156944</v>
          </cell>
          <cell r="N129">
            <v>134.64069795332381</v>
          </cell>
        </row>
        <row r="130">
          <cell r="D130" t="str">
            <v>Coal</v>
          </cell>
          <cell r="F130">
            <v>1760.3680667874487</v>
          </cell>
          <cell r="G130">
            <v>2006.6100788259769</v>
          </cell>
          <cell r="H130">
            <v>2108.5305572703269</v>
          </cell>
          <cell r="I130">
            <v>2197.228592832776</v>
          </cell>
          <cell r="J130">
            <v>2316.9907006120861</v>
          </cell>
          <cell r="K130">
            <v>2336.25892698295</v>
          </cell>
          <cell r="L130">
            <v>2199.8617657853497</v>
          </cell>
          <cell r="M130">
            <v>2132.8603621226812</v>
          </cell>
          <cell r="N130">
            <v>1870.2428322415685</v>
          </cell>
        </row>
        <row r="131">
          <cell r="D131" t="str">
            <v>Coal with CCS</v>
          </cell>
          <cell r="F131">
            <v>0</v>
          </cell>
          <cell r="G131">
            <v>1.2179997207802902</v>
          </cell>
          <cell r="H131">
            <v>1.85277391142357</v>
          </cell>
          <cell r="I131">
            <v>5.7078007706732699</v>
          </cell>
          <cell r="J131">
            <v>11.863736577593787</v>
          </cell>
          <cell r="K131">
            <v>16.896753240498573</v>
          </cell>
          <cell r="L131">
            <v>22.584218679670549</v>
          </cell>
          <cell r="M131">
            <v>36.903583247229776</v>
          </cell>
          <cell r="N131">
            <v>55.092619279080779</v>
          </cell>
        </row>
        <row r="132">
          <cell r="D132" t="str">
            <v>Natural gas</v>
          </cell>
          <cell r="F132">
            <v>1638.6833129472773</v>
          </cell>
          <cell r="G132">
            <v>1954.319627030563</v>
          </cell>
          <cell r="H132">
            <v>2088.1335464421131</v>
          </cell>
          <cell r="I132">
            <v>2327.5251846210922</v>
          </cell>
          <cell r="J132">
            <v>2534.3895713791817</v>
          </cell>
          <cell r="K132">
            <v>2966.9193713036702</v>
          </cell>
          <cell r="L132">
            <v>3301.0766609601542</v>
          </cell>
          <cell r="M132">
            <v>3686.0212675709467</v>
          </cell>
          <cell r="N132">
            <v>4145.7975912240117</v>
          </cell>
        </row>
        <row r="133">
          <cell r="D133" t="str">
            <v>Natural gas with CCS</v>
          </cell>
          <cell r="F133">
            <v>0</v>
          </cell>
          <cell r="G133">
            <v>0</v>
          </cell>
          <cell r="H133">
            <v>0</v>
          </cell>
          <cell r="I133">
            <v>0</v>
          </cell>
          <cell r="J133">
            <v>0</v>
          </cell>
          <cell r="K133">
            <v>0</v>
          </cell>
          <cell r="L133">
            <v>0</v>
          </cell>
          <cell r="M133">
            <v>0</v>
          </cell>
          <cell r="N133">
            <v>0</v>
          </cell>
        </row>
        <row r="134">
          <cell r="D134" t="str">
            <v>Nuclear</v>
          </cell>
          <cell r="F134">
            <v>398.27599999996119</v>
          </cell>
          <cell r="G134">
            <v>493.18839341189312</v>
          </cell>
          <cell r="H134">
            <v>537.13989999735554</v>
          </cell>
          <cell r="I134">
            <v>571.26713050902765</v>
          </cell>
          <cell r="J134">
            <v>615.21302401816604</v>
          </cell>
          <cell r="K134">
            <v>647.61599980504639</v>
          </cell>
          <cell r="L134">
            <v>676.89057996139297</v>
          </cell>
          <cell r="M134">
            <v>700.37620810473697</v>
          </cell>
          <cell r="N134">
            <v>715.35099955085593</v>
          </cell>
        </row>
        <row r="135">
          <cell r="D135" t="str">
            <v>Biomass and waste</v>
          </cell>
          <cell r="F135">
            <v>130.90315065412221</v>
          </cell>
          <cell r="G135">
            <v>250.52101562785074</v>
          </cell>
          <cell r="H135">
            <v>291.47523823631684</v>
          </cell>
          <cell r="I135">
            <v>320.14315808978597</v>
          </cell>
          <cell r="J135">
            <v>358.83470256634291</v>
          </cell>
          <cell r="K135">
            <v>397.38753876336949</v>
          </cell>
          <cell r="L135">
            <v>454.8912974963431</v>
          </cell>
          <cell r="M135">
            <v>477.20202745251055</v>
          </cell>
          <cell r="N135">
            <v>489.22655193785994</v>
          </cell>
        </row>
        <row r="136">
          <cell r="D136" t="str">
            <v>Biomass with CCS</v>
          </cell>
          <cell r="F136">
            <v>0</v>
          </cell>
          <cell r="G136">
            <v>0.11999998842342412</v>
          </cell>
          <cell r="H136">
            <v>6.607201651076533E-8</v>
          </cell>
          <cell r="I136">
            <v>8.7923083955804282E-8</v>
          </cell>
          <cell r="J136">
            <v>0.3580707599813257</v>
          </cell>
          <cell r="K136">
            <v>0.94527398972813281</v>
          </cell>
          <cell r="L136">
            <v>1.6656127888392702</v>
          </cell>
          <cell r="M136">
            <v>3.000300132228876</v>
          </cell>
          <cell r="N136">
            <v>5.9456158464322026</v>
          </cell>
        </row>
        <row r="137">
          <cell r="D137" t="str">
            <v>Hydro (excl. pumped storage)</v>
          </cell>
          <cell r="F137">
            <v>1044.0240328563759</v>
          </cell>
          <cell r="G137">
            <v>1351.3677490579585</v>
          </cell>
          <cell r="H137">
            <v>1485.7671461018708</v>
          </cell>
          <cell r="I137">
            <v>1609.902128088891</v>
          </cell>
          <cell r="J137">
            <v>1717.5064283675074</v>
          </cell>
          <cell r="K137">
            <v>1824.5475013518226</v>
          </cell>
          <cell r="L137">
            <v>1933.0265377225926</v>
          </cell>
          <cell r="M137">
            <v>2043.0041582487054</v>
          </cell>
          <cell r="N137">
            <v>2156.0268394983718</v>
          </cell>
        </row>
        <row r="138">
          <cell r="D138" t="str">
            <v>Geothermal</v>
          </cell>
          <cell r="F138">
            <v>12.308314743538201</v>
          </cell>
          <cell r="G138">
            <v>25.516736707140542</v>
          </cell>
          <cell r="H138">
            <v>33.459372683647572</v>
          </cell>
          <cell r="I138">
            <v>44.108180667247318</v>
          </cell>
          <cell r="J138">
            <v>56.442199009267156</v>
          </cell>
          <cell r="K138">
            <v>70.427573097160163</v>
          </cell>
          <cell r="L138">
            <v>85.100363760294172</v>
          </cell>
          <cell r="M138">
            <v>99.580145336849796</v>
          </cell>
          <cell r="N138">
            <v>115.9286455433903</v>
          </cell>
        </row>
        <row r="139">
          <cell r="D139" t="str">
            <v>Wind onshore</v>
          </cell>
          <cell r="F139">
            <v>340.80495537458751</v>
          </cell>
          <cell r="G139">
            <v>952.6011148514674</v>
          </cell>
          <cell r="H139">
            <v>1217.3069957065907</v>
          </cell>
          <cell r="I139">
            <v>1457.1559334885283</v>
          </cell>
          <cell r="J139">
            <v>1642.0210775729024</v>
          </cell>
          <cell r="K139">
            <v>1812.2936354303483</v>
          </cell>
          <cell r="L139">
            <v>2072.8400198583167</v>
          </cell>
          <cell r="M139">
            <v>2260.9858303645119</v>
          </cell>
          <cell r="N139">
            <v>2410.5694081532329</v>
          </cell>
        </row>
        <row r="140">
          <cell r="D140" t="str">
            <v>Wind offshore</v>
          </cell>
          <cell r="F140">
            <v>8.7631800000000002</v>
          </cell>
          <cell r="G140">
            <v>24.823762974183584</v>
          </cell>
          <cell r="H140">
            <v>38.499804181533804</v>
          </cell>
          <cell r="I140">
            <v>54.626882285005649</v>
          </cell>
          <cell r="J140">
            <v>74.141846691006918</v>
          </cell>
          <cell r="K140">
            <v>99.767413955926244</v>
          </cell>
          <cell r="L140">
            <v>135.57703324231764</v>
          </cell>
          <cell r="M140">
            <v>185.63974140382376</v>
          </cell>
          <cell r="N140">
            <v>251.02139255439084</v>
          </cell>
        </row>
        <row r="141">
          <cell r="D141" t="str">
            <v>Solar PV</v>
          </cell>
          <cell r="F141">
            <v>177.99678700200658</v>
          </cell>
          <cell r="G141">
            <v>764.11236187634029</v>
          </cell>
          <cell r="H141">
            <v>1065.4180950612515</v>
          </cell>
          <cell r="I141">
            <v>1348.226740614459</v>
          </cell>
          <cell r="J141">
            <v>1677.710602335309</v>
          </cell>
          <cell r="K141">
            <v>2024.9811644814256</v>
          </cell>
          <cell r="L141">
            <v>2396.4039058194176</v>
          </cell>
          <cell r="M141">
            <v>2698.1544284002816</v>
          </cell>
          <cell r="N141">
            <v>3000.6385254369993</v>
          </cell>
        </row>
        <row r="142">
          <cell r="D142" t="str">
            <v>Solar CSP</v>
          </cell>
          <cell r="F142">
            <v>7.4322450585597988</v>
          </cell>
          <cell r="G142">
            <v>20.601701233277154</v>
          </cell>
          <cell r="H142">
            <v>46.666420685477419</v>
          </cell>
          <cell r="I142">
            <v>81.000930070684745</v>
          </cell>
          <cell r="J142">
            <v>119.84266601844459</v>
          </cell>
          <cell r="K142">
            <v>161.61149676151288</v>
          </cell>
          <cell r="L142">
            <v>217.01252172511622</v>
          </cell>
          <cell r="M142">
            <v>282.19216679895936</v>
          </cell>
          <cell r="N142">
            <v>349.61810176379964</v>
          </cell>
        </row>
        <row r="143">
          <cell r="D143" t="str">
            <v>Ocean</v>
          </cell>
          <cell r="F143">
            <v>0.53652000000000011</v>
          </cell>
          <cell r="G143">
            <v>2.1954969168989829</v>
          </cell>
          <cell r="H143">
            <v>5.3961692788700182</v>
          </cell>
          <cell r="I143">
            <v>10.161586857178587</v>
          </cell>
          <cell r="J143">
            <v>17.868969541698672</v>
          </cell>
          <cell r="K143">
            <v>24.567497382661223</v>
          </cell>
          <cell r="L143">
            <v>31.313658772075915</v>
          </cell>
          <cell r="M143">
            <v>38.826624846531516</v>
          </cell>
          <cell r="N143">
            <v>45.791184351087139</v>
          </cell>
        </row>
        <row r="144">
          <cell r="D144" t="str">
            <v>Other</v>
          </cell>
          <cell r="F144">
            <v>0</v>
          </cell>
          <cell r="G144">
            <v>0</v>
          </cell>
          <cell r="H144">
            <v>0</v>
          </cell>
          <cell r="I144">
            <v>0</v>
          </cell>
          <cell r="J144">
            <v>0</v>
          </cell>
          <cell r="K144">
            <v>0</v>
          </cell>
          <cell r="L144">
            <v>0</v>
          </cell>
          <cell r="M144">
            <v>0</v>
          </cell>
          <cell r="N144">
            <v>0</v>
          </cell>
        </row>
        <row r="145">
          <cell r="D145" t="str">
            <v>Total</v>
          </cell>
          <cell r="F145">
            <v>5962.4416482104598</v>
          </cell>
          <cell r="G145">
            <v>8259.4533022036921</v>
          </cell>
          <cell r="H145">
            <v>9254.4534125109585</v>
          </cell>
          <cell r="I145">
            <v>10311.368511081901</v>
          </cell>
          <cell r="J145">
            <v>11398.248613584194</v>
          </cell>
          <cell r="K145">
            <v>12620.690480800131</v>
          </cell>
          <cell r="L145">
            <v>13732.563085347316</v>
          </cell>
          <cell r="M145">
            <v>14799.628188861567</v>
          </cell>
          <cell r="N145">
            <v>15745.891005334403</v>
          </cell>
        </row>
        <row r="147">
          <cell r="D147" t="str">
            <v>Direct CO2 emissions (Mt CO2)</v>
          </cell>
          <cell r="O147" t="str">
            <v>Map to IIASA variables:</v>
          </cell>
        </row>
        <row r="148">
          <cell r="D148" t="str">
            <v>Emissions|CO2|Industrial Processes</v>
          </cell>
          <cell r="E148" t="str">
            <v>Industry</v>
          </cell>
          <cell r="F148">
            <v>8346.0621655155301</v>
          </cell>
          <cell r="G148">
            <v>9383.174788623257</v>
          </cell>
          <cell r="H148">
            <v>9778.8065780416073</v>
          </cell>
          <cell r="I148">
            <v>10048.890087158048</v>
          </cell>
          <cell r="J148">
            <v>10444.640686167473</v>
          </cell>
          <cell r="K148">
            <v>10479.168987625815</v>
          </cell>
          <cell r="L148">
            <v>10443.656385842856</v>
          </cell>
          <cell r="M148">
            <v>10504.902156340642</v>
          </cell>
          <cell r="N148">
            <v>10352.389456818733</v>
          </cell>
          <cell r="O148" t="str">
            <v>industry</v>
          </cell>
        </row>
        <row r="149">
          <cell r="D149" t="str">
            <v>Emissions|CO2|AFOLU</v>
          </cell>
          <cell r="E149" t="str">
            <v>Buildings, agriculture, fishing, non-specified other</v>
          </cell>
          <cell r="F149">
            <v>3295.5354450000004</v>
          </cell>
          <cell r="G149">
            <v>3119.9979437877246</v>
          </cell>
          <cell r="H149">
            <v>3042.6992717033127</v>
          </cell>
          <cell r="I149">
            <v>2947.4556398559912</v>
          </cell>
          <cell r="J149">
            <v>2873.6224047318715</v>
          </cell>
          <cell r="K149">
            <v>2819.2238999088549</v>
          </cell>
          <cell r="L149">
            <v>2849.7591552357098</v>
          </cell>
          <cell r="M149">
            <v>2639.4523701065341</v>
          </cell>
          <cell r="N149">
            <v>2524.6739087053497</v>
          </cell>
          <cell r="O149" t="str">
            <v>AFOLU</v>
          </cell>
        </row>
        <row r="150">
          <cell r="E150" t="str">
            <v>Transport</v>
          </cell>
          <cell r="F150">
            <v>7407.6321980000002</v>
          </cell>
          <cell r="G150">
            <v>8534.9847322557689</v>
          </cell>
          <cell r="H150">
            <v>9062.6722713820454</v>
          </cell>
          <cell r="I150">
            <v>9449.7487999069144</v>
          </cell>
          <cell r="J150">
            <v>9775.5134355974387</v>
          </cell>
          <cell r="K150">
            <v>10009.67258763895</v>
          </cell>
          <cell r="L150">
            <v>10077.641658745539</v>
          </cell>
          <cell r="M150">
            <v>10137.921520648038</v>
          </cell>
          <cell r="N150">
            <v>10114.167303328526</v>
          </cell>
          <cell r="O150" t="str">
            <v>energy</v>
          </cell>
        </row>
        <row r="151">
          <cell r="E151" t="str">
            <v>Power</v>
          </cell>
          <cell r="F151">
            <v>13625.004647</v>
          </cell>
          <cell r="G151">
            <v>13350.955098573437</v>
          </cell>
          <cell r="H151">
            <v>13661.606976456438</v>
          </cell>
          <cell r="I151">
            <v>14040.996960478256</v>
          </cell>
          <cell r="J151">
            <v>14351.266114083073</v>
          </cell>
          <cell r="K151">
            <v>14531.796943398471</v>
          </cell>
          <cell r="L151">
            <v>14491.684361842275</v>
          </cell>
          <cell r="M151">
            <v>14680.854885652088</v>
          </cell>
          <cell r="N151">
            <v>14758.982217708879</v>
          </cell>
          <cell r="O151" t="str">
            <v>energy</v>
          </cell>
        </row>
        <row r="152">
          <cell r="E152" t="str">
            <v>Other transformation</v>
          </cell>
          <cell r="F152">
            <v>1579.6700180000003</v>
          </cell>
          <cell r="G152">
            <v>1828.7766009568777</v>
          </cell>
          <cell r="H152">
            <v>1919.0637405256427</v>
          </cell>
          <cell r="I152">
            <v>1885.308275147823</v>
          </cell>
          <cell r="J152">
            <v>1982.565297361785</v>
          </cell>
          <cell r="K152">
            <v>2070.055915824863</v>
          </cell>
          <cell r="L152">
            <v>2091.1568878911526</v>
          </cell>
          <cell r="M152">
            <v>2156.8022121733602</v>
          </cell>
          <cell r="N152">
            <v>2212.98606766081</v>
          </cell>
          <cell r="O152" t="str">
            <v>Energy</v>
          </cell>
        </row>
        <row r="153">
          <cell r="E153" t="str">
            <v>total</v>
          </cell>
          <cell r="F153">
            <v>34253.904473515526</v>
          </cell>
          <cell r="G153">
            <v>36217.889164197069</v>
          </cell>
          <cell r="H153">
            <v>37464.848838109043</v>
          </cell>
          <cell r="I153">
            <v>38372.399762547037</v>
          </cell>
          <cell r="J153">
            <v>39427.607937941641</v>
          </cell>
          <cell r="K153">
            <v>39909.918334396956</v>
          </cell>
          <cell r="L153">
            <v>39953.898449557499</v>
          </cell>
          <cell r="M153">
            <v>40119.933144920658</v>
          </cell>
          <cell r="N153">
            <v>39963.198954222295</v>
          </cell>
        </row>
        <row r="154">
          <cell r="D154" t="str">
            <v>Emissions|CO2|Energy and Industrial Processes</v>
          </cell>
          <cell r="F154">
            <v>30958.369028515532</v>
          </cell>
          <cell r="G154">
            <v>33097.891220409343</v>
          </cell>
          <cell r="H154">
            <v>34422.149566405729</v>
          </cell>
          <cell r="I154">
            <v>35424.944122691042</v>
          </cell>
          <cell r="J154">
            <v>36553.985533209765</v>
          </cell>
          <cell r="K154">
            <v>37090.694434488098</v>
          </cell>
          <cell r="L154">
            <v>37104.139294321823</v>
          </cell>
          <cell r="M154">
            <v>37480.480774814132</v>
          </cell>
          <cell r="N154">
            <v>37438.525045516952</v>
          </cell>
        </row>
        <row r="155">
          <cell r="D155" t="str">
            <v>CO2 captured (Mt CO2)</v>
          </cell>
        </row>
        <row r="156">
          <cell r="D156" t="str">
            <v>Industry</v>
          </cell>
          <cell r="F156">
            <v>0</v>
          </cell>
          <cell r="G156">
            <v>289.17933860492309</v>
          </cell>
          <cell r="H156">
            <v>298.36406245247582</v>
          </cell>
          <cell r="I156">
            <v>367.41742162988504</v>
          </cell>
          <cell r="J156">
            <v>460.26058767854875</v>
          </cell>
          <cell r="K156">
            <v>510.80721660237015</v>
          </cell>
          <cell r="L156">
            <v>645.25886199836145</v>
          </cell>
          <cell r="M156">
            <v>592.27041213058112</v>
          </cell>
          <cell r="N156">
            <v>717.97392498363843</v>
          </cell>
          <cell r="O156" t="str">
            <v>industry</v>
          </cell>
        </row>
        <row r="157">
          <cell r="D157" t="str">
            <v>Power</v>
          </cell>
          <cell r="F157">
            <v>0</v>
          </cell>
          <cell r="G157">
            <v>8.5105631081581006</v>
          </cell>
          <cell r="H157">
            <v>12.504244927022405</v>
          </cell>
          <cell r="I157">
            <v>36.700709818197339</v>
          </cell>
          <cell r="J157">
            <v>74.075123893614304</v>
          </cell>
          <cell r="K157">
            <v>107.66837116015755</v>
          </cell>
          <cell r="L157">
            <v>140.98274447844116</v>
          </cell>
          <cell r="M157">
            <v>229.12766455978499</v>
          </cell>
          <cell r="N157">
            <v>355.61938084440783</v>
          </cell>
          <cell r="O157" t="str">
            <v>energy</v>
          </cell>
        </row>
        <row r="158">
          <cell r="D158" t="str">
            <v>Other transformation</v>
          </cell>
          <cell r="F158">
            <v>0</v>
          </cell>
          <cell r="G158">
            <v>4.1950366359556792</v>
          </cell>
          <cell r="H158">
            <v>16.427593511466871</v>
          </cell>
          <cell r="I158">
            <v>44.767725697862566</v>
          </cell>
          <cell r="J158">
            <v>71.146727227893564</v>
          </cell>
          <cell r="K158">
            <v>99.589758503041509</v>
          </cell>
          <cell r="L158">
            <v>133.61743935810051</v>
          </cell>
          <cell r="M158">
            <v>146.53982665036199</v>
          </cell>
          <cell r="N158">
            <v>159.28004052293466</v>
          </cell>
          <cell r="O158" t="str">
            <v>energy</v>
          </cell>
        </row>
        <row r="159">
          <cell r="D159" t="str">
            <v>Carbon Sequestration CCS</v>
          </cell>
          <cell r="F159">
            <v>0</v>
          </cell>
          <cell r="G159">
            <v>301.88493834903687</v>
          </cell>
          <cell r="H159">
            <v>327.29590089096507</v>
          </cell>
          <cell r="I159">
            <v>448.88585714594495</v>
          </cell>
          <cell r="J159">
            <v>605.48243880005657</v>
          </cell>
          <cell r="K159">
            <v>718.06534626556913</v>
          </cell>
          <cell r="L159">
            <v>919.8590458349031</v>
          </cell>
          <cell r="M159">
            <v>967.9379033407281</v>
          </cell>
          <cell r="N159">
            <v>1232.8733463509807</v>
          </cell>
        </row>
        <row r="160">
          <cell r="D160" t="str">
            <v>BECCS, CO2 captured (Mt CO2)</v>
          </cell>
        </row>
        <row r="161">
          <cell r="D161" t="str">
            <v>Industry</v>
          </cell>
          <cell r="F161">
            <v>0</v>
          </cell>
          <cell r="G161">
            <v>1.6343283156892219</v>
          </cell>
          <cell r="H161">
            <v>2.4951028094115335</v>
          </cell>
          <cell r="I161">
            <v>3.2051736378281399</v>
          </cell>
          <cell r="J161">
            <v>6.0192230281491028</v>
          </cell>
          <cell r="K161">
            <v>9.1021607240369526</v>
          </cell>
          <cell r="L161">
            <v>12.677636618895203</v>
          </cell>
          <cell r="M161">
            <v>12.385570945709633</v>
          </cell>
          <cell r="N161">
            <v>18.029339863259658</v>
          </cell>
          <cell r="O161" t="str">
            <v>industry</v>
          </cell>
        </row>
        <row r="162">
          <cell r="D162" t="str">
            <v>Power</v>
          </cell>
          <cell r="F162">
            <v>0</v>
          </cell>
          <cell r="G162">
            <v>0</v>
          </cell>
          <cell r="H162">
            <v>0</v>
          </cell>
          <cell r="I162">
            <v>0</v>
          </cell>
          <cell r="J162">
            <v>2.4086950840401475</v>
          </cell>
          <cell r="K162">
            <v>6.6780507407003853</v>
          </cell>
          <cell r="L162">
            <v>10.936582566298629</v>
          </cell>
          <cell r="M162">
            <v>19.476143754292071</v>
          </cell>
          <cell r="N162">
            <v>35.710537337216515</v>
          </cell>
          <cell r="O162" t="str">
            <v>energy</v>
          </cell>
        </row>
        <row r="163">
          <cell r="D163" t="str">
            <v>Other transformation</v>
          </cell>
          <cell r="F163">
            <v>0</v>
          </cell>
          <cell r="G163">
            <v>1.5499592607617148</v>
          </cell>
          <cell r="H163">
            <v>2.1455745528029602</v>
          </cell>
          <cell r="I163">
            <v>10.177785960469183</v>
          </cell>
          <cell r="J163">
            <v>12.360389465516672</v>
          </cell>
          <cell r="K163">
            <v>14.232308178281704</v>
          </cell>
          <cell r="L163">
            <v>20.076183977722536</v>
          </cell>
          <cell r="M163">
            <v>32.543002720193819</v>
          </cell>
          <cell r="N163">
            <v>41.605191057693311</v>
          </cell>
          <cell r="O163" t="str">
            <v>energy</v>
          </cell>
        </row>
        <row r="164">
          <cell r="D164" t="str">
            <v>Total</v>
          </cell>
          <cell r="F164">
            <v>0</v>
          </cell>
          <cell r="G164">
            <v>3.1842875764509366</v>
          </cell>
          <cell r="H164">
            <v>4.6406773622144932</v>
          </cell>
          <cell r="I164">
            <v>13.382959598297322</v>
          </cell>
          <cell r="J164">
            <v>20.788307577705922</v>
          </cell>
          <cell r="K164">
            <v>30.01251964301904</v>
          </cell>
          <cell r="L164">
            <v>43.690403162916368</v>
          </cell>
          <cell r="M164">
            <v>64.404717420195524</v>
          </cell>
          <cell r="N164">
            <v>95.345068258169476</v>
          </cell>
        </row>
        <row r="166">
          <cell r="D166" t="str">
            <v>Carbon Sequestration|CCS|Fossil|Energy</v>
          </cell>
          <cell r="F166">
            <v>0</v>
          </cell>
          <cell r="G166">
            <v>11.155640483352066</v>
          </cell>
          <cell r="H166">
            <v>26.786263885686317</v>
          </cell>
          <cell r="I166">
            <v>71.290649555590733</v>
          </cell>
          <cell r="J166">
            <v>130.45276657195106</v>
          </cell>
          <cell r="K166">
            <v>186.34777074421694</v>
          </cell>
          <cell r="L166">
            <v>243.58741729252048</v>
          </cell>
          <cell r="M166">
            <v>323.64834473566111</v>
          </cell>
          <cell r="N166">
            <v>437.58369297243269</v>
          </cell>
        </row>
        <row r="167">
          <cell r="D167" t="str">
            <v>Carbon Sequestration|CCS|Biomass|Energy</v>
          </cell>
          <cell r="F167">
            <v>0</v>
          </cell>
          <cell r="G167">
            <v>1.5499592607617148</v>
          </cell>
          <cell r="H167">
            <v>2.1455745528029602</v>
          </cell>
          <cell r="I167">
            <v>10.177785960469183</v>
          </cell>
          <cell r="J167">
            <v>14.769084549556819</v>
          </cell>
          <cell r="K167">
            <v>20.910358918982091</v>
          </cell>
          <cell r="L167">
            <v>31.012766544021165</v>
          </cell>
          <cell r="M167">
            <v>52.019146474485893</v>
          </cell>
          <cell r="N167">
            <v>77.315728394909826</v>
          </cell>
        </row>
        <row r="168">
          <cell r="D168" t="str">
            <v>Carbon Sequestration|CCS|Fossil|Industrial Processes</v>
          </cell>
          <cell r="F168">
            <v>0</v>
          </cell>
          <cell r="G168">
            <v>287.54501028923386</v>
          </cell>
          <cell r="H168">
            <v>295.86895964306427</v>
          </cell>
          <cell r="I168">
            <v>364.21224799205692</v>
          </cell>
          <cell r="J168">
            <v>454.24136465039965</v>
          </cell>
          <cell r="K168">
            <v>501.70505587833321</v>
          </cell>
          <cell r="L168">
            <v>632.58122537946622</v>
          </cell>
          <cell r="M168">
            <v>579.88484118487145</v>
          </cell>
          <cell r="N168">
            <v>699.94458512037875</v>
          </cell>
        </row>
        <row r="169">
          <cell r="D169" t="str">
            <v>Carbon Sequestration|CCS|Biomass|Industrial Processes</v>
          </cell>
          <cell r="F169">
            <v>0</v>
          </cell>
          <cell r="G169">
            <v>1.6343283156892219</v>
          </cell>
          <cell r="H169">
            <v>2.4951028094115335</v>
          </cell>
          <cell r="I169">
            <v>3.2051736378281399</v>
          </cell>
          <cell r="J169">
            <v>6.0192230281491028</v>
          </cell>
          <cell r="K169">
            <v>9.1021607240369526</v>
          </cell>
          <cell r="L169">
            <v>12.677636618895203</v>
          </cell>
          <cell r="M169">
            <v>12.385570945709633</v>
          </cell>
          <cell r="N169">
            <v>18.029339863259658</v>
          </cell>
        </row>
        <row r="170">
          <cell r="D170" t="str">
            <v>Population</v>
          </cell>
          <cell r="E170" t="str">
            <v>millions</v>
          </cell>
          <cell r="F170">
            <v>7255.1017540000003</v>
          </cell>
          <cell r="G170">
            <v>8131.1752120000001</v>
          </cell>
          <cell r="H170">
            <v>8559.5109179999999</v>
          </cell>
          <cell r="I170">
            <v>8828.1624950000005</v>
          </cell>
          <cell r="J170">
            <v>9146.2223670000003</v>
          </cell>
          <cell r="K170">
            <v>9442.7608259999997</v>
          </cell>
          <cell r="L170">
            <v>9714.0571889999992</v>
          </cell>
          <cell r="M170">
            <v>9957.8316309999991</v>
          </cell>
          <cell r="N170">
            <v>10173.423489999999</v>
          </cell>
          <cell r="O170" t="str">
            <v>assumed identical across scenarios, so I copied from B2DS</v>
          </cell>
        </row>
        <row r="171">
          <cell r="D171" t="str">
            <v>GDP|PPP</v>
          </cell>
          <cell r="F171">
            <v>101762.62609999999</v>
          </cell>
          <cell r="G171">
            <v>150613.02280000001</v>
          </cell>
          <cell r="H171">
            <v>180095.53099999999</v>
          </cell>
          <cell r="I171">
            <v>211849.9608</v>
          </cell>
          <cell r="J171">
            <v>244503.87400000001</v>
          </cell>
          <cell r="K171">
            <v>277308.93089999998</v>
          </cell>
          <cell r="L171">
            <v>309002.14980000001</v>
          </cell>
          <cell r="M171">
            <v>344973.06550000003</v>
          </cell>
          <cell r="N171">
            <v>367745.75</v>
          </cell>
          <cell r="O171" t="str">
            <v>assumed identical across scenarios, so I copied from B2DS</v>
          </cell>
        </row>
      </sheetData>
      <sheetData sheetId="3">
        <row r="1">
          <cell r="F1">
            <v>2014</v>
          </cell>
          <cell r="G1">
            <v>2025</v>
          </cell>
          <cell r="H1">
            <v>2030</v>
          </cell>
          <cell r="I1">
            <v>2035</v>
          </cell>
          <cell r="J1">
            <v>2040</v>
          </cell>
          <cell r="K1">
            <v>2045</v>
          </cell>
          <cell r="L1">
            <v>2050</v>
          </cell>
          <cell r="M1">
            <v>2055</v>
          </cell>
          <cell r="N1">
            <v>2060</v>
          </cell>
        </row>
        <row r="4">
          <cell r="D4" t="str">
            <v>Primary Energy|Oil</v>
          </cell>
          <cell r="F4">
            <v>179.60377400539213</v>
          </cell>
          <cell r="G4">
            <v>167.86403697644838</v>
          </cell>
          <cell r="H4">
            <v>159.31783188446047</v>
          </cell>
          <cell r="I4">
            <v>149.56189577783121</v>
          </cell>
          <cell r="J4">
            <v>139.51910689064198</v>
          </cell>
          <cell r="K4">
            <v>127.41818993457333</v>
          </cell>
          <cell r="L4">
            <v>115.68421404773994</v>
          </cell>
          <cell r="M4">
            <v>105.52841620285724</v>
          </cell>
          <cell r="N4">
            <v>98.920465937812864</v>
          </cell>
        </row>
        <row r="5">
          <cell r="D5" t="str">
            <v>Primary Energy|Coal</v>
          </cell>
          <cell r="F5">
            <v>163.853629945488</v>
          </cell>
          <cell r="G5">
            <v>122.84481968055199</v>
          </cell>
          <cell r="H5">
            <v>95.650103712068187</v>
          </cell>
          <cell r="I5">
            <v>74.734938721281807</v>
          </cell>
          <cell r="J5">
            <v>65.41547952456429</v>
          </cell>
          <cell r="K5">
            <v>59.165461950682946</v>
          </cell>
          <cell r="L5">
            <v>53.245511661229038</v>
          </cell>
          <cell r="M5">
            <v>47.716862127264989</v>
          </cell>
          <cell r="N5">
            <v>45.820557046194999</v>
          </cell>
        </row>
        <row r="6">
          <cell r="D6" t="str">
            <v>Primary Energy|Gas</v>
          </cell>
          <cell r="F6">
            <v>121.44143859937201</v>
          </cell>
          <cell r="G6">
            <v>137.91728109801292</v>
          </cell>
          <cell r="H6">
            <v>132.42150137990083</v>
          </cell>
          <cell r="I6">
            <v>128.26313988867432</v>
          </cell>
          <cell r="J6">
            <v>119.02519212680158</v>
          </cell>
          <cell r="K6">
            <v>109.29867364155093</v>
          </cell>
          <cell r="L6">
            <v>100.30398266473763</v>
          </cell>
          <cell r="M6">
            <v>97.401100895329847</v>
          </cell>
          <cell r="N6">
            <v>89.561589590119638</v>
          </cell>
        </row>
        <row r="7">
          <cell r="D7" t="str">
            <v>Primary Energy|Nuclear</v>
          </cell>
          <cell r="F7">
            <v>27.689539085172001</v>
          </cell>
          <cell r="G7">
            <v>38.546448809913237</v>
          </cell>
          <cell r="H7">
            <v>49.502931767895568</v>
          </cell>
          <cell r="I7">
            <v>57.073001358530846</v>
          </cell>
          <cell r="J7">
            <v>64.864445191910193</v>
          </cell>
          <cell r="K7">
            <v>71.415511127106669</v>
          </cell>
          <cell r="L7">
            <v>74.891155226192339</v>
          </cell>
          <cell r="M7">
            <v>79.207159444320411</v>
          </cell>
          <cell r="N7">
            <v>82.089032242507812</v>
          </cell>
        </row>
        <row r="8">
          <cell r="D8" t="str">
            <v>Biomass and waste</v>
          </cell>
          <cell r="F8">
            <v>54.727207129212012</v>
          </cell>
          <cell r="G8">
            <v>78.752902335334454</v>
          </cell>
          <cell r="H8">
            <v>90.180233103137382</v>
          </cell>
          <cell r="I8">
            <v>103.64161969210113</v>
          </cell>
          <cell r="J8">
            <v>117.28431604837346</v>
          </cell>
          <cell r="K8">
            <v>130.28929620153497</v>
          </cell>
          <cell r="L8">
            <v>137.35780571970272</v>
          </cell>
          <cell r="M8">
            <v>141.99999778003672</v>
          </cell>
          <cell r="N8">
            <v>143.9999992924057</v>
          </cell>
        </row>
        <row r="9">
          <cell r="D9" t="str">
            <v>Primary Energy|Hydro</v>
          </cell>
          <cell r="F9">
            <v>14.023472570784001</v>
          </cell>
          <cell r="G9">
            <v>18.569700923611048</v>
          </cell>
          <cell r="H9">
            <v>20.491966300420341</v>
          </cell>
          <cell r="I9">
            <v>21.76648505213721</v>
          </cell>
          <cell r="J9">
            <v>23.829259476808154</v>
          </cell>
          <cell r="K9">
            <v>25.709513480191404</v>
          </cell>
          <cell r="L9">
            <v>27.43231458548426</v>
          </cell>
          <cell r="M9">
            <v>29.077588441579245</v>
          </cell>
          <cell r="N9">
            <v>30.647354149912697</v>
          </cell>
        </row>
        <row r="10">
          <cell r="D10" t="str">
            <v>Other</v>
          </cell>
          <cell r="F10">
            <v>7.7686318090440007</v>
          </cell>
          <cell r="G10">
            <v>27.828546116921945</v>
          </cell>
          <cell r="H10">
            <v>44.730756480420702</v>
          </cell>
          <cell r="I10">
            <v>64.014696596722388</v>
          </cell>
          <cell r="J10">
            <v>81.212237360962078</v>
          </cell>
          <cell r="K10">
            <v>101.7027958434583</v>
          </cell>
          <cell r="L10">
            <v>124.15801690898238</v>
          </cell>
          <cell r="M10">
            <v>146.60396149440598</v>
          </cell>
          <cell r="N10">
            <v>173.12784096977308</v>
          </cell>
        </row>
        <row r="11">
          <cell r="D11" t="str">
            <v>Primary Energy</v>
          </cell>
          <cell r="F11">
            <v>569.10769314446429</v>
          </cell>
          <cell r="G11">
            <v>592.32373594079399</v>
          </cell>
          <cell r="H11">
            <v>592.29532462830355</v>
          </cell>
          <cell r="I11">
            <v>599.0557770872789</v>
          </cell>
          <cell r="J11">
            <v>611.15003662006177</v>
          </cell>
          <cell r="K11">
            <v>624.99944217909865</v>
          </cell>
          <cell r="L11">
            <v>633.07300081406834</v>
          </cell>
          <cell r="M11">
            <v>647.53508638579444</v>
          </cell>
          <cell r="N11">
            <v>664.16683922872664</v>
          </cell>
        </row>
        <row r="12">
          <cell r="D12" t="str">
            <v>Memo: Biofuels and waste (excl. conversion losses of liquid and gaseous biofuels production)</v>
          </cell>
          <cell r="F12">
            <v>0</v>
          </cell>
          <cell r="G12">
            <v>70.367250250256461</v>
          </cell>
          <cell r="H12">
            <v>79.444343677305014</v>
          </cell>
          <cell r="I12">
            <v>89.416202352821159</v>
          </cell>
          <cell r="J12">
            <v>97.862915674252903</v>
          </cell>
          <cell r="K12">
            <v>106.0987779716439</v>
          </cell>
          <cell r="L12">
            <v>110.29409084243123</v>
          </cell>
          <cell r="M12">
            <v>110.74198632624949</v>
          </cell>
          <cell r="N12">
            <v>113.2985308970369</v>
          </cell>
        </row>
        <row r="13">
          <cell r="D13" t="str">
            <v>Primary Energy|Non-Biomass Renewables</v>
          </cell>
          <cell r="F13">
            <v>21.792104379828004</v>
          </cell>
          <cell r="G13">
            <v>46.398247040532993</v>
          </cell>
          <cell r="H13">
            <v>65.222722780841039</v>
          </cell>
          <cell r="I13">
            <v>85.781181648859601</v>
          </cell>
          <cell r="J13">
            <v>105.04149683777024</v>
          </cell>
          <cell r="K13">
            <v>127.41230932364971</v>
          </cell>
          <cell r="L13">
            <v>151.59033149446662</v>
          </cell>
          <cell r="M13">
            <v>175.68154993598523</v>
          </cell>
          <cell r="N13">
            <v>203.77519511968578</v>
          </cell>
        </row>
        <row r="14">
          <cell r="D14" t="str">
            <v>biomass + bofuels</v>
          </cell>
          <cell r="F14">
            <v>54.727207129212012</v>
          </cell>
          <cell r="G14">
            <v>149.12015258559092</v>
          </cell>
          <cell r="H14">
            <v>169.6245767804424</v>
          </cell>
          <cell r="I14">
            <v>193.05782204492229</v>
          </cell>
          <cell r="J14">
            <v>215.14723172262637</v>
          </cell>
          <cell r="K14">
            <v>236.38807417317886</v>
          </cell>
          <cell r="L14">
            <v>247.65189656213397</v>
          </cell>
          <cell r="M14">
            <v>252.74198410628622</v>
          </cell>
          <cell r="N14">
            <v>257.2985301894426</v>
          </cell>
        </row>
        <row r="15">
          <cell r="D15" t="str">
            <v>Primary Energy|Biomass</v>
          </cell>
          <cell r="E15" t="str">
            <v>EJ</v>
          </cell>
          <cell r="F15">
            <v>34.232912731715786</v>
          </cell>
          <cell r="G15">
            <v>93.277501955290759</v>
          </cell>
          <cell r="H15">
            <v>106.10341069240521</v>
          </cell>
          <cell r="I15">
            <v>120.76135291602078</v>
          </cell>
          <cell r="J15">
            <v>134.57870032800537</v>
          </cell>
          <cell r="K15">
            <v>147.86525274134348</v>
          </cell>
          <cell r="L15">
            <v>154.91098865759906</v>
          </cell>
          <cell r="M15">
            <v>158.0949355797278</v>
          </cell>
          <cell r="N15">
            <v>160.94514213337951</v>
          </cell>
        </row>
        <row r="16">
          <cell r="D16" t="str">
            <v>Fuel input electricity and heat generation (PJ)</v>
          </cell>
        </row>
        <row r="17">
          <cell r="D17" t="str">
            <v>Oil</v>
          </cell>
          <cell r="F17">
            <v>11566.695216491995</v>
          </cell>
          <cell r="G17">
            <v>5397.9913091563003</v>
          </cell>
          <cell r="H17">
            <v>3666.7308514141396</v>
          </cell>
          <cell r="I17">
            <v>2497.7393353819152</v>
          </cell>
          <cell r="J17">
            <v>2056.9539158028738</v>
          </cell>
          <cell r="K17">
            <v>1524.4951491731758</v>
          </cell>
          <cell r="L17">
            <v>870.87275390239427</v>
          </cell>
          <cell r="M17">
            <v>510.16572019299753</v>
          </cell>
          <cell r="N17">
            <v>164.01783775704666</v>
          </cell>
        </row>
        <row r="18">
          <cell r="D18" t="str">
            <v>Coal</v>
          </cell>
          <cell r="F18">
            <v>100697.11847513999</v>
          </cell>
          <cell r="G18">
            <v>54663.599171128633</v>
          </cell>
          <cell r="H18">
            <v>35330.597633698751</v>
          </cell>
          <cell r="I18">
            <v>21444.537718704662</v>
          </cell>
          <cell r="J18">
            <v>20065.064632802791</v>
          </cell>
          <cell r="K18">
            <v>22523.178595471443</v>
          </cell>
          <cell r="L18">
            <v>16863.994996949135</v>
          </cell>
          <cell r="M18">
            <v>14752.428238368826</v>
          </cell>
          <cell r="N18">
            <v>13894.590249876381</v>
          </cell>
        </row>
        <row r="19">
          <cell r="D19" t="str">
            <v>Natural gas</v>
          </cell>
          <cell r="F19">
            <v>48458.714105736006</v>
          </cell>
          <cell r="G19">
            <v>60194.747655953484</v>
          </cell>
          <cell r="H19">
            <v>60884.177961891277</v>
          </cell>
          <cell r="I19">
            <v>58870.461554645866</v>
          </cell>
          <cell r="J19">
            <v>44564.11082381395</v>
          </cell>
          <cell r="K19">
            <v>27258.10613163601</v>
          </cell>
          <cell r="L19">
            <v>19232.994299719387</v>
          </cell>
          <cell r="M19">
            <v>15301.326027670253</v>
          </cell>
          <cell r="N19">
            <v>18489.732175031975</v>
          </cell>
        </row>
        <row r="20">
          <cell r="D20" t="str">
            <v>Nuclear</v>
          </cell>
          <cell r="F20">
            <v>27689.539085172</v>
          </cell>
          <cell r="G20">
            <v>39065.899644791309</v>
          </cell>
          <cell r="H20">
            <v>49870.737326783739</v>
          </cell>
          <cell r="I20">
            <v>57644.93145805948</v>
          </cell>
          <cell r="J20">
            <v>65406.038334146782</v>
          </cell>
          <cell r="K20">
            <v>72089.930868582233</v>
          </cell>
          <cell r="L20">
            <v>76388.700919887531</v>
          </cell>
          <cell r="M20">
            <v>81513.918950507636</v>
          </cell>
          <cell r="N20">
            <v>85505.458901258055</v>
          </cell>
        </row>
        <row r="21">
          <cell r="D21" t="str">
            <v>Biomass and waste</v>
          </cell>
          <cell r="F21">
            <v>9116.1306128519991</v>
          </cell>
          <cell r="G21">
            <v>19978.654042250084</v>
          </cell>
          <cell r="H21">
            <v>24609.972594196828</v>
          </cell>
          <cell r="I21">
            <v>30299.429991934638</v>
          </cell>
          <cell r="J21">
            <v>35816.9936207344</v>
          </cell>
          <cell r="K21">
            <v>39595.794565959302</v>
          </cell>
          <cell r="L21">
            <v>42880.694987679788</v>
          </cell>
          <cell r="M21">
            <v>43823.772907829363</v>
          </cell>
          <cell r="N21">
            <v>41428.075233819327</v>
          </cell>
        </row>
        <row r="22">
          <cell r="D22" t="str">
            <v>Hydro</v>
          </cell>
          <cell r="F22">
            <v>14023.472570784001</v>
          </cell>
          <cell r="G22">
            <v>19296.910631776769</v>
          </cell>
          <cell r="H22">
            <v>21317.904224767342</v>
          </cell>
          <cell r="I22">
            <v>22804.372756356937</v>
          </cell>
          <cell r="J22">
            <v>25427.732704949289</v>
          </cell>
          <cell r="K22">
            <v>30571.543836531353</v>
          </cell>
          <cell r="L22">
            <v>35576.626057029804</v>
          </cell>
          <cell r="M22">
            <v>40183.324907553048</v>
          </cell>
          <cell r="N22">
            <v>44635.401574180563</v>
          </cell>
        </row>
        <row r="23">
          <cell r="D23" t="str">
            <v>Geothermal</v>
          </cell>
          <cell r="F23">
            <v>2650.8275793719999</v>
          </cell>
          <cell r="G23">
            <v>7966.4818080856376</v>
          </cell>
          <cell r="H23">
            <v>12230.906755213111</v>
          </cell>
          <cell r="I23">
            <v>17553.823698789729</v>
          </cell>
          <cell r="J23">
            <v>23433.488978511203</v>
          </cell>
          <cell r="K23">
            <v>29926.133085380483</v>
          </cell>
          <cell r="L23">
            <v>36569.679203808548</v>
          </cell>
          <cell r="M23">
            <v>43245.95582536039</v>
          </cell>
          <cell r="N23">
            <v>49679.959742879189</v>
          </cell>
        </row>
        <row r="24">
          <cell r="D24" t="str">
            <v>Wind</v>
          </cell>
          <cell r="F24">
            <v>2582.2556496000002</v>
          </cell>
          <cell r="G24">
            <v>10030.923577103633</v>
          </cell>
          <cell r="H24">
            <v>15059.979408790179</v>
          </cell>
          <cell r="I24">
            <v>19494.3726472034</v>
          </cell>
          <cell r="J24">
            <v>23508.001053271171</v>
          </cell>
          <cell r="K24">
            <v>26953.256844534866</v>
          </cell>
          <cell r="L24">
            <v>31148.880289536952</v>
          </cell>
          <cell r="M24">
            <v>34706.129215948655</v>
          </cell>
          <cell r="N24">
            <v>38006.621965009996</v>
          </cell>
        </row>
        <row r="25">
          <cell r="D25" t="str">
            <v>Solar PV</v>
          </cell>
          <cell r="F25">
            <v>683.00331847200005</v>
          </cell>
          <cell r="G25">
            <v>3414.1632945628371</v>
          </cell>
          <cell r="H25">
            <v>5468.0809642723316</v>
          </cell>
          <cell r="I25">
            <v>8636.5776267257897</v>
          </cell>
          <cell r="J25">
            <v>12563.758332104517</v>
          </cell>
          <cell r="K25">
            <v>17305.965431215503</v>
          </cell>
          <cell r="L25">
            <v>21950.582584086034</v>
          </cell>
          <cell r="M25">
            <v>27407.379213928532</v>
          </cell>
          <cell r="N25">
            <v>33140.431960223374</v>
          </cell>
        </row>
        <row r="26">
          <cell r="D26" t="str">
            <v>Solar CSP</v>
          </cell>
          <cell r="F26">
            <v>117.45845499600001</v>
          </cell>
          <cell r="G26">
            <v>2951.7282727135562</v>
          </cell>
          <cell r="H26">
            <v>7156.3983358544283</v>
          </cell>
          <cell r="I26">
            <v>14153.602814026244</v>
          </cell>
          <cell r="J26">
            <v>22018.204778529565</v>
          </cell>
          <cell r="K26">
            <v>29379.304731365424</v>
          </cell>
          <cell r="L26">
            <v>37871.341911550531</v>
          </cell>
          <cell r="M26">
            <v>45292.790493109118</v>
          </cell>
          <cell r="N26">
            <v>53133.004366555921</v>
          </cell>
        </row>
        <row r="27">
          <cell r="D27" t="str">
            <v>Ocean</v>
          </cell>
          <cell r="F27">
            <v>3.5970473520000001</v>
          </cell>
          <cell r="G27">
            <v>26.269403473908937</v>
          </cell>
          <cell r="H27">
            <v>74.787706979799111</v>
          </cell>
          <cell r="I27">
            <v>213.43552449149635</v>
          </cell>
          <cell r="J27">
            <v>470.41153460536668</v>
          </cell>
          <cell r="K27">
            <v>1030.4661907661409</v>
          </cell>
          <cell r="L27">
            <v>2036.3099223272766</v>
          </cell>
          <cell r="M27">
            <v>3035.7997306833995</v>
          </cell>
          <cell r="N27">
            <v>3780.116136674716</v>
          </cell>
        </row>
        <row r="28">
          <cell r="D28" t="str">
            <v>Hydrogen</v>
          </cell>
          <cell r="F28">
            <v>0</v>
          </cell>
          <cell r="G28">
            <v>0</v>
          </cell>
          <cell r="H28">
            <v>0</v>
          </cell>
          <cell r="I28">
            <v>0</v>
          </cell>
          <cell r="J28">
            <v>0</v>
          </cell>
          <cell r="K28">
            <v>0</v>
          </cell>
          <cell r="L28">
            <v>0</v>
          </cell>
          <cell r="M28">
            <v>0</v>
          </cell>
          <cell r="N28">
            <v>0</v>
          </cell>
        </row>
        <row r="29">
          <cell r="D29" t="str">
            <v>Other</v>
          </cell>
          <cell r="F29">
            <v>10.725241824000001</v>
          </cell>
          <cell r="G29">
            <v>0</v>
          </cell>
          <cell r="H29">
            <v>0</v>
          </cell>
          <cell r="I29">
            <v>0</v>
          </cell>
          <cell r="J29">
            <v>0</v>
          </cell>
          <cell r="K29">
            <v>0</v>
          </cell>
          <cell r="L29">
            <v>0</v>
          </cell>
          <cell r="M29">
            <v>0</v>
          </cell>
          <cell r="N29">
            <v>0</v>
          </cell>
        </row>
        <row r="30">
          <cell r="D30" t="str">
            <v>Total</v>
          </cell>
          <cell r="F30">
            <v>217599.537357792</v>
          </cell>
          <cell r="G30">
            <v>222987.36881099609</v>
          </cell>
          <cell r="H30">
            <v>235670.27376386194</v>
          </cell>
          <cell r="I30">
            <v>253613.28512632012</v>
          </cell>
          <cell r="J30">
            <v>275330.7587092719</v>
          </cell>
          <cell r="K30">
            <v>298158.1754306159</v>
          </cell>
          <cell r="L30">
            <v>321390.67792647745</v>
          </cell>
          <cell r="M30">
            <v>349772.99123115215</v>
          </cell>
          <cell r="N30">
            <v>381857.41014326661</v>
          </cell>
        </row>
        <row r="32">
          <cell r="D32" t="str">
            <v>Final energy demand (EJ)</v>
          </cell>
        </row>
        <row r="33">
          <cell r="D33" t="str">
            <v>Oil</v>
          </cell>
          <cell r="F33">
            <v>157.59628338394796</v>
          </cell>
          <cell r="G33">
            <v>157.35076058624472</v>
          </cell>
          <cell r="H33">
            <v>151.0644812589527</v>
          </cell>
          <cell r="I33">
            <v>143.08174443367514</v>
          </cell>
          <cell r="J33">
            <v>133.41026040556289</v>
          </cell>
          <cell r="K33">
            <v>122.33155058838842</v>
          </cell>
          <cell r="L33">
            <v>111.22293928346834</v>
          </cell>
          <cell r="M33">
            <v>101.36027794586968</v>
          </cell>
          <cell r="N33">
            <v>95.135504593453305</v>
          </cell>
        </row>
        <row r="34">
          <cell r="D34" t="str">
            <v>Final Energy|Solids|Coal</v>
          </cell>
          <cell r="F34">
            <v>60.603622353935997</v>
          </cell>
          <cell r="G34">
            <v>53.094252620708858</v>
          </cell>
          <cell r="H34">
            <v>47.677127813310292</v>
          </cell>
          <cell r="I34">
            <v>42.929749667141031</v>
          </cell>
          <cell r="J34">
            <v>38.523914596183978</v>
          </cell>
          <cell r="K34">
            <v>33.736525991654254</v>
          </cell>
          <cell r="L34">
            <v>31.025101737487642</v>
          </cell>
          <cell r="M34">
            <v>29.544736581993497</v>
          </cell>
          <cell r="N34">
            <v>27.945331009459913</v>
          </cell>
        </row>
        <row r="35">
          <cell r="D35" t="str">
            <v>Natural gas</v>
          </cell>
          <cell r="F35">
            <v>57.067864059888002</v>
          </cell>
          <cell r="G35">
            <v>66.961858561861931</v>
          </cell>
          <cell r="H35">
            <v>65.71203422406802</v>
          </cell>
          <cell r="I35">
            <v>64.347482255821959</v>
          </cell>
          <cell r="J35">
            <v>61.986514619478967</v>
          </cell>
          <cell r="K35">
            <v>61.053535784008176</v>
          </cell>
          <cell r="L35">
            <v>59.877085792936001</v>
          </cell>
          <cell r="M35">
            <v>58.604679227252795</v>
          </cell>
          <cell r="N35">
            <v>57.090499501189839</v>
          </cell>
        </row>
        <row r="36">
          <cell r="D36" t="str">
            <v>Final Energy|Electricity</v>
          </cell>
          <cell r="F36">
            <v>71.504264051208011</v>
          </cell>
          <cell r="G36">
            <v>88.786702387612451</v>
          </cell>
          <cell r="H36">
            <v>96.331036938288662</v>
          </cell>
          <cell r="I36">
            <v>104.02278861419173</v>
          </cell>
          <cell r="J36">
            <v>111.7627897833877</v>
          </cell>
          <cell r="K36">
            <v>120.97388033939494</v>
          </cell>
          <cell r="L36">
            <v>130.16984812640715</v>
          </cell>
          <cell r="M36">
            <v>140.44780803079479</v>
          </cell>
          <cell r="N36">
            <v>151.81327940238046</v>
          </cell>
        </row>
        <row r="37">
          <cell r="D37" t="str">
            <v>Final Energy|Heat</v>
          </cell>
          <cell r="F37">
            <v>11.477084340599999</v>
          </cell>
          <cell r="G37">
            <v>13.496961612215612</v>
          </cell>
          <cell r="H37">
            <v>12.504948335626851</v>
          </cell>
          <cell r="I37">
            <v>12.173127997361245</v>
          </cell>
          <cell r="J37">
            <v>11.665110984915882</v>
          </cell>
          <cell r="K37">
            <v>11.875100840364111</v>
          </cell>
          <cell r="L37">
            <v>11.54387424926256</v>
          </cell>
          <cell r="M37">
            <v>11.528948734985788</v>
          </cell>
          <cell r="N37">
            <v>11.514809157972261</v>
          </cell>
        </row>
        <row r="38">
          <cell r="D38" t="str">
            <v>Biomass and waste</v>
          </cell>
          <cell r="F38">
            <v>42.038225518920001</v>
          </cell>
          <cell r="G38">
            <v>50.167360170029326</v>
          </cell>
          <cell r="H38">
            <v>53.322698007363684</v>
          </cell>
          <cell r="I38">
            <v>57.406766261190604</v>
          </cell>
          <cell r="J38">
            <v>62.331218752720794</v>
          </cell>
          <cell r="K38">
            <v>66.398404149079255</v>
          </cell>
          <cell r="L38">
            <v>69.394202766371279</v>
          </cell>
          <cell r="M38">
            <v>73.011996649239748</v>
          </cell>
          <cell r="N38">
            <v>74.042722882250388</v>
          </cell>
        </row>
        <row r="39">
          <cell r="D39" t="str">
            <v>Final Energy|Hydrogen</v>
          </cell>
          <cell r="F39">
            <v>0</v>
          </cell>
          <cell r="G39">
            <v>5.3230146040528836E-2</v>
          </cell>
          <cell r="H39">
            <v>0.11694187245951748</v>
          </cell>
          <cell r="I39">
            <v>0.19117825963793506</v>
          </cell>
          <cell r="J39">
            <v>0.25926061165372749</v>
          </cell>
          <cell r="K39">
            <v>0.33381720551033434</v>
          </cell>
          <cell r="L39">
            <v>0.41770151098580222</v>
          </cell>
          <cell r="M39">
            <v>0.50467694407570973</v>
          </cell>
          <cell r="N39">
            <v>0.59362579736372489</v>
          </cell>
        </row>
        <row r="40">
          <cell r="D40" t="str">
            <v>Other</v>
          </cell>
          <cell r="F40">
            <v>1.5298820082719999</v>
          </cell>
          <cell r="G40">
            <v>3.6868295106162154</v>
          </cell>
          <cell r="H40">
            <v>5.2157557387682676</v>
          </cell>
          <cell r="I40">
            <v>6.601063292530247</v>
          </cell>
          <cell r="J40">
            <v>7.7997974473573706</v>
          </cell>
          <cell r="K40">
            <v>9.1177942742699098</v>
          </cell>
          <cell r="L40">
            <v>10.313723803386216</v>
          </cell>
          <cell r="M40">
            <v>11.335751747364462</v>
          </cell>
          <cell r="N40">
            <v>12.320966900551545</v>
          </cell>
        </row>
        <row r="41">
          <cell r="D41" t="str">
            <v>Final Energy</v>
          </cell>
          <cell r="F41">
            <v>401.81722571677199</v>
          </cell>
          <cell r="G41">
            <v>433.59795559532961</v>
          </cell>
          <cell r="H41">
            <v>431.94502418883803</v>
          </cell>
          <cell r="I41">
            <v>430.75390078154987</v>
          </cell>
          <cell r="J41">
            <v>427.73886720126137</v>
          </cell>
          <cell r="K41">
            <v>425.82060917266944</v>
          </cell>
          <cell r="L41">
            <v>423.964477270305</v>
          </cell>
          <cell r="M41">
            <v>426.33887586157647</v>
          </cell>
          <cell r="N41">
            <v>430.45673924462142</v>
          </cell>
        </row>
        <row r="43">
          <cell r="D43" t="str">
            <v>Final energy demand industry sector (PJ)</v>
          </cell>
        </row>
        <row r="44">
          <cell r="D44" t="str">
            <v>Oil</v>
          </cell>
          <cell r="F44">
            <v>12757.195174896</v>
          </cell>
          <cell r="G44">
            <v>11184.015901348586</v>
          </cell>
          <cell r="H44">
            <v>10307.719224378887</v>
          </cell>
          <cell r="I44">
            <v>9854.8768895265293</v>
          </cell>
          <cell r="J44">
            <v>9656.3935796201276</v>
          </cell>
          <cell r="K44">
            <v>8920.8376921357121</v>
          </cell>
          <cell r="L44">
            <v>8091.8213268015033</v>
          </cell>
          <cell r="M44">
            <v>7262.3550007255326</v>
          </cell>
          <cell r="N44">
            <v>6301.2638062142141</v>
          </cell>
        </row>
        <row r="45">
          <cell r="D45" t="str">
            <v>Coal</v>
          </cell>
          <cell r="F45">
            <v>49961.912674644002</v>
          </cell>
          <cell r="G45">
            <v>37246.368936976229</v>
          </cell>
          <cell r="H45">
            <v>32766.982694846549</v>
          </cell>
          <cell r="I45">
            <v>29906.925569483043</v>
          </cell>
          <cell r="J45">
            <v>27279.506308476015</v>
          </cell>
          <cell r="K45">
            <v>24697.413948918373</v>
          </cell>
          <cell r="L45">
            <v>22648.770758480361</v>
          </cell>
          <cell r="M45">
            <v>20953.167944681558</v>
          </cell>
          <cell r="N45">
            <v>18403.410933190902</v>
          </cell>
        </row>
        <row r="46">
          <cell r="D46" t="str">
            <v>Natural gas</v>
          </cell>
          <cell r="F46">
            <v>23052.196616076002</v>
          </cell>
          <cell r="G46">
            <v>28939.030424160286</v>
          </cell>
          <cell r="H46">
            <v>27971.601855651941</v>
          </cell>
          <cell r="I46">
            <v>27802.199825181113</v>
          </cell>
          <cell r="J46">
            <v>27099.385255316676</v>
          </cell>
          <cell r="K46">
            <v>26654.534308885068</v>
          </cell>
          <cell r="L46">
            <v>26763.722033667782</v>
          </cell>
          <cell r="M46">
            <v>27765.909976807208</v>
          </cell>
          <cell r="N46">
            <v>28108.858996274146</v>
          </cell>
        </row>
        <row r="47">
          <cell r="D47" t="str">
            <v>Electricity</v>
          </cell>
          <cell r="F47">
            <v>30134.810820912</v>
          </cell>
          <cell r="G47">
            <v>33886.588709316653</v>
          </cell>
          <cell r="H47">
            <v>34971.006074372825</v>
          </cell>
          <cell r="I47">
            <v>36122.988987739489</v>
          </cell>
          <cell r="J47">
            <v>37088.892573130957</v>
          </cell>
          <cell r="K47">
            <v>37824.20784290084</v>
          </cell>
          <cell r="L47">
            <v>39376.612047871968</v>
          </cell>
          <cell r="M47">
            <v>41728.927351580802</v>
          </cell>
          <cell r="N47">
            <v>45899.336458001948</v>
          </cell>
        </row>
        <row r="48">
          <cell r="D48" t="str">
            <v>Heat</v>
          </cell>
          <cell r="F48">
            <v>5164.3284955559993</v>
          </cell>
          <cell r="G48">
            <v>6730.8210251766714</v>
          </cell>
          <cell r="H48">
            <v>6098.3552040426539</v>
          </cell>
          <cell r="I48">
            <v>5813.2419483112353</v>
          </cell>
          <cell r="J48">
            <v>5153.87117081201</v>
          </cell>
          <cell r="K48">
            <v>5176.7613313841221</v>
          </cell>
          <cell r="L48">
            <v>5071.5673559927309</v>
          </cell>
          <cell r="M48">
            <v>5407.5955465458928</v>
          </cell>
          <cell r="N48">
            <v>5936.6060405232492</v>
          </cell>
        </row>
        <row r="49">
          <cell r="D49" t="str">
            <v>Biomass and waste</v>
          </cell>
          <cell r="F49">
            <v>7954.318398708001</v>
          </cell>
          <cell r="G49">
            <v>10980.000294416599</v>
          </cell>
          <cell r="H49">
            <v>12739.955787284291</v>
          </cell>
          <cell r="I49">
            <v>14304.145107595492</v>
          </cell>
          <cell r="J49">
            <v>15669.241298027411</v>
          </cell>
          <cell r="K49">
            <v>17425.637159625108</v>
          </cell>
          <cell r="L49">
            <v>19764.132405558259</v>
          </cell>
          <cell r="M49">
            <v>21694.008728792556</v>
          </cell>
          <cell r="N49">
            <v>24411.742824472745</v>
          </cell>
        </row>
        <row r="50">
          <cell r="D50" t="str">
            <v>Hydrogen</v>
          </cell>
          <cell r="F50">
            <v>0</v>
          </cell>
          <cell r="G50">
            <v>0</v>
          </cell>
          <cell r="H50">
            <v>0</v>
          </cell>
          <cell r="I50">
            <v>0</v>
          </cell>
          <cell r="J50">
            <v>0</v>
          </cell>
          <cell r="K50">
            <v>0</v>
          </cell>
          <cell r="L50">
            <v>0</v>
          </cell>
          <cell r="M50">
            <v>0</v>
          </cell>
          <cell r="N50">
            <v>0</v>
          </cell>
        </row>
        <row r="51">
          <cell r="D51" t="str">
            <v>Other</v>
          </cell>
          <cell r="F51">
            <v>32.617767816000004</v>
          </cell>
          <cell r="G51">
            <v>652.30879952783255</v>
          </cell>
          <cell r="H51">
            <v>1415.9612513613483</v>
          </cell>
          <cell r="I51">
            <v>2139.2696889648942</v>
          </cell>
          <cell r="J51">
            <v>2760.621130991532</v>
          </cell>
          <cell r="K51">
            <v>3235.8000082356266</v>
          </cell>
          <cell r="L51">
            <v>3570.2357860563316</v>
          </cell>
          <cell r="M51">
            <v>4033.2073870279191</v>
          </cell>
          <cell r="N51">
            <v>4366.1298161111972</v>
          </cell>
        </row>
        <row r="52">
          <cell r="D52" t="str">
            <v>Total</v>
          </cell>
          <cell r="F52">
            <v>129057.379948608</v>
          </cell>
          <cell r="G52">
            <v>129619.13409092286</v>
          </cell>
          <cell r="H52">
            <v>126271.5820919385</v>
          </cell>
          <cell r="I52">
            <v>125943.6480168018</v>
          </cell>
          <cell r="J52">
            <v>124707.91131637474</v>
          </cell>
          <cell r="K52">
            <v>123935.19229208486</v>
          </cell>
          <cell r="L52">
            <v>125286.86171442895</v>
          </cell>
          <cell r="M52">
            <v>128845.17193616147</v>
          </cell>
          <cell r="N52">
            <v>133427.34887478841</v>
          </cell>
        </row>
        <row r="54">
          <cell r="D54" t="str">
            <v>Final energy demand non-energy use (PJ)</v>
          </cell>
        </row>
        <row r="55">
          <cell r="D55" t="str">
            <v>Total</v>
          </cell>
          <cell r="F55">
            <v>34646.622306876001</v>
          </cell>
          <cell r="G55">
            <v>39830.824729726672</v>
          </cell>
          <cell r="H55">
            <v>42144.795369421132</v>
          </cell>
          <cell r="I55">
            <v>44390.64479379337</v>
          </cell>
          <cell r="J55">
            <v>46051.356926011998</v>
          </cell>
          <cell r="K55">
            <v>46629.435934633831</v>
          </cell>
          <cell r="L55">
            <v>46900.637502673715</v>
          </cell>
          <cell r="M55">
            <v>47816.073425851995</v>
          </cell>
          <cell r="N55">
            <v>48024.841243282688</v>
          </cell>
        </row>
        <row r="57">
          <cell r="D57" t="str">
            <v>Final energy demand transport sector (PJ)</v>
          </cell>
        </row>
        <row r="58">
          <cell r="D58" t="str">
            <v>Oil</v>
          </cell>
          <cell r="F58">
            <v>101570.98527774001</v>
          </cell>
          <cell r="G58">
            <v>92939.833498498105</v>
          </cell>
          <cell r="H58">
            <v>82374.042413788979</v>
          </cell>
          <cell r="I58">
            <v>69531.033691722172</v>
          </cell>
          <cell r="J58">
            <v>55435.243284345503</v>
          </cell>
          <cell r="K58">
            <v>43423.457339959976</v>
          </cell>
          <cell r="L58">
            <v>33614.89621364489</v>
          </cell>
          <cell r="M58">
            <v>24443.344571365193</v>
          </cell>
          <cell r="N58">
            <v>19212.791102006791</v>
          </cell>
        </row>
        <row r="59">
          <cell r="D59" t="str">
            <v>Coal</v>
          </cell>
          <cell r="F59">
            <v>119.92389404400001</v>
          </cell>
          <cell r="G59">
            <v>0</v>
          </cell>
          <cell r="H59">
            <v>0</v>
          </cell>
          <cell r="I59">
            <v>0</v>
          </cell>
          <cell r="J59">
            <v>0</v>
          </cell>
          <cell r="K59">
            <v>0</v>
          </cell>
          <cell r="L59">
            <v>0</v>
          </cell>
          <cell r="M59">
            <v>0</v>
          </cell>
          <cell r="N59">
            <v>0</v>
          </cell>
        </row>
        <row r="60">
          <cell r="D60" t="str">
            <v>Natural gas</v>
          </cell>
          <cell r="F60">
            <v>1628.971757496</v>
          </cell>
          <cell r="G60">
            <v>3187.4333286521528</v>
          </cell>
          <cell r="H60">
            <v>1919.6168380174647</v>
          </cell>
          <cell r="I60">
            <v>856.51410826144979</v>
          </cell>
          <cell r="J60">
            <v>197.41484841971189</v>
          </cell>
          <cell r="K60">
            <v>72.578632419305038</v>
          </cell>
          <cell r="L60">
            <v>41.861517649943103</v>
          </cell>
          <cell r="M60">
            <v>1.9491871706340016</v>
          </cell>
          <cell r="N60">
            <v>1.6068943390514651E-4</v>
          </cell>
        </row>
        <row r="61">
          <cell r="D61" t="str">
            <v>Electricity</v>
          </cell>
          <cell r="F61">
            <v>976.240091592</v>
          </cell>
          <cell r="G61">
            <v>3323.0832655602358</v>
          </cell>
          <cell r="H61">
            <v>5701.799654245031</v>
          </cell>
          <cell r="I61">
            <v>8995.61123508727</v>
          </cell>
          <cell r="J61">
            <v>13468.000189776831</v>
          </cell>
          <cell r="K61">
            <v>18970.418315915573</v>
          </cell>
          <cell r="L61">
            <v>25421.248232943497</v>
          </cell>
          <cell r="M61">
            <v>31919.861751491302</v>
          </cell>
          <cell r="N61">
            <v>37607.390568993294</v>
          </cell>
        </row>
        <row r="62">
          <cell r="D62" t="str">
            <v>Biomass</v>
          </cell>
          <cell r="F62">
            <v>3090.1167674280005</v>
          </cell>
          <cell r="G62">
            <v>7896.8933058712937</v>
          </cell>
          <cell r="H62">
            <v>10765.303883310982</v>
          </cell>
          <cell r="I62">
            <v>14114.224924911323</v>
          </cell>
          <cell r="J62">
            <v>17660.517997039293</v>
          </cell>
          <cell r="K62">
            <v>20893.348096090085</v>
          </cell>
          <cell r="L62">
            <v>22095.507836935361</v>
          </cell>
          <cell r="M62">
            <v>23604.656086262214</v>
          </cell>
          <cell r="N62">
            <v>23814.085688447663</v>
          </cell>
        </row>
        <row r="63">
          <cell r="D63" t="str">
            <v>Hydrogen</v>
          </cell>
          <cell r="F63">
            <v>0</v>
          </cell>
          <cell r="G63">
            <v>66.552014436706088</v>
          </cell>
          <cell r="H63">
            <v>151.65413499956802</v>
          </cell>
          <cell r="I63">
            <v>254.91818577440949</v>
          </cell>
          <cell r="J63">
            <v>364.85480396439903</v>
          </cell>
          <cell r="K63">
            <v>497.69521862416963</v>
          </cell>
          <cell r="L63">
            <v>639.51289027828591</v>
          </cell>
          <cell r="M63">
            <v>760.33197528412927</v>
          </cell>
          <cell r="N63">
            <v>851.69649528042407</v>
          </cell>
        </row>
        <row r="64">
          <cell r="D64" t="str">
            <v>Total</v>
          </cell>
          <cell r="F64">
            <v>107386.2377883</v>
          </cell>
          <cell r="G64">
            <v>107413.79541301851</v>
          </cell>
          <cell r="H64">
            <v>100912.41692436203</v>
          </cell>
          <cell r="I64">
            <v>93752.302145756621</v>
          </cell>
          <cell r="J64">
            <v>87126.031123545734</v>
          </cell>
          <cell r="K64">
            <v>83857.497603009106</v>
          </cell>
          <cell r="L64">
            <v>81813.026691451974</v>
          </cell>
          <cell r="M64">
            <v>80730.14357157347</v>
          </cell>
          <cell r="N64">
            <v>81485.964015417616</v>
          </cell>
        </row>
        <row r="66">
          <cell r="D66" t="str">
            <v>Final energy demand residential sector (PJ)</v>
          </cell>
        </row>
        <row r="67">
          <cell r="D67" t="str">
            <v>Oil</v>
          </cell>
          <cell r="F67">
            <v>8669.9752402680024</v>
          </cell>
          <cell r="G67">
            <v>6142.1242543553017</v>
          </cell>
          <cell r="H67">
            <v>3560.7443280501689</v>
          </cell>
          <cell r="I67">
            <v>2068.4273443579459</v>
          </cell>
          <cell r="J67">
            <v>1349.6458748766017</v>
          </cell>
          <cell r="K67">
            <v>1028.0840677425122</v>
          </cell>
          <cell r="L67">
            <v>803.79580718529371</v>
          </cell>
          <cell r="M67">
            <v>573.34355996269755</v>
          </cell>
          <cell r="N67">
            <v>382.41753456187701</v>
          </cell>
        </row>
        <row r="68">
          <cell r="D68" t="str">
            <v>Coal</v>
          </cell>
          <cell r="F68">
            <v>4603.1949282959986</v>
          </cell>
          <cell r="G68">
            <v>1657.533878626449</v>
          </cell>
          <cell r="H68">
            <v>768.18791277034006</v>
          </cell>
          <cell r="I68">
            <v>359.19808597177564</v>
          </cell>
          <cell r="J68">
            <v>172.55468418772247</v>
          </cell>
          <cell r="K68">
            <v>111.31532732592225</v>
          </cell>
          <cell r="L68">
            <v>61.811917064687648</v>
          </cell>
          <cell r="M68">
            <v>33.065313972374852</v>
          </cell>
          <cell r="N68">
            <v>24.079621212623248</v>
          </cell>
        </row>
        <row r="69">
          <cell r="D69" t="str">
            <v>Natural gas</v>
          </cell>
          <cell r="F69">
            <v>17570.527646724</v>
          </cell>
          <cell r="G69">
            <v>16581.487326101189</v>
          </cell>
          <cell r="H69">
            <v>14527.596230317227</v>
          </cell>
          <cell r="I69">
            <v>11627.611908224164</v>
          </cell>
          <cell r="J69">
            <v>9355.2174440964391</v>
          </cell>
          <cell r="K69">
            <v>7388.3574400262405</v>
          </cell>
          <cell r="L69">
            <v>5530.196363558387</v>
          </cell>
          <cell r="M69">
            <v>4108.5150493254541</v>
          </cell>
          <cell r="N69">
            <v>3275.3532099115118</v>
          </cell>
        </row>
        <row r="70">
          <cell r="D70" t="str">
            <v>Electricity</v>
          </cell>
          <cell r="F70">
            <v>19355.351736312001</v>
          </cell>
          <cell r="G70">
            <v>26255.279729168549</v>
          </cell>
          <cell r="H70">
            <v>29753.106334502369</v>
          </cell>
          <cell r="I70">
            <v>33259.119387878854</v>
          </cell>
          <cell r="J70">
            <v>36499.286147439292</v>
          </cell>
          <cell r="K70">
            <v>39375.520960042333</v>
          </cell>
          <cell r="L70">
            <v>41890.313971833675</v>
          </cell>
          <cell r="M70">
            <v>44302.437471731901</v>
          </cell>
          <cell r="N70">
            <v>46758.144002297689</v>
          </cell>
        </row>
        <row r="71">
          <cell r="D71" t="str">
            <v>Heat</v>
          </cell>
          <cell r="F71">
            <v>4409.1315147960004</v>
          </cell>
          <cell r="G71">
            <v>5063.785702709728</v>
          </cell>
          <cell r="H71">
            <v>4896.3367536566593</v>
          </cell>
          <cell r="I71">
            <v>5052.9128712093097</v>
          </cell>
          <cell r="J71">
            <v>5074.8563522995537</v>
          </cell>
          <cell r="K71">
            <v>4984.5311132765273</v>
          </cell>
          <cell r="L71">
            <v>4884.5085460257196</v>
          </cell>
          <cell r="M71">
            <v>4712.7262836198879</v>
          </cell>
          <cell r="N71">
            <v>4503.2733411070858</v>
          </cell>
        </row>
        <row r="72">
          <cell r="D72" t="str">
            <v>Biomass and waste</v>
          </cell>
          <cell r="F72">
            <v>29546.776672080003</v>
          </cell>
          <cell r="G72">
            <v>31461.734941420462</v>
          </cell>
          <cell r="H72">
            <v>30395.251622345193</v>
          </cell>
          <cell r="I72">
            <v>28893.738751306257</v>
          </cell>
          <cell r="J72">
            <v>27075.884485307586</v>
          </cell>
          <cell r="K72">
            <v>24928.204641186781</v>
          </cell>
          <cell r="L72">
            <v>23228.934992192968</v>
          </cell>
          <cell r="M72">
            <v>21484.47354767401</v>
          </cell>
          <cell r="N72">
            <v>19244.773280368379</v>
          </cell>
        </row>
        <row r="73">
          <cell r="D73" t="str">
            <v>Hydrogen</v>
          </cell>
          <cell r="F73">
            <v>0</v>
          </cell>
          <cell r="G73">
            <v>0</v>
          </cell>
          <cell r="H73">
            <v>0</v>
          </cell>
          <cell r="I73">
            <v>0</v>
          </cell>
          <cell r="J73">
            <v>0</v>
          </cell>
          <cell r="K73">
            <v>0</v>
          </cell>
          <cell r="L73">
            <v>0</v>
          </cell>
          <cell r="M73">
            <v>0</v>
          </cell>
          <cell r="N73">
            <v>0</v>
          </cell>
        </row>
        <row r="74">
          <cell r="D74" t="str">
            <v>Other</v>
          </cell>
          <cell r="F74">
            <v>1134.314986464</v>
          </cell>
          <cell r="G74">
            <v>2525.4837905773607</v>
          </cell>
          <cell r="H74">
            <v>3574.6378811152681</v>
          </cell>
          <cell r="I74">
            <v>4465.5571233744095</v>
          </cell>
          <cell r="J74">
            <v>5102.3738093512029</v>
          </cell>
          <cell r="K74">
            <v>5651.7449411149564</v>
          </cell>
          <cell r="L74">
            <v>6169.9056262978011</v>
          </cell>
          <cell r="M74">
            <v>6633.9974610453191</v>
          </cell>
          <cell r="N74">
            <v>7049.2076387418692</v>
          </cell>
        </row>
        <row r="75">
          <cell r="D75" t="str">
            <v>Total</v>
          </cell>
          <cell r="F75">
            <v>85289.272724940005</v>
          </cell>
          <cell r="G75">
            <v>89687.42962295904</v>
          </cell>
          <cell r="H75">
            <v>87475.86106275722</v>
          </cell>
          <cell r="I75">
            <v>85726.56547232272</v>
          </cell>
          <cell r="J75">
            <v>84629.818797558401</v>
          </cell>
          <cell r="K75">
            <v>83467.758490715278</v>
          </cell>
          <cell r="L75">
            <v>82569.467224158536</v>
          </cell>
          <cell r="M75">
            <v>81848.558687331635</v>
          </cell>
          <cell r="N75">
            <v>81237.248628201036</v>
          </cell>
        </row>
        <row r="77">
          <cell r="D77" t="str">
            <v>Final energy demand services sector (PJ)</v>
          </cell>
        </row>
        <row r="78">
          <cell r="D78" t="str">
            <v>Oil</v>
          </cell>
          <cell r="F78">
            <v>4391.433492516001</v>
          </cell>
          <cell r="G78">
            <v>2121.2826458329155</v>
          </cell>
          <cell r="H78">
            <v>1125.723936174348</v>
          </cell>
          <cell r="I78">
            <v>880.22113112642739</v>
          </cell>
          <cell r="J78">
            <v>600.9326472673938</v>
          </cell>
          <cell r="K78">
            <v>330.15116084814088</v>
          </cell>
          <cell r="L78">
            <v>52.472473432522143</v>
          </cell>
          <cell r="M78">
            <v>38.671515992761485</v>
          </cell>
          <cell r="N78">
            <v>26.700775332842738</v>
          </cell>
        </row>
        <row r="79">
          <cell r="D79" t="str">
            <v>Coal</v>
          </cell>
          <cell r="F79">
            <v>2827.4384008080001</v>
          </cell>
          <cell r="G79">
            <v>1062.3008854097923</v>
          </cell>
          <cell r="H79">
            <v>510.14862926809593</v>
          </cell>
          <cell r="I79">
            <v>343.40024284904734</v>
          </cell>
          <cell r="J79">
            <v>163.35771355588221</v>
          </cell>
          <cell r="K79">
            <v>80.221695899015387</v>
          </cell>
          <cell r="L79">
            <v>0</v>
          </cell>
          <cell r="M79">
            <v>0</v>
          </cell>
          <cell r="N79">
            <v>0</v>
          </cell>
        </row>
        <row r="80">
          <cell r="D80" t="str">
            <v>Natural gas</v>
          </cell>
          <cell r="F80">
            <v>7745.9685350400005</v>
          </cell>
          <cell r="G80">
            <v>5569.7324791725314</v>
          </cell>
          <cell r="H80">
            <v>4553.1245712943537</v>
          </cell>
          <cell r="I80">
            <v>4052.6665589945078</v>
          </cell>
          <cell r="J80">
            <v>3471.4382876745876</v>
          </cell>
          <cell r="K80">
            <v>2896.8676042701768</v>
          </cell>
          <cell r="L80">
            <v>2283.6977129189472</v>
          </cell>
          <cell r="M80">
            <v>2042.9091618049777</v>
          </cell>
          <cell r="N80">
            <v>1805.7650799050241</v>
          </cell>
        </row>
        <row r="81">
          <cell r="D81" t="str">
            <v>Electricity</v>
          </cell>
          <cell r="F81">
            <v>19010.746987464005</v>
          </cell>
          <cell r="G81">
            <v>19984.682156372055</v>
          </cell>
          <cell r="H81">
            <v>20613.557593371843</v>
          </cell>
          <cell r="I81">
            <v>21436.631918460633</v>
          </cell>
          <cell r="J81">
            <v>22036.409493120856</v>
          </cell>
          <cell r="K81">
            <v>22432.591723770274</v>
          </cell>
          <cell r="L81">
            <v>22640.446108941025</v>
          </cell>
          <cell r="M81">
            <v>23122.176646764692</v>
          </cell>
          <cell r="N81">
            <v>23369.794062290537</v>
          </cell>
        </row>
        <row r="82">
          <cell r="D82" t="str">
            <v>Heat</v>
          </cell>
          <cell r="F82">
            <v>1770.9367251960002</v>
          </cell>
          <cell r="G82">
            <v>1751.557803868337</v>
          </cell>
          <cell r="H82">
            <v>1835.5851097093469</v>
          </cell>
          <cell r="I82">
            <v>1885.8801798309364</v>
          </cell>
          <cell r="J82">
            <v>1912.4539100521308</v>
          </cell>
          <cell r="K82">
            <v>1914.7629733234173</v>
          </cell>
          <cell r="L82">
            <v>1890.5816026581826</v>
          </cell>
          <cell r="M82">
            <v>1822.4658162513313</v>
          </cell>
          <cell r="N82">
            <v>1744.4044353077929</v>
          </cell>
        </row>
        <row r="83">
          <cell r="D83" t="str">
            <v>Biomass and waste</v>
          </cell>
          <cell r="F83">
            <v>1036.5383014560002</v>
          </cell>
          <cell r="G83">
            <v>1379.8826243229241</v>
          </cell>
          <cell r="H83">
            <v>1605.3178507247676</v>
          </cell>
          <cell r="I83">
            <v>1829.1728190267004</v>
          </cell>
          <cell r="J83">
            <v>2019.7642568529027</v>
          </cell>
          <cell r="K83">
            <v>2176.0447435784013</v>
          </cell>
          <cell r="L83">
            <v>2294.5265594939369</v>
          </cell>
          <cell r="M83">
            <v>2254.4299830012828</v>
          </cell>
          <cell r="N83">
            <v>2196.8524106989244</v>
          </cell>
        </row>
        <row r="84">
          <cell r="D84" t="str">
            <v>Hydrogen</v>
          </cell>
          <cell r="F84">
            <v>0</v>
          </cell>
          <cell r="G84">
            <v>0</v>
          </cell>
          <cell r="H84">
            <v>0</v>
          </cell>
          <cell r="I84">
            <v>0</v>
          </cell>
          <cell r="J84">
            <v>0</v>
          </cell>
          <cell r="K84">
            <v>0</v>
          </cell>
          <cell r="L84">
            <v>0</v>
          </cell>
          <cell r="M84">
            <v>0</v>
          </cell>
          <cell r="N84">
            <v>0</v>
          </cell>
        </row>
        <row r="85">
          <cell r="D85" t="str">
            <v>Other</v>
          </cell>
          <cell r="F85">
            <v>307.65192552000002</v>
          </cell>
          <cell r="G85">
            <v>1004.651326237687</v>
          </cell>
          <cell r="H85">
            <v>1420.9223925704694</v>
          </cell>
          <cell r="I85">
            <v>1821.2930205575758</v>
          </cell>
          <cell r="J85">
            <v>2238.1671772830869</v>
          </cell>
          <cell r="K85">
            <v>2609.731216769047</v>
          </cell>
          <cell r="L85">
            <v>2978.5665722726067</v>
          </cell>
          <cell r="M85">
            <v>3349.6526871498618</v>
          </cell>
          <cell r="N85">
            <v>3711.9120026654732</v>
          </cell>
        </row>
        <row r="86">
          <cell r="D86" t="str">
            <v>Total</v>
          </cell>
          <cell r="F86">
            <v>37090.714368000001</v>
          </cell>
          <cell r="G86">
            <v>32874.08992121624</v>
          </cell>
          <cell r="H86">
            <v>31664.380083113225</v>
          </cell>
          <cell r="I86">
            <v>32249.265870845826</v>
          </cell>
          <cell r="J86">
            <v>32442.523485806843</v>
          </cell>
          <cell r="K86">
            <v>32440.371118458472</v>
          </cell>
          <cell r="L86">
            <v>32140.29102971722</v>
          </cell>
          <cell r="M86">
            <v>32630.305810964903</v>
          </cell>
          <cell r="N86">
            <v>32855.428766200595</v>
          </cell>
        </row>
        <row r="88">
          <cell r="D88" t="str">
            <v>Final energy demand agriculture, fisheries and forestry sector (PJ)</v>
          </cell>
        </row>
        <row r="89">
          <cell r="D89" t="str">
            <v>Oil</v>
          </cell>
          <cell r="F89">
            <v>4720.1042426040003</v>
          </cell>
          <cell r="G89">
            <v>4436.8468328880008</v>
          </cell>
          <cell r="H89">
            <v>3940.6926947040001</v>
          </cell>
          <cell r="I89">
            <v>3382.0876615680008</v>
          </cell>
          <cell r="J89">
            <v>2771.4815676000007</v>
          </cell>
          <cell r="K89">
            <v>2160.4652509680004</v>
          </cell>
          <cell r="L89">
            <v>1565.7069611844004</v>
          </cell>
          <cell r="M89">
            <v>1174.2802208883002</v>
          </cell>
          <cell r="N89">
            <v>782.85348059220007</v>
          </cell>
        </row>
        <row r="90">
          <cell r="D90" t="str">
            <v>Coal</v>
          </cell>
          <cell r="F90">
            <v>635.39940247200002</v>
          </cell>
          <cell r="G90">
            <v>666.35830222455593</v>
          </cell>
          <cell r="H90">
            <v>495.66481434946803</v>
          </cell>
          <cell r="I90">
            <v>341.64318685057196</v>
          </cell>
          <cell r="J90">
            <v>205.25862781080005</v>
          </cell>
          <cell r="K90">
            <v>91.7930821068</v>
          </cell>
          <cell r="L90">
            <v>0</v>
          </cell>
          <cell r="M90">
            <v>0</v>
          </cell>
          <cell r="N90">
            <v>0</v>
          </cell>
        </row>
        <row r="91">
          <cell r="D91" t="str">
            <v>Natural gas</v>
          </cell>
          <cell r="F91">
            <v>365.92020727199997</v>
          </cell>
          <cell r="G91">
            <v>318.85149951633241</v>
          </cell>
          <cell r="H91">
            <v>257.95953800701454</v>
          </cell>
          <cell r="I91">
            <v>196.66051892470583</v>
          </cell>
          <cell r="J91">
            <v>137.23685674668002</v>
          </cell>
          <cell r="K91">
            <v>93.000273141150004</v>
          </cell>
          <cell r="L91">
            <v>55.2512820456</v>
          </cell>
          <cell r="M91">
            <v>1</v>
          </cell>
          <cell r="N91">
            <v>0</v>
          </cell>
        </row>
        <row r="92">
          <cell r="D92" t="str">
            <v>Electricity</v>
          </cell>
          <cell r="F92">
            <v>2027.1144149279999</v>
          </cell>
          <cell r="G92">
            <v>3142.5624664200004</v>
          </cell>
          <cell r="H92">
            <v>3526.1936248104007</v>
          </cell>
          <cell r="I92">
            <v>3824.2985452020002</v>
          </cell>
          <cell r="J92">
            <v>4055.8921910676013</v>
          </cell>
          <cell r="K92">
            <v>4199.3887278887996</v>
          </cell>
          <cell r="L92">
            <v>4253.0923509408003</v>
          </cell>
          <cell r="M92">
            <v>4313</v>
          </cell>
          <cell r="N92">
            <v>4273</v>
          </cell>
        </row>
        <row r="93">
          <cell r="D93" t="str">
            <v>Heat</v>
          </cell>
          <cell r="F93">
            <v>132.68760505200001</v>
          </cell>
          <cell r="G93">
            <v>124.34003564364002</v>
          </cell>
          <cell r="H93">
            <v>120.74043685571999</v>
          </cell>
          <cell r="I93">
            <v>114.9946655472</v>
          </cell>
          <cell r="J93">
            <v>107.57635849224002</v>
          </cell>
          <cell r="K93">
            <v>100.23412726800001</v>
          </cell>
          <cell r="L93">
            <v>93.743046525600008</v>
          </cell>
          <cell r="M93">
            <v>86</v>
          </cell>
          <cell r="N93">
            <v>79</v>
          </cell>
        </row>
        <row r="94">
          <cell r="D94" t="str">
            <v>Biomass and waste</v>
          </cell>
          <cell r="F94">
            <v>410.47537924800014</v>
          </cell>
          <cell r="G94">
            <v>763.45454611008006</v>
          </cell>
          <cell r="H94">
            <v>1018.8894363948</v>
          </cell>
          <cell r="I94">
            <v>1262.3342299668002</v>
          </cell>
          <cell r="J94">
            <v>1486.1793818195999</v>
          </cell>
          <cell r="K94">
            <v>1681.5961616724003</v>
          </cell>
          <cell r="L94">
            <v>1839.5669140812004</v>
          </cell>
          <cell r="M94">
            <v>2097</v>
          </cell>
          <cell r="N94">
            <v>2314</v>
          </cell>
        </row>
        <row r="95">
          <cell r="D95" t="str">
            <v>Hydrogen</v>
          </cell>
          <cell r="F95">
            <v>0</v>
          </cell>
          <cell r="G95">
            <v>0</v>
          </cell>
          <cell r="H95">
            <v>0</v>
          </cell>
          <cell r="I95">
            <v>0</v>
          </cell>
          <cell r="J95">
            <v>0</v>
          </cell>
          <cell r="K95">
            <v>0</v>
          </cell>
          <cell r="L95">
            <v>0</v>
          </cell>
          <cell r="M95">
            <v>0</v>
          </cell>
          <cell r="N95">
            <v>0</v>
          </cell>
        </row>
        <row r="96">
          <cell r="D96" t="str">
            <v>Other</v>
          </cell>
          <cell r="F96">
            <v>55.297328472000004</v>
          </cell>
          <cell r="G96">
            <v>239.71578908594398</v>
          </cell>
          <cell r="H96">
            <v>377.93845833066007</v>
          </cell>
          <cell r="I96">
            <v>506.09376885600005</v>
          </cell>
          <cell r="J96">
            <v>620.24623404371994</v>
          </cell>
          <cell r="K96">
            <v>717.18883815348022</v>
          </cell>
          <cell r="L96">
            <v>792.76428179675997</v>
          </cell>
          <cell r="M96">
            <v>932</v>
          </cell>
          <cell r="N96">
            <v>1045</v>
          </cell>
        </row>
        <row r="97">
          <cell r="D97" t="str">
            <v>Total</v>
          </cell>
          <cell r="F97">
            <v>8346.998580047999</v>
          </cell>
          <cell r="G97">
            <v>9692.1294718885529</v>
          </cell>
          <cell r="H97">
            <v>9738.0790034520633</v>
          </cell>
          <cell r="I97">
            <v>9628.1125769152786</v>
          </cell>
          <cell r="J97">
            <v>9383.8712175806413</v>
          </cell>
          <cell r="K97">
            <v>9043.6664611986307</v>
          </cell>
          <cell r="L97">
            <v>8600.1248365743613</v>
          </cell>
          <cell r="M97">
            <v>8603.2802208883004</v>
          </cell>
          <cell r="N97">
            <v>8493.853480592199</v>
          </cell>
        </row>
        <row r="99">
          <cell r="D99" t="str">
            <v>Gross electricity generation (TWh)</v>
          </cell>
          <cell r="P99" t="str">
            <v>EJ/TWh</v>
          </cell>
          <cell r="Q99">
            <v>3.5999999999999999E-3</v>
          </cell>
        </row>
        <row r="100">
          <cell r="D100" t="str">
            <v>Oil</v>
          </cell>
          <cell r="F100">
            <v>1033.346</v>
          </cell>
          <cell r="G100">
            <v>579.23910981687584</v>
          </cell>
          <cell r="H100">
            <v>394.46039382198529</v>
          </cell>
          <cell r="I100">
            <v>299.49948055656614</v>
          </cell>
          <cell r="J100">
            <v>218.87477140453467</v>
          </cell>
          <cell r="K100">
            <v>161.20958143199837</v>
          </cell>
          <cell r="L100">
            <v>112.89470761102676</v>
          </cell>
          <cell r="M100">
            <v>89.661282161916432</v>
          </cell>
          <cell r="N100">
            <v>76.038103010096734</v>
          </cell>
        </row>
        <row r="101">
          <cell r="D101" t="str">
            <v>Secondary Energy|Electricity|Oil</v>
          </cell>
          <cell r="F101">
            <v>3.7200455999999997</v>
          </cell>
          <cell r="G101">
            <v>2.0852607953407531</v>
          </cell>
          <cell r="H101">
            <v>1.420057417759147</v>
          </cell>
          <cell r="I101">
            <v>1.0781981300036381</v>
          </cell>
          <cell r="J101">
            <v>0.78794917705632483</v>
          </cell>
          <cell r="K101">
            <v>0.58035449315519416</v>
          </cell>
          <cell r="L101">
            <v>0.40642094739969631</v>
          </cell>
          <cell r="M101">
            <v>0.32278061578289913</v>
          </cell>
          <cell r="N101">
            <v>0.27373717083634824</v>
          </cell>
        </row>
        <row r="102">
          <cell r="D102" t="str">
            <v>Coal</v>
          </cell>
          <cell r="F102">
            <v>9697.148000000001</v>
          </cell>
          <cell r="G102">
            <v>7135.0608147792636</v>
          </cell>
          <cell r="H102">
            <v>4682.2510021362314</v>
          </cell>
          <cell r="I102">
            <v>2192.3764701041514</v>
          </cell>
          <cell r="J102">
            <v>726.94099597121249</v>
          </cell>
          <cell r="K102">
            <v>52.590322029155764</v>
          </cell>
          <cell r="L102">
            <v>34.308213247593763</v>
          </cell>
          <cell r="M102">
            <v>22.632465232008084</v>
          </cell>
          <cell r="N102">
            <v>7.9112207293965513</v>
          </cell>
          <cell r="O102" t="str">
            <v>I think this should be labeled "Coal withut CCS"</v>
          </cell>
        </row>
        <row r="103">
          <cell r="D103" t="str">
            <v>SE coal</v>
          </cell>
          <cell r="F103">
            <v>34.9097328</v>
          </cell>
          <cell r="G103">
            <v>25.68621893320535</v>
          </cell>
          <cell r="H103">
            <v>16.856103607690432</v>
          </cell>
          <cell r="I103">
            <v>7.8925552923749445</v>
          </cell>
          <cell r="J103">
            <v>2.6169875854963647</v>
          </cell>
          <cell r="K103">
            <v>0.18932515930496074</v>
          </cell>
          <cell r="L103">
            <v>0.12350956769133754</v>
          </cell>
          <cell r="M103">
            <v>8.1476874835229099E-2</v>
          </cell>
          <cell r="N103">
            <v>2.8480394625827583E-2</v>
          </cell>
        </row>
        <row r="104">
          <cell r="D104" t="str">
            <v>Coal with CCS</v>
          </cell>
          <cell r="F104">
            <v>0</v>
          </cell>
          <cell r="G104">
            <v>50.633801957797303</v>
          </cell>
          <cell r="H104">
            <v>397.30460346705877</v>
          </cell>
          <cell r="I104">
            <v>1175.2295847883361</v>
          </cell>
          <cell r="J104">
            <v>2025.2955435347021</v>
          </cell>
          <cell r="K104">
            <v>2545.076601797864</v>
          </cell>
          <cell r="L104">
            <v>2273.339724235263</v>
          </cell>
          <cell r="M104">
            <v>1916.8679714573184</v>
          </cell>
          <cell r="N104">
            <v>1944.3346205481059</v>
          </cell>
        </row>
        <row r="105">
          <cell r="D105" t="str">
            <v>Secondary Energy|Electricity|Coal|w/ CCS</v>
          </cell>
          <cell r="F105">
            <v>0</v>
          </cell>
          <cell r="G105">
            <v>0.1822816870480703</v>
          </cell>
          <cell r="H105">
            <v>1.4302965724814116</v>
          </cell>
          <cell r="I105">
            <v>4.2308265052380101</v>
          </cell>
          <cell r="J105">
            <v>7.2910639567249271</v>
          </cell>
          <cell r="K105">
            <v>9.1622757664723107</v>
          </cell>
          <cell r="L105">
            <v>8.184023007246946</v>
          </cell>
          <cell r="M105">
            <v>6.9007246972463463</v>
          </cell>
          <cell r="N105">
            <v>6.9996046339731812</v>
          </cell>
        </row>
        <row r="106">
          <cell r="D106" t="str">
            <v>Secondary Energy|Electricity|Coal|w/o CCS</v>
          </cell>
          <cell r="F106">
            <v>34.9097328</v>
          </cell>
          <cell r="G106">
            <v>25.68621893320535</v>
          </cell>
          <cell r="H106">
            <v>16.856103607690432</v>
          </cell>
          <cell r="I106">
            <v>7.8925552923749445</v>
          </cell>
          <cell r="J106">
            <v>2.6169875854963647</v>
          </cell>
          <cell r="K106">
            <v>0.18932515930496074</v>
          </cell>
          <cell r="L106">
            <v>0.12350956769133754</v>
          </cell>
          <cell r="M106">
            <v>8.1476874835229099E-2</v>
          </cell>
          <cell r="N106">
            <v>2.8480394625827583E-2</v>
          </cell>
        </row>
        <row r="107">
          <cell r="D107" t="str">
            <v>Natural gas</v>
          </cell>
          <cell r="F107">
            <v>5154.8270000000002</v>
          </cell>
          <cell r="G107">
            <v>6669.0351096133854</v>
          </cell>
          <cell r="H107">
            <v>6596.4333296443137</v>
          </cell>
          <cell r="I107">
            <v>6148.1110101372833</v>
          </cell>
          <cell r="J107">
            <v>5094.9928274436725</v>
          </cell>
          <cell r="K107">
            <v>3521.0391452269255</v>
          </cell>
          <cell r="L107">
            <v>2570.4004182087033</v>
          </cell>
          <cell r="M107">
            <v>2348.3521302059944</v>
          </cell>
          <cell r="N107">
            <v>2066.5071781216016</v>
          </cell>
        </row>
        <row r="108">
          <cell r="D108" t="str">
            <v>Natural gas with CCS</v>
          </cell>
          <cell r="F108">
            <v>0</v>
          </cell>
          <cell r="G108">
            <v>4.1420488597211271</v>
          </cell>
          <cell r="H108">
            <v>111.39111777759055</v>
          </cell>
          <cell r="I108">
            <v>461.49042146475068</v>
          </cell>
          <cell r="J108">
            <v>778.63057172176775</v>
          </cell>
          <cell r="K108">
            <v>1343.6558516921477</v>
          </cell>
          <cell r="L108">
            <v>1548.5846864425976</v>
          </cell>
          <cell r="M108">
            <v>1683.2422157055023</v>
          </cell>
          <cell r="N108">
            <v>1437.0983668440606</v>
          </cell>
        </row>
        <row r="109">
          <cell r="D109" t="str">
            <v>Secondary Energy|Electricity|Gas|w/ CCS</v>
          </cell>
          <cell r="F109">
            <v>0</v>
          </cell>
          <cell r="G109">
            <v>1.4911375894996057E-2</v>
          </cell>
          <cell r="H109">
            <v>0.40100802399932595</v>
          </cell>
          <cell r="I109">
            <v>1.6613655172731023</v>
          </cell>
          <cell r="J109">
            <v>2.8030700581983639</v>
          </cell>
          <cell r="K109">
            <v>4.8371610660917321</v>
          </cell>
          <cell r="L109">
            <v>5.5749048711933513</v>
          </cell>
          <cell r="M109">
            <v>6.0596719765398079</v>
          </cell>
          <cell r="N109">
            <v>5.1735541206386184</v>
          </cell>
        </row>
        <row r="110">
          <cell r="D110" t="str">
            <v>Secondary Energy|Electricity|Gas|w/o CCS</v>
          </cell>
          <cell r="F110">
            <v>18.557377200000001</v>
          </cell>
          <cell r="G110">
            <v>24.008526394608186</v>
          </cell>
          <cell r="H110">
            <v>23.747159986719527</v>
          </cell>
          <cell r="I110">
            <v>22.133199636494219</v>
          </cell>
          <cell r="J110">
            <v>18.341974178797219</v>
          </cell>
          <cell r="K110">
            <v>12.675740922816932</v>
          </cell>
          <cell r="L110">
            <v>9.253441505551331</v>
          </cell>
          <cell r="M110">
            <v>8.4540676687415797</v>
          </cell>
          <cell r="N110">
            <v>7.4394258412377656</v>
          </cell>
        </row>
        <row r="111">
          <cell r="D111" t="str">
            <v>Nuclear</v>
          </cell>
          <cell r="F111">
            <v>2535.326</v>
          </cell>
          <cell r="G111">
            <v>3750.2082103196226</v>
          </cell>
          <cell r="H111">
            <v>4719.3746746021179</v>
          </cell>
          <cell r="I111">
            <v>5407.4653399235303</v>
          </cell>
          <cell r="J111">
            <v>6109.9452374085813</v>
          </cell>
          <cell r="K111">
            <v>6632.9058690538641</v>
          </cell>
          <cell r="L111">
            <v>6932.0796668110124</v>
          </cell>
          <cell r="M111">
            <v>7303.4239097660466</v>
          </cell>
          <cell r="N111">
            <v>7544.5015121423357</v>
          </cell>
        </row>
        <row r="112">
          <cell r="D112" t="str">
            <v>Secondary Energy|Electricity|Nuclear</v>
          </cell>
          <cell r="F112">
            <v>9.127173599999999</v>
          </cell>
          <cell r="G112">
            <v>13.500749557150641</v>
          </cell>
          <cell r="H112">
            <v>16.989748828567624</v>
          </cell>
          <cell r="I112">
            <v>19.46687522372471</v>
          </cell>
          <cell r="J112">
            <v>21.995802854670892</v>
          </cell>
          <cell r="K112">
            <v>23.878461128593909</v>
          </cell>
          <cell r="L112">
            <v>24.955486800519644</v>
          </cell>
          <cell r="M112">
            <v>26.292326075157767</v>
          </cell>
          <cell r="N112">
            <v>27.160205443712407</v>
          </cell>
        </row>
        <row r="113">
          <cell r="D113" t="str">
            <v>Biomass and waste</v>
          </cell>
          <cell r="F113">
            <v>495.94800000000004</v>
          </cell>
          <cell r="G113">
            <v>1341.3165054371525</v>
          </cell>
          <cell r="H113">
            <v>1836.1060590865332</v>
          </cell>
          <cell r="I113">
            <v>2323.0163754186906</v>
          </cell>
          <cell r="J113">
            <v>2575.3238915773322</v>
          </cell>
          <cell r="K113">
            <v>2826.887658782186</v>
          </cell>
          <cell r="L113">
            <v>2938.7902340545397</v>
          </cell>
          <cell r="M113">
            <v>2631.2218962384968</v>
          </cell>
          <cell r="N113">
            <v>2538.2663122134445</v>
          </cell>
        </row>
        <row r="114">
          <cell r="D114" t="str">
            <v>Biomass with CCS</v>
          </cell>
          <cell r="F114">
            <v>0</v>
          </cell>
          <cell r="G114">
            <v>3.7646867873302181</v>
          </cell>
          <cell r="H114">
            <v>19.862691233071295</v>
          </cell>
          <cell r="I114">
            <v>79.619330097195402</v>
          </cell>
          <cell r="J114">
            <v>180.84606229968946</v>
          </cell>
          <cell r="K114">
            <v>317.94889883418</v>
          </cell>
          <cell r="L114">
            <v>427.06672970860012</v>
          </cell>
          <cell r="M114">
            <v>658.3865264007261</v>
          </cell>
          <cell r="N114">
            <v>1030.2472504573657</v>
          </cell>
        </row>
        <row r="115">
          <cell r="D115" t="str">
            <v>Hydro (excl. pumped storage)</v>
          </cell>
          <cell r="F115">
            <v>3894.7080000000001</v>
          </cell>
          <cell r="G115">
            <v>5157.495122197256</v>
          </cell>
          <cell r="H115">
            <v>5691.457396244723</v>
          </cell>
          <cell r="I115">
            <v>6045.4950914211513</v>
          </cell>
          <cell r="J115">
            <v>6618.4871405593949</v>
          </cell>
          <cell r="K115">
            <v>7140.782885501385</v>
          </cell>
          <cell r="L115">
            <v>7619.3421636690573</v>
          </cell>
          <cell r="M115">
            <v>8076.3666032435867</v>
          </cell>
          <cell r="N115">
            <v>8512.4306404255731</v>
          </cell>
        </row>
        <row r="116">
          <cell r="D116" t="str">
            <v>Secondary Energy|Electricity|Hydro</v>
          </cell>
          <cell r="F116">
            <v>14.020948799999999</v>
          </cell>
          <cell r="G116">
            <v>18.56698243991012</v>
          </cell>
          <cell r="H116">
            <v>20.489246626481002</v>
          </cell>
          <cell r="I116">
            <v>21.763782329116143</v>
          </cell>
          <cell r="J116">
            <v>23.826553706013822</v>
          </cell>
          <cell r="K116">
            <v>25.706818387804987</v>
          </cell>
          <cell r="L116">
            <v>27.429631789208607</v>
          </cell>
          <cell r="M116">
            <v>29.07491977167691</v>
          </cell>
          <cell r="N116">
            <v>30.644750305532064</v>
          </cell>
        </row>
        <row r="117">
          <cell r="D117" t="str">
            <v>Geothermal</v>
          </cell>
          <cell r="F117">
            <v>77.376999999999995</v>
          </cell>
          <cell r="G117">
            <v>223.05875320662588</v>
          </cell>
          <cell r="H117">
            <v>336.32237681838785</v>
          </cell>
          <cell r="I117">
            <v>475.69327308601879</v>
          </cell>
          <cell r="J117">
            <v>618.95690086972763</v>
          </cell>
          <cell r="K117">
            <v>775.11938764904789</v>
          </cell>
          <cell r="L117">
            <v>931.46467698757056</v>
          </cell>
          <cell r="M117">
            <v>1081.0625674961591</v>
          </cell>
          <cell r="N117">
            <v>1229.2722341370356</v>
          </cell>
        </row>
        <row r="118">
          <cell r="D118" t="str">
            <v>Wind onshore</v>
          </cell>
          <cell r="F118">
            <v>692.12371787999996</v>
          </cell>
          <cell r="G118">
            <v>2483.8560216318983</v>
          </cell>
          <cell r="H118">
            <v>3841.5457435384405</v>
          </cell>
          <cell r="I118">
            <v>4833.7369228036123</v>
          </cell>
          <cell r="J118">
            <v>5430.7191696638347</v>
          </cell>
          <cell r="K118">
            <v>5885.6907653753569</v>
          </cell>
          <cell r="L118">
            <v>6485.5515795750653</v>
          </cell>
          <cell r="M118">
            <v>6973.8846717838951</v>
          </cell>
          <cell r="N118">
            <v>7457.5960710370937</v>
          </cell>
        </row>
        <row r="119">
          <cell r="D119" t="str">
            <v>Wind offshore</v>
          </cell>
          <cell r="F119">
            <v>25.169518119999996</v>
          </cell>
          <cell r="G119">
            <v>221.78177286445234</v>
          </cell>
          <cell r="H119">
            <v>472.94020459164329</v>
          </cell>
          <cell r="I119">
            <v>760.31550167874548</v>
          </cell>
          <cell r="J119">
            <v>1051.8477542134247</v>
          </cell>
          <cell r="K119">
            <v>1362.3921078008293</v>
          </cell>
          <cell r="L119">
            <v>1693.2494071042897</v>
          </cell>
          <cell r="M119">
            <v>2123.0893932382542</v>
          </cell>
          <cell r="N119">
            <v>2677.6979277746914</v>
          </cell>
        </row>
        <row r="120">
          <cell r="D120" t="str">
            <v>Solar PV</v>
          </cell>
          <cell r="F120">
            <v>189.68899999999999</v>
          </cell>
          <cell r="G120">
            <v>1139.8421198521276</v>
          </cell>
          <cell r="H120">
            <v>1757.250558802725</v>
          </cell>
          <cell r="I120">
            <v>2528.629660241289</v>
          </cell>
          <cell r="J120">
            <v>3254.3987602971297</v>
          </cell>
          <cell r="K120">
            <v>4402.7980218990251</v>
          </cell>
          <cell r="L120">
            <v>5549.8447806324975</v>
          </cell>
          <cell r="M120">
            <v>6885.3337773418525</v>
          </cell>
          <cell r="N120">
            <v>8736.1227520699904</v>
          </cell>
        </row>
        <row r="121">
          <cell r="D121" t="str">
            <v>Solar CSP</v>
          </cell>
          <cell r="F121">
            <v>8.49</v>
          </cell>
          <cell r="G121">
            <v>146.27896285739675</v>
          </cell>
          <cell r="H121">
            <v>563.24452495159539</v>
          </cell>
          <cell r="I121">
            <v>1100.1288217436768</v>
          </cell>
          <cell r="J121">
            <v>1571.8909763332242</v>
          </cell>
          <cell r="K121">
            <v>2194.5620341193521</v>
          </cell>
          <cell r="L121">
            <v>2951.1832081331636</v>
          </cell>
          <cell r="M121">
            <v>3651.3869047336452</v>
          </cell>
          <cell r="N121">
            <v>4527.3331589343761</v>
          </cell>
        </row>
        <row r="122">
          <cell r="D122" t="str">
            <v>Ocean</v>
          </cell>
          <cell r="F122">
            <v>0.999</v>
          </cell>
          <cell r="G122">
            <v>7.2969497548049507</v>
          </cell>
          <cell r="H122">
            <v>20.77435565001446</v>
          </cell>
          <cell r="I122">
            <v>58.490591924727973</v>
          </cell>
          <cell r="J122">
            <v>120.61265649120239</v>
          </cell>
          <cell r="K122">
            <v>258.40037088678747</v>
          </cell>
          <cell r="L122">
            <v>477.78923320502986</v>
          </cell>
          <cell r="M122">
            <v>707.19141589145852</v>
          </cell>
          <cell r="N122">
            <v>876.31873169159667</v>
          </cell>
        </row>
        <row r="123">
          <cell r="D123" t="str">
            <v>Other</v>
          </cell>
          <cell r="F123">
            <v>13.747999999999999</v>
          </cell>
          <cell r="G123">
            <v>0</v>
          </cell>
          <cell r="H123">
            <v>0</v>
          </cell>
          <cell r="I123">
            <v>0</v>
          </cell>
          <cell r="J123">
            <v>0</v>
          </cell>
          <cell r="K123">
            <v>0</v>
          </cell>
          <cell r="L123">
            <v>0</v>
          </cell>
          <cell r="M123">
            <v>0</v>
          </cell>
          <cell r="N123">
            <v>0</v>
          </cell>
        </row>
        <row r="124">
          <cell r="F124">
            <v>4888.5562360000004</v>
          </cell>
          <cell r="G124">
            <v>9379.6097023645634</v>
          </cell>
          <cell r="H124">
            <v>12683.535160597528</v>
          </cell>
          <cell r="I124">
            <v>15802.489862899223</v>
          </cell>
          <cell r="J124">
            <v>18666.913358427933</v>
          </cell>
          <cell r="K124">
            <v>22019.745573231783</v>
          </cell>
          <cell r="L124">
            <v>25708.425049306672</v>
          </cell>
          <cell r="M124">
            <v>29498.315333728853</v>
          </cell>
          <cell r="N124">
            <v>34016.771516070352</v>
          </cell>
        </row>
        <row r="125">
          <cell r="D125" t="str">
            <v>Secondary Energy|Electricity|Non-Biomass Renewables</v>
          </cell>
          <cell r="F125">
            <v>17.598802449600001</v>
          </cell>
          <cell r="G125">
            <v>33.766594928512426</v>
          </cell>
          <cell r="H125">
            <v>45.660726578151099</v>
          </cell>
          <cell r="I125">
            <v>56.8889635064372</v>
          </cell>
          <cell r="J125">
            <v>67.200888090340555</v>
          </cell>
          <cell r="K125">
            <v>79.271084063634419</v>
          </cell>
          <cell r="L125">
            <v>92.550330177504023</v>
          </cell>
          <cell r="M125">
            <v>106.19393520142387</v>
          </cell>
          <cell r="N125">
            <v>122.46037745785327</v>
          </cell>
        </row>
        <row r="126">
          <cell r="D126" t="str">
            <v>Total</v>
          </cell>
          <cell r="F126">
            <v>23818.899236000001</v>
          </cell>
          <cell r="G126">
            <v>28913.009989935708</v>
          </cell>
          <cell r="H126">
            <v>31440.719032366433</v>
          </cell>
          <cell r="I126">
            <v>33889.297875389719</v>
          </cell>
          <cell r="J126">
            <v>36377.763259789434</v>
          </cell>
          <cell r="K126">
            <v>39421.059502080105</v>
          </cell>
          <cell r="L126">
            <v>42545.889429626019</v>
          </cell>
          <cell r="M126">
            <v>46152.103730896866</v>
          </cell>
          <cell r="N126">
            <v>50661.676080136771</v>
          </cell>
        </row>
        <row r="127">
          <cell r="D127" t="str">
            <v>Secondary Energy|Electricity</v>
          </cell>
          <cell r="F127">
            <v>85.748037249600003</v>
          </cell>
          <cell r="G127">
            <v>104.08683596376855</v>
          </cell>
          <cell r="H127">
            <v>113.18658851651915</v>
          </cell>
          <cell r="I127">
            <v>122.00147235140298</v>
          </cell>
          <cell r="J127">
            <v>130.95994773524197</v>
          </cell>
          <cell r="K127">
            <v>141.91581420748838</v>
          </cell>
          <cell r="L127">
            <v>153.16520194665367</v>
          </cell>
          <cell r="M127">
            <v>166.14757343122872</v>
          </cell>
          <cell r="N127">
            <v>182.38203388849237</v>
          </cell>
        </row>
        <row r="128">
          <cell r="D128" t="str">
            <v>Gross electricity capacity (GW)</v>
          </cell>
        </row>
        <row r="129">
          <cell r="D129" t="str">
            <v>Oil</v>
          </cell>
          <cell r="F129">
            <v>442.34508278658268</v>
          </cell>
          <cell r="G129">
            <v>411.14520964027207</v>
          </cell>
          <cell r="H129">
            <v>331.02827878410483</v>
          </cell>
          <cell r="I129">
            <v>268.96965329296444</v>
          </cell>
          <cell r="J129">
            <v>213.56470202353984</v>
          </cell>
          <cell r="K129">
            <v>190.03840641082587</v>
          </cell>
          <cell r="L129">
            <v>182.1913170976384</v>
          </cell>
          <cell r="M129">
            <v>152.63290019485376</v>
          </cell>
          <cell r="N129">
            <v>160.94156421877361</v>
          </cell>
        </row>
        <row r="130">
          <cell r="D130" t="str">
            <v>Coal</v>
          </cell>
          <cell r="F130">
            <v>1760.3680667874487</v>
          </cell>
          <cell r="G130">
            <v>1732.8839863861322</v>
          </cell>
          <cell r="H130">
            <v>1391.7185375682607</v>
          </cell>
          <cell r="I130">
            <v>792.67047797498844</v>
          </cell>
          <cell r="J130">
            <v>393.32514395902331</v>
          </cell>
          <cell r="K130">
            <v>136.36691304310267</v>
          </cell>
          <cell r="L130">
            <v>111.88398436425018</v>
          </cell>
          <cell r="M130">
            <v>89.969241210995634</v>
          </cell>
          <cell r="N130">
            <v>21.716469080241009</v>
          </cell>
        </row>
        <row r="131">
          <cell r="D131" t="str">
            <v>Coal with CCS</v>
          </cell>
          <cell r="F131">
            <v>0</v>
          </cell>
          <cell r="G131">
            <v>5.8037707251626749</v>
          </cell>
          <cell r="H131">
            <v>42.307733443615199</v>
          </cell>
          <cell r="I131">
            <v>137.12237673639899</v>
          </cell>
          <cell r="J131">
            <v>266.66270406879693</v>
          </cell>
          <cell r="K131">
            <v>345.99520366438639</v>
          </cell>
          <cell r="L131">
            <v>283.90468885114706</v>
          </cell>
          <cell r="M131">
            <v>241.0643582102245</v>
          </cell>
          <cell r="N131">
            <v>263.79436387210882</v>
          </cell>
        </row>
        <row r="132">
          <cell r="D132" t="str">
            <v>Natural gas</v>
          </cell>
          <cell r="F132">
            <v>1638.6833129472773</v>
          </cell>
          <cell r="G132">
            <v>1986.8982877647538</v>
          </cell>
          <cell r="H132">
            <v>2004.0463369479228</v>
          </cell>
          <cell r="I132">
            <v>1929.1321870077982</v>
          </cell>
          <cell r="J132">
            <v>1784.9965311941819</v>
          </cell>
          <cell r="K132">
            <v>1817.7308914488913</v>
          </cell>
          <cell r="L132">
            <v>1632.518596584137</v>
          </cell>
          <cell r="M132">
            <v>1199.109387832076</v>
          </cell>
          <cell r="N132">
            <v>1250.7570811058636</v>
          </cell>
        </row>
        <row r="133">
          <cell r="D133" t="str">
            <v>Natural gas with CCS</v>
          </cell>
          <cell r="F133">
            <v>0</v>
          </cell>
          <cell r="G133">
            <v>1.7701245852722651</v>
          </cell>
          <cell r="H133">
            <v>21.700085846574652</v>
          </cell>
          <cell r="I133">
            <v>72.486296742580237</v>
          </cell>
          <cell r="J133">
            <v>145.73235723367094</v>
          </cell>
          <cell r="K133">
            <v>224.63400497370054</v>
          </cell>
          <cell r="L133">
            <v>285.93236709488298</v>
          </cell>
          <cell r="M133">
            <v>334.32082812928832</v>
          </cell>
          <cell r="N133">
            <v>383.0136954130399</v>
          </cell>
        </row>
        <row r="134">
          <cell r="D134" t="str">
            <v>Nuclear</v>
          </cell>
          <cell r="F134">
            <v>398.27599999996119</v>
          </cell>
          <cell r="G134">
            <v>535.7415229625002</v>
          </cell>
          <cell r="H134">
            <v>655.77058377660831</v>
          </cell>
          <cell r="I134">
            <v>750.25765723057623</v>
          </cell>
          <cell r="J134">
            <v>841.27880379851717</v>
          </cell>
          <cell r="K134">
            <v>912.12714804933876</v>
          </cell>
          <cell r="L134">
            <v>965.18721530781954</v>
          </cell>
          <cell r="M134">
            <v>1018.8308866427565</v>
          </cell>
          <cell r="N134">
            <v>1062.3414195615587</v>
          </cell>
        </row>
        <row r="135">
          <cell r="D135" t="str">
            <v>Biomass and waste</v>
          </cell>
          <cell r="F135">
            <v>130.90315065412221</v>
          </cell>
          <cell r="G135">
            <v>339.88436781678109</v>
          </cell>
          <cell r="H135">
            <v>407.94020208538598</v>
          </cell>
          <cell r="I135">
            <v>534.18832695305287</v>
          </cell>
          <cell r="J135">
            <v>707.31303378636301</v>
          </cell>
          <cell r="K135">
            <v>940.52164430883943</v>
          </cell>
          <cell r="L135">
            <v>1126.4947325418148</v>
          </cell>
          <cell r="M135">
            <v>1329.9973718599138</v>
          </cell>
          <cell r="N135">
            <v>1512.0323248176342</v>
          </cell>
        </row>
        <row r="136">
          <cell r="D136" t="str">
            <v>Biomass with CCS</v>
          </cell>
          <cell r="F136">
            <v>0</v>
          </cell>
          <cell r="G136">
            <v>0.62264256674459195</v>
          </cell>
          <cell r="H136">
            <v>1.7351723192051325</v>
          </cell>
          <cell r="I136">
            <v>9.3802299787015944</v>
          </cell>
          <cell r="J136">
            <v>33.990951744409692</v>
          </cell>
          <cell r="K136">
            <v>99.675024209872902</v>
          </cell>
          <cell r="L136">
            <v>162.22484843324102</v>
          </cell>
          <cell r="M136">
            <v>227.88012931173137</v>
          </cell>
          <cell r="N136">
            <v>306.93643643130338</v>
          </cell>
        </row>
        <row r="137">
          <cell r="D137" t="str">
            <v>Hydro (excl. pumped storage)</v>
          </cell>
          <cell r="F137">
            <v>1044.0240328563759</v>
          </cell>
          <cell r="G137">
            <v>1414.4699686343704</v>
          </cell>
          <cell r="H137">
            <v>1576.5783991066323</v>
          </cell>
          <cell r="I137">
            <v>1690.2813099302648</v>
          </cell>
          <cell r="J137">
            <v>1863.3158178265594</v>
          </cell>
          <cell r="K137">
            <v>2030.9344822948644</v>
          </cell>
          <cell r="L137">
            <v>2193.1921598591589</v>
          </cell>
          <cell r="M137">
            <v>2372.0858944870211</v>
          </cell>
          <cell r="N137">
            <v>2607.3858274329127</v>
          </cell>
        </row>
        <row r="138">
          <cell r="D138" t="str">
            <v>Geothermal</v>
          </cell>
          <cell r="F138">
            <v>12.308314743538201</v>
          </cell>
          <cell r="G138">
            <v>34.67982901181125</v>
          </cell>
          <cell r="H138">
            <v>50.32522711431087</v>
          </cell>
          <cell r="I138">
            <v>69.704243160839894</v>
          </cell>
          <cell r="J138">
            <v>90.944845927328146</v>
          </cell>
          <cell r="K138">
            <v>121.30262588940374</v>
          </cell>
          <cell r="L138">
            <v>145.1760884609233</v>
          </cell>
          <cell r="M138">
            <v>170.25314778850594</v>
          </cell>
          <cell r="N138">
            <v>212.8844884413989</v>
          </cell>
        </row>
        <row r="139">
          <cell r="D139" t="str">
            <v>Wind onshore</v>
          </cell>
          <cell r="F139">
            <v>340.80495537458751</v>
          </cell>
          <cell r="G139">
            <v>1155.1114527496584</v>
          </cell>
          <cell r="H139">
            <v>1659.7192613891732</v>
          </cell>
          <cell r="I139">
            <v>2073.0673310436641</v>
          </cell>
          <cell r="J139">
            <v>2426.3844278391516</v>
          </cell>
          <cell r="K139">
            <v>2687.9427020035037</v>
          </cell>
          <cell r="L139">
            <v>3036.8571260878175</v>
          </cell>
          <cell r="M139">
            <v>3275.2988181691894</v>
          </cell>
          <cell r="N139">
            <v>3477.0564194873409</v>
          </cell>
        </row>
        <row r="140">
          <cell r="D140" t="str">
            <v>Wind offshore</v>
          </cell>
          <cell r="F140">
            <v>8.7631800000000002</v>
          </cell>
          <cell r="G140">
            <v>62.39119618010043</v>
          </cell>
          <cell r="H140">
            <v>121.52503904078114</v>
          </cell>
          <cell r="I140">
            <v>193.44893121370706</v>
          </cell>
          <cell r="J140">
            <v>267.30382937040144</v>
          </cell>
          <cell r="K140">
            <v>341.99749719722951</v>
          </cell>
          <cell r="L140">
            <v>436.82448975406021</v>
          </cell>
          <cell r="M140">
            <v>555.86988063487161</v>
          </cell>
          <cell r="N140">
            <v>690.1809148467122</v>
          </cell>
        </row>
        <row r="141">
          <cell r="D141" t="str">
            <v>Solar PV</v>
          </cell>
          <cell r="F141">
            <v>177.99678700200658</v>
          </cell>
          <cell r="G141">
            <v>752.95093805125327</v>
          </cell>
          <cell r="H141">
            <v>1162.33799605746</v>
          </cell>
          <cell r="I141">
            <v>1771.2562459937669</v>
          </cell>
          <cell r="J141">
            <v>2540.3906783841362</v>
          </cell>
          <cell r="K141">
            <v>3480.7180174474261</v>
          </cell>
          <cell r="L141">
            <v>4424.1306688407958</v>
          </cell>
          <cell r="M141">
            <v>5550.1550504998295</v>
          </cell>
          <cell r="N141">
            <v>6697.0570240831321</v>
          </cell>
        </row>
        <row r="142">
          <cell r="D142" t="str">
            <v>Solar CSP</v>
          </cell>
          <cell r="F142">
            <v>7.4322450585597988</v>
          </cell>
          <cell r="G142">
            <v>96.426160413322577</v>
          </cell>
          <cell r="H142">
            <v>203.11129953948691</v>
          </cell>
          <cell r="I142">
            <v>373.04736991259136</v>
          </cell>
          <cell r="J142">
            <v>565.14171815073132</v>
          </cell>
          <cell r="K142">
            <v>745.80572226564232</v>
          </cell>
          <cell r="L142">
            <v>939.15719961818252</v>
          </cell>
          <cell r="M142">
            <v>1128.4563333754509</v>
          </cell>
          <cell r="N142">
            <v>1276.7891871589641</v>
          </cell>
        </row>
        <row r="143">
          <cell r="D143" t="str">
            <v>Ocean</v>
          </cell>
          <cell r="F143">
            <v>0.53652000000000011</v>
          </cell>
          <cell r="G143">
            <v>2.5168314907359264</v>
          </cell>
          <cell r="H143">
            <v>6.9099857107981491</v>
          </cell>
          <cell r="I143">
            <v>19.381115844225388</v>
          </cell>
          <cell r="J143">
            <v>42.391867599642559</v>
          </cell>
          <cell r="K143">
            <v>92.237369937229573</v>
          </cell>
          <cell r="L143">
            <v>181.58086918544387</v>
          </cell>
          <cell r="M143">
            <v>269.89954753962672</v>
          </cell>
          <cell r="N143">
            <v>335.29781962298489</v>
          </cell>
        </row>
        <row r="144">
          <cell r="D144" t="str">
            <v>Other</v>
          </cell>
          <cell r="F144">
            <v>0</v>
          </cell>
          <cell r="G144">
            <v>0</v>
          </cell>
          <cell r="H144">
            <v>0</v>
          </cell>
          <cell r="I144">
            <v>0</v>
          </cell>
          <cell r="J144">
            <v>0</v>
          </cell>
          <cell r="K144">
            <v>0</v>
          </cell>
          <cell r="L144">
            <v>0</v>
          </cell>
          <cell r="M144">
            <v>0</v>
          </cell>
          <cell r="N144">
            <v>0</v>
          </cell>
        </row>
        <row r="145">
          <cell r="D145" t="str">
            <v>Total</v>
          </cell>
          <cell r="F145">
            <v>5962.4416482104598</v>
          </cell>
          <cell r="G145">
            <v>8533.2962889788705</v>
          </cell>
          <cell r="H145">
            <v>9636.754138730319</v>
          </cell>
          <cell r="I145">
            <v>10684.39375301612</v>
          </cell>
          <cell r="J145">
            <v>12182.737412906454</v>
          </cell>
          <cell r="K145">
            <v>14168.027653144258</v>
          </cell>
          <cell r="L145">
            <v>16107.256352081315</v>
          </cell>
          <cell r="M145">
            <v>17915.823775886336</v>
          </cell>
          <cell r="N145">
            <v>20258.18503557397</v>
          </cell>
        </row>
        <row r="147">
          <cell r="D147" t="str">
            <v>Direct CO2 emissions (Mt CO2)</v>
          </cell>
          <cell r="P147" t="str">
            <v>Map to IIASA variables:</v>
          </cell>
        </row>
        <row r="148">
          <cell r="D148" t="str">
            <v>Emissions|CO2|Industrial Processes</v>
          </cell>
          <cell r="E148" t="str">
            <v>Industry</v>
          </cell>
          <cell r="F148">
            <v>8346.0621655155301</v>
          </cell>
          <cell r="G148">
            <v>8436.1835072435679</v>
          </cell>
          <cell r="H148">
            <v>7835.4009172855194</v>
          </cell>
          <cell r="I148">
            <v>7376.494978242552</v>
          </cell>
          <cell r="J148">
            <v>6852.0050444156677</v>
          </cell>
          <cell r="K148">
            <v>6291.9744689157687</v>
          </cell>
          <cell r="L148">
            <v>5850.3151568187941</v>
          </cell>
          <cell r="M148">
            <v>5514.9821490394233</v>
          </cell>
          <cell r="N148">
            <v>5169.7448479966952</v>
          </cell>
          <cell r="P148" t="str">
            <v>industry</v>
          </cell>
        </row>
        <row r="149">
          <cell r="D149" t="str">
            <v>Emissions|CO2|AFOLU</v>
          </cell>
          <cell r="E149" t="str">
            <v>Buildings, agriculture, fishing, non-specified other</v>
          </cell>
          <cell r="F149">
            <v>3295.5354450000004</v>
          </cell>
          <cell r="G149">
            <v>2868.7970962709123</v>
          </cell>
          <cell r="H149">
            <v>2583.3215712740007</v>
          </cell>
          <cell r="I149">
            <v>2352.953400330437</v>
          </cell>
          <cell r="J149">
            <v>2159.6148742065479</v>
          </cell>
          <cell r="K149">
            <v>2000.5141807570817</v>
          </cell>
          <cell r="L149">
            <v>1819.8964982352622</v>
          </cell>
          <cell r="M149">
            <v>1661.2822284398512</v>
          </cell>
          <cell r="N149">
            <v>1505.0818706779341</v>
          </cell>
          <cell r="P149" t="str">
            <v>AFOLU</v>
          </cell>
        </row>
        <row r="150">
          <cell r="E150" t="str">
            <v>Transport</v>
          </cell>
          <cell r="F150">
            <v>7407.6321980000002</v>
          </cell>
          <cell r="G150">
            <v>7397.0099639641812</v>
          </cell>
          <cell r="H150">
            <v>6994.6862914937719</v>
          </cell>
          <cell r="I150">
            <v>6407.0468631873136</v>
          </cell>
          <cell r="J150">
            <v>5683.5618127760827</v>
          </cell>
          <cell r="K150">
            <v>4969.5450466787097</v>
          </cell>
          <cell r="L150">
            <v>4316.3469746936007</v>
          </cell>
          <cell r="M150">
            <v>3675.1900014106336</v>
          </cell>
          <cell r="N150">
            <v>3230.0121043704789</v>
          </cell>
          <cell r="P150" t="str">
            <v>energy</v>
          </cell>
        </row>
        <row r="151">
          <cell r="E151" t="str">
            <v>Power</v>
          </cell>
          <cell r="F151">
            <v>13625.004647</v>
          </cell>
          <cell r="G151">
            <v>10433.156381113333</v>
          </cell>
          <cell r="H151">
            <v>7709.9806262986931</v>
          </cell>
          <cell r="I151">
            <v>5112.9084769059173</v>
          </cell>
          <cell r="J151">
            <v>3542.3183813584469</v>
          </cell>
          <cell r="K151">
            <v>2198.6674374902559</v>
          </cell>
          <cell r="L151">
            <v>1552.7616554677954</v>
          </cell>
          <cell r="M151">
            <v>798.31353929562283</v>
          </cell>
          <cell r="N151">
            <v>128.30710740554093</v>
          </cell>
          <cell r="P151" t="str">
            <v>energy</v>
          </cell>
        </row>
        <row r="152">
          <cell r="E152" t="str">
            <v>Other transformation</v>
          </cell>
          <cell r="F152">
            <v>1579.6700180000003</v>
          </cell>
          <cell r="G152">
            <v>1537.0140068740457</v>
          </cell>
          <cell r="H152">
            <v>1241.7694218434924</v>
          </cell>
          <cell r="I152">
            <v>936.50228025026672</v>
          </cell>
          <cell r="J152">
            <v>570.24044279503767</v>
          </cell>
          <cell r="K152">
            <v>184.93684708333166</v>
          </cell>
          <cell r="L152">
            <v>-202.97882392053603</v>
          </cell>
          <cell r="M152">
            <v>-600.50004039249961</v>
          </cell>
          <cell r="N152">
            <v>-1023.0000502677868</v>
          </cell>
          <cell r="P152" t="str">
            <v>energy</v>
          </cell>
        </row>
        <row r="153">
          <cell r="E153" t="str">
            <v>Total</v>
          </cell>
          <cell r="F153">
            <v>34253.904473515526</v>
          </cell>
          <cell r="G153">
            <v>30672.160955466039</v>
          </cell>
          <cell r="H153">
            <v>26365.158828195479</v>
          </cell>
          <cell r="I153">
            <v>22185.905998916489</v>
          </cell>
          <cell r="J153">
            <v>18807.740555551783</v>
          </cell>
          <cell r="K153">
            <v>15645.637980925148</v>
          </cell>
          <cell r="L153">
            <v>13336.341461294918</v>
          </cell>
          <cell r="M153">
            <v>11049.26787779303</v>
          </cell>
          <cell r="N153">
            <v>9010.1458801828612</v>
          </cell>
        </row>
        <row r="154">
          <cell r="D154" t="str">
            <v>Emissions|CO2|Energy and Industrial Processes</v>
          </cell>
          <cell r="F154">
            <v>30958.369028515532</v>
          </cell>
          <cell r="G154">
            <v>27803.363859195128</v>
          </cell>
          <cell r="H154">
            <v>23781.837256921477</v>
          </cell>
          <cell r="I154">
            <v>19832.952598586049</v>
          </cell>
          <cell r="J154">
            <v>16648.125681345235</v>
          </cell>
          <cell r="K154">
            <v>13645.123800168065</v>
          </cell>
          <cell r="L154">
            <v>11516.444963059654</v>
          </cell>
          <cell r="M154">
            <v>9387.9856493531806</v>
          </cell>
          <cell r="N154">
            <v>7505.0640095049284</v>
          </cell>
        </row>
        <row r="155">
          <cell r="D155" t="str">
            <v>CO2 captured (Mt CO2)</v>
          </cell>
        </row>
        <row r="156">
          <cell r="D156" t="str">
            <v>Industry</v>
          </cell>
          <cell r="F156">
            <v>0</v>
          </cell>
          <cell r="G156">
            <v>292.49556395517118</v>
          </cell>
          <cell r="H156">
            <v>527.75761296796645</v>
          </cell>
          <cell r="I156">
            <v>712.28694807232478</v>
          </cell>
          <cell r="J156">
            <v>981.35886559496066</v>
          </cell>
          <cell r="K156">
            <v>1180.3975608851908</v>
          </cell>
          <cell r="L156">
            <v>1378.0560951985365</v>
          </cell>
          <cell r="M156">
            <v>1440.2524522531764</v>
          </cell>
          <cell r="N156">
            <v>1619.8204210786289</v>
          </cell>
          <cell r="P156" t="str">
            <v>industry</v>
          </cell>
        </row>
        <row r="157">
          <cell r="D157" t="str">
            <v>Power</v>
          </cell>
          <cell r="F157">
            <v>0</v>
          </cell>
          <cell r="G157">
            <v>50.258905217862235</v>
          </cell>
          <cell r="H157">
            <v>423.27892313987695</v>
          </cell>
          <cell r="I157">
            <v>1294.7823395382693</v>
          </cell>
          <cell r="J157">
            <v>2156.9657562917869</v>
          </cell>
          <cell r="K157">
            <v>2916.5776576826174</v>
          </cell>
          <cell r="L157">
            <v>2886.1882157455138</v>
          </cell>
          <cell r="M157">
            <v>2900.0360199041597</v>
          </cell>
          <cell r="N157">
            <v>3233.5125100841155</v>
          </cell>
          <cell r="P157" t="str">
            <v>energy</v>
          </cell>
        </row>
        <row r="158">
          <cell r="D158" t="str">
            <v>Other transformation</v>
          </cell>
          <cell r="F158">
            <v>0</v>
          </cell>
          <cell r="G158">
            <v>73.489061417356965</v>
          </cell>
          <cell r="H158">
            <v>207.98345327479609</v>
          </cell>
          <cell r="I158">
            <v>406.50873741547878</v>
          </cell>
          <cell r="J158">
            <v>649.30577874963706</v>
          </cell>
          <cell r="K158">
            <v>914.61482490428386</v>
          </cell>
          <cell r="L158">
            <v>1168.0985605174346</v>
          </cell>
          <cell r="M158">
            <v>1489.5389224141791</v>
          </cell>
          <cell r="N158">
            <v>1791.7775223757417</v>
          </cell>
          <cell r="P158" t="str">
            <v>energy</v>
          </cell>
        </row>
        <row r="159">
          <cell r="D159" t="str">
            <v>Carbon Sequestration|CCS</v>
          </cell>
          <cell r="F159">
            <v>0</v>
          </cell>
          <cell r="G159">
            <v>416.24353059039038</v>
          </cell>
          <cell r="H159">
            <v>1159.0199893826396</v>
          </cell>
          <cell r="I159">
            <v>2413.5780250260727</v>
          </cell>
          <cell r="J159">
            <v>3787.6304006363844</v>
          </cell>
          <cell r="K159">
            <v>5011.5900434720916</v>
          </cell>
          <cell r="L159">
            <v>5432.3428714614847</v>
          </cell>
          <cell r="M159">
            <v>5829.8273945715155</v>
          </cell>
          <cell r="N159">
            <v>6645.1104535384857</v>
          </cell>
        </row>
        <row r="160">
          <cell r="D160" t="str">
            <v>BECCS, CO2 captured (Mt CO2)</v>
          </cell>
        </row>
        <row r="161">
          <cell r="D161" t="str">
            <v>Industry</v>
          </cell>
          <cell r="F161">
            <v>0</v>
          </cell>
          <cell r="G161">
            <v>3.8504938648748439</v>
          </cell>
          <cell r="H161">
            <v>8.7353037052942586</v>
          </cell>
          <cell r="I161">
            <v>14.091427558814029</v>
          </cell>
          <cell r="J161">
            <v>27.251301002654657</v>
          </cell>
          <cell r="K161">
            <v>48.150559921573311</v>
          </cell>
          <cell r="L161">
            <v>81.223499084835424</v>
          </cell>
          <cell r="M161">
            <v>87.038339374406434</v>
          </cell>
          <cell r="N161">
            <v>131.02305924623775</v>
          </cell>
        </row>
        <row r="162">
          <cell r="D162" t="str">
            <v>Power</v>
          </cell>
          <cell r="F162">
            <v>0</v>
          </cell>
          <cell r="G162">
            <v>0.76137331260877195</v>
          </cell>
          <cell r="H162">
            <v>6.8812482153129899</v>
          </cell>
          <cell r="I162">
            <v>22.269878108595286</v>
          </cell>
          <cell r="J162">
            <v>48.76128717982305</v>
          </cell>
          <cell r="K162">
            <v>151.43594899102084</v>
          </cell>
          <cell r="L162">
            <v>277.37852448663256</v>
          </cell>
          <cell r="M162">
            <v>560.91552640033683</v>
          </cell>
          <cell r="N162">
            <v>940.43143024395579</v>
          </cell>
          <cell r="P162" t="str">
            <v>industry</v>
          </cell>
        </row>
        <row r="163">
          <cell r="D163" t="str">
            <v>Other transformation</v>
          </cell>
          <cell r="F163">
            <v>0</v>
          </cell>
          <cell r="G163">
            <v>52.393113186227509</v>
          </cell>
          <cell r="H163">
            <v>163.15396980418745</v>
          </cell>
          <cell r="I163">
            <v>325.83601497447796</v>
          </cell>
          <cell r="J163">
            <v>533.24423593401286</v>
          </cell>
          <cell r="K163">
            <v>767.19139500803169</v>
          </cell>
          <cell r="L163">
            <v>994.00444775432288</v>
          </cell>
          <cell r="M163">
            <v>1321.8722183946359</v>
          </cell>
          <cell r="N163">
            <v>1642.9757015457772</v>
          </cell>
          <cell r="P163" t="str">
            <v>energy</v>
          </cell>
        </row>
        <row r="164">
          <cell r="D164" t="str">
            <v>Total</v>
          </cell>
          <cell r="F164">
            <v>0</v>
          </cell>
          <cell r="G164">
            <v>57.004980363711127</v>
          </cell>
          <cell r="H164">
            <v>178.77052172479469</v>
          </cell>
          <cell r="I164">
            <v>362.19732064188725</v>
          </cell>
          <cell r="J164">
            <v>609.25682411649063</v>
          </cell>
          <cell r="K164">
            <v>966.77790392062582</v>
          </cell>
          <cell r="L164">
            <v>1352.6064713257908</v>
          </cell>
          <cell r="M164">
            <v>1969.8260841693791</v>
          </cell>
          <cell r="N164">
            <v>2714.4301910359709</v>
          </cell>
          <cell r="P164" t="str">
            <v>energy</v>
          </cell>
        </row>
        <row r="166">
          <cell r="D166" t="str">
            <v>Carbon Sequestration|CCS|Fossil|Energy</v>
          </cell>
          <cell r="F166">
            <v>0</v>
          </cell>
          <cell r="G166">
            <v>70.593480136382908</v>
          </cell>
          <cell r="H166">
            <v>461.22715839517264</v>
          </cell>
          <cell r="I166">
            <v>1353.1851838706748</v>
          </cell>
          <cell r="J166">
            <v>2224.2660119275879</v>
          </cell>
          <cell r="K166">
            <v>2912.5651385878491</v>
          </cell>
          <cell r="L166">
            <v>2782.903804021993</v>
          </cell>
          <cell r="M166">
            <v>2506.7871975233661</v>
          </cell>
          <cell r="N166">
            <v>2441.8829006701249</v>
          </cell>
        </row>
        <row r="167">
          <cell r="D167" t="str">
            <v>Carbon Sequestration|CCS|Biomass|Energy</v>
          </cell>
          <cell r="F167">
            <v>0</v>
          </cell>
          <cell r="G167">
            <v>53.154486498836285</v>
          </cell>
          <cell r="H167">
            <v>170.03521801950043</v>
          </cell>
          <cell r="I167">
            <v>348.10589308307323</v>
          </cell>
          <cell r="J167">
            <v>582.00552311383592</v>
          </cell>
          <cell r="K167">
            <v>918.62734399905253</v>
          </cell>
          <cell r="L167">
            <v>1271.3829722409555</v>
          </cell>
          <cell r="M167">
            <v>1882.7877447949727</v>
          </cell>
          <cell r="N167">
            <v>2583.4071317897328</v>
          </cell>
        </row>
        <row r="168">
          <cell r="D168" t="str">
            <v>Carbon Sequestration|CCS|Fossil|Industrial Processes</v>
          </cell>
          <cell r="F168">
            <v>0</v>
          </cell>
          <cell r="G168">
            <v>288.64507009029631</v>
          </cell>
          <cell r="H168">
            <v>519.02230926267214</v>
          </cell>
          <cell r="I168">
            <v>698.1955205135107</v>
          </cell>
          <cell r="J168">
            <v>954.10756459230606</v>
          </cell>
          <cell r="K168">
            <v>1132.2470009636174</v>
          </cell>
          <cell r="L168">
            <v>1296.8325961137011</v>
          </cell>
          <cell r="M168">
            <v>1353.21411287877</v>
          </cell>
          <cell r="N168">
            <v>1488.7973618323911</v>
          </cell>
        </row>
        <row r="169">
          <cell r="D169" t="str">
            <v>Carbon Sequestration|CCS|Biomass|Industrial Processes</v>
          </cell>
          <cell r="F169">
            <v>0</v>
          </cell>
          <cell r="G169">
            <v>3.8504938648748439</v>
          </cell>
          <cell r="H169">
            <v>8.7353037052942586</v>
          </cell>
          <cell r="I169">
            <v>14.091427558814029</v>
          </cell>
          <cell r="J169">
            <v>27.251301002654657</v>
          </cell>
          <cell r="K169">
            <v>48.150559921573311</v>
          </cell>
          <cell r="L169">
            <v>81.223499084835424</v>
          </cell>
          <cell r="M169">
            <v>87.038339374406434</v>
          </cell>
          <cell r="N169">
            <v>131.02305924623775</v>
          </cell>
        </row>
        <row r="170">
          <cell r="D170" t="str">
            <v>Population</v>
          </cell>
          <cell r="E170" t="str">
            <v>millions</v>
          </cell>
          <cell r="F170">
            <v>7255.1017540000003</v>
          </cell>
          <cell r="G170">
            <v>8131.1752120000001</v>
          </cell>
          <cell r="H170">
            <v>8559.5109179999999</v>
          </cell>
          <cell r="I170">
            <v>8828.1624950000005</v>
          </cell>
          <cell r="J170">
            <v>9146.2223670000003</v>
          </cell>
          <cell r="K170">
            <v>9442.7608259999997</v>
          </cell>
          <cell r="L170">
            <v>9714.0571889999992</v>
          </cell>
          <cell r="M170">
            <v>9957.8316309999991</v>
          </cell>
          <cell r="N170">
            <v>10173.423489999999</v>
          </cell>
          <cell r="O170" t="str">
            <v>assumed identical across scenarios, so I copied from B2DS</v>
          </cell>
        </row>
        <row r="171">
          <cell r="D171" t="str">
            <v>GDP|PPP</v>
          </cell>
          <cell r="F171">
            <v>101762.62609999999</v>
          </cell>
          <cell r="G171">
            <v>150613.02280000001</v>
          </cell>
          <cell r="H171">
            <v>180095.53099999999</v>
          </cell>
          <cell r="I171">
            <v>211849.9608</v>
          </cell>
          <cell r="J171">
            <v>244503.87400000001</v>
          </cell>
          <cell r="K171">
            <v>277308.93089999998</v>
          </cell>
          <cell r="L171">
            <v>309002.14980000001</v>
          </cell>
          <cell r="M171">
            <v>344973.06550000003</v>
          </cell>
          <cell r="N171">
            <v>367745.75</v>
          </cell>
          <cell r="O171" t="str">
            <v>assumed identical across scenarios, so I copied from B2DS</v>
          </cell>
        </row>
      </sheetData>
      <sheetData sheetId="4"/>
      <sheetData sheetId="5"/>
      <sheetData sheetId="6"/>
      <sheetData sheetId="7"/>
      <sheetData sheetId="8"/>
      <sheetData sheetId="9"/>
      <sheetData sheetId="10"/>
      <sheetData sheetId="11" refreshError="1"/>
      <sheetData sheetId="12" refreshError="1"/>
      <sheetData sheetId="13" refreshError="1"/>
      <sheetData sheetId="14"/>
      <sheetData sheetId="15">
        <row r="2">
          <cell r="D2">
            <v>2025</v>
          </cell>
        </row>
      </sheetData>
      <sheetData sheetId="16" refreshError="1"/>
      <sheetData sheetId="17" refreshError="1"/>
      <sheetData sheetId="18"/>
      <sheetData sheetId="19"/>
      <sheetData sheetId="20"/>
      <sheetData sheetId="21"/>
      <sheetData sheetId="22"/>
      <sheetData sheetId="23"/>
      <sheetData sheetId="24"/>
      <sheetData sheetId="25"/>
      <sheetData sheetId="26"/>
      <sheetData sheetId="27"/>
      <sheetData sheetId="28" refreshError="1"/>
      <sheetData sheetId="29"/>
      <sheetData sheetId="30" refreshError="1"/>
      <sheetData sheetId="31"/>
      <sheetData sheetId="32"/>
      <sheetData sheetId="33"/>
      <sheetData sheetId="34" refreshError="1"/>
      <sheetData sheetId="35" refreshError="1"/>
      <sheetData sheetId="36" refreshError="1"/>
      <sheetData sheetId="37"/>
      <sheetData sheetId="38"/>
      <sheetData sheetId="39"/>
      <sheetData sheetId="40" refreshError="1"/>
      <sheetData sheetId="41"/>
      <sheetData sheetId="42"/>
      <sheetData sheetId="43" refreshError="1"/>
      <sheetData sheetId="44" refreshError="1"/>
      <sheetData sheetId="45" refreshError="1"/>
      <sheetData sheetId="46" refreshError="1"/>
      <sheetData sheetId="47" refreshError="1"/>
      <sheetData sheetId="48" refreshError="1"/>
      <sheetData sheetId="49"/>
      <sheetData sheetId="50" refreshError="1"/>
      <sheetData sheetId="51" refreshError="1"/>
      <sheetData sheetId="52"/>
      <sheetData sheetId="53"/>
      <sheetData sheetId="54"/>
      <sheetData sheetId="55"/>
      <sheetData sheetId="56"/>
      <sheetData sheetId="57"/>
      <sheetData sheetId="58"/>
      <sheetData sheetId="59"/>
      <sheetData sheetId="60"/>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sheetData sheetId="81"/>
      <sheetData sheetId="82"/>
      <sheetData sheetId="83"/>
      <sheetData sheetId="84"/>
      <sheetData sheetId="85"/>
      <sheetData sheetId="86"/>
      <sheetData sheetId="87"/>
      <sheetData sheetId="88"/>
      <sheetData sheetId="89"/>
      <sheetData sheetId="90"/>
      <sheetData sheetId="9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ig3ExpandKAYAfactorsDEqFossil"/>
      <sheetName val="Fig4ExpandKAYAratiosDEqFossil"/>
      <sheetName val="Fig5AvAnn%∆RefDEqFossil"/>
      <sheetName val="Fig5AvAnn%∆MitDEqFossil"/>
      <sheetName val="Fig5AvAnn%∆(Ref-Mit)DEqFossil"/>
      <sheetName val="Fig6AdditiveDashboard"/>
      <sheetName val="Fig7CCS graph"/>
      <sheetName val="Fig8MitChrt(LMDI Icorrct)DEqFos"/>
      <sheetName val="MitTable(LMDI I)DEqFF"/>
      <sheetName val="LMDI 1 MethodDEqPEff"/>
      <sheetName val="Driver Metrics"/>
      <sheetName val="Non-energyEmissions"/>
      <sheetName val="AdditiveDashboardData"/>
      <sheetName val="CementvsBETindustry"/>
      <sheetName val="Ref Data"/>
      <sheetName val="Mit Data"/>
      <sheetName val="Ref Data input"/>
      <sheetName val="Mit Data input"/>
      <sheetName val="Readme"/>
      <sheetName val="Expanded KAYAratiosThEqFossi "/>
      <sheetName val="Expanded KAYAratiosStarFossil"/>
      <sheetName val="Expanded KAYAfactorsThEqFoss"/>
      <sheetName val="Expanded KAYAfactorsStarFossil"/>
      <sheetName val="MitChart(LMDI I,corrct)ThEqPEff"/>
      <sheetName val="MitTable(LMDI I)ThEqFF"/>
      <sheetName val="MitChart(LMDI I,corrct)StarPEff"/>
      <sheetName val="MitTable(LMDI I)StarFF"/>
      <sheetName val="LMDI 1 MethodThEqPEff"/>
      <sheetName val="LMDI 1 MethodStarPEff"/>
      <sheetName val="Mit Chart (simple method)DEqFos"/>
      <sheetName val="Mit Chart(simple method)ThEqFos"/>
      <sheetName val="Mit Chart(simple method)StarFos"/>
      <sheetName val="simpleAttMethodDEqFossil"/>
      <sheetName val="simpleAttMethodThEqFossil"/>
      <sheetName val="simpleAttMethodStarFossil"/>
      <sheetName val="Mit Chart (dissertation)DEqFos"/>
      <sheetName val="Mitigation Calcs(Dissertation)"/>
      <sheetName val="DEq and Efftables(Dissertation)"/>
      <sheetName val="AvAnn%Chg∆RefThEqFossil"/>
      <sheetName val="AvAnn%Chg∆MitThEqFossil"/>
      <sheetName val="AvAnn%Chg∆(Ref-Mit)ThEqFossil"/>
      <sheetName val="AvAnn%Chg∆RefStarFossil"/>
      <sheetName val="AvAnn%Chg∆MitStarFossil"/>
      <sheetName val="AvAnn%Chg∆(Ref-Mit)StarFossil"/>
      <sheetName val="Data input definitions"/>
      <sheetName val="PE(3methods) Ref"/>
      <sheetName val="PE(3methods) Mit"/>
      <sheetName val="Expanded KAYAfactorsStar"/>
      <sheetName val="Expanded KAYAfactorsDeq"/>
      <sheetName val="Expanded KAYAfactorsTheq"/>
      <sheetName val="Expanded KAYAratiosStar"/>
      <sheetName val="Expanded KAYAratiosDeq"/>
      <sheetName val="Expanded KAYAratiosTheq"/>
      <sheetName val="KAYAstar"/>
      <sheetName val="KAYAdeq"/>
      <sheetName val="KAYAtheq"/>
      <sheetName val="AvAnn%ChgRefstar"/>
      <sheetName val="AvAnn%ChgMitstar"/>
      <sheetName val="AvAnn%Chg∆(Ref-Mit)star"/>
      <sheetName val="AvAnn%ChgRefDEq"/>
      <sheetName val="AvAnn%ChgMitDEq"/>
      <sheetName val="AvAnn%Chg∆(Ref-Mit)DEq"/>
      <sheetName val="AvAnn%ChgRefThEq"/>
      <sheetName val="AvAnn%ChgMitThEq"/>
      <sheetName val="AvAnn%Chg∆(Ref-Mit)ThEq"/>
      <sheetName val="Mit Chart (simple method)star"/>
      <sheetName val="Mit Chart (simple method)Deq"/>
      <sheetName val="Mit Chart (simple method)ThEq"/>
      <sheetName val="Mit Chart (LMDI I, corrct)star"/>
      <sheetName val="Mit Chart (LMDI I, corrct)Deq"/>
      <sheetName val="Mit Chart (LMDI I, corrct)ThEq"/>
      <sheetName val="Mit Chart (LMDI I)no corrctThEq"/>
      <sheetName val="Mit Chart (dissertation)DEq"/>
      <sheetName val="Mit Chart (dissertation)star"/>
      <sheetName val="Mit Chart (dissertation)Theq"/>
      <sheetName val="DissertationMethDEq"/>
      <sheetName val="DissertationMethstar"/>
      <sheetName val="DissertationMethThEq"/>
      <sheetName val="DEq and EffdEq"/>
      <sheetName val="DEq and Effstar"/>
      <sheetName val="DEq and EffThEq"/>
      <sheetName val="simpleAttMethodstar"/>
      <sheetName val="simpleAttMethodDEq"/>
      <sheetName val="simpleAttMethodThEq"/>
      <sheetName val="LMDI 1 Methodstar"/>
      <sheetName val="LMDI 1 MethodDEq"/>
      <sheetName val="LMDI 1 MethodThEq"/>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ow r="437">
          <cell r="C437" t="str">
            <v>1900-2014</v>
          </cell>
        </row>
      </sheetData>
      <sheetData sheetId="11" refreshError="1"/>
      <sheetData sheetId="12">
        <row r="2">
          <cell r="E2">
            <v>2010</v>
          </cell>
        </row>
      </sheetData>
      <sheetData sheetId="13" refreshError="1"/>
      <sheetData sheetId="14" refreshError="1"/>
      <sheetData sheetId="15" refreshError="1"/>
      <sheetData sheetId="16">
        <row r="1">
          <cell r="D1" t="str">
            <v>VARIABLE</v>
          </cell>
          <cell r="E1" t="str">
            <v>UNIT</v>
          </cell>
          <cell r="F1">
            <v>2000</v>
          </cell>
          <cell r="G1">
            <v>2005</v>
          </cell>
          <cell r="H1">
            <v>2010</v>
          </cell>
          <cell r="I1">
            <v>2015</v>
          </cell>
          <cell r="J1">
            <v>2020</v>
          </cell>
          <cell r="K1">
            <v>2025</v>
          </cell>
          <cell r="L1">
            <v>2030</v>
          </cell>
          <cell r="M1">
            <v>2035</v>
          </cell>
          <cell r="N1">
            <v>2040</v>
          </cell>
          <cell r="O1">
            <v>2045</v>
          </cell>
          <cell r="P1">
            <v>2050</v>
          </cell>
          <cell r="Q1">
            <v>2055</v>
          </cell>
          <cell r="R1">
            <v>2060</v>
          </cell>
          <cell r="S1">
            <v>2065</v>
          </cell>
          <cell r="T1">
            <v>2070</v>
          </cell>
          <cell r="U1">
            <v>2075</v>
          </cell>
          <cell r="V1">
            <v>2080</v>
          </cell>
          <cell r="W1">
            <v>2085</v>
          </cell>
          <cell r="X1">
            <v>2090</v>
          </cell>
          <cell r="Y1">
            <v>2095</v>
          </cell>
          <cell r="Z1">
            <v>2100</v>
          </cell>
        </row>
        <row r="2">
          <cell r="D2" t="str">
            <v>Capacity|Electricity|Coal|w/ CCS</v>
          </cell>
          <cell r="E2" t="str">
            <v>GW</v>
          </cell>
          <cell r="G2">
            <v>0</v>
          </cell>
          <cell r="H2">
            <v>0</v>
          </cell>
          <cell r="J2">
            <v>0</v>
          </cell>
          <cell r="L2">
            <v>0</v>
          </cell>
          <cell r="N2">
            <v>0</v>
          </cell>
          <cell r="P2">
            <v>0</v>
          </cell>
          <cell r="R2">
            <v>0</v>
          </cell>
          <cell r="T2">
            <v>0</v>
          </cell>
          <cell r="V2">
            <v>0</v>
          </cell>
          <cell r="X2">
            <v>0</v>
          </cell>
          <cell r="Z2">
            <v>7.0000000000000001E-3</v>
          </cell>
        </row>
        <row r="3">
          <cell r="D3" t="str">
            <v>Capacity|Electricity|Coal|w/o CCS</v>
          </cell>
          <cell r="E3" t="str">
            <v>GW</v>
          </cell>
          <cell r="G3">
            <v>1158.5260000000001</v>
          </cell>
          <cell r="H3">
            <v>1409.434</v>
          </cell>
          <cell r="J3">
            <v>1668.665</v>
          </cell>
          <cell r="L3">
            <v>1868.5170000000001</v>
          </cell>
          <cell r="N3">
            <v>1968.816</v>
          </cell>
          <cell r="P3">
            <v>2004.7239999999999</v>
          </cell>
          <cell r="R3">
            <v>1864.8030000000001</v>
          </cell>
          <cell r="T3">
            <v>1410.5819999999901</v>
          </cell>
          <cell r="V3">
            <v>1399.2850000000001</v>
          </cell>
          <cell r="X3">
            <v>1294.4169999999999</v>
          </cell>
          <cell r="Z3">
            <v>1352.3689999999999</v>
          </cell>
        </row>
        <row r="4">
          <cell r="D4" t="str">
            <v>Capacity|Electricity|Gas|w/ CCS</v>
          </cell>
          <cell r="E4" t="str">
            <v>GW</v>
          </cell>
          <cell r="G4">
            <v>0</v>
          </cell>
          <cell r="H4">
            <v>0</v>
          </cell>
          <cell r="J4">
            <v>0</v>
          </cell>
          <cell r="L4">
            <v>0</v>
          </cell>
          <cell r="N4">
            <v>0</v>
          </cell>
          <cell r="P4">
            <v>0</v>
          </cell>
          <cell r="R4">
            <v>0</v>
          </cell>
          <cell r="T4">
            <v>0</v>
          </cell>
          <cell r="V4">
            <v>0</v>
          </cell>
          <cell r="X4">
            <v>0</v>
          </cell>
          <cell r="Z4">
            <v>0</v>
          </cell>
        </row>
        <row r="5">
          <cell r="D5" t="str">
            <v>Capacity|Electricity|Gas|w/o CCS</v>
          </cell>
          <cell r="E5" t="str">
            <v>GW</v>
          </cell>
          <cell r="G5">
            <v>1311.953</v>
          </cell>
          <cell r="H5">
            <v>1545.877</v>
          </cell>
          <cell r="J5">
            <v>2475.87</v>
          </cell>
          <cell r="L5">
            <v>3655.4449999999902</v>
          </cell>
          <cell r="N5">
            <v>4956.7759999999998</v>
          </cell>
          <cell r="P5">
            <v>6108.4069999999901</v>
          </cell>
          <cell r="R5">
            <v>7435.26</v>
          </cell>
          <cell r="T5">
            <v>9279.9179999999997</v>
          </cell>
          <cell r="V5">
            <v>10367.948</v>
          </cell>
          <cell r="X5">
            <v>11140.021999999901</v>
          </cell>
          <cell r="Z5">
            <v>11980.620999999999</v>
          </cell>
        </row>
        <row r="6">
          <cell r="D6" t="str">
            <v>Capacity|Electricity|Nuclear</v>
          </cell>
          <cell r="E6" t="str">
            <v>GW</v>
          </cell>
          <cell r="G6">
            <v>405.86399999999998</v>
          </cell>
          <cell r="H6">
            <v>411.77800000000002</v>
          </cell>
          <cell r="J6">
            <v>436.40800000000002</v>
          </cell>
          <cell r="L6">
            <v>371.35</v>
          </cell>
          <cell r="N6">
            <v>212.72200000000001</v>
          </cell>
          <cell r="P6">
            <v>85.887</v>
          </cell>
          <cell r="R6">
            <v>44.847000000000001</v>
          </cell>
          <cell r="T6">
            <v>13.927</v>
          </cell>
          <cell r="V6">
            <v>2.2570000000000001</v>
          </cell>
          <cell r="X6">
            <v>2.2570000000000001</v>
          </cell>
          <cell r="Z6">
            <v>2.2570000000000001</v>
          </cell>
        </row>
        <row r="7">
          <cell r="D7" t="str">
            <v>Capacity|Electricity|Solar</v>
          </cell>
          <cell r="E7" t="str">
            <v>GW</v>
          </cell>
          <cell r="G7">
            <v>4.01</v>
          </cell>
          <cell r="H7">
            <v>26.91</v>
          </cell>
          <cell r="J7">
            <v>54.259</v>
          </cell>
          <cell r="L7">
            <v>148.577</v>
          </cell>
          <cell r="N7">
            <v>330.654</v>
          </cell>
          <cell r="P7">
            <v>759.65599999999995</v>
          </cell>
          <cell r="R7">
            <v>1611.5650000000001</v>
          </cell>
          <cell r="T7">
            <v>2799.55</v>
          </cell>
          <cell r="V7">
            <v>4455.0529999999999</v>
          </cell>
          <cell r="X7">
            <v>6674.4259999999904</v>
          </cell>
          <cell r="Z7">
            <v>9032.143</v>
          </cell>
        </row>
        <row r="8">
          <cell r="D8" t="str">
            <v>Capacity|Electricity|Solar|CSP</v>
          </cell>
          <cell r="E8" t="str">
            <v>GW</v>
          </cell>
          <cell r="G8">
            <v>0.61</v>
          </cell>
          <cell r="H8">
            <v>1.21</v>
          </cell>
          <cell r="J8">
            <v>28.559000000000001</v>
          </cell>
          <cell r="L8">
            <v>122.877</v>
          </cell>
          <cell r="N8">
            <v>312.35199999999998</v>
          </cell>
          <cell r="P8">
            <v>644.62099999999998</v>
          </cell>
          <cell r="R8">
            <v>1237.55</v>
          </cell>
          <cell r="T8">
            <v>1822.6420000000001</v>
          </cell>
          <cell r="V8">
            <v>2616.9279999999999</v>
          </cell>
          <cell r="X8">
            <v>3863.9960000000001</v>
          </cell>
          <cell r="Z8">
            <v>5351.7560000000003</v>
          </cell>
        </row>
        <row r="9">
          <cell r="D9" t="str">
            <v>Capacity|Electricity|Solar|PV</v>
          </cell>
          <cell r="E9" t="str">
            <v>GW</v>
          </cell>
          <cell r="G9">
            <v>3.4</v>
          </cell>
          <cell r="H9">
            <v>25.7</v>
          </cell>
          <cell r="J9">
            <v>25.7</v>
          </cell>
          <cell r="L9">
            <v>25.7</v>
          </cell>
          <cell r="N9">
            <v>18.302</v>
          </cell>
          <cell r="P9">
            <v>115.035</v>
          </cell>
          <cell r="R9">
            <v>374.01499999999999</v>
          </cell>
          <cell r="T9">
            <v>976.90800000000002</v>
          </cell>
          <cell r="V9">
            <v>1838.125</v>
          </cell>
          <cell r="X9">
            <v>2810.43</v>
          </cell>
          <cell r="Z9">
            <v>3680.3870000000002</v>
          </cell>
        </row>
        <row r="10">
          <cell r="D10" t="str">
            <v>Capacity|Electricity|Wind</v>
          </cell>
          <cell r="E10" t="str">
            <v>GW</v>
          </cell>
          <cell r="G10">
            <v>55.302999999999997</v>
          </cell>
          <cell r="H10">
            <v>169.95400000000001</v>
          </cell>
          <cell r="J10">
            <v>184.09099999999901</v>
          </cell>
          <cell r="L10">
            <v>325.80200000000002</v>
          </cell>
          <cell r="N10">
            <v>626.41300000000001</v>
          </cell>
          <cell r="P10">
            <v>1100.52</v>
          </cell>
          <cell r="R10">
            <v>1551.7329999999999</v>
          </cell>
          <cell r="T10">
            <v>2202.223</v>
          </cell>
          <cell r="V10">
            <v>2880.5859999999998</v>
          </cell>
          <cell r="X10">
            <v>3704.056</v>
          </cell>
          <cell r="Z10">
            <v>4039.0059999999999</v>
          </cell>
        </row>
        <row r="11">
          <cell r="D11" t="str">
            <v>Capital Cost|Electricity|Coal|IGCC|w/ CCS</v>
          </cell>
          <cell r="E11" t="str">
            <v>$/kW</v>
          </cell>
          <cell r="J11">
            <v>1098</v>
          </cell>
          <cell r="L11">
            <v>2161.54545454545</v>
          </cell>
          <cell r="N11">
            <v>2021</v>
          </cell>
          <cell r="P11">
            <v>1922.8181818181799</v>
          </cell>
          <cell r="R11">
            <v>1853</v>
          </cell>
          <cell r="T11">
            <v>1803</v>
          </cell>
          <cell r="V11">
            <v>1769</v>
          </cell>
          <cell r="X11">
            <v>1746</v>
          </cell>
          <cell r="Z11">
            <v>1731</v>
          </cell>
        </row>
        <row r="12">
          <cell r="D12" t="str">
            <v>Capital Cost|Electricity|Coal|IGCC|w/o CCS</v>
          </cell>
          <cell r="E12" t="str">
            <v>$/kW</v>
          </cell>
          <cell r="J12">
            <v>1451</v>
          </cell>
          <cell r="L12">
            <v>1380.72727272727</v>
          </cell>
          <cell r="N12">
            <v>1319.72727272727</v>
          </cell>
          <cell r="P12">
            <v>1276.54545454545</v>
          </cell>
          <cell r="R12">
            <v>1245</v>
          </cell>
          <cell r="T12">
            <v>1222</v>
          </cell>
          <cell r="V12">
            <v>1206</v>
          </cell>
          <cell r="X12">
            <v>1196</v>
          </cell>
          <cell r="Z12">
            <v>1189</v>
          </cell>
        </row>
        <row r="13">
          <cell r="D13" t="str">
            <v>Capital Cost|Electricity|Gas|CC|w/ CCS</v>
          </cell>
          <cell r="E13" t="str">
            <v>$/kW</v>
          </cell>
          <cell r="J13">
            <v>534.45454545454504</v>
          </cell>
          <cell r="L13">
            <v>1057.1818181818101</v>
          </cell>
          <cell r="N13">
            <v>991.63636363636294</v>
          </cell>
          <cell r="P13">
            <v>945.45454545454504</v>
          </cell>
          <cell r="R13">
            <v>913</v>
          </cell>
          <cell r="T13">
            <v>889</v>
          </cell>
          <cell r="V13">
            <v>873</v>
          </cell>
          <cell r="X13">
            <v>862</v>
          </cell>
          <cell r="Z13">
            <v>854</v>
          </cell>
        </row>
        <row r="14">
          <cell r="D14" t="str">
            <v>Capital Cost|Electricity|Gas|CC|w/o CCS</v>
          </cell>
          <cell r="E14" t="str">
            <v>$/kW</v>
          </cell>
          <cell r="J14">
            <v>459.09090909090901</v>
          </cell>
          <cell r="L14">
            <v>447.72727272727201</v>
          </cell>
          <cell r="N14">
            <v>433.72727272727201</v>
          </cell>
          <cell r="P14">
            <v>424.45454545454498</v>
          </cell>
          <cell r="R14">
            <v>416</v>
          </cell>
          <cell r="T14">
            <v>410</v>
          </cell>
          <cell r="V14">
            <v>406</v>
          </cell>
          <cell r="X14">
            <v>403</v>
          </cell>
          <cell r="Z14">
            <v>401</v>
          </cell>
        </row>
        <row r="15">
          <cell r="D15" t="str">
            <v>Capital Cost|Electricity|Nuclear</v>
          </cell>
          <cell r="E15" t="str">
            <v>$/kW</v>
          </cell>
          <cell r="J15">
            <v>4588</v>
          </cell>
          <cell r="L15">
            <v>4758.4545454545396</v>
          </cell>
          <cell r="N15">
            <v>4860.0909090908999</v>
          </cell>
          <cell r="P15">
            <v>4953</v>
          </cell>
          <cell r="R15">
            <v>4755</v>
          </cell>
          <cell r="T15">
            <v>4714</v>
          </cell>
          <cell r="V15">
            <v>4682</v>
          </cell>
          <cell r="X15">
            <v>4660</v>
          </cell>
          <cell r="Z15">
            <v>4643</v>
          </cell>
        </row>
        <row r="16">
          <cell r="D16" t="str">
            <v>Capital Cost|Electricity|Solar|CSP</v>
          </cell>
          <cell r="E16" t="str">
            <v>$/kW</v>
          </cell>
          <cell r="J16">
            <v>2077.7272727272698</v>
          </cell>
          <cell r="L16">
            <v>1842.54545454545</v>
          </cell>
          <cell r="N16">
            <v>1688.6363636363601</v>
          </cell>
          <cell r="P16">
            <v>1593.27272727272</v>
          </cell>
          <cell r="R16">
            <v>1533</v>
          </cell>
          <cell r="T16">
            <v>1494</v>
          </cell>
          <cell r="V16">
            <v>1470</v>
          </cell>
          <cell r="X16">
            <v>1455</v>
          </cell>
          <cell r="Z16">
            <v>1446</v>
          </cell>
        </row>
        <row r="17">
          <cell r="D17" t="str">
            <v>Capital Cost|Electricity|Solar|PV</v>
          </cell>
          <cell r="E17" t="str">
            <v>$/kW</v>
          </cell>
          <cell r="J17">
            <v>2055.8181818181802</v>
          </cell>
          <cell r="L17">
            <v>1629.72727272727</v>
          </cell>
          <cell r="N17">
            <v>1381.6363636363601</v>
          </cell>
          <cell r="P17">
            <v>1241.0909090908999</v>
          </cell>
          <cell r="R17">
            <v>1161</v>
          </cell>
          <cell r="T17">
            <v>1114</v>
          </cell>
          <cell r="V17">
            <v>1088</v>
          </cell>
          <cell r="X17">
            <v>1074</v>
          </cell>
          <cell r="Z17">
            <v>1065</v>
          </cell>
        </row>
        <row r="18">
          <cell r="D18" t="str">
            <v>Capital Cost|Electricity|Wind</v>
          </cell>
          <cell r="E18" t="str">
            <v>$/kW</v>
          </cell>
          <cell r="J18">
            <v>1168</v>
          </cell>
          <cell r="L18">
            <v>1019.63636363636</v>
          </cell>
          <cell r="N18">
            <v>924.18181818181802</v>
          </cell>
          <cell r="P18">
            <v>866</v>
          </cell>
          <cell r="R18">
            <v>830</v>
          </cell>
          <cell r="T18">
            <v>808</v>
          </cell>
          <cell r="V18">
            <v>794</v>
          </cell>
          <cell r="X18">
            <v>786</v>
          </cell>
          <cell r="Z18">
            <v>781</v>
          </cell>
        </row>
        <row r="19">
          <cell r="D19" t="str">
            <v>Concentration|CO2|MAGICC6|MED</v>
          </cell>
          <cell r="E19" t="str">
            <v>ppm</v>
          </cell>
          <cell r="G19">
            <v>379.85</v>
          </cell>
          <cell r="H19">
            <v>390.66043225288701</v>
          </cell>
          <cell r="J19">
            <v>417.38827913293699</v>
          </cell>
          <cell r="L19">
            <v>450.19920030263802</v>
          </cell>
          <cell r="N19">
            <v>489.58409152792098</v>
          </cell>
          <cell r="P19">
            <v>536.52494825365397</v>
          </cell>
          <cell r="R19">
            <v>590.73479105323497</v>
          </cell>
          <cell r="T19">
            <v>651.10329932748903</v>
          </cell>
          <cell r="V19">
            <v>716.95039117461499</v>
          </cell>
          <cell r="X19">
            <v>787.55583058337504</v>
          </cell>
          <cell r="Z19">
            <v>862.96021668127298</v>
          </cell>
        </row>
        <row r="20">
          <cell r="D20" t="str">
            <v>Concentration|CO2|MAGICC6|P16</v>
          </cell>
          <cell r="E20" t="str">
            <v>ppm</v>
          </cell>
          <cell r="G20">
            <v>379.85</v>
          </cell>
          <cell r="H20">
            <v>390.03915081822402</v>
          </cell>
          <cell r="J20">
            <v>413.85504178357701</v>
          </cell>
          <cell r="L20">
            <v>443.38938201332201</v>
          </cell>
          <cell r="N20">
            <v>479.05009817166501</v>
          </cell>
          <cell r="P20">
            <v>521.52577293347497</v>
          </cell>
          <cell r="R20">
            <v>569.61035803525601</v>
          </cell>
          <cell r="T20">
            <v>621.30486750013597</v>
          </cell>
          <cell r="V20">
            <v>676.57270414356401</v>
          </cell>
          <cell r="X20">
            <v>735.48278269096295</v>
          </cell>
          <cell r="Z20">
            <v>797.72737459095094</v>
          </cell>
        </row>
        <row r="21">
          <cell r="D21" t="str">
            <v>Concentration|CO2|MAGICC6|P84</v>
          </cell>
          <cell r="E21" t="str">
            <v>ppm</v>
          </cell>
          <cell r="G21">
            <v>379.85</v>
          </cell>
          <cell r="H21">
            <v>391.40507938919802</v>
          </cell>
          <cell r="J21">
            <v>421.57857733064998</v>
          </cell>
          <cell r="L21">
            <v>458.11577369496598</v>
          </cell>
          <cell r="N21">
            <v>502.575516177461</v>
          </cell>
          <cell r="P21">
            <v>555.93602473369401</v>
          </cell>
          <cell r="R21">
            <v>622.28658258087398</v>
          </cell>
          <cell r="T21">
            <v>692.19740293122595</v>
          </cell>
          <cell r="V21">
            <v>764.63209255827303</v>
          </cell>
          <cell r="X21">
            <v>842.82574708833795</v>
          </cell>
          <cell r="Z21">
            <v>925.01099663899799</v>
          </cell>
        </row>
        <row r="22">
          <cell r="D22" t="str">
            <v>Consumption</v>
          </cell>
          <cell r="E22" t="str">
            <v>billion US$2005/yr</v>
          </cell>
          <cell r="G22">
            <v>36765.440000000002</v>
          </cell>
          <cell r="H22">
            <v>42304.88</v>
          </cell>
          <cell r="J22">
            <v>54242.099999999897</v>
          </cell>
          <cell r="L22">
            <v>79093.7</v>
          </cell>
          <cell r="N22">
            <v>104332</v>
          </cell>
          <cell r="P22">
            <v>134781.6</v>
          </cell>
          <cell r="R22">
            <v>167595.70000000001</v>
          </cell>
          <cell r="T22">
            <v>204950.5</v>
          </cell>
          <cell r="V22">
            <v>245967.5</v>
          </cell>
          <cell r="X22">
            <v>292503.5</v>
          </cell>
          <cell r="Z22">
            <v>341084.5</v>
          </cell>
        </row>
        <row r="23">
          <cell r="D23" t="str">
            <v>Cumulative Capacity|Electricity</v>
          </cell>
          <cell r="E23" t="str">
            <v>GW</v>
          </cell>
        </row>
        <row r="24">
          <cell r="D24" t="str">
            <v>Cumulative Capacity|Electricity|Biomass</v>
          </cell>
          <cell r="E24" t="str">
            <v>GW</v>
          </cell>
          <cell r="G24">
            <v>1.28</v>
          </cell>
          <cell r="H24">
            <v>15.906000000000001</v>
          </cell>
          <cell r="J24">
            <v>17.103000000000002</v>
          </cell>
          <cell r="L24">
            <v>17.103000000000002</v>
          </cell>
          <cell r="N24">
            <v>18.283000000000001</v>
          </cell>
          <cell r="P24">
            <v>24.611999999999998</v>
          </cell>
          <cell r="R24">
            <v>49.966999999999999</v>
          </cell>
          <cell r="T24">
            <v>107.443</v>
          </cell>
          <cell r="V24">
            <v>200.458</v>
          </cell>
          <cell r="X24">
            <v>305.95399999999898</v>
          </cell>
          <cell r="Z24">
            <v>427.988</v>
          </cell>
        </row>
        <row r="25">
          <cell r="D25" t="str">
            <v>Cumulative Capacity|Electricity|Coal</v>
          </cell>
          <cell r="E25" t="str">
            <v>GW</v>
          </cell>
          <cell r="G25">
            <v>66.004999999999995</v>
          </cell>
          <cell r="H25">
            <v>522.40899999999999</v>
          </cell>
          <cell r="J25">
            <v>1027.1569999999999</v>
          </cell>
          <cell r="L25">
            <v>1604.4970000000001</v>
          </cell>
          <cell r="N25">
            <v>2492.8799999999901</v>
          </cell>
          <cell r="P25">
            <v>3037.5940000000001</v>
          </cell>
          <cell r="R25">
            <v>3482.1410000000001</v>
          </cell>
          <cell r="T25">
            <v>3933.1610000000001</v>
          </cell>
          <cell r="V25">
            <v>4493.6239999999998</v>
          </cell>
          <cell r="X25">
            <v>4856.384</v>
          </cell>
          <cell r="Z25">
            <v>5395.5569999999998</v>
          </cell>
        </row>
        <row r="26">
          <cell r="D26" t="str">
            <v>Cumulative Capacity|Electricity|Gas</v>
          </cell>
          <cell r="E26" t="str">
            <v>GW</v>
          </cell>
          <cell r="G26">
            <v>82.229999999999905</v>
          </cell>
          <cell r="H26">
            <v>445.08800000000002</v>
          </cell>
          <cell r="J26">
            <v>1556.422</v>
          </cell>
          <cell r="L26">
            <v>3326.5239999999999</v>
          </cell>
          <cell r="N26">
            <v>5401.8639999999996</v>
          </cell>
          <cell r="P26">
            <v>7664.8270000000002</v>
          </cell>
          <cell r="R26">
            <v>10761.784</v>
          </cell>
          <cell r="T26">
            <v>14681.781999999999</v>
          </cell>
          <cell r="V26">
            <v>18032.775000000001</v>
          </cell>
          <cell r="X26">
            <v>21901.806</v>
          </cell>
          <cell r="Z26">
            <v>26662.402999999998</v>
          </cell>
        </row>
        <row r="27">
          <cell r="D27" t="str">
            <v>Cumulative Capacity|Electricity|Nuclear</v>
          </cell>
          <cell r="E27" t="str">
            <v>GW</v>
          </cell>
          <cell r="G27">
            <v>3.9870000000000001</v>
          </cell>
          <cell r="H27">
            <v>10.701000000000001</v>
          </cell>
          <cell r="J27">
            <v>54.320999999999998</v>
          </cell>
          <cell r="L27">
            <v>54.320999999999998</v>
          </cell>
          <cell r="N27">
            <v>54.320999999999998</v>
          </cell>
          <cell r="P27">
            <v>54.320999999999998</v>
          </cell>
          <cell r="R27">
            <v>54.320999999999998</v>
          </cell>
          <cell r="T27">
            <v>56.578000000000003</v>
          </cell>
          <cell r="V27">
            <v>56.578000000000003</v>
          </cell>
          <cell r="X27">
            <v>56.578000000000003</v>
          </cell>
          <cell r="Z27">
            <v>56.578000000000003</v>
          </cell>
        </row>
        <row r="28">
          <cell r="D28" t="str">
            <v>Cumulative Capacity|Electricity|Solar</v>
          </cell>
          <cell r="E28" t="str">
            <v>GW</v>
          </cell>
          <cell r="G28">
            <v>0.73</v>
          </cell>
          <cell r="H28">
            <v>23.63</v>
          </cell>
          <cell r="J28">
            <v>51.338999999999999</v>
          </cell>
          <cell r="L28">
            <v>145.90700000000001</v>
          </cell>
          <cell r="N28">
            <v>381.991999999999</v>
          </cell>
          <cell r="P28">
            <v>905.56299999999999</v>
          </cell>
          <cell r="R28">
            <v>1975.2550000000001</v>
          </cell>
          <cell r="T28">
            <v>3608.3809999999999</v>
          </cell>
          <cell r="V28">
            <v>6171.3280000000004</v>
          </cell>
          <cell r="X28">
            <v>9661.6119999999992</v>
          </cell>
          <cell r="Z28">
            <v>14245.52</v>
          </cell>
        </row>
        <row r="29">
          <cell r="D29" t="str">
            <v>Cumulative Capacity|Electricity|Solar|CSP</v>
          </cell>
          <cell r="E29" t="str">
            <v>GW</v>
          </cell>
          <cell r="G29">
            <v>0.05</v>
          </cell>
          <cell r="H29">
            <v>0.65</v>
          </cell>
          <cell r="J29">
            <v>28.359000000000002</v>
          </cell>
          <cell r="L29">
            <v>122.92700000000001</v>
          </cell>
          <cell r="N29">
            <v>340.71</v>
          </cell>
          <cell r="P29">
            <v>767.548</v>
          </cell>
          <cell r="R29">
            <v>1578.26</v>
          </cell>
          <cell r="T29">
            <v>2590.1909999999998</v>
          </cell>
          <cell r="V29">
            <v>4195.1880000000001</v>
          </cell>
          <cell r="X29">
            <v>6454.1869999999999</v>
          </cell>
          <cell r="Z29">
            <v>9546.9439999999995</v>
          </cell>
        </row>
        <row r="30">
          <cell r="D30" t="str">
            <v>Cumulative Capacity|Electricity|Solar|PV</v>
          </cell>
          <cell r="E30" t="str">
            <v>GW</v>
          </cell>
          <cell r="G30">
            <v>0.68</v>
          </cell>
          <cell r="H30">
            <v>22.98</v>
          </cell>
          <cell r="J30">
            <v>22.98</v>
          </cell>
          <cell r="L30">
            <v>22.98</v>
          </cell>
          <cell r="N30">
            <v>41.281999999999996</v>
          </cell>
          <cell r="P30">
            <v>138.01499999999999</v>
          </cell>
          <cell r="R30">
            <v>396.995</v>
          </cell>
          <cell r="T30">
            <v>1018.19</v>
          </cell>
          <cell r="V30">
            <v>1976.14</v>
          </cell>
          <cell r="X30">
            <v>3207.4250000000002</v>
          </cell>
          <cell r="Z30">
            <v>4698.576</v>
          </cell>
        </row>
        <row r="31">
          <cell r="D31" t="str">
            <v>Cumulative Capacity|Electricity|Wind</v>
          </cell>
          <cell r="E31" t="str">
            <v>GW</v>
          </cell>
          <cell r="G31">
            <v>7.274</v>
          </cell>
          <cell r="H31">
            <v>126.563</v>
          </cell>
          <cell r="J31">
            <v>142.11599999999899</v>
          </cell>
          <cell r="L31">
            <v>296.70699999999999</v>
          </cell>
          <cell r="N31">
            <v>754.70799999999997</v>
          </cell>
          <cell r="P31">
            <v>1295.99</v>
          </cell>
          <cell r="R31">
            <v>2000.5989999999999</v>
          </cell>
          <cell r="T31">
            <v>3138.511</v>
          </cell>
          <cell r="V31">
            <v>4494.7839999999997</v>
          </cell>
          <cell r="X31">
            <v>6180.4229999999998</v>
          </cell>
          <cell r="Z31">
            <v>7667.3059999999996</v>
          </cell>
        </row>
        <row r="32">
          <cell r="D32" t="str">
            <v>Cumulative Capacity|Electricity|Wind|Offshore</v>
          </cell>
          <cell r="E32" t="str">
            <v>GW</v>
          </cell>
          <cell r="G32">
            <v>0</v>
          </cell>
          <cell r="H32">
            <v>0</v>
          </cell>
          <cell r="J32">
            <v>1.73</v>
          </cell>
          <cell r="L32">
            <v>55.082999999999998</v>
          </cell>
          <cell r="N32">
            <v>207.24299999999999</v>
          </cell>
          <cell r="P32">
            <v>388.82400000000001</v>
          </cell>
          <cell r="R32">
            <v>707.03200000000004</v>
          </cell>
          <cell r="T32">
            <v>1182.8</v>
          </cell>
          <cell r="V32">
            <v>1672.588</v>
          </cell>
          <cell r="X32">
            <v>2324.64</v>
          </cell>
          <cell r="Z32">
            <v>3061.674</v>
          </cell>
        </row>
        <row r="33">
          <cell r="D33" t="str">
            <v>Cumulative Capacity|Electricity|Wind|Onshore</v>
          </cell>
          <cell r="E33" t="str">
            <v>GW</v>
          </cell>
          <cell r="G33">
            <v>7.274</v>
          </cell>
          <cell r="H33">
            <v>126.563</v>
          </cell>
          <cell r="J33">
            <v>140.386</v>
          </cell>
          <cell r="L33">
            <v>241.624</v>
          </cell>
          <cell r="N33">
            <v>547.46500000000003</v>
          </cell>
          <cell r="P33">
            <v>907.16600000000005</v>
          </cell>
          <cell r="R33">
            <v>1293.567</v>
          </cell>
          <cell r="T33">
            <v>1955.711</v>
          </cell>
          <cell r="V33">
            <v>2822.1959999999999</v>
          </cell>
          <cell r="X33">
            <v>3855.7829999999999</v>
          </cell>
          <cell r="Z33">
            <v>4605.6319999999996</v>
          </cell>
        </row>
        <row r="34">
          <cell r="D34" t="str">
            <v>Emissions|BC</v>
          </cell>
          <cell r="E34" t="str">
            <v>Mt BC/yr</v>
          </cell>
          <cell r="G34">
            <v>7.8066098999999998</v>
          </cell>
          <cell r="H34">
            <v>7.5747625999999997</v>
          </cell>
          <cell r="J34">
            <v>6.8595959999999998</v>
          </cell>
          <cell r="L34">
            <v>6.7407720999999903</v>
          </cell>
          <cell r="N34">
            <v>5.8560713</v>
          </cell>
          <cell r="P34">
            <v>4.8873201000000002</v>
          </cell>
          <cell r="R34">
            <v>4.0841580000000004</v>
          </cell>
          <cell r="T34">
            <v>3.7129110000000001</v>
          </cell>
          <cell r="V34">
            <v>3.2466390000000001</v>
          </cell>
          <cell r="X34">
            <v>3.1030150000000001</v>
          </cell>
          <cell r="Z34">
            <v>2.9798680000000002</v>
          </cell>
        </row>
        <row r="35">
          <cell r="D35" t="str">
            <v>Emissions|CH4</v>
          </cell>
          <cell r="E35" t="str">
            <v>Mt CH4/yr</v>
          </cell>
          <cell r="G35">
            <v>329.81611989999999</v>
          </cell>
          <cell r="H35">
            <v>357.636108199999</v>
          </cell>
          <cell r="J35">
            <v>415.6283947</v>
          </cell>
          <cell r="L35">
            <v>481.11365089999998</v>
          </cell>
          <cell r="N35">
            <v>545.54845130000001</v>
          </cell>
          <cell r="P35">
            <v>575.65372919999902</v>
          </cell>
          <cell r="R35">
            <v>591.5517175</v>
          </cell>
          <cell r="T35">
            <v>600.31281060000003</v>
          </cell>
          <cell r="V35">
            <v>612.77648020000004</v>
          </cell>
          <cell r="X35">
            <v>623.04757159999997</v>
          </cell>
          <cell r="Z35">
            <v>630.8657369</v>
          </cell>
        </row>
        <row r="36">
          <cell r="D36" t="str">
            <v>Emissions|CO2</v>
          </cell>
          <cell r="E36" t="str">
            <v>Mt CO2/yr</v>
          </cell>
          <cell r="G36">
            <v>34468.103999999999</v>
          </cell>
          <cell r="H36">
            <v>36076.630333333298</v>
          </cell>
          <cell r="J36">
            <v>43625.611333333298</v>
          </cell>
          <cell r="L36">
            <v>50906.394</v>
          </cell>
          <cell r="N36">
            <v>58900.698999999899</v>
          </cell>
          <cell r="P36">
            <v>66308.806666666598</v>
          </cell>
          <cell r="R36">
            <v>71752.515999999901</v>
          </cell>
          <cell r="T36">
            <v>74722.871666666601</v>
          </cell>
          <cell r="V36">
            <v>78738.304333333304</v>
          </cell>
          <cell r="X36">
            <v>80832.568666666601</v>
          </cell>
          <cell r="Z36">
            <v>83847.019666666602</v>
          </cell>
        </row>
        <row r="37">
          <cell r="D37" t="str">
            <v>Emissions|CO2|Carbon Capture and Storage</v>
          </cell>
          <cell r="E37" t="str">
            <v>Mt CO2/yr</v>
          </cell>
          <cell r="G37">
            <v>0</v>
          </cell>
          <cell r="H37">
            <v>0</v>
          </cell>
          <cell r="J37">
            <v>0</v>
          </cell>
          <cell r="L37">
            <v>6.5486666666666604</v>
          </cell>
          <cell r="N37">
            <v>6.5486666666666604</v>
          </cell>
          <cell r="P37">
            <v>3.2743333333333302</v>
          </cell>
          <cell r="R37">
            <v>0</v>
          </cell>
          <cell r="T37">
            <v>0</v>
          </cell>
          <cell r="V37">
            <v>0</v>
          </cell>
          <cell r="X37">
            <v>0</v>
          </cell>
          <cell r="Z37">
            <v>1.0046666666666599</v>
          </cell>
        </row>
        <row r="38">
          <cell r="D38" t="str">
            <v>Emissions|CO2|Carbon Capture and Storage|Biomass</v>
          </cell>
          <cell r="E38" t="str">
            <v>Mt CO2/yr</v>
          </cell>
          <cell r="G38">
            <v>0</v>
          </cell>
          <cell r="H38">
            <v>0</v>
          </cell>
          <cell r="J38">
            <v>0</v>
          </cell>
          <cell r="L38">
            <v>0</v>
          </cell>
          <cell r="N38">
            <v>0</v>
          </cell>
          <cell r="P38">
            <v>0</v>
          </cell>
          <cell r="R38">
            <v>0</v>
          </cell>
          <cell r="T38">
            <v>0</v>
          </cell>
          <cell r="V38">
            <v>0</v>
          </cell>
          <cell r="X38">
            <v>0</v>
          </cell>
          <cell r="Z38">
            <v>0</v>
          </cell>
        </row>
        <row r="39">
          <cell r="D39" t="str">
            <v>Emissions|CO2|Fossil Fuels and Industry</v>
          </cell>
          <cell r="E39" t="str">
            <v>Mt CO2/yr</v>
          </cell>
          <cell r="G39">
            <v>30693.204666666599</v>
          </cell>
          <cell r="H39">
            <v>32486.824333333301</v>
          </cell>
          <cell r="J39">
            <v>40383.2293333333</v>
          </cell>
          <cell r="L39">
            <v>48135.468333333301</v>
          </cell>
          <cell r="N39">
            <v>56688.151666666599</v>
          </cell>
          <cell r="P39">
            <v>64729.485333333301</v>
          </cell>
          <cell r="R39">
            <v>70870.561666666603</v>
          </cell>
          <cell r="T39">
            <v>74594.472333333295</v>
          </cell>
          <cell r="V39">
            <v>79412.109333333297</v>
          </cell>
          <cell r="X39">
            <v>82351.063666666596</v>
          </cell>
          <cell r="Z39">
            <v>86248.0153333333</v>
          </cell>
        </row>
        <row r="40">
          <cell r="D40" t="str">
            <v>Emissions|CO2|Fossil Fuels and Industry|Energy Demand</v>
          </cell>
          <cell r="E40" t="str">
            <v>Mt CO2/yr</v>
          </cell>
          <cell r="G40">
            <v>16667.845333333298</v>
          </cell>
          <cell r="H40">
            <v>18262.9369999999</v>
          </cell>
          <cell r="J40">
            <v>23694.454666666599</v>
          </cell>
          <cell r="L40">
            <v>29039.350999999999</v>
          </cell>
          <cell r="N40">
            <v>34292.3679999999</v>
          </cell>
          <cell r="P40">
            <v>37882.859666666598</v>
          </cell>
          <cell r="R40">
            <v>39171.685666666599</v>
          </cell>
          <cell r="T40">
            <v>38417.463333333297</v>
          </cell>
          <cell r="V40">
            <v>37205.912333333297</v>
          </cell>
          <cell r="X40">
            <v>38606.997000000003</v>
          </cell>
          <cell r="Z40">
            <v>41054.951666666602</v>
          </cell>
        </row>
        <row r="41">
          <cell r="D41" t="str">
            <v>Emissions|CO2|Fossil Fuels and Industry|Energy Demand|Industry</v>
          </cell>
          <cell r="E41" t="str">
            <v>Mt CO2/yr</v>
          </cell>
          <cell r="G41">
            <v>6939.2546666666603</v>
          </cell>
          <cell r="H41">
            <v>7856.9259999999904</v>
          </cell>
          <cell r="J41">
            <v>10966.255666666601</v>
          </cell>
          <cell r="L41">
            <v>13253.735000000001</v>
          </cell>
          <cell r="N41">
            <v>15460.184666666601</v>
          </cell>
          <cell r="P41">
            <v>17332.098666666599</v>
          </cell>
          <cell r="R41">
            <v>18430.789666666598</v>
          </cell>
          <cell r="T41">
            <v>19502.571</v>
          </cell>
          <cell r="V41">
            <v>20557.346333333298</v>
          </cell>
          <cell r="X41">
            <v>22253.792000000001</v>
          </cell>
          <cell r="Z41">
            <v>24426.7796666666</v>
          </cell>
        </row>
        <row r="42">
          <cell r="D42" t="str">
            <v>Emissions|CO2|Fossil Fuels and Industry|Energy Demand|Other Sector</v>
          </cell>
          <cell r="E42" t="str">
            <v>Mt CO2/yr</v>
          </cell>
        </row>
        <row r="43">
          <cell r="D43" t="str">
            <v>Emissions|CO2|Fossil Fuels and Industry|Energy Demand|Residential and Commercial</v>
          </cell>
          <cell r="E43" t="str">
            <v>Mt CO2/yr</v>
          </cell>
          <cell r="G43">
            <v>3378.4446666666599</v>
          </cell>
          <cell r="H43">
            <v>3614.9079999999999</v>
          </cell>
          <cell r="J43">
            <v>3184.69066666666</v>
          </cell>
          <cell r="L43">
            <v>2921.60366666666</v>
          </cell>
          <cell r="N43">
            <v>2752.6950000000002</v>
          </cell>
          <cell r="P43">
            <v>2982.68299999999</v>
          </cell>
          <cell r="R43">
            <v>3196.9483333333301</v>
          </cell>
          <cell r="T43">
            <v>3255.9266666666599</v>
          </cell>
          <cell r="V43">
            <v>3191.5986666666599</v>
          </cell>
          <cell r="X43">
            <v>3158.9360000000001</v>
          </cell>
          <cell r="Z43">
            <v>3165.4296666666601</v>
          </cell>
        </row>
        <row r="44">
          <cell r="D44" t="str">
            <v>Emissions|CO2|Fossil Fuels and Industry|Energy Demand|Transportation</v>
          </cell>
          <cell r="E44" t="str">
            <v>Mt CO2/yr</v>
          </cell>
          <cell r="G44">
            <v>6350.1459999999997</v>
          </cell>
          <cell r="H44">
            <v>6791.1029999999901</v>
          </cell>
          <cell r="J44">
            <v>9543.5083333333296</v>
          </cell>
          <cell r="L44">
            <v>12864.012333333299</v>
          </cell>
          <cell r="N44">
            <v>16079.4883333333</v>
          </cell>
          <cell r="P44">
            <v>17568.077999999899</v>
          </cell>
          <cell r="R44">
            <v>17543.947666666601</v>
          </cell>
          <cell r="T44">
            <v>15658.9656666666</v>
          </cell>
          <cell r="V44">
            <v>13456.967333333299</v>
          </cell>
          <cell r="X44">
            <v>13194.2689999999</v>
          </cell>
          <cell r="Z44">
            <v>13462.742333333301</v>
          </cell>
        </row>
        <row r="45">
          <cell r="D45" t="str">
            <v>Emissions|CO2|Fossil Fuels and Industry|Energy Supply</v>
          </cell>
          <cell r="E45" t="str">
            <v>Mt CO2/yr</v>
          </cell>
          <cell r="G45">
            <v>14025.359333333299</v>
          </cell>
          <cell r="H45">
            <v>14223.887333333299</v>
          </cell>
          <cell r="J45">
            <v>16688.774666666599</v>
          </cell>
          <cell r="L45">
            <v>19096.117333333299</v>
          </cell>
          <cell r="N45">
            <v>22395.783666666601</v>
          </cell>
          <cell r="P45">
            <v>26846.625666666601</v>
          </cell>
          <cell r="R45">
            <v>31698.875999999898</v>
          </cell>
          <cell r="T45">
            <v>36177.008999999998</v>
          </cell>
          <cell r="V45">
            <v>42206.197</v>
          </cell>
          <cell r="X45">
            <v>43744.0666666666</v>
          </cell>
          <cell r="Z45">
            <v>45193.063666666603</v>
          </cell>
        </row>
        <row r="46">
          <cell r="D46" t="str">
            <v>Emissions|CO2|Fossil Fuels and Industry|Energy Supply|Electricity</v>
          </cell>
          <cell r="E46" t="str">
            <v>Mt CO2/yr</v>
          </cell>
          <cell r="G46">
            <v>10889.981666666599</v>
          </cell>
          <cell r="H46">
            <v>11261.8183333333</v>
          </cell>
          <cell r="J46">
            <v>13483.271999999901</v>
          </cell>
          <cell r="L46">
            <v>15171.365</v>
          </cell>
          <cell r="N46">
            <v>16497.488333333298</v>
          </cell>
          <cell r="P46">
            <v>17498.279333333299</v>
          </cell>
          <cell r="R46">
            <v>17370.499666666601</v>
          </cell>
          <cell r="T46">
            <v>15800.858333333301</v>
          </cell>
          <cell r="V46">
            <v>15290.029333333299</v>
          </cell>
          <cell r="X46">
            <v>13474.0026666666</v>
          </cell>
          <cell r="Z46">
            <v>12573.11</v>
          </cell>
        </row>
        <row r="47">
          <cell r="D47" t="str">
            <v>Emissions|CO2|Land Use</v>
          </cell>
          <cell r="E47" t="str">
            <v>Mt CO2/yr</v>
          </cell>
          <cell r="G47">
            <v>3774.9066666666599</v>
          </cell>
          <cell r="H47">
            <v>3589.806</v>
          </cell>
          <cell r="J47">
            <v>3242.3893333333299</v>
          </cell>
          <cell r="L47">
            <v>2770.9293333333299</v>
          </cell>
          <cell r="N47">
            <v>2212.5436666666601</v>
          </cell>
          <cell r="P47">
            <v>1579.3213333333299</v>
          </cell>
          <cell r="R47">
            <v>881.95799999999997</v>
          </cell>
          <cell r="T47">
            <v>128.39566666666599</v>
          </cell>
          <cell r="V47">
            <v>-673.808666666666</v>
          </cell>
          <cell r="X47">
            <v>-1518.4949999999999</v>
          </cell>
          <cell r="Z47">
            <v>-2400.9956666666599</v>
          </cell>
        </row>
        <row r="48">
          <cell r="D48" t="str">
            <v>Emissions|F-Gases</v>
          </cell>
          <cell r="E48" t="str">
            <v>Mt CO2-equiv/yr</v>
          </cell>
          <cell r="G48">
            <v>550.25300000000004</v>
          </cell>
          <cell r="H48">
            <v>742.44133333333298</v>
          </cell>
          <cell r="J48">
            <v>1046.78933333333</v>
          </cell>
          <cell r="L48">
            <v>1261.3113333333299</v>
          </cell>
          <cell r="N48">
            <v>1427.49933333333</v>
          </cell>
          <cell r="P48">
            <v>1508.7819999999999</v>
          </cell>
          <cell r="R48">
            <v>1550.8423333333301</v>
          </cell>
          <cell r="T48">
            <v>1538.7239999999999</v>
          </cell>
          <cell r="V48">
            <v>1560.18133333333</v>
          </cell>
          <cell r="X48">
            <v>1622.1590000000001</v>
          </cell>
          <cell r="Z48">
            <v>1703.92199999999</v>
          </cell>
        </row>
        <row r="49">
          <cell r="D49" t="str">
            <v>Emissions|Kyoto Gases</v>
          </cell>
          <cell r="E49" t="str">
            <v>Mt CO2-equiv/yr</v>
          </cell>
          <cell r="G49">
            <v>46855.521129266599</v>
          </cell>
          <cell r="H49">
            <v>49557.527893133301</v>
          </cell>
          <cell r="J49">
            <v>59525.444996233302</v>
          </cell>
          <cell r="L49">
            <v>69154.895605766593</v>
          </cell>
          <cell r="N49">
            <v>79371.591037566599</v>
          </cell>
          <cell r="P49">
            <v>87941.4111960999</v>
          </cell>
          <cell r="R49">
            <v>93949.383000000002</v>
          </cell>
          <cell r="T49">
            <v>97160.653333333306</v>
          </cell>
          <cell r="V49">
            <v>101452.86066666601</v>
          </cell>
          <cell r="X49">
            <v>103906.209</v>
          </cell>
          <cell r="Z49">
            <v>107285.694999999</v>
          </cell>
        </row>
        <row r="50">
          <cell r="D50" t="str">
            <v>Emissions|N2O</v>
          </cell>
          <cell r="E50" t="str">
            <v>kt N2O/yr</v>
          </cell>
          <cell r="G50">
            <v>12045.913500000001</v>
          </cell>
          <cell r="H50">
            <v>12735.886</v>
          </cell>
          <cell r="J50">
            <v>14965.4725</v>
          </cell>
          <cell r="L50">
            <v>16631.896699999899</v>
          </cell>
          <cell r="N50">
            <v>18124.9254</v>
          </cell>
          <cell r="P50">
            <v>19224.279600000002</v>
          </cell>
          <cell r="R50">
            <v>19642.573499999999</v>
          </cell>
          <cell r="T50">
            <v>19756.494200000001</v>
          </cell>
          <cell r="V50">
            <v>19567.367999999999</v>
          </cell>
          <cell r="X50">
            <v>19702.464299999901</v>
          </cell>
          <cell r="Z50">
            <v>19996.9918</v>
          </cell>
        </row>
        <row r="51">
          <cell r="D51" t="str">
            <v>Emissions|NOx</v>
          </cell>
          <cell r="E51" t="str">
            <v>Mt NO2/yr</v>
          </cell>
          <cell r="G51">
            <v>117.477464999999</v>
          </cell>
          <cell r="H51">
            <v>115.629379999999</v>
          </cell>
          <cell r="J51">
            <v>122.9245651</v>
          </cell>
          <cell r="L51">
            <v>128.65828099999999</v>
          </cell>
          <cell r="N51">
            <v>112.15431820000001</v>
          </cell>
          <cell r="P51">
            <v>102.774093499999</v>
          </cell>
          <cell r="R51">
            <v>89.727259000000004</v>
          </cell>
          <cell r="T51">
            <v>69.174516999999994</v>
          </cell>
          <cell r="V51">
            <v>51.464405999999997</v>
          </cell>
          <cell r="X51">
            <v>43.032067999999903</v>
          </cell>
          <cell r="Z51">
            <v>37.577309999999997</v>
          </cell>
        </row>
        <row r="52">
          <cell r="D52" t="str">
            <v>Emissions|OC</v>
          </cell>
          <cell r="E52" t="str">
            <v>Mt OC/yr</v>
          </cell>
          <cell r="G52">
            <v>35.118236500000002</v>
          </cell>
          <cell r="H52">
            <v>32.497312000000001</v>
          </cell>
          <cell r="J52">
            <v>30.949057699999901</v>
          </cell>
          <cell r="L52">
            <v>30.263262300000001</v>
          </cell>
          <cell r="N52">
            <v>25.927453700000001</v>
          </cell>
          <cell r="P52">
            <v>22.296284799999999</v>
          </cell>
          <cell r="R52">
            <v>19.537362000000002</v>
          </cell>
          <cell r="T52">
            <v>17.813808999999999</v>
          </cell>
          <cell r="V52">
            <v>16.195782999999999</v>
          </cell>
          <cell r="X52">
            <v>14.988526</v>
          </cell>
          <cell r="Z52">
            <v>13.980048999999999</v>
          </cell>
        </row>
        <row r="53">
          <cell r="D53" t="str">
            <v>Emissions|Sulfur</v>
          </cell>
          <cell r="E53" t="str">
            <v>Mt SO2/yr</v>
          </cell>
          <cell r="G53">
            <v>110.16154</v>
          </cell>
          <cell r="H53">
            <v>101.05177</v>
          </cell>
          <cell r="J53">
            <v>96.231693399999898</v>
          </cell>
          <cell r="L53">
            <v>96.638097999999999</v>
          </cell>
          <cell r="N53">
            <v>78.436533499999996</v>
          </cell>
          <cell r="P53">
            <v>69.604852199999996</v>
          </cell>
          <cell r="R53">
            <v>59.046202999999998</v>
          </cell>
          <cell r="T53">
            <v>49.211273999999896</v>
          </cell>
          <cell r="V53">
            <v>40.547226000000002</v>
          </cell>
          <cell r="X53">
            <v>35.405172</v>
          </cell>
          <cell r="Z53">
            <v>33.213071999999997</v>
          </cell>
        </row>
        <row r="54">
          <cell r="D54" t="str">
            <v>Energy Service|Transportation|Freight</v>
          </cell>
          <cell r="E54" t="str">
            <v>bn tkm/yr</v>
          </cell>
        </row>
        <row r="55">
          <cell r="D55" t="str">
            <v>Energy Service|Transportation|Passenger</v>
          </cell>
          <cell r="E55" t="str">
            <v>bn pkm/yr</v>
          </cell>
        </row>
        <row r="56">
          <cell r="D56" t="str">
            <v>Final Energy</v>
          </cell>
          <cell r="E56" t="str">
            <v>EJ/yr</v>
          </cell>
          <cell r="G56">
            <v>321.44099999999997</v>
          </cell>
          <cell r="H56">
            <v>349.90199999999999</v>
          </cell>
          <cell r="J56">
            <v>436.82400000000001</v>
          </cell>
          <cell r="L56">
            <v>529.594999999999</v>
          </cell>
          <cell r="N56">
            <v>612.72799999999995</v>
          </cell>
          <cell r="P56">
            <v>682.39400000000001</v>
          </cell>
          <cell r="R56">
            <v>744.33799999999997</v>
          </cell>
          <cell r="T56">
            <v>794.63499999999999</v>
          </cell>
          <cell r="V56">
            <v>844.79399999999998</v>
          </cell>
          <cell r="X56">
            <v>918.03899999999999</v>
          </cell>
          <cell r="Z56">
            <v>997.71500000000003</v>
          </cell>
        </row>
        <row r="57">
          <cell r="D57" t="str">
            <v>Final Energy|Electricity</v>
          </cell>
          <cell r="E57" t="str">
            <v>EJ/yr</v>
          </cell>
          <cell r="G57">
            <v>54.151000000000003</v>
          </cell>
          <cell r="H57">
            <v>61.868000000000002</v>
          </cell>
          <cell r="J57">
            <v>77.105999999999995</v>
          </cell>
          <cell r="L57">
            <v>98.671000000000006</v>
          </cell>
          <cell r="N57">
            <v>119.358</v>
          </cell>
          <cell r="P57">
            <v>139.876</v>
          </cell>
          <cell r="R57">
            <v>164.096</v>
          </cell>
          <cell r="T57">
            <v>193.87</v>
          </cell>
          <cell r="V57">
            <v>224.69</v>
          </cell>
          <cell r="X57">
            <v>255.595</v>
          </cell>
          <cell r="Z57">
            <v>290.77100000000002</v>
          </cell>
        </row>
        <row r="58">
          <cell r="D58" t="str">
            <v>Final Energy|Gases</v>
          </cell>
          <cell r="E58" t="str">
            <v>EJ/yr</v>
          </cell>
          <cell r="G58">
            <v>48.85</v>
          </cell>
          <cell r="H58">
            <v>51.444000000000003</v>
          </cell>
          <cell r="J58">
            <v>49.570999999999998</v>
          </cell>
          <cell r="L58">
            <v>58.532999999999902</v>
          </cell>
          <cell r="N58">
            <v>73.954999999999998</v>
          </cell>
          <cell r="P58">
            <v>88.518000000000001</v>
          </cell>
          <cell r="R58">
            <v>95.828999999999994</v>
          </cell>
          <cell r="T58">
            <v>98.01</v>
          </cell>
          <cell r="V58">
            <v>103.533</v>
          </cell>
          <cell r="X58">
            <v>115.349</v>
          </cell>
          <cell r="Z58">
            <v>128.04</v>
          </cell>
        </row>
        <row r="59">
          <cell r="D59" t="str">
            <v>Final Energy|Heat</v>
          </cell>
          <cell r="E59" t="str">
            <v>EJ/yr</v>
          </cell>
          <cell r="G59">
            <v>11.271000000000001</v>
          </cell>
          <cell r="H59">
            <v>12.941000000000001</v>
          </cell>
          <cell r="J59">
            <v>14.503</v>
          </cell>
          <cell r="L59">
            <v>14.416</v>
          </cell>
          <cell r="N59">
            <v>12.407</v>
          </cell>
          <cell r="P59">
            <v>9.84</v>
          </cell>
          <cell r="R59">
            <v>10.755000000000001</v>
          </cell>
          <cell r="T59">
            <v>12.396000000000001</v>
          </cell>
          <cell r="V59">
            <v>13.925000000000001</v>
          </cell>
          <cell r="X59">
            <v>15.042999999999999</v>
          </cell>
          <cell r="Z59">
            <v>12.855</v>
          </cell>
        </row>
        <row r="60">
          <cell r="D60" t="str">
            <v>Final Energy|Hydrogen</v>
          </cell>
          <cell r="E60" t="str">
            <v>EJ/yr</v>
          </cell>
          <cell r="G60">
            <v>0</v>
          </cell>
          <cell r="H60">
            <v>0</v>
          </cell>
          <cell r="J60">
            <v>0</v>
          </cell>
          <cell r="L60">
            <v>0</v>
          </cell>
          <cell r="N60">
            <v>1.1080000000000001</v>
          </cell>
          <cell r="P60">
            <v>4.1879999999999997</v>
          </cell>
          <cell r="R60">
            <v>9.6820000000000004</v>
          </cell>
          <cell r="T60">
            <v>14.819000000000001</v>
          </cell>
          <cell r="V60">
            <v>23.222999999999999</v>
          </cell>
          <cell r="X60">
            <v>29.350999999999999</v>
          </cell>
          <cell r="Z60">
            <v>34.578000000000003</v>
          </cell>
        </row>
        <row r="61">
          <cell r="D61" t="str">
            <v>Final Energy|Industry</v>
          </cell>
          <cell r="E61" t="str">
            <v>EJ/yr</v>
          </cell>
          <cell r="G61">
            <v>116.735</v>
          </cell>
          <cell r="H61">
            <v>131.51599999999999</v>
          </cell>
          <cell r="J61">
            <v>175.06100000000001</v>
          </cell>
          <cell r="L61">
            <v>210.595</v>
          </cell>
          <cell r="N61">
            <v>242.922</v>
          </cell>
          <cell r="P61">
            <v>274.53100000000001</v>
          </cell>
          <cell r="R61">
            <v>304.46699999999998</v>
          </cell>
          <cell r="T61">
            <v>334.55099999999999</v>
          </cell>
          <cell r="V61">
            <v>364.99400000000003</v>
          </cell>
          <cell r="X61">
            <v>398.16899999999998</v>
          </cell>
          <cell r="Z61">
            <v>432.06400000000002</v>
          </cell>
        </row>
        <row r="62">
          <cell r="D62" t="str">
            <v>Final Energy|Industry|Electricity</v>
          </cell>
          <cell r="E62" t="str">
            <v>EJ/yr</v>
          </cell>
          <cell r="G62">
            <v>22.491</v>
          </cell>
          <cell r="H62">
            <v>25.465</v>
          </cell>
          <cell r="J62">
            <v>33.151000000000003</v>
          </cell>
          <cell r="L62">
            <v>43.316000000000003</v>
          </cell>
          <cell r="N62">
            <v>51.686999999999998</v>
          </cell>
          <cell r="P62">
            <v>58.043999999999997</v>
          </cell>
          <cell r="R62">
            <v>63.139000000000003</v>
          </cell>
          <cell r="T62">
            <v>68.613</v>
          </cell>
          <cell r="V62">
            <v>72.218999999999994</v>
          </cell>
          <cell r="X62">
            <v>77.433999999999997</v>
          </cell>
          <cell r="Z62">
            <v>84.545000000000002</v>
          </cell>
        </row>
        <row r="63">
          <cell r="D63" t="str">
            <v>Final Energy|Industry|Gases</v>
          </cell>
          <cell r="E63" t="str">
            <v>EJ/yr</v>
          </cell>
          <cell r="G63">
            <v>23.390999999999998</v>
          </cell>
          <cell r="H63">
            <v>23.245000000000001</v>
          </cell>
          <cell r="J63">
            <v>19.449000000000002</v>
          </cell>
          <cell r="L63">
            <v>22.876000000000001</v>
          </cell>
          <cell r="N63">
            <v>28.405999999999999</v>
          </cell>
          <cell r="P63">
            <v>35.118000000000002</v>
          </cell>
          <cell r="R63">
            <v>38.551000000000002</v>
          </cell>
          <cell r="T63">
            <v>39.676000000000002</v>
          </cell>
          <cell r="V63">
            <v>45.857999999999997</v>
          </cell>
          <cell r="X63">
            <v>58.183</v>
          </cell>
          <cell r="Z63">
            <v>70.926000000000002</v>
          </cell>
        </row>
        <row r="64">
          <cell r="D64" t="str">
            <v>Final Energy|Industry|Liquids</v>
          </cell>
          <cell r="E64" t="str">
            <v>EJ/yr</v>
          </cell>
          <cell r="G64">
            <v>36.654000000000003</v>
          </cell>
          <cell r="H64">
            <v>38.203000000000003</v>
          </cell>
          <cell r="J64">
            <v>62.661000000000001</v>
          </cell>
          <cell r="L64">
            <v>74.463999999999999</v>
          </cell>
          <cell r="N64">
            <v>77.290999999999997</v>
          </cell>
          <cell r="P64">
            <v>74.412000000000006</v>
          </cell>
          <cell r="R64">
            <v>78.105999999999995</v>
          </cell>
          <cell r="T64">
            <v>86.225999999999999</v>
          </cell>
          <cell r="V64">
            <v>90.962999999999994</v>
          </cell>
          <cell r="X64">
            <v>90.608999999999995</v>
          </cell>
          <cell r="Z64">
            <v>88.444000000000003</v>
          </cell>
        </row>
        <row r="65">
          <cell r="D65" t="str">
            <v>Final Energy|Industry|Other</v>
          </cell>
          <cell r="E65" t="str">
            <v>EJ/yr</v>
          </cell>
          <cell r="G65">
            <v>1.6E-2</v>
          </cell>
          <cell r="H65">
            <v>1.4999999999999999E-2</v>
          </cell>
          <cell r="J65">
            <v>8.9999999999999993E-3</v>
          </cell>
          <cell r="L65">
            <v>0.35899999999999999</v>
          </cell>
          <cell r="N65">
            <v>1.329</v>
          </cell>
          <cell r="P65">
            <v>4.5179999999999998</v>
          </cell>
          <cell r="R65">
            <v>10.919</v>
          </cell>
          <cell r="T65">
            <v>17.861000000000001</v>
          </cell>
          <cell r="V65">
            <v>21.831</v>
          </cell>
          <cell r="X65">
            <v>22.567</v>
          </cell>
          <cell r="Z65">
            <v>23.126000000000001</v>
          </cell>
        </row>
        <row r="66">
          <cell r="D66" t="str">
            <v>Final Energy|Industry|Solids</v>
          </cell>
          <cell r="E66" t="str">
            <v>EJ/yr</v>
          </cell>
          <cell r="G66">
            <v>29.459</v>
          </cell>
          <cell r="H66">
            <v>38.768999999999998</v>
          </cell>
          <cell r="J66">
            <v>53.417999999999999</v>
          </cell>
          <cell r="L66">
            <v>61.335000000000001</v>
          </cell>
          <cell r="N66">
            <v>73.081000000000003</v>
          </cell>
          <cell r="P66">
            <v>89.454999999999998</v>
          </cell>
          <cell r="R66">
            <v>94.843999999999994</v>
          </cell>
          <cell r="T66">
            <v>97.385999999999996</v>
          </cell>
          <cell r="V66">
            <v>101.56</v>
          </cell>
          <cell r="X66">
            <v>111.276</v>
          </cell>
          <cell r="Z66">
            <v>124.655</v>
          </cell>
        </row>
        <row r="67">
          <cell r="D67" t="str">
            <v>Final Energy|Liquids</v>
          </cell>
          <cell r="E67" t="str">
            <v>EJ/yr</v>
          </cell>
          <cell r="G67">
            <v>142.81100000000001</v>
          </cell>
          <cell r="H67">
            <v>152.30199999999999</v>
          </cell>
          <cell r="J67">
            <v>212.422</v>
          </cell>
          <cell r="L67">
            <v>260.47800000000001</v>
          </cell>
          <cell r="N67">
            <v>298.46499999999997</v>
          </cell>
          <cell r="P67">
            <v>322.47299999999899</v>
          </cell>
          <cell r="R67">
            <v>339.185</v>
          </cell>
          <cell r="T67">
            <v>340.17599999999999</v>
          </cell>
          <cell r="V67">
            <v>334.99200000000002</v>
          </cell>
          <cell r="X67">
            <v>347.16300000000001</v>
          </cell>
          <cell r="Z67">
            <v>361.54899999999998</v>
          </cell>
        </row>
        <row r="68">
          <cell r="D68" t="str">
            <v>Final Energy|Other</v>
          </cell>
          <cell r="E68" t="str">
            <v>EJ/yr</v>
          </cell>
        </row>
        <row r="69">
          <cell r="D69" t="str">
            <v>Final Energy|Other Sector</v>
          </cell>
          <cell r="E69" t="str">
            <v>EJ/yr</v>
          </cell>
        </row>
        <row r="70">
          <cell r="D70" t="str">
            <v>Final Energy|Residential and Commercial</v>
          </cell>
          <cell r="E70" t="str">
            <v>EJ/yr</v>
          </cell>
          <cell r="G70">
            <v>117.991999999999</v>
          </cell>
          <cell r="H70">
            <v>124.616999999999</v>
          </cell>
          <cell r="J70">
            <v>132.07</v>
          </cell>
          <cell r="L70">
            <v>143.68</v>
          </cell>
          <cell r="N70">
            <v>147.92699999999999</v>
          </cell>
          <cell r="P70">
            <v>151.65799999999999</v>
          </cell>
          <cell r="R70">
            <v>162.49</v>
          </cell>
          <cell r="T70">
            <v>176.19800000000001</v>
          </cell>
          <cell r="V70">
            <v>191.17500000000001</v>
          </cell>
          <cell r="X70">
            <v>208.44900000000001</v>
          </cell>
          <cell r="Z70">
            <v>226.233</v>
          </cell>
        </row>
        <row r="71">
          <cell r="D71" t="str">
            <v>Final Energy|Residential and Commercial|Electricity</v>
          </cell>
          <cell r="E71" t="str">
            <v>EJ/yr</v>
          </cell>
          <cell r="G71">
            <v>30.879000000000001</v>
          </cell>
          <cell r="H71">
            <v>35.606999999999999</v>
          </cell>
          <cell r="J71">
            <v>42.875999999999998</v>
          </cell>
          <cell r="L71">
            <v>54.152000000000001</v>
          </cell>
          <cell r="N71">
            <v>65.694000000000003</v>
          </cell>
          <cell r="P71">
            <v>75.704999999999998</v>
          </cell>
          <cell r="R71">
            <v>87.058000000000007</v>
          </cell>
          <cell r="T71">
            <v>97.843999999999994</v>
          </cell>
          <cell r="V71">
            <v>110.608</v>
          </cell>
          <cell r="X71">
            <v>126.15600000000001</v>
          </cell>
          <cell r="Z71">
            <v>142.88999999999999</v>
          </cell>
        </row>
        <row r="72">
          <cell r="D72" t="str">
            <v>Final Energy|Residential and Commercial|Gases</v>
          </cell>
          <cell r="E72" t="str">
            <v>EJ/yr</v>
          </cell>
          <cell r="G72">
            <v>25.119</v>
          </cell>
          <cell r="H72">
            <v>27.82</v>
          </cell>
          <cell r="J72">
            <v>29.158000000000001</v>
          </cell>
          <cell r="L72">
            <v>32.716999999999999</v>
          </cell>
          <cell r="N72">
            <v>38.86</v>
          </cell>
          <cell r="P72">
            <v>44.680999999999997</v>
          </cell>
          <cell r="R72">
            <v>47.610999999999997</v>
          </cell>
          <cell r="T72">
            <v>48.386000000000003</v>
          </cell>
          <cell r="V72">
            <v>47.466999999999999</v>
          </cell>
          <cell r="X72">
            <v>46.712000000000003</v>
          </cell>
          <cell r="Z72">
            <v>46.423000000000002</v>
          </cell>
        </row>
        <row r="73">
          <cell r="D73" t="str">
            <v>Final Energy|Residential and Commercial|Liquids</v>
          </cell>
          <cell r="E73" t="str">
            <v>EJ/yr</v>
          </cell>
          <cell r="G73">
            <v>20.75</v>
          </cell>
          <cell r="H73">
            <v>21.506</v>
          </cell>
          <cell r="J73">
            <v>22.111999999999998</v>
          </cell>
          <cell r="L73">
            <v>14.836</v>
          </cell>
          <cell r="N73">
            <v>7.96</v>
          </cell>
          <cell r="P73">
            <v>6.7009999999999996</v>
          </cell>
          <cell r="R73">
            <v>7.2619999999999996</v>
          </cell>
          <cell r="T73">
            <v>7.4240000000000004</v>
          </cell>
          <cell r="V73">
            <v>7.4729999999999999</v>
          </cell>
          <cell r="X73">
            <v>7.59</v>
          </cell>
          <cell r="Z73">
            <v>7.7140000000000004</v>
          </cell>
        </row>
        <row r="74">
          <cell r="D74" t="str">
            <v>Final Energy|Residential and Commercial|Other</v>
          </cell>
          <cell r="E74" t="str">
            <v>EJ/yr</v>
          </cell>
          <cell r="G74">
            <v>6.8339999999999996</v>
          </cell>
          <cell r="H74">
            <v>7.843</v>
          </cell>
          <cell r="J74">
            <v>13.625</v>
          </cell>
          <cell r="L74">
            <v>17.239999999999998</v>
          </cell>
          <cell r="N74">
            <v>17.561</v>
          </cell>
          <cell r="P74">
            <v>18.521999999999998</v>
          </cell>
          <cell r="R74">
            <v>20.542999999999999</v>
          </cell>
          <cell r="T74">
            <v>22.542999999999999</v>
          </cell>
          <cell r="V74">
            <v>25.625999999999902</v>
          </cell>
          <cell r="X74">
            <v>27.99</v>
          </cell>
          <cell r="Z74">
            <v>29.204999999999998</v>
          </cell>
        </row>
        <row r="75">
          <cell r="D75" t="str">
            <v>Final Energy|Residential and Commercial|Solids|Biomass</v>
          </cell>
          <cell r="E75" t="str">
            <v>EJ/yr</v>
          </cell>
          <cell r="G75">
            <v>29.652000000000001</v>
          </cell>
          <cell r="H75">
            <v>26.803999999999998</v>
          </cell>
          <cell r="J75">
            <v>24.189</v>
          </cell>
          <cell r="L75">
            <v>24.736000000000001</v>
          </cell>
          <cell r="N75">
            <v>17.852</v>
          </cell>
          <cell r="P75">
            <v>6.048</v>
          </cell>
          <cell r="R75">
            <v>1.4999999999999999E-2</v>
          </cell>
          <cell r="T75">
            <v>0</v>
          </cell>
          <cell r="V75">
            <v>0</v>
          </cell>
          <cell r="X75">
            <v>0</v>
          </cell>
          <cell r="Z75">
            <v>0</v>
          </cell>
        </row>
        <row r="76">
          <cell r="D76" t="str">
            <v>Final Energy|Residential and Commercial|Solids|Biomass|Traditional</v>
          </cell>
          <cell r="E76" t="str">
            <v>EJ/yr</v>
          </cell>
          <cell r="G76">
            <v>27.198</v>
          </cell>
          <cell r="H76">
            <v>24.295999999999999</v>
          </cell>
          <cell r="J76">
            <v>17.585000000000001</v>
          </cell>
          <cell r="L76">
            <v>12.679</v>
          </cell>
          <cell r="N76">
            <v>9.4120000000000008</v>
          </cell>
          <cell r="P76">
            <v>4.0709999999999997</v>
          </cell>
          <cell r="R76">
            <v>0</v>
          </cell>
          <cell r="T76">
            <v>0</v>
          </cell>
          <cell r="V76">
            <v>0</v>
          </cell>
          <cell r="X76">
            <v>0</v>
          </cell>
          <cell r="Z76">
            <v>0</v>
          </cell>
        </row>
        <row r="77">
          <cell r="D77" t="str">
            <v>Final Energy|Residential and Commercial|Solids|Coal</v>
          </cell>
          <cell r="E77" t="str">
            <v>EJ/yr</v>
          </cell>
          <cell r="G77">
            <v>4.7569999999999997</v>
          </cell>
          <cell r="H77">
            <v>5.0359999999999996</v>
          </cell>
          <cell r="J77">
            <v>0.11</v>
          </cell>
          <cell r="L77">
            <v>0</v>
          </cell>
          <cell r="N77">
            <v>0</v>
          </cell>
          <cell r="P77">
            <v>0</v>
          </cell>
          <cell r="R77">
            <v>0</v>
          </cell>
          <cell r="T77">
            <v>0</v>
          </cell>
          <cell r="V77">
            <v>0</v>
          </cell>
          <cell r="X77">
            <v>0</v>
          </cell>
          <cell r="Z77">
            <v>0</v>
          </cell>
        </row>
        <row r="78">
          <cell r="D78" t="str">
            <v>Final Energy|Residential and Commercial|Space Heating</v>
          </cell>
          <cell r="E78" t="str">
            <v>EJ/yr</v>
          </cell>
        </row>
        <row r="79">
          <cell r="D79" t="str">
            <v>Final Energy|Solids</v>
          </cell>
          <cell r="E79" t="str">
            <v>EJ/yr</v>
          </cell>
          <cell r="G79">
            <v>64.054999999999893</v>
          </cell>
          <cell r="H79">
            <v>70.611999999999995</v>
          </cell>
          <cell r="J79">
            <v>77.718999999999994</v>
          </cell>
          <cell r="L79">
            <v>86.070999999999998</v>
          </cell>
          <cell r="N79">
            <v>90.932999999999893</v>
          </cell>
          <cell r="P79">
            <v>95.504000000000005</v>
          </cell>
          <cell r="R79">
            <v>94.858999999999995</v>
          </cell>
          <cell r="T79">
            <v>97.385999999999996</v>
          </cell>
          <cell r="V79">
            <v>101.56</v>
          </cell>
          <cell r="X79">
            <v>111.276</v>
          </cell>
          <cell r="Z79">
            <v>124.655</v>
          </cell>
        </row>
        <row r="80">
          <cell r="D80" t="str">
            <v>Final Energy|Solids|Biomass</v>
          </cell>
          <cell r="E80" t="str">
            <v>EJ/yr</v>
          </cell>
          <cell r="G80">
            <v>37.067999999999998</v>
          </cell>
          <cell r="H80">
            <v>36.116</v>
          </cell>
          <cell r="J80">
            <v>33.337000000000003</v>
          </cell>
          <cell r="L80">
            <v>30.241</v>
          </cell>
          <cell r="N80">
            <v>19.486999999999998</v>
          </cell>
          <cell r="P80">
            <v>8.2409999999999997</v>
          </cell>
          <cell r="R80">
            <v>3.09</v>
          </cell>
          <cell r="T80">
            <v>3.504</v>
          </cell>
          <cell r="V80">
            <v>5.4729999999999999</v>
          </cell>
          <cell r="X80">
            <v>6.2859999999999996</v>
          </cell>
          <cell r="Z80">
            <v>5.0019999999999998</v>
          </cell>
        </row>
        <row r="81">
          <cell r="D81" t="str">
            <v>Final Energy|Solids|Biomass|Traditional</v>
          </cell>
          <cell r="E81" t="str">
            <v>EJ/yr</v>
          </cell>
          <cell r="G81">
            <v>27.198</v>
          </cell>
          <cell r="H81">
            <v>24.295999999999999</v>
          </cell>
          <cell r="J81">
            <v>17.585000000000001</v>
          </cell>
          <cell r="L81">
            <v>12.679</v>
          </cell>
          <cell r="N81">
            <v>9.4120000000000008</v>
          </cell>
          <cell r="P81">
            <v>4.0709999999999997</v>
          </cell>
          <cell r="R81">
            <v>0</v>
          </cell>
          <cell r="T81">
            <v>0</v>
          </cell>
          <cell r="V81">
            <v>0</v>
          </cell>
          <cell r="X81">
            <v>0</v>
          </cell>
          <cell r="Z81">
            <v>0</v>
          </cell>
        </row>
        <row r="82">
          <cell r="D82" t="str">
            <v>Final Energy|Solids|Coal</v>
          </cell>
          <cell r="E82" t="str">
            <v>EJ/yr</v>
          </cell>
          <cell r="G82">
            <v>26.986999999999998</v>
          </cell>
          <cell r="H82">
            <v>34.496000000000002</v>
          </cell>
          <cell r="J82">
            <v>44.381999999999998</v>
          </cell>
          <cell r="L82">
            <v>55.83</v>
          </cell>
          <cell r="N82">
            <v>71.445999999999998</v>
          </cell>
          <cell r="P82">
            <v>87.263000000000005</v>
          </cell>
          <cell r="R82">
            <v>91.769000000000005</v>
          </cell>
          <cell r="T82">
            <v>93.882000000000005</v>
          </cell>
          <cell r="V82">
            <v>96.087000000000003</v>
          </cell>
          <cell r="X82">
            <v>104.99</v>
          </cell>
          <cell r="Z82">
            <v>119.65300000000001</v>
          </cell>
        </row>
        <row r="83">
          <cell r="D83" t="str">
            <v>Final Energy|Transportation</v>
          </cell>
          <cell r="E83" t="str">
            <v>EJ/yr</v>
          </cell>
          <cell r="G83">
            <v>86.713999999999999</v>
          </cell>
          <cell r="H83">
            <v>93.768999999999906</v>
          </cell>
          <cell r="J83">
            <v>129.69200000000001</v>
          </cell>
          <cell r="L83">
            <v>175.321</v>
          </cell>
          <cell r="N83">
            <v>221.87799999999999</v>
          </cell>
          <cell r="P83">
            <v>256.20499999999998</v>
          </cell>
          <cell r="R83">
            <v>277.38099999999997</v>
          </cell>
          <cell r="T83">
            <v>283.88600000000002</v>
          </cell>
          <cell r="V83">
            <v>288.62599999999998</v>
          </cell>
          <cell r="X83">
            <v>311.42200000000003</v>
          </cell>
          <cell r="Z83">
            <v>339.41699999999997</v>
          </cell>
        </row>
        <row r="84">
          <cell r="D84" t="str">
            <v>Final Energy|Transportation|Electricity</v>
          </cell>
          <cell r="E84" t="str">
            <v>EJ/yr</v>
          </cell>
          <cell r="G84">
            <v>0.78</v>
          </cell>
          <cell r="H84">
            <v>0.79600000000000004</v>
          </cell>
          <cell r="J84">
            <v>1.079</v>
          </cell>
          <cell r="L84">
            <v>1.2030000000000001</v>
          </cell>
          <cell r="N84">
            <v>1.9770000000000001</v>
          </cell>
          <cell r="P84">
            <v>6.1269999999999998</v>
          </cell>
          <cell r="R84">
            <v>13.898999999999999</v>
          </cell>
          <cell r="T84">
            <v>27.413</v>
          </cell>
          <cell r="V84">
            <v>41.863</v>
          </cell>
          <cell r="X84">
            <v>52.005000000000003</v>
          </cell>
          <cell r="Z84">
            <v>63.335000000000001</v>
          </cell>
        </row>
        <row r="85">
          <cell r="D85" t="str">
            <v>Final Energy|Transportation|Freight</v>
          </cell>
          <cell r="E85" t="str">
            <v>EJ/yr</v>
          </cell>
        </row>
        <row r="86">
          <cell r="D86" t="str">
            <v>Final Energy|Transportation|Gases</v>
          </cell>
          <cell r="E86" t="str">
            <v>EJ/yr</v>
          </cell>
          <cell r="G86">
            <v>0.33900000000000002</v>
          </cell>
          <cell r="H86">
            <v>0.379</v>
          </cell>
          <cell r="J86">
            <v>0.96299999999999997</v>
          </cell>
          <cell r="L86">
            <v>2.9409999999999998</v>
          </cell>
          <cell r="N86">
            <v>6.6879999999999997</v>
          </cell>
          <cell r="P86">
            <v>8.718</v>
          </cell>
          <cell r="R86">
            <v>9.6660000000000004</v>
          </cell>
          <cell r="T86">
            <v>9.9480000000000004</v>
          </cell>
          <cell r="V86">
            <v>10.206999999999899</v>
          </cell>
          <cell r="X86">
            <v>10.452999999999999</v>
          </cell>
          <cell r="Z86">
            <v>10.690999999999899</v>
          </cell>
        </row>
        <row r="87">
          <cell r="D87" t="str">
            <v>Final Energy|Transportation|Hydrogen</v>
          </cell>
          <cell r="E87" t="str">
            <v>EJ/yr</v>
          </cell>
          <cell r="G87">
            <v>0</v>
          </cell>
          <cell r="H87">
            <v>0</v>
          </cell>
          <cell r="J87">
            <v>0</v>
          </cell>
          <cell r="L87">
            <v>0</v>
          </cell>
          <cell r="N87">
            <v>0</v>
          </cell>
          <cell r="P87">
            <v>0</v>
          </cell>
          <cell r="R87">
            <v>0</v>
          </cell>
          <cell r="T87">
            <v>0</v>
          </cell>
          <cell r="V87">
            <v>0</v>
          </cell>
          <cell r="X87">
            <v>0</v>
          </cell>
          <cell r="Z87">
            <v>0</v>
          </cell>
        </row>
        <row r="88">
          <cell r="D88" t="str">
            <v>Final Energy|Transportation|Liquids</v>
          </cell>
          <cell r="E88" t="str">
            <v>EJ/yr</v>
          </cell>
          <cell r="G88">
            <v>85.406999999999996</v>
          </cell>
          <cell r="H88">
            <v>92.593000000000004</v>
          </cell>
          <cell r="J88">
            <v>127.649</v>
          </cell>
          <cell r="L88">
            <v>171.178</v>
          </cell>
          <cell r="N88">
            <v>213.21199999999999</v>
          </cell>
          <cell r="P88">
            <v>241.36099999999999</v>
          </cell>
          <cell r="R88">
            <v>253.81599999999901</v>
          </cell>
          <cell r="T88">
            <v>246.52599999999899</v>
          </cell>
          <cell r="V88">
            <v>236.55599999999899</v>
          </cell>
          <cell r="X88">
            <v>248.964</v>
          </cell>
          <cell r="Z88">
            <v>265.39</v>
          </cell>
        </row>
        <row r="89">
          <cell r="D89" t="str">
            <v>Final Energy|Transportation|Liquids|Biomass</v>
          </cell>
          <cell r="E89" t="str">
            <v>EJ/yr</v>
          </cell>
          <cell r="G89">
            <v>0.76400000000000001</v>
          </cell>
          <cell r="H89">
            <v>1.796</v>
          </cell>
          <cell r="J89">
            <v>0.11899999999999999</v>
          </cell>
          <cell r="L89">
            <v>0.26</v>
          </cell>
          <cell r="N89">
            <v>0.875</v>
          </cell>
          <cell r="P89">
            <v>8.5289999999999999</v>
          </cell>
          <cell r="R89">
            <v>18.648</v>
          </cell>
          <cell r="T89">
            <v>33.046999999999997</v>
          </cell>
          <cell r="V89">
            <v>49.831000000000003</v>
          </cell>
          <cell r="X89">
            <v>63.604999999999997</v>
          </cell>
          <cell r="Z89">
            <v>74.512</v>
          </cell>
        </row>
        <row r="90">
          <cell r="D90" t="str">
            <v>Final Energy|Transportation|Liquids|Coal</v>
          </cell>
          <cell r="E90" t="str">
            <v>EJ/yr</v>
          </cell>
        </row>
        <row r="91">
          <cell r="D91" t="str">
            <v>Final Energy|Transportation|Liquids|Oil</v>
          </cell>
          <cell r="E91" t="str">
            <v>EJ/yr</v>
          </cell>
          <cell r="G91">
            <v>84.643000000000001</v>
          </cell>
          <cell r="H91">
            <v>90.796999999999997</v>
          </cell>
          <cell r="J91">
            <v>127.529</v>
          </cell>
          <cell r="L91">
            <v>169.78800000000001</v>
          </cell>
          <cell r="N91">
            <v>206.61500000000001</v>
          </cell>
          <cell r="P91">
            <v>214.559</v>
          </cell>
          <cell r="R91">
            <v>190.50899999999999</v>
          </cell>
          <cell r="T91">
            <v>140.82599999999999</v>
          </cell>
          <cell r="V91">
            <v>86.061999999999998</v>
          </cell>
          <cell r="X91">
            <v>68.322000000000003</v>
          </cell>
          <cell r="Z91">
            <v>62.174999999999997</v>
          </cell>
        </row>
        <row r="92">
          <cell r="D92" t="str">
            <v>Final Energy|Transportation|Other</v>
          </cell>
          <cell r="E92" t="str">
            <v>EJ/yr</v>
          </cell>
          <cell r="G92">
            <v>0.187</v>
          </cell>
          <cell r="H92">
            <v>2E-3</v>
          </cell>
          <cell r="J92">
            <v>0</v>
          </cell>
          <cell r="L92">
            <v>0</v>
          </cell>
          <cell r="N92">
            <v>0</v>
          </cell>
          <cell r="P92">
            <v>0</v>
          </cell>
          <cell r="R92">
            <v>0</v>
          </cell>
          <cell r="T92">
            <v>0</v>
          </cell>
          <cell r="V92">
            <v>0</v>
          </cell>
          <cell r="X92">
            <v>0</v>
          </cell>
          <cell r="Z92">
            <v>0</v>
          </cell>
        </row>
        <row r="93">
          <cell r="D93" t="str">
            <v>Final Energy|Transportation|Passenger</v>
          </cell>
          <cell r="E93" t="str">
            <v>EJ/yr</v>
          </cell>
        </row>
        <row r="94">
          <cell r="D94" t="str">
            <v>Forcing|AN3A|Endogenous</v>
          </cell>
          <cell r="E94" t="str">
            <v>W/m2</v>
          </cell>
          <cell r="G94">
            <v>2.0186019239999999</v>
          </cell>
          <cell r="H94">
            <v>2.3067842717999998</v>
          </cell>
          <cell r="J94">
            <v>2.8394400396999999</v>
          </cell>
          <cell r="L94">
            <v>3.4131674317199998</v>
          </cell>
          <cell r="N94">
            <v>4.0935679043100004</v>
          </cell>
          <cell r="P94">
            <v>4.7316220257800001</v>
          </cell>
          <cell r="R94">
            <v>5.3644156273460002</v>
          </cell>
          <cell r="T94">
            <v>5.9511140169800001</v>
          </cell>
          <cell r="V94">
            <v>6.5125736598900001</v>
          </cell>
          <cell r="X94">
            <v>7.0670568309400004</v>
          </cell>
          <cell r="Z94">
            <v>7.5890207869899999</v>
          </cell>
        </row>
        <row r="95">
          <cell r="D95" t="str">
            <v>Forcing|CO2|MAGICC6|MED</v>
          </cell>
          <cell r="E95" t="str">
            <v>W/m2</v>
          </cell>
          <cell r="G95">
            <v>1.6924585622578101</v>
          </cell>
          <cell r="H95">
            <v>1.8431716765861901</v>
          </cell>
          <cell r="J95">
            <v>2.1985446490941301</v>
          </cell>
          <cell r="L95">
            <v>2.6088153782025301</v>
          </cell>
          <cell r="N95">
            <v>3.0672191706101501</v>
          </cell>
          <cell r="P95">
            <v>3.5717120355134799</v>
          </cell>
          <cell r="R95">
            <v>4.08504542648061</v>
          </cell>
          <cell r="T95">
            <v>4.5992143719591301</v>
          </cell>
          <cell r="V95">
            <v>5.1013574176661702</v>
          </cell>
          <cell r="X95">
            <v>5.5932273300432298</v>
          </cell>
          <cell r="Z95">
            <v>6.0642361214118301</v>
          </cell>
        </row>
        <row r="96">
          <cell r="D96" t="str">
            <v>Forcing|CO2|MAGICC6|P16</v>
          </cell>
          <cell r="E96" t="str">
            <v>W/m2</v>
          </cell>
          <cell r="G96">
            <v>1.60594921316971</v>
          </cell>
          <cell r="H96">
            <v>1.74420377493011</v>
          </cell>
          <cell r="J96">
            <v>2.0718832266462601</v>
          </cell>
          <cell r="L96">
            <v>2.4386362768994099</v>
          </cell>
          <cell r="N96">
            <v>2.8448758193813402</v>
          </cell>
          <cell r="P96">
            <v>3.2848208942376602</v>
          </cell>
          <cell r="R96">
            <v>3.7497844124648698</v>
          </cell>
          <cell r="T96">
            <v>4.1987819388514396</v>
          </cell>
          <cell r="V96">
            <v>4.6466577486889697</v>
          </cell>
          <cell r="X96">
            <v>5.0808921359497399</v>
          </cell>
          <cell r="Z96">
            <v>5.5000139445336496</v>
          </cell>
        </row>
        <row r="97">
          <cell r="D97" t="str">
            <v>Forcing|CO2|MAGICC6|P84</v>
          </cell>
          <cell r="E97" t="str">
            <v>W/m2</v>
          </cell>
          <cell r="G97">
            <v>1.7830994566962299</v>
          </cell>
          <cell r="H97">
            <v>1.9446801067049899</v>
          </cell>
          <cell r="J97">
            <v>2.3321186276430899</v>
          </cell>
          <cell r="L97">
            <v>2.7848246511731598</v>
          </cell>
          <cell r="N97">
            <v>3.2921952879337599</v>
          </cell>
          <cell r="P97">
            <v>3.8435862202767099</v>
          </cell>
          <cell r="R97">
            <v>4.4105039778955</v>
          </cell>
          <cell r="T97">
            <v>4.9745891160501303</v>
          </cell>
          <cell r="V97">
            <v>5.5262958898612</v>
          </cell>
          <cell r="X97">
            <v>6.07879675378729</v>
          </cell>
          <cell r="Z97">
            <v>6.6020378570601501</v>
          </cell>
        </row>
        <row r="98">
          <cell r="D98" t="str">
            <v>Forcing|Endogenous</v>
          </cell>
          <cell r="E98" t="str">
            <v>W/m2</v>
          </cell>
          <cell r="G98">
            <v>1.618601918</v>
          </cell>
          <cell r="H98">
            <v>1.9067842658</v>
          </cell>
          <cell r="J98">
            <v>2.4394400337</v>
          </cell>
          <cell r="L98">
            <v>3.0131674257199998</v>
          </cell>
          <cell r="N98">
            <v>3.69356789831</v>
          </cell>
          <cell r="P98">
            <v>4.3316220197800002</v>
          </cell>
          <cell r="R98">
            <v>4.9644156213460002</v>
          </cell>
          <cell r="T98">
            <v>5.5511140109800001</v>
          </cell>
          <cell r="V98">
            <v>6.1125736538900002</v>
          </cell>
          <cell r="X98">
            <v>6.6670568249399897</v>
          </cell>
          <cell r="Z98">
            <v>7.18902078099</v>
          </cell>
        </row>
        <row r="99">
          <cell r="D99" t="str">
            <v>Forcing|Kyoto Gases|Endogenous</v>
          </cell>
          <cell r="E99" t="str">
            <v>W/m2</v>
          </cell>
          <cell r="G99">
            <v>2.3661888388999999</v>
          </cell>
          <cell r="H99">
            <v>2.57084657964</v>
          </cell>
          <cell r="J99">
            <v>3.0417468878</v>
          </cell>
          <cell r="L99">
            <v>3.58053226742999</v>
          </cell>
          <cell r="N99">
            <v>4.1709772426100002</v>
          </cell>
          <cell r="P99">
            <v>4.7816069278800004</v>
          </cell>
          <cell r="R99">
            <v>5.3761308345399996</v>
          </cell>
          <cell r="T99">
            <v>5.94395866231</v>
          </cell>
          <cell r="V99">
            <v>6.4910415415999996</v>
          </cell>
          <cell r="X99">
            <v>7.0181373059599998</v>
          </cell>
          <cell r="Z99">
            <v>7.5263099821299999</v>
          </cell>
        </row>
        <row r="100">
          <cell r="D100" t="str">
            <v>Forcing|Kyoto Gases|MAGICC6|MED</v>
          </cell>
          <cell r="E100" t="str">
            <v>W/m2</v>
          </cell>
          <cell r="G100">
            <v>2.35901809986037</v>
          </cell>
          <cell r="H100">
            <v>2.5421084902683502</v>
          </cell>
          <cell r="J100">
            <v>2.9996811200008802</v>
          </cell>
          <cell r="L100">
            <v>3.5307286683442798</v>
          </cell>
          <cell r="N100">
            <v>4.1225206565661896</v>
          </cell>
          <cell r="P100">
            <v>4.7581532501759201</v>
          </cell>
          <cell r="R100">
            <v>5.3726902216926504</v>
          </cell>
          <cell r="T100">
            <v>5.9525787331105198</v>
          </cell>
          <cell r="V100">
            <v>6.5066474345502101</v>
          </cell>
          <cell r="X100">
            <v>7.0569878034203501</v>
          </cell>
          <cell r="Z100">
            <v>7.5751636133221698</v>
          </cell>
        </row>
        <row r="101">
          <cell r="D101" t="str">
            <v>Forcing|Kyoto Gases|MAGICC6|P16</v>
          </cell>
          <cell r="E101" t="str">
            <v>W/m2</v>
          </cell>
          <cell r="G101">
            <v>2.2650428181816702</v>
          </cell>
          <cell r="H101">
            <v>2.4398990374231202</v>
          </cell>
          <cell r="J101">
            <v>2.8626794263151698</v>
          </cell>
          <cell r="L101">
            <v>3.35286764558741</v>
          </cell>
          <cell r="N101">
            <v>3.8997072570223299</v>
          </cell>
          <cell r="P101">
            <v>4.4686467060278101</v>
          </cell>
          <cell r="R101">
            <v>5.03253940132522</v>
          </cell>
          <cell r="T101">
            <v>5.5607022865694802</v>
          </cell>
          <cell r="V101">
            <v>6.0743272761345199</v>
          </cell>
          <cell r="X101">
            <v>6.5518127566077196</v>
          </cell>
          <cell r="Z101">
            <v>7.02196913349339</v>
          </cell>
        </row>
        <row r="102">
          <cell r="D102" t="str">
            <v>Forcing|Kyoto Gases|MAGICC6|P84</v>
          </cell>
          <cell r="E102" t="str">
            <v>W/m2</v>
          </cell>
          <cell r="G102">
            <v>2.4528229326940498</v>
          </cell>
          <cell r="H102">
            <v>2.6453481449590899</v>
          </cell>
          <cell r="J102">
            <v>3.1323944568136</v>
          </cell>
          <cell r="L102">
            <v>3.7099177797134999</v>
          </cell>
          <cell r="N102">
            <v>4.3625077814337496</v>
          </cell>
          <cell r="P102">
            <v>5.0343348620359496</v>
          </cell>
          <cell r="R102">
            <v>5.7013952918425304</v>
          </cell>
          <cell r="T102">
            <v>6.3400240316347602</v>
          </cell>
          <cell r="V102">
            <v>6.9543127764180603</v>
          </cell>
          <cell r="X102">
            <v>7.5350416603981598</v>
          </cell>
          <cell r="Z102">
            <v>8.1091133985867696</v>
          </cell>
        </row>
        <row r="103">
          <cell r="D103" t="str">
            <v>Forcing|MAGICC6|MED</v>
          </cell>
          <cell r="E103" t="str">
            <v>W/m2</v>
          </cell>
          <cell r="G103">
            <v>1.96800294290149</v>
          </cell>
          <cell r="H103">
            <v>2.19933934554322</v>
          </cell>
          <cell r="J103">
            <v>2.6770703103309001</v>
          </cell>
          <cell r="L103">
            <v>3.2190285276259401</v>
          </cell>
          <cell r="N103">
            <v>3.8999712687357202</v>
          </cell>
          <cell r="P103">
            <v>4.5465288749895896</v>
          </cell>
          <cell r="R103">
            <v>5.1938320518158196</v>
          </cell>
          <cell r="T103">
            <v>5.8389868119240296</v>
          </cell>
          <cell r="V103">
            <v>6.4299522164304204</v>
          </cell>
          <cell r="X103">
            <v>6.9863195780629503</v>
          </cell>
          <cell r="Z103">
            <v>7.5165069681167296</v>
          </cell>
        </row>
        <row r="104">
          <cell r="D104" t="str">
            <v>Forcing|MAGICC6|P16</v>
          </cell>
          <cell r="E104" t="str">
            <v>W/m2</v>
          </cell>
          <cell r="G104">
            <v>1.68702351776154</v>
          </cell>
          <cell r="H104">
            <v>1.9319495105764699</v>
          </cell>
          <cell r="J104">
            <v>2.4014161357681898</v>
          </cell>
          <cell r="L104">
            <v>2.9211112899860998</v>
          </cell>
          <cell r="N104">
            <v>3.56603735056003</v>
          </cell>
          <cell r="P104">
            <v>4.1928001597797397</v>
          </cell>
          <cell r="R104">
            <v>4.7959914287614298</v>
          </cell>
          <cell r="T104">
            <v>5.3756855626029996</v>
          </cell>
          <cell r="V104">
            <v>5.92320948945145</v>
          </cell>
          <cell r="X104">
            <v>6.4240048800556098</v>
          </cell>
          <cell r="Z104">
            <v>6.8981751454591604</v>
          </cell>
        </row>
        <row r="105">
          <cell r="D105" t="str">
            <v>Forcing|MAGICC6|P84</v>
          </cell>
          <cell r="E105" t="str">
            <v>W/m2</v>
          </cell>
          <cell r="G105">
            <v>2.1887387299505598</v>
          </cell>
          <cell r="H105">
            <v>2.4270760370514801</v>
          </cell>
          <cell r="J105">
            <v>2.9202627441520002</v>
          </cell>
          <cell r="L105">
            <v>3.5005196572464898</v>
          </cell>
          <cell r="N105">
            <v>4.2073491903735496</v>
          </cell>
          <cell r="P105">
            <v>4.8755031199411203</v>
          </cell>
          <cell r="R105">
            <v>5.5579089223480196</v>
          </cell>
          <cell r="T105">
            <v>6.2200387448306502</v>
          </cell>
          <cell r="V105">
            <v>6.8535912424092196</v>
          </cell>
          <cell r="X105">
            <v>7.4679113509710904</v>
          </cell>
          <cell r="Z105">
            <v>8.0502893199874794</v>
          </cell>
        </row>
        <row r="106">
          <cell r="D106" t="str">
            <v>GDP|MER</v>
          </cell>
          <cell r="E106" t="str">
            <v>billion US$2005/yr</v>
          </cell>
          <cell r="G106">
            <v>45636.3</v>
          </cell>
          <cell r="H106">
            <v>50647.49</v>
          </cell>
          <cell r="J106">
            <v>73307.5</v>
          </cell>
          <cell r="L106">
            <v>101592.9</v>
          </cell>
          <cell r="N106">
            <v>133988.79999999999</v>
          </cell>
          <cell r="P106">
            <v>170855.3</v>
          </cell>
          <cell r="R106">
            <v>211144.4</v>
          </cell>
          <cell r="T106">
            <v>256946.2</v>
          </cell>
          <cell r="V106">
            <v>306840.7</v>
          </cell>
          <cell r="X106">
            <v>362430.3</v>
          </cell>
          <cell r="Z106">
            <v>425408.1</v>
          </cell>
        </row>
        <row r="107">
          <cell r="D107" t="str">
            <v>GDP|PPP</v>
          </cell>
          <cell r="E107" t="str">
            <v>billion US$2005/yr</v>
          </cell>
          <cell r="G107">
            <v>58901</v>
          </cell>
          <cell r="H107">
            <v>68798.100000000006</v>
          </cell>
          <cell r="J107">
            <v>105018.3</v>
          </cell>
          <cell r="L107">
            <v>143615.59999999899</v>
          </cell>
          <cell r="N107">
            <v>179762.1</v>
          </cell>
          <cell r="P107">
            <v>215774.3</v>
          </cell>
          <cell r="R107">
            <v>251787.2</v>
          </cell>
          <cell r="T107">
            <v>290396.3</v>
          </cell>
          <cell r="V107">
            <v>330489.2</v>
          </cell>
          <cell r="X107">
            <v>373096.4</v>
          </cell>
          <cell r="Z107">
            <v>419707.4</v>
          </cell>
        </row>
        <row r="108">
          <cell r="D108" t="str">
            <v>Interest Rate|Real</v>
          </cell>
          <cell r="E108" t="str">
            <v>%</v>
          </cell>
        </row>
        <row r="109">
          <cell r="D109" t="str">
            <v>Investment|Energy Supply</v>
          </cell>
          <cell r="E109" t="str">
            <v>billion US$2005/yr</v>
          </cell>
          <cell r="G109">
            <v>844.90499999999997</v>
          </cell>
          <cell r="H109">
            <v>927.471</v>
          </cell>
          <cell r="J109">
            <v>953.71699999999998</v>
          </cell>
          <cell r="L109">
            <v>1273.5070000000001</v>
          </cell>
          <cell r="N109">
            <v>1775.424</v>
          </cell>
          <cell r="P109">
            <v>2134.1419999999998</v>
          </cell>
          <cell r="R109">
            <v>2649.154</v>
          </cell>
          <cell r="T109">
            <v>3226.7759999999998</v>
          </cell>
          <cell r="V109">
            <v>3648.2759999999998</v>
          </cell>
          <cell r="X109">
            <v>4008.9650000000001</v>
          </cell>
          <cell r="Z109">
            <v>4413.0770000000002</v>
          </cell>
        </row>
        <row r="110">
          <cell r="D110" t="str">
            <v>Investment|Energy Supply|Electricity</v>
          </cell>
          <cell r="E110" t="str">
            <v>billion US$2005/yr</v>
          </cell>
          <cell r="G110">
            <v>170.40799999999999</v>
          </cell>
          <cell r="H110">
            <v>264.67500000000001</v>
          </cell>
          <cell r="J110">
            <v>135.84199999999899</v>
          </cell>
          <cell r="L110">
            <v>200.822</v>
          </cell>
          <cell r="N110">
            <v>308.13499999999999</v>
          </cell>
          <cell r="P110">
            <v>297.71100000000001</v>
          </cell>
          <cell r="R110">
            <v>431.38499999999999</v>
          </cell>
          <cell r="T110">
            <v>612.49099999999896</v>
          </cell>
          <cell r="V110">
            <v>685.35299999999995</v>
          </cell>
          <cell r="X110">
            <v>857.94100000000003</v>
          </cell>
          <cell r="Z110">
            <v>1020.31</v>
          </cell>
        </row>
        <row r="111">
          <cell r="D111" t="str">
            <v>Policy Cost|Additional Total Energy System Cost</v>
          </cell>
          <cell r="E111" t="str">
            <v>billion US$2005/yr</v>
          </cell>
        </row>
        <row r="112">
          <cell r="D112" t="str">
            <v>Policy Cost|Area under MAC Curve</v>
          </cell>
          <cell r="E112" t="str">
            <v>billion US$2005/yr</v>
          </cell>
        </row>
        <row r="113">
          <cell r="D113" t="str">
            <v>Policy Cost|Consumption Loss</v>
          </cell>
          <cell r="E113" t="str">
            <v>billion US$2005/yr</v>
          </cell>
        </row>
        <row r="114">
          <cell r="D114" t="str">
            <v>Policy Cost|Equivalent Variation</v>
          </cell>
          <cell r="E114" t="str">
            <v>billion US$2005/yr</v>
          </cell>
        </row>
        <row r="115">
          <cell r="D115" t="str">
            <v>Policy Cost|GDP Loss</v>
          </cell>
          <cell r="E115" t="str">
            <v>billion US$2005/yr</v>
          </cell>
        </row>
        <row r="116">
          <cell r="D116" t="str">
            <v>Policy Cost|Other</v>
          </cell>
          <cell r="E116" t="str">
            <v>billion US$2005/yr</v>
          </cell>
        </row>
        <row r="117">
          <cell r="D117" t="str">
            <v>Population</v>
          </cell>
          <cell r="E117" t="str">
            <v>million</v>
          </cell>
          <cell r="G117">
            <v>6455.9</v>
          </cell>
          <cell r="H117">
            <v>6843.7</v>
          </cell>
          <cell r="J117">
            <v>7602.8</v>
          </cell>
          <cell r="L117">
            <v>8266.7999999999993</v>
          </cell>
          <cell r="N117">
            <v>8819.7000000000007</v>
          </cell>
          <cell r="P117">
            <v>9253.2000000000007</v>
          </cell>
          <cell r="R117">
            <v>9564.2999999999993</v>
          </cell>
          <cell r="T117">
            <v>9778.4</v>
          </cell>
          <cell r="V117">
            <v>9921.7999999999993</v>
          </cell>
          <cell r="X117">
            <v>10016.799999999999</v>
          </cell>
          <cell r="Z117">
            <v>10080.65</v>
          </cell>
        </row>
        <row r="118">
          <cell r="D118" t="str">
            <v>Price|Carbon</v>
          </cell>
          <cell r="E118" t="str">
            <v>US$2005/t CO2</v>
          </cell>
          <cell r="G118">
            <v>0</v>
          </cell>
          <cell r="H118">
            <v>0</v>
          </cell>
          <cell r="J118">
            <v>0</v>
          </cell>
          <cell r="L118">
            <v>0</v>
          </cell>
          <cell r="N118">
            <v>0</v>
          </cell>
          <cell r="P118">
            <v>0</v>
          </cell>
          <cell r="R118">
            <v>0</v>
          </cell>
          <cell r="T118">
            <v>0</v>
          </cell>
          <cell r="V118">
            <v>0</v>
          </cell>
          <cell r="X118">
            <v>0</v>
          </cell>
          <cell r="Z118">
            <v>0</v>
          </cell>
        </row>
        <row r="119">
          <cell r="D119" t="str">
            <v>Price|Primary Energy|Coal</v>
          </cell>
          <cell r="E119" t="str">
            <v>US$2005/GJ</v>
          </cell>
          <cell r="H119">
            <v>1.9450000000000001</v>
          </cell>
          <cell r="J119">
            <v>2.081</v>
          </cell>
          <cell r="L119">
            <v>2.6629999999999998</v>
          </cell>
          <cell r="N119">
            <v>2.968</v>
          </cell>
          <cell r="P119">
            <v>2.7050000000000001</v>
          </cell>
          <cell r="R119">
            <v>3.2629999999999999</v>
          </cell>
          <cell r="T119">
            <v>3.411</v>
          </cell>
          <cell r="V119">
            <v>3.556</v>
          </cell>
          <cell r="X119">
            <v>4.04</v>
          </cell>
          <cell r="Z119">
            <v>4.2539999999999996</v>
          </cell>
        </row>
        <row r="120">
          <cell r="D120" t="str">
            <v>Price|Primary Energy|Gas</v>
          </cell>
          <cell r="E120" t="str">
            <v>US$2005/GJ</v>
          </cell>
          <cell r="H120">
            <v>3.5720000000000001</v>
          </cell>
          <cell r="J120">
            <v>3.9009999999999998</v>
          </cell>
          <cell r="L120">
            <v>4.3620000000000001</v>
          </cell>
          <cell r="N120">
            <v>5.0460000000000003</v>
          </cell>
          <cell r="P120">
            <v>5.5229999999999997</v>
          </cell>
          <cell r="R120">
            <v>6.3289999999999997</v>
          </cell>
          <cell r="T120">
            <v>7.3079999999999998</v>
          </cell>
          <cell r="V120">
            <v>7.4770000000000003</v>
          </cell>
          <cell r="X120">
            <v>7.6829999999999998</v>
          </cell>
          <cell r="Z120">
            <v>8.6989999999999998</v>
          </cell>
        </row>
        <row r="121">
          <cell r="D121" t="str">
            <v>Price|Primary Energy|Oil</v>
          </cell>
          <cell r="E121" t="str">
            <v>US$2005/GJ</v>
          </cell>
          <cell r="H121">
            <v>3.109</v>
          </cell>
          <cell r="J121">
            <v>3.7589999999999999</v>
          </cell>
          <cell r="L121">
            <v>4.609</v>
          </cell>
          <cell r="N121">
            <v>5.625</v>
          </cell>
          <cell r="P121">
            <v>6.726</v>
          </cell>
          <cell r="R121">
            <v>6.843</v>
          </cell>
          <cell r="T121">
            <v>7.391</v>
          </cell>
          <cell r="V121">
            <v>8.2579999999999991</v>
          </cell>
          <cell r="X121">
            <v>8.1419999999999995</v>
          </cell>
          <cell r="Z121">
            <v>8.6170000000000009</v>
          </cell>
        </row>
        <row r="122">
          <cell r="D122" t="str">
            <v>Primary Energy</v>
          </cell>
          <cell r="E122" t="str">
            <v>EJ/yr</v>
          </cell>
          <cell r="G122">
            <v>454.49799999999999</v>
          </cell>
          <cell r="H122">
            <v>479.55500000000001</v>
          </cell>
          <cell r="J122">
            <v>582.35500000000002</v>
          </cell>
          <cell r="L122">
            <v>692.20699999999999</v>
          </cell>
          <cell r="N122">
            <v>804.78099999999995</v>
          </cell>
          <cell r="P122">
            <v>928.59799999999996</v>
          </cell>
          <cell r="R122">
            <v>1050.58</v>
          </cell>
          <cell r="T122">
            <v>1163.3679999999999</v>
          </cell>
          <cell r="V122">
            <v>1285.098</v>
          </cell>
          <cell r="X122">
            <v>1383.4780000000001</v>
          </cell>
          <cell r="Z122">
            <v>1489.788</v>
          </cell>
        </row>
        <row r="123">
          <cell r="D123" t="str">
            <v>Primary Energy|Biomass</v>
          </cell>
          <cell r="E123" t="str">
            <v>EJ/yr</v>
          </cell>
          <cell r="G123">
            <v>42.414000000000001</v>
          </cell>
          <cell r="H123">
            <v>45.162999999999997</v>
          </cell>
          <cell r="J123">
            <v>39.847000000000001</v>
          </cell>
          <cell r="L123">
            <v>34.835999999999999</v>
          </cell>
          <cell r="N123">
            <v>23.468</v>
          </cell>
          <cell r="P123">
            <v>30.366</v>
          </cell>
          <cell r="R123">
            <v>49.698</v>
          </cell>
          <cell r="T123">
            <v>83.477999999999994</v>
          </cell>
          <cell r="V123">
            <v>123.792</v>
          </cell>
          <cell r="X123">
            <v>155.66200000000001</v>
          </cell>
          <cell r="Z123">
            <v>179.46899999999999</v>
          </cell>
        </row>
        <row r="124">
          <cell r="D124" t="str">
            <v>Primary Energy|Biomass|Modern</v>
          </cell>
          <cell r="E124" t="str">
            <v>EJ/yr</v>
          </cell>
          <cell r="G124">
            <v>15.215999999999999</v>
          </cell>
          <cell r="H124">
            <v>20.866</v>
          </cell>
          <cell r="J124">
            <v>22.262</v>
          </cell>
          <cell r="L124">
            <v>22.157</v>
          </cell>
          <cell r="N124">
            <v>14.055999999999999</v>
          </cell>
          <cell r="P124">
            <v>26.295000000000002</v>
          </cell>
          <cell r="R124">
            <v>49.698</v>
          </cell>
          <cell r="T124">
            <v>83.477999999999994</v>
          </cell>
          <cell r="V124">
            <v>123.792</v>
          </cell>
          <cell r="X124">
            <v>155.66200000000001</v>
          </cell>
          <cell r="Z124">
            <v>179.46899999999999</v>
          </cell>
        </row>
        <row r="125">
          <cell r="D125" t="str">
            <v>Primary Energy|Biomass|Traditional</v>
          </cell>
          <cell r="E125" t="str">
            <v>EJ/yr</v>
          </cell>
          <cell r="G125">
            <v>27.198</v>
          </cell>
          <cell r="H125">
            <v>24.295999999999999</v>
          </cell>
          <cell r="J125">
            <v>17.585000000000001</v>
          </cell>
          <cell r="L125">
            <v>12.679</v>
          </cell>
          <cell r="N125">
            <v>9.4120000000000008</v>
          </cell>
          <cell r="P125">
            <v>4.0709999999999997</v>
          </cell>
          <cell r="R125">
            <v>0</v>
          </cell>
          <cell r="T125">
            <v>0</v>
          </cell>
          <cell r="V125">
            <v>0</v>
          </cell>
          <cell r="X125">
            <v>0</v>
          </cell>
          <cell r="Z125">
            <v>0</v>
          </cell>
        </row>
        <row r="126">
          <cell r="D126" t="str">
            <v>Primary Energy|Biomass|w/ CCS</v>
          </cell>
          <cell r="E126" t="str">
            <v>EJ/yr</v>
          </cell>
          <cell r="G126">
            <v>0</v>
          </cell>
          <cell r="H126">
            <v>0</v>
          </cell>
          <cell r="J126">
            <v>0</v>
          </cell>
          <cell r="L126">
            <v>0</v>
          </cell>
          <cell r="N126">
            <v>0</v>
          </cell>
          <cell r="P126">
            <v>0</v>
          </cell>
          <cell r="R126">
            <v>0</v>
          </cell>
          <cell r="T126">
            <v>0</v>
          </cell>
          <cell r="V126">
            <v>0</v>
          </cell>
          <cell r="X126">
            <v>0</v>
          </cell>
          <cell r="Z126">
            <v>0</v>
          </cell>
        </row>
        <row r="127">
          <cell r="D127" t="str">
            <v>Primary Energy|Biomass|w/o CCS</v>
          </cell>
          <cell r="E127" t="str">
            <v>EJ/yr</v>
          </cell>
          <cell r="G127">
            <v>42.414000000000001</v>
          </cell>
          <cell r="H127">
            <v>45.162999999999997</v>
          </cell>
          <cell r="J127">
            <v>39.847000000000001</v>
          </cell>
          <cell r="L127">
            <v>34.835999999999999</v>
          </cell>
          <cell r="N127">
            <v>23.468</v>
          </cell>
          <cell r="P127">
            <v>30.366</v>
          </cell>
          <cell r="R127">
            <v>49.698</v>
          </cell>
          <cell r="T127">
            <v>83.477999999999994</v>
          </cell>
          <cell r="V127">
            <v>123.792</v>
          </cell>
          <cell r="X127">
            <v>155.66200000000001</v>
          </cell>
          <cell r="Z127">
            <v>179.46899999999999</v>
          </cell>
        </row>
        <row r="128">
          <cell r="D128" t="str">
            <v>Primary Energy|Coal</v>
          </cell>
          <cell r="E128" t="str">
            <v>EJ/yr</v>
          </cell>
          <cell r="G128">
            <v>121.148</v>
          </cell>
          <cell r="H128">
            <v>137.82499999999999</v>
          </cell>
          <cell r="J128">
            <v>166.50200000000001</v>
          </cell>
          <cell r="L128">
            <v>188.92099999999999</v>
          </cell>
          <cell r="N128">
            <v>221.12799999999999</v>
          </cell>
          <cell r="P128">
            <v>271.03699999999998</v>
          </cell>
          <cell r="R128">
            <v>321.07299999999998</v>
          </cell>
          <cell r="T128">
            <v>364.42899999999997</v>
          </cell>
          <cell r="V128">
            <v>438.92599999999999</v>
          </cell>
          <cell r="X128">
            <v>493.41800000000001</v>
          </cell>
          <cell r="Z128">
            <v>544.59900000000005</v>
          </cell>
        </row>
        <row r="129">
          <cell r="D129" t="str">
            <v>Primary Energy|Coal|Electricity</v>
          </cell>
          <cell r="E129" t="str">
            <v>EJ/yr</v>
          </cell>
        </row>
        <row r="130">
          <cell r="D130" t="str">
            <v>Primary Energy|Coal|w/ CCS</v>
          </cell>
          <cell r="E130" t="str">
            <v>EJ/yr</v>
          </cell>
          <cell r="G130">
            <v>0</v>
          </cell>
          <cell r="H130">
            <v>0</v>
          </cell>
          <cell r="J130">
            <v>0</v>
          </cell>
          <cell r="L130">
            <v>0</v>
          </cell>
          <cell r="N130">
            <v>0</v>
          </cell>
          <cell r="P130">
            <v>0</v>
          </cell>
          <cell r="R130">
            <v>0</v>
          </cell>
          <cell r="T130">
            <v>0</v>
          </cell>
          <cell r="V130">
            <v>0</v>
          </cell>
          <cell r="X130">
            <v>0</v>
          </cell>
          <cell r="Z130">
            <v>1.9E-2</v>
          </cell>
        </row>
        <row r="131">
          <cell r="D131" t="str">
            <v>Primary Energy|Coal|w/o CCS</v>
          </cell>
          <cell r="E131" t="str">
            <v>EJ/yr</v>
          </cell>
          <cell r="G131">
            <v>121.148</v>
          </cell>
          <cell r="H131">
            <v>137.82499999999999</v>
          </cell>
          <cell r="J131">
            <v>166.50200000000001</v>
          </cell>
          <cell r="L131">
            <v>188.92099999999999</v>
          </cell>
          <cell r="N131">
            <v>221.12799999999999</v>
          </cell>
          <cell r="P131">
            <v>271.03699999999998</v>
          </cell>
          <cell r="R131">
            <v>321.07299999999998</v>
          </cell>
          <cell r="T131">
            <v>364.42899999999997</v>
          </cell>
          <cell r="V131">
            <v>438.92599999999999</v>
          </cell>
          <cell r="X131">
            <v>493.41800000000001</v>
          </cell>
          <cell r="Z131">
            <v>544.58000000000004</v>
          </cell>
        </row>
        <row r="132">
          <cell r="D132" t="str">
            <v>Primary Energy|Fossil</v>
          </cell>
          <cell r="E132" t="str">
            <v>EJ/yr</v>
          </cell>
          <cell r="G132">
            <v>390.69099999999997</v>
          </cell>
          <cell r="H132">
            <v>409.20400000000001</v>
          </cell>
          <cell r="J132">
            <v>510.32900000000001</v>
          </cell>
          <cell r="L132">
            <v>616.68899999999996</v>
          </cell>
          <cell r="N132">
            <v>731.04899999999895</v>
          </cell>
          <cell r="P132">
            <v>831.28599999999994</v>
          </cell>
          <cell r="R132">
            <v>905.56600000000003</v>
          </cell>
          <cell r="T132">
            <v>948.28599999999994</v>
          </cell>
          <cell r="V132">
            <v>991.12400000000002</v>
          </cell>
          <cell r="X132">
            <v>1011.69599999999</v>
          </cell>
          <cell r="Z132">
            <v>1046.5740000000001</v>
          </cell>
        </row>
        <row r="133">
          <cell r="D133" t="str">
            <v>Primary Energy|Fossil|w/ CCS</v>
          </cell>
          <cell r="E133" t="str">
            <v>EJ/yr</v>
          </cell>
          <cell r="G133">
            <v>0</v>
          </cell>
          <cell r="H133">
            <v>0</v>
          </cell>
          <cell r="J133">
            <v>0</v>
          </cell>
          <cell r="L133">
            <v>0</v>
          </cell>
          <cell r="N133">
            <v>0</v>
          </cell>
          <cell r="P133">
            <v>0</v>
          </cell>
          <cell r="R133">
            <v>0</v>
          </cell>
          <cell r="T133">
            <v>0</v>
          </cell>
          <cell r="V133">
            <v>0</v>
          </cell>
          <cell r="X133">
            <v>0</v>
          </cell>
          <cell r="Z133">
            <v>1.9E-2</v>
          </cell>
        </row>
        <row r="134">
          <cell r="D134" t="str">
            <v>Primary Energy|Fossil|w/o CCS</v>
          </cell>
          <cell r="E134" t="str">
            <v>EJ/yr</v>
          </cell>
          <cell r="G134">
            <v>390.69099999999997</v>
          </cell>
          <cell r="H134">
            <v>409.20400000000001</v>
          </cell>
          <cell r="J134">
            <v>510.32900000000001</v>
          </cell>
          <cell r="L134">
            <v>616.68899999999996</v>
          </cell>
          <cell r="N134">
            <v>731.04899999999998</v>
          </cell>
          <cell r="P134">
            <v>831.28599999999994</v>
          </cell>
          <cell r="R134">
            <v>905.56600000000003</v>
          </cell>
          <cell r="T134">
            <v>948.28599999999904</v>
          </cell>
          <cell r="V134">
            <v>991.12400000000002</v>
          </cell>
          <cell r="X134">
            <v>1011.696</v>
          </cell>
          <cell r="Z134">
            <v>1046.5549999999901</v>
          </cell>
        </row>
        <row r="135">
          <cell r="D135" t="str">
            <v>Primary Energy|Gas</v>
          </cell>
          <cell r="E135" t="str">
            <v>EJ/yr</v>
          </cell>
          <cell r="G135">
            <v>100.2</v>
          </cell>
          <cell r="H135">
            <v>100.92</v>
          </cell>
          <cell r="J135">
            <v>115.11</v>
          </cell>
          <cell r="L135">
            <v>154.88200000000001</v>
          </cell>
          <cell r="N135">
            <v>196.423</v>
          </cell>
          <cell r="P135">
            <v>230.88399999999999</v>
          </cell>
          <cell r="R135">
            <v>265.06299999999999</v>
          </cell>
          <cell r="T135">
            <v>295.63799999999998</v>
          </cell>
          <cell r="V135">
            <v>303.47899999999998</v>
          </cell>
          <cell r="X135">
            <v>297.60899999999998</v>
          </cell>
          <cell r="Z135">
            <v>295.23399999999998</v>
          </cell>
        </row>
        <row r="136">
          <cell r="D136" t="str">
            <v>Primary Energy|Gas|Electricity</v>
          </cell>
          <cell r="E136" t="str">
            <v>EJ/yr</v>
          </cell>
        </row>
        <row r="137">
          <cell r="D137" t="str">
            <v>Primary Energy|Gas|w/ CCS</v>
          </cell>
          <cell r="E137" t="str">
            <v>EJ/yr</v>
          </cell>
          <cell r="G137">
            <v>0</v>
          </cell>
          <cell r="H137">
            <v>0</v>
          </cell>
          <cell r="J137">
            <v>0</v>
          </cell>
          <cell r="L137">
            <v>0</v>
          </cell>
          <cell r="N137">
            <v>0</v>
          </cell>
          <cell r="P137">
            <v>0</v>
          </cell>
          <cell r="R137">
            <v>0</v>
          </cell>
          <cell r="T137">
            <v>0</v>
          </cell>
          <cell r="V137">
            <v>0</v>
          </cell>
          <cell r="X137">
            <v>0</v>
          </cell>
          <cell r="Z137">
            <v>0</v>
          </cell>
        </row>
        <row r="138">
          <cell r="D138" t="str">
            <v>Primary Energy|Gas|w/o CCS</v>
          </cell>
          <cell r="E138" t="str">
            <v>EJ/yr</v>
          </cell>
          <cell r="G138">
            <v>100.2</v>
          </cell>
          <cell r="H138">
            <v>100.92</v>
          </cell>
          <cell r="J138">
            <v>115.11</v>
          </cell>
          <cell r="L138">
            <v>154.88200000000001</v>
          </cell>
          <cell r="N138">
            <v>196.423</v>
          </cell>
          <cell r="P138">
            <v>230.88399999999999</v>
          </cell>
          <cell r="R138">
            <v>265.06299999999999</v>
          </cell>
          <cell r="T138">
            <v>295.63799999999998</v>
          </cell>
          <cell r="V138">
            <v>303.47899999999998</v>
          </cell>
          <cell r="X138">
            <v>297.60899999999998</v>
          </cell>
          <cell r="Z138">
            <v>295.23399999999998</v>
          </cell>
        </row>
        <row r="139">
          <cell r="D139" t="str">
            <v>Primary Energy|Geothermal</v>
          </cell>
          <cell r="E139" t="str">
            <v>EJ/yr</v>
          </cell>
          <cell r="G139">
            <v>0.35399999999999998</v>
          </cell>
          <cell r="H139">
            <v>0.52200000000000002</v>
          </cell>
          <cell r="J139">
            <v>0.59599999999999997</v>
          </cell>
          <cell r="L139">
            <v>0.50600000000000001</v>
          </cell>
          <cell r="N139">
            <v>1E-3</v>
          </cell>
          <cell r="P139">
            <v>1E-3</v>
          </cell>
          <cell r="R139">
            <v>1E-3</v>
          </cell>
          <cell r="T139">
            <v>1E-3</v>
          </cell>
          <cell r="V139">
            <v>1E-3</v>
          </cell>
          <cell r="X139">
            <v>1E-3</v>
          </cell>
          <cell r="Z139">
            <v>1.4999999999999999E-2</v>
          </cell>
        </row>
        <row r="140">
          <cell r="D140" t="str">
            <v>Primary Energy|Hydro</v>
          </cell>
          <cell r="E140" t="str">
            <v>EJ/yr</v>
          </cell>
          <cell r="G140">
            <v>10.38</v>
          </cell>
          <cell r="H140">
            <v>12.242000000000001</v>
          </cell>
          <cell r="J140">
            <v>12.894</v>
          </cell>
          <cell r="L140">
            <v>13.446</v>
          </cell>
          <cell r="N140">
            <v>13.821</v>
          </cell>
          <cell r="P140">
            <v>14.034000000000001</v>
          </cell>
          <cell r="R140">
            <v>14.651</v>
          </cell>
          <cell r="T140">
            <v>16.582000000000001</v>
          </cell>
          <cell r="V140">
            <v>17.558</v>
          </cell>
          <cell r="X140">
            <v>19.523</v>
          </cell>
          <cell r="Z140">
            <v>19.861000000000001</v>
          </cell>
        </row>
        <row r="141">
          <cell r="D141" t="str">
            <v>Primary Energy|Non-Biomass Renewables</v>
          </cell>
          <cell r="E141" t="str">
            <v>EJ/yr</v>
          </cell>
          <cell r="G141">
            <v>11.458</v>
          </cell>
          <cell r="H141">
            <v>14.923</v>
          </cell>
          <cell r="J141">
            <v>21.148999999999901</v>
          </cell>
          <cell r="L141">
            <v>31.327999999999999</v>
          </cell>
          <cell r="N141">
            <v>44.917999999999999</v>
          </cell>
          <cell r="P141">
            <v>64.86</v>
          </cell>
          <cell r="R141">
            <v>94.25</v>
          </cell>
          <cell r="T141">
            <v>131.41900000000001</v>
          </cell>
          <cell r="V141">
            <v>170.589</v>
          </cell>
          <cell r="X141">
            <v>216.55799999999999</v>
          </cell>
          <cell r="Z141">
            <v>264.23899999999998</v>
          </cell>
        </row>
        <row r="142">
          <cell r="D142" t="str">
            <v>Primary Energy|Nuclear</v>
          </cell>
          <cell r="E142" t="str">
            <v>EJ/yr</v>
          </cell>
          <cell r="G142">
            <v>9.9670000000000005</v>
          </cell>
          <cell r="H142">
            <v>10.275</v>
          </cell>
          <cell r="J142">
            <v>11.041</v>
          </cell>
          <cell r="L142">
            <v>9.3840000000000003</v>
          </cell>
          <cell r="N142">
            <v>5.4020000000000001</v>
          </cell>
          <cell r="P142">
            <v>2.1859999999999999</v>
          </cell>
          <cell r="R142">
            <v>1.181</v>
          </cell>
          <cell r="T142">
            <v>0.373</v>
          </cell>
          <cell r="V142">
            <v>6.0999999999999999E-2</v>
          </cell>
          <cell r="X142">
            <v>6.0999999999999999E-2</v>
          </cell>
          <cell r="Z142">
            <v>6.0999999999999999E-2</v>
          </cell>
        </row>
        <row r="143">
          <cell r="D143" t="str">
            <v>Primary Energy|Ocean</v>
          </cell>
          <cell r="E143" t="str">
            <v>EJ/yr</v>
          </cell>
        </row>
        <row r="144">
          <cell r="D144" t="str">
            <v>Primary Energy|Oil</v>
          </cell>
          <cell r="E144" t="str">
            <v>EJ/yr</v>
          </cell>
          <cell r="G144">
            <v>169.34299999999999</v>
          </cell>
          <cell r="H144">
            <v>170.459</v>
          </cell>
          <cell r="J144">
            <v>228.71700000000001</v>
          </cell>
          <cell r="L144">
            <v>272.885999999999</v>
          </cell>
          <cell r="N144">
            <v>313.49799999999999</v>
          </cell>
          <cell r="P144">
            <v>329.36500000000001</v>
          </cell>
          <cell r="R144">
            <v>319.43</v>
          </cell>
          <cell r="T144">
            <v>288.21899999999999</v>
          </cell>
          <cell r="V144">
            <v>248.71899999999999</v>
          </cell>
          <cell r="X144">
            <v>220.66900000000001</v>
          </cell>
          <cell r="Z144">
            <v>206.74100000000001</v>
          </cell>
        </row>
        <row r="145">
          <cell r="D145" t="str">
            <v>Primary Energy|Oil|w/ CCS</v>
          </cell>
          <cell r="E145" t="str">
            <v>EJ/yr</v>
          </cell>
        </row>
        <row r="146">
          <cell r="D146" t="str">
            <v>Primary Energy|Oil|w/o CCS</v>
          </cell>
          <cell r="E146" t="str">
            <v>EJ/yr</v>
          </cell>
          <cell r="G146">
            <v>169.34299999999999</v>
          </cell>
          <cell r="H146">
            <v>170.459</v>
          </cell>
          <cell r="J146">
            <v>228.71700000000001</v>
          </cell>
          <cell r="L146">
            <v>272.885999999999</v>
          </cell>
          <cell r="N146">
            <v>313.49799999999999</v>
          </cell>
          <cell r="P146">
            <v>329.36500000000001</v>
          </cell>
          <cell r="R146">
            <v>319.43</v>
          </cell>
          <cell r="T146">
            <v>288.21899999999999</v>
          </cell>
          <cell r="V146">
            <v>248.71899999999999</v>
          </cell>
          <cell r="X146">
            <v>220.66900000000001</v>
          </cell>
          <cell r="Z146">
            <v>206.74100000000001</v>
          </cell>
        </row>
        <row r="147">
          <cell r="D147" t="str">
            <v>Primary Energy|Other</v>
          </cell>
          <cell r="E147" t="str">
            <v>EJ/yr</v>
          </cell>
        </row>
        <row r="148">
          <cell r="D148" t="str">
            <v>Primary Energy|Solar</v>
          </cell>
          <cell r="E148" t="str">
            <v>EJ/yr</v>
          </cell>
          <cell r="G148">
            <v>0.33900000000000002</v>
          </cell>
          <cell r="H148">
            <v>0.95199999999999996</v>
          </cell>
          <cell r="J148">
            <v>6.2539999999999996</v>
          </cell>
          <cell r="L148">
            <v>14.003</v>
          </cell>
          <cell r="N148">
            <v>22.962</v>
          </cell>
          <cell r="P148">
            <v>36.334000000000003</v>
          </cell>
          <cell r="R148">
            <v>59.05</v>
          </cell>
          <cell r="T148">
            <v>85.501999999999995</v>
          </cell>
          <cell r="V148">
            <v>116.43300000000001</v>
          </cell>
          <cell r="X148">
            <v>152.346</v>
          </cell>
          <cell r="Z148">
            <v>195.411</v>
          </cell>
        </row>
        <row r="149">
          <cell r="D149" t="str">
            <v>Primary Energy|Wind</v>
          </cell>
          <cell r="E149" t="str">
            <v>EJ/yr</v>
          </cell>
          <cell r="G149">
            <v>0.38500000000000001</v>
          </cell>
          <cell r="H149">
            <v>1.2070000000000001</v>
          </cell>
          <cell r="J149">
            <v>1.405</v>
          </cell>
          <cell r="L149">
            <v>3.3730000000000002</v>
          </cell>
          <cell r="N149">
            <v>8.1340000000000003</v>
          </cell>
          <cell r="P149">
            <v>14.491</v>
          </cell>
          <cell r="R149">
            <v>20.547999999999998</v>
          </cell>
          <cell r="T149">
            <v>29.334</v>
          </cell>
          <cell r="V149">
            <v>36.597000000000001</v>
          </cell>
          <cell r="X149">
            <v>44.688000000000002</v>
          </cell>
          <cell r="Z149">
            <v>48.951999999999998</v>
          </cell>
        </row>
        <row r="150">
          <cell r="D150" t="str">
            <v>Resource|Cumulative Extraction|Coal</v>
          </cell>
          <cell r="E150" t="str">
            <v>EJ</v>
          </cell>
          <cell r="G150">
            <v>1949</v>
          </cell>
          <cell r="H150">
            <v>2639</v>
          </cell>
          <cell r="J150">
            <v>4305</v>
          </cell>
          <cell r="L150">
            <v>6196</v>
          </cell>
          <cell r="N150">
            <v>8411</v>
          </cell>
          <cell r="P150">
            <v>11124</v>
          </cell>
          <cell r="R150">
            <v>14340</v>
          </cell>
          <cell r="T150">
            <v>17991</v>
          </cell>
          <cell r="V150">
            <v>22393</v>
          </cell>
          <cell r="X150">
            <v>27346</v>
          </cell>
          <cell r="Z150">
            <v>32818</v>
          </cell>
        </row>
        <row r="151">
          <cell r="D151" t="str">
            <v>Resource|Cumulative Extraction|Gas</v>
          </cell>
          <cell r="E151" t="str">
            <v>EJ</v>
          </cell>
          <cell r="G151">
            <v>1704</v>
          </cell>
          <cell r="H151">
            <v>2213</v>
          </cell>
          <cell r="J151">
            <v>3374</v>
          </cell>
          <cell r="L151">
            <v>4939</v>
          </cell>
          <cell r="N151">
            <v>6930</v>
          </cell>
          <cell r="P151">
            <v>9267</v>
          </cell>
          <cell r="R151">
            <v>11947</v>
          </cell>
          <cell r="T151">
            <v>14939</v>
          </cell>
          <cell r="V151">
            <v>18018</v>
          </cell>
          <cell r="X151">
            <v>21041</v>
          </cell>
          <cell r="Z151">
            <v>24033</v>
          </cell>
        </row>
        <row r="152">
          <cell r="D152" t="str">
            <v>Resource|Cumulative Extraction|Oil</v>
          </cell>
          <cell r="E152" t="str">
            <v>EJ</v>
          </cell>
          <cell r="G152">
            <v>3073</v>
          </cell>
          <cell r="H152">
            <v>3929</v>
          </cell>
          <cell r="J152">
            <v>6228</v>
          </cell>
          <cell r="L152">
            <v>8973</v>
          </cell>
          <cell r="N152">
            <v>12122</v>
          </cell>
          <cell r="P152">
            <v>15431</v>
          </cell>
          <cell r="R152">
            <v>18640</v>
          </cell>
          <cell r="T152">
            <v>21534</v>
          </cell>
          <cell r="V152">
            <v>24029</v>
          </cell>
          <cell r="X152">
            <v>26242</v>
          </cell>
          <cell r="Z152">
            <v>28316</v>
          </cell>
        </row>
        <row r="153">
          <cell r="D153" t="str">
            <v>Secondary Energy</v>
          </cell>
          <cell r="E153" t="str">
            <v>EJ/yr</v>
          </cell>
          <cell r="G153">
            <v>329.13299999999998</v>
          </cell>
          <cell r="H153">
            <v>337.402999999999</v>
          </cell>
          <cell r="J153">
            <v>421.09699999999998</v>
          </cell>
          <cell r="L153">
            <v>517.952</v>
          </cell>
          <cell r="N153">
            <v>595.572</v>
          </cell>
          <cell r="P153">
            <v>667.05600000000004</v>
          </cell>
          <cell r="R153">
            <v>743.61300000000006</v>
          </cell>
          <cell r="T153">
            <v>805.21099999999899</v>
          </cell>
          <cell r="V153">
            <v>855.01499999999999</v>
          </cell>
          <cell r="X153">
            <v>894.62900000000002</v>
          </cell>
          <cell r="Z153">
            <v>953.12699999999995</v>
          </cell>
        </row>
        <row r="154">
          <cell r="D154" t="str">
            <v>Secondary Energy|Electricity</v>
          </cell>
          <cell r="E154" t="str">
            <v>EJ/yr</v>
          </cell>
          <cell r="G154">
            <v>65.078999999999994</v>
          </cell>
          <cell r="H154">
            <v>72.738999999999905</v>
          </cell>
          <cell r="J154">
            <v>89.622</v>
          </cell>
          <cell r="L154">
            <v>113.32899999999999</v>
          </cell>
          <cell r="N154">
            <v>136.08699999999999</v>
          </cell>
          <cell r="P154">
            <v>159.12899999999999</v>
          </cell>
          <cell r="R154">
            <v>187.42699999999999</v>
          </cell>
          <cell r="T154">
            <v>221.735999999999</v>
          </cell>
          <cell r="V154">
            <v>260.92</v>
          </cell>
          <cell r="X154">
            <v>299.70400000000001</v>
          </cell>
          <cell r="Z154">
            <v>343.13400000000001</v>
          </cell>
        </row>
        <row r="155">
          <cell r="D155" t="str">
            <v>Secondary Energy|Electricity|Biomass</v>
          </cell>
          <cell r="E155" t="str">
            <v>EJ/yr</v>
          </cell>
          <cell r="G155">
            <v>0.64800000000000002</v>
          </cell>
          <cell r="H155">
            <v>0.9</v>
          </cell>
          <cell r="J155">
            <v>0.13300000000000001</v>
          </cell>
          <cell r="L155">
            <v>0.27500000000000002</v>
          </cell>
          <cell r="N155">
            <v>6.5000000000000002E-2</v>
          </cell>
          <cell r="P155">
            <v>0.21299999999999999</v>
          </cell>
          <cell r="R155">
            <v>0.91600000000000004</v>
          </cell>
          <cell r="T155">
            <v>2.4409999999999998</v>
          </cell>
          <cell r="V155">
            <v>4.6319999999999997</v>
          </cell>
          <cell r="X155">
            <v>6.4509999999999996</v>
          </cell>
          <cell r="Z155">
            <v>7.7789999999999999</v>
          </cell>
        </row>
        <row r="156">
          <cell r="D156" t="str">
            <v>Secondary Energy|Electricity|Biomass|w/ CCS</v>
          </cell>
          <cell r="E156" t="str">
            <v>EJ/yr</v>
          </cell>
          <cell r="G156">
            <v>0</v>
          </cell>
          <cell r="H156">
            <v>0</v>
          </cell>
          <cell r="J156">
            <v>0</v>
          </cell>
          <cell r="L156">
            <v>0</v>
          </cell>
          <cell r="N156">
            <v>0</v>
          </cell>
          <cell r="P156">
            <v>0</v>
          </cell>
          <cell r="R156">
            <v>0</v>
          </cell>
          <cell r="T156">
            <v>0</v>
          </cell>
          <cell r="V156">
            <v>0</v>
          </cell>
          <cell r="X156">
            <v>0</v>
          </cell>
          <cell r="Z156">
            <v>0</v>
          </cell>
        </row>
        <row r="157">
          <cell r="D157" t="str">
            <v>Secondary Energy|Electricity|Biomass|w/o CCS</v>
          </cell>
          <cell r="E157" t="str">
            <v>EJ/yr</v>
          </cell>
          <cell r="G157">
            <v>0.64800000000000002</v>
          </cell>
          <cell r="H157">
            <v>0.9</v>
          </cell>
          <cell r="J157">
            <v>0.13300000000000001</v>
          </cell>
          <cell r="L157">
            <v>0.27500000000000002</v>
          </cell>
          <cell r="N157">
            <v>6.5000000000000002E-2</v>
          </cell>
          <cell r="P157">
            <v>0.21299999999999999</v>
          </cell>
          <cell r="R157">
            <v>0.91600000000000004</v>
          </cell>
          <cell r="T157">
            <v>2.4409999999999998</v>
          </cell>
          <cell r="V157">
            <v>4.6319999999999997</v>
          </cell>
          <cell r="X157">
            <v>6.4509999999999996</v>
          </cell>
          <cell r="Z157">
            <v>7.7789999999999999</v>
          </cell>
        </row>
        <row r="158">
          <cell r="D158" t="str">
            <v>Secondary Energy|Electricity|Coal</v>
          </cell>
          <cell r="E158" t="str">
            <v>EJ/yr</v>
          </cell>
          <cell r="G158">
            <v>26.335000000000001</v>
          </cell>
          <cell r="H158">
            <v>30.231999999999999</v>
          </cell>
          <cell r="J158">
            <v>38.267000000000003</v>
          </cell>
          <cell r="L158">
            <v>44.104999999999997</v>
          </cell>
          <cell r="N158">
            <v>49.442</v>
          </cell>
          <cell r="P158">
            <v>52.576000000000001</v>
          </cell>
          <cell r="R158">
            <v>49.448</v>
          </cell>
          <cell r="T158">
            <v>37.792000000000002</v>
          </cell>
          <cell r="V158">
            <v>37.901000000000003</v>
          </cell>
          <cell r="X158">
            <v>35.436999999999998</v>
          </cell>
          <cell r="Z158">
            <v>37.354999999999997</v>
          </cell>
        </row>
        <row r="159">
          <cell r="D159" t="str">
            <v>Secondary Energy|Electricity|Coal|w/ CCS</v>
          </cell>
          <cell r="E159" t="str">
            <v>EJ/yr</v>
          </cell>
          <cell r="G159">
            <v>0</v>
          </cell>
          <cell r="H159">
            <v>0</v>
          </cell>
          <cell r="J159">
            <v>0</v>
          </cell>
          <cell r="L159">
            <v>0</v>
          </cell>
          <cell r="N159">
            <v>0</v>
          </cell>
          <cell r="P159">
            <v>0</v>
          </cell>
          <cell r="R159">
            <v>0</v>
          </cell>
          <cell r="T159">
            <v>0</v>
          </cell>
          <cell r="V159">
            <v>0</v>
          </cell>
          <cell r="X159">
            <v>0</v>
          </cell>
          <cell r="Z159">
            <v>0</v>
          </cell>
        </row>
        <row r="160">
          <cell r="D160" t="str">
            <v>Secondary Energy|Electricity|Coal|w/o CCS</v>
          </cell>
          <cell r="E160" t="str">
            <v>EJ/yr</v>
          </cell>
          <cell r="G160">
            <v>26.335000000000001</v>
          </cell>
          <cell r="H160">
            <v>30.231999999999999</v>
          </cell>
          <cell r="J160">
            <v>38.267000000000003</v>
          </cell>
          <cell r="L160">
            <v>44.104999999999997</v>
          </cell>
          <cell r="N160">
            <v>49.442</v>
          </cell>
          <cell r="P160">
            <v>52.576000000000001</v>
          </cell>
          <cell r="R160">
            <v>49.448</v>
          </cell>
          <cell r="T160">
            <v>37.792000000000002</v>
          </cell>
          <cell r="V160">
            <v>37.901000000000003</v>
          </cell>
          <cell r="X160">
            <v>35.436999999999998</v>
          </cell>
          <cell r="Z160">
            <v>37.354999999999997</v>
          </cell>
        </row>
        <row r="161">
          <cell r="D161" t="str">
            <v>Secondary Energy|Electricity|Gas</v>
          </cell>
          <cell r="E161" t="str">
            <v>EJ/yr</v>
          </cell>
          <cell r="G161">
            <v>13.241</v>
          </cell>
          <cell r="H161">
            <v>14.638</v>
          </cell>
          <cell r="J161">
            <v>23.803999999999998</v>
          </cell>
          <cell r="L161">
            <v>39.436</v>
          </cell>
          <cell r="N161">
            <v>52.081000000000003</v>
          </cell>
          <cell r="P161">
            <v>59.460999999999999</v>
          </cell>
          <cell r="R161">
            <v>67.495999999999995</v>
          </cell>
          <cell r="T161">
            <v>81.444999999999993</v>
          </cell>
          <cell r="V161">
            <v>80.739000000000004</v>
          </cell>
          <cell r="X161">
            <v>72.988</v>
          </cell>
          <cell r="Z161">
            <v>64.272999999999996</v>
          </cell>
        </row>
        <row r="162">
          <cell r="D162" t="str">
            <v>Secondary Energy|Electricity|Gas|w/ CCS</v>
          </cell>
          <cell r="E162" t="str">
            <v>EJ/yr</v>
          </cell>
          <cell r="G162">
            <v>0</v>
          </cell>
          <cell r="H162">
            <v>0</v>
          </cell>
          <cell r="J162">
            <v>0</v>
          </cell>
          <cell r="L162">
            <v>0</v>
          </cell>
          <cell r="N162">
            <v>0</v>
          </cell>
          <cell r="P162">
            <v>0</v>
          </cell>
          <cell r="R162">
            <v>0</v>
          </cell>
          <cell r="T162">
            <v>0</v>
          </cell>
          <cell r="V162">
            <v>0</v>
          </cell>
          <cell r="X162">
            <v>0</v>
          </cell>
          <cell r="Z162">
            <v>0</v>
          </cell>
        </row>
        <row r="163">
          <cell r="D163" t="str">
            <v>Secondary Energy|Electricity|Gas|w/o CCS</v>
          </cell>
          <cell r="E163" t="str">
            <v>EJ/yr</v>
          </cell>
          <cell r="G163">
            <v>13.241</v>
          </cell>
          <cell r="H163">
            <v>14.638</v>
          </cell>
          <cell r="J163">
            <v>23.803999999999998</v>
          </cell>
          <cell r="L163">
            <v>39.436</v>
          </cell>
          <cell r="N163">
            <v>52.081000000000003</v>
          </cell>
          <cell r="P163">
            <v>59.460999999999999</v>
          </cell>
          <cell r="R163">
            <v>67.495999999999995</v>
          </cell>
          <cell r="T163">
            <v>81.444999999999993</v>
          </cell>
          <cell r="V163">
            <v>80.739000000000004</v>
          </cell>
          <cell r="X163">
            <v>72.988</v>
          </cell>
          <cell r="Z163">
            <v>64.272999999999996</v>
          </cell>
        </row>
        <row r="164">
          <cell r="D164" t="str">
            <v>Secondary Energy|Electricity|Geothermal</v>
          </cell>
          <cell r="E164" t="str">
            <v>EJ/yr</v>
          </cell>
          <cell r="G164">
            <v>0.20100000000000001</v>
          </cell>
          <cell r="H164">
            <v>0.29699999999999999</v>
          </cell>
          <cell r="J164">
            <v>0.26900000000000002</v>
          </cell>
          <cell r="L164">
            <v>0.121</v>
          </cell>
          <cell r="N164">
            <v>0</v>
          </cell>
          <cell r="P164">
            <v>0</v>
          </cell>
          <cell r="R164">
            <v>0</v>
          </cell>
          <cell r="T164">
            <v>0</v>
          </cell>
          <cell r="V164">
            <v>0</v>
          </cell>
          <cell r="X164">
            <v>0</v>
          </cell>
          <cell r="Z164">
            <v>1.4E-2</v>
          </cell>
        </row>
        <row r="165">
          <cell r="D165" t="str">
            <v>Secondary Energy|Electricity|Hydro</v>
          </cell>
          <cell r="E165" t="str">
            <v>EJ/yr</v>
          </cell>
          <cell r="G165">
            <v>10.38</v>
          </cell>
          <cell r="H165">
            <v>12.242000000000001</v>
          </cell>
          <cell r="J165">
            <v>12.894</v>
          </cell>
          <cell r="L165">
            <v>13.446</v>
          </cell>
          <cell r="N165">
            <v>13.821</v>
          </cell>
          <cell r="P165">
            <v>14.034000000000001</v>
          </cell>
          <cell r="R165">
            <v>14.651</v>
          </cell>
          <cell r="T165">
            <v>16.582000000000001</v>
          </cell>
          <cell r="V165">
            <v>17.558</v>
          </cell>
          <cell r="X165">
            <v>19.523</v>
          </cell>
          <cell r="Z165">
            <v>19.861000000000001</v>
          </cell>
        </row>
        <row r="166">
          <cell r="D166" t="str">
            <v>Secondary Energy|Electricity|Non-Biomass Renewables</v>
          </cell>
          <cell r="E166" t="str">
            <v>EJ/yr</v>
          </cell>
          <cell r="G166">
            <v>11.002000000000001</v>
          </cell>
          <cell r="H166">
            <v>13.961</v>
          </cell>
          <cell r="J166">
            <v>15.32</v>
          </cell>
          <cell r="L166">
            <v>19.513999999999999</v>
          </cell>
          <cell r="N166">
            <v>28.415999999999901</v>
          </cell>
          <cell r="P166">
            <v>42.861999999999902</v>
          </cell>
          <cell r="R166">
            <v>64.314999999999998</v>
          </cell>
          <cell r="T166">
            <v>93.441000000000003</v>
          </cell>
          <cell r="V166">
            <v>127.71799999999899</v>
          </cell>
          <cell r="X166">
            <v>172.29499999999999</v>
          </cell>
          <cell r="Z166">
            <v>218.971</v>
          </cell>
        </row>
        <row r="167">
          <cell r="D167" t="str">
            <v>Secondary Energy|Electricity|Nuclear</v>
          </cell>
          <cell r="E167" t="str">
            <v>EJ/yr</v>
          </cell>
          <cell r="G167">
            <v>9.8170000000000002</v>
          </cell>
          <cell r="H167">
            <v>10.093999999999999</v>
          </cell>
          <cell r="J167">
            <v>10.843</v>
          </cell>
          <cell r="L167">
            <v>9.2289999999999992</v>
          </cell>
          <cell r="N167">
            <v>5.3289999999999997</v>
          </cell>
          <cell r="P167">
            <v>2.1659999999999999</v>
          </cell>
          <cell r="R167">
            <v>1.169</v>
          </cell>
          <cell r="T167">
            <v>0.36899999999999999</v>
          </cell>
          <cell r="V167">
            <v>0.06</v>
          </cell>
          <cell r="X167">
            <v>5.8999999999999997E-2</v>
          </cell>
          <cell r="Z167">
            <v>0.06</v>
          </cell>
        </row>
        <row r="168">
          <cell r="D168" t="str">
            <v>Secondary Energy|Electricity|Oil</v>
          </cell>
          <cell r="E168" t="str">
            <v>EJ/yr</v>
          </cell>
          <cell r="G168">
            <v>4.0359999999999996</v>
          </cell>
          <cell r="H168">
            <v>2.9140000000000001</v>
          </cell>
          <cell r="J168">
            <v>1.2549999999999999</v>
          </cell>
          <cell r="L168">
            <v>0.77</v>
          </cell>
          <cell r="N168">
            <v>0.30099999999999999</v>
          </cell>
          <cell r="P168">
            <v>0.106</v>
          </cell>
          <cell r="R168">
            <v>2.5000000000000001E-2</v>
          </cell>
          <cell r="T168">
            <v>0</v>
          </cell>
          <cell r="V168">
            <v>0</v>
          </cell>
          <cell r="X168">
            <v>0</v>
          </cell>
          <cell r="Z168">
            <v>0</v>
          </cell>
        </row>
        <row r="169">
          <cell r="D169" t="str">
            <v>Secondary Energy|Electricity|Oil|w/ CCS</v>
          </cell>
          <cell r="E169" t="str">
            <v>EJ/yr</v>
          </cell>
        </row>
        <row r="170">
          <cell r="D170" t="str">
            <v>Secondary Energy|Electricity|Oil|w/o CCS</v>
          </cell>
          <cell r="E170" t="str">
            <v>EJ/yr</v>
          </cell>
          <cell r="G170">
            <v>4.0359999999999996</v>
          </cell>
          <cell r="H170">
            <v>2.9140000000000001</v>
          </cell>
          <cell r="J170">
            <v>1.2549999999999999</v>
          </cell>
          <cell r="L170">
            <v>0.77</v>
          </cell>
          <cell r="N170">
            <v>0.30099999999999999</v>
          </cell>
          <cell r="P170">
            <v>0.106</v>
          </cell>
          <cell r="R170">
            <v>2.5000000000000001E-2</v>
          </cell>
          <cell r="T170">
            <v>0</v>
          </cell>
          <cell r="V170">
            <v>0</v>
          </cell>
          <cell r="X170">
            <v>0</v>
          </cell>
          <cell r="Z170">
            <v>0</v>
          </cell>
        </row>
        <row r="171">
          <cell r="D171" t="str">
            <v>Secondary Energy|Electricity|Other</v>
          </cell>
          <cell r="E171" t="str">
            <v>EJ/yr</v>
          </cell>
          <cell r="G171">
            <v>0</v>
          </cell>
          <cell r="H171">
            <v>0</v>
          </cell>
          <cell r="J171">
            <v>0</v>
          </cell>
          <cell r="L171">
            <v>0</v>
          </cell>
          <cell r="N171">
            <v>0.45300000000000001</v>
          </cell>
          <cell r="P171">
            <v>1.7450000000000001</v>
          </cell>
          <cell r="R171">
            <v>4.0579999999999998</v>
          </cell>
          <cell r="T171">
            <v>6.2480000000000002</v>
          </cell>
          <cell r="V171">
            <v>9.8699999999999992</v>
          </cell>
          <cell r="X171">
            <v>12.474</v>
          </cell>
          <cell r="Z171">
            <v>14.696</v>
          </cell>
        </row>
        <row r="172">
          <cell r="D172" t="str">
            <v>Secondary Energy|Electricity|Solar</v>
          </cell>
          <cell r="E172" t="str">
            <v>EJ/yr</v>
          </cell>
          <cell r="G172">
            <v>3.5999999999999997E-2</v>
          </cell>
          <cell r="H172">
            <v>0.215</v>
          </cell>
          <cell r="J172">
            <v>0.752</v>
          </cell>
          <cell r="L172">
            <v>2.5739999999999998</v>
          </cell>
          <cell r="N172">
            <v>6.4609999999999896</v>
          </cell>
          <cell r="P172">
            <v>14.337</v>
          </cell>
          <cell r="R172">
            <v>29.116</v>
          </cell>
          <cell r="T172">
            <v>47.524999999999999</v>
          </cell>
          <cell r="V172">
            <v>73.563000000000002</v>
          </cell>
          <cell r="X172">
            <v>108.084</v>
          </cell>
          <cell r="Z172">
            <v>150.14400000000001</v>
          </cell>
        </row>
        <row r="173">
          <cell r="D173" t="str">
            <v>Secondary Energy|Electricity|Wind</v>
          </cell>
          <cell r="E173" t="str">
            <v>EJ/yr</v>
          </cell>
          <cell r="G173">
            <v>0.38500000000000001</v>
          </cell>
          <cell r="H173">
            <v>1.2070000000000001</v>
          </cell>
          <cell r="J173">
            <v>1.405</v>
          </cell>
          <cell r="L173">
            <v>3.3730000000000002</v>
          </cell>
          <cell r="N173">
            <v>8.1340000000000003</v>
          </cell>
          <cell r="P173">
            <v>14.491</v>
          </cell>
          <cell r="R173">
            <v>20.547999999999998</v>
          </cell>
          <cell r="T173">
            <v>29.334</v>
          </cell>
          <cell r="V173">
            <v>36.597000000000001</v>
          </cell>
          <cell r="X173">
            <v>44.688000000000002</v>
          </cell>
          <cell r="Z173">
            <v>48.951999999999998</v>
          </cell>
        </row>
        <row r="174">
          <cell r="D174" t="str">
            <v>Secondary Energy|Gases</v>
          </cell>
          <cell r="E174" t="str">
            <v>EJ/yr</v>
          </cell>
          <cell r="G174">
            <v>88.116</v>
          </cell>
          <cell r="H174">
            <v>88.387</v>
          </cell>
          <cell r="J174">
            <v>97.263000000000005</v>
          </cell>
          <cell r="L174">
            <v>123.151</v>
          </cell>
          <cell r="N174">
            <v>142.07400000000001</v>
          </cell>
          <cell r="P174">
            <v>165.971</v>
          </cell>
          <cell r="R174">
            <v>189.989</v>
          </cell>
          <cell r="T174">
            <v>208.76300000000001</v>
          </cell>
          <cell r="V174">
            <v>212.24199999999999</v>
          </cell>
          <cell r="X174">
            <v>192.7</v>
          </cell>
          <cell r="Z174">
            <v>189.86199999999999</v>
          </cell>
        </row>
        <row r="175">
          <cell r="D175" t="str">
            <v>Secondary Energy|Gases|Biomass</v>
          </cell>
          <cell r="E175" t="str">
            <v>EJ/yr</v>
          </cell>
          <cell r="G175">
            <v>0.185</v>
          </cell>
          <cell r="H175">
            <v>0</v>
          </cell>
          <cell r="J175">
            <v>0</v>
          </cell>
          <cell r="L175">
            <v>0</v>
          </cell>
          <cell r="N175">
            <v>0</v>
          </cell>
          <cell r="P175">
            <v>0</v>
          </cell>
          <cell r="R175">
            <v>0</v>
          </cell>
          <cell r="T175">
            <v>0</v>
          </cell>
          <cell r="V175">
            <v>0</v>
          </cell>
          <cell r="X175">
            <v>0</v>
          </cell>
          <cell r="Z175">
            <v>0</v>
          </cell>
        </row>
        <row r="176">
          <cell r="D176" t="str">
            <v>Secondary Energy|Gases|Coal</v>
          </cell>
          <cell r="E176" t="str">
            <v>EJ/yr</v>
          </cell>
          <cell r="G176">
            <v>0</v>
          </cell>
          <cell r="H176">
            <v>0</v>
          </cell>
          <cell r="J176">
            <v>0</v>
          </cell>
          <cell r="L176">
            <v>0</v>
          </cell>
          <cell r="N176">
            <v>0</v>
          </cell>
          <cell r="P176">
            <v>0</v>
          </cell>
          <cell r="R176">
            <v>0</v>
          </cell>
          <cell r="T176">
            <v>0</v>
          </cell>
          <cell r="V176">
            <v>0</v>
          </cell>
          <cell r="X176">
            <v>0</v>
          </cell>
          <cell r="Z176">
            <v>0</v>
          </cell>
        </row>
        <row r="177">
          <cell r="D177" t="str">
            <v>Secondary Energy|Gases|Natural Gas</v>
          </cell>
          <cell r="E177" t="str">
            <v>EJ/yr</v>
          </cell>
          <cell r="G177">
            <v>87.930999999999997</v>
          </cell>
          <cell r="H177">
            <v>88.387</v>
          </cell>
          <cell r="J177">
            <v>97.263000000000005</v>
          </cell>
          <cell r="L177">
            <v>123.151</v>
          </cell>
          <cell r="N177">
            <v>142.07400000000001</v>
          </cell>
          <cell r="P177">
            <v>165.971</v>
          </cell>
          <cell r="R177">
            <v>189.989</v>
          </cell>
          <cell r="T177">
            <v>208.76300000000001</v>
          </cell>
          <cell r="V177">
            <v>211.28800000000001</v>
          </cell>
          <cell r="X177">
            <v>192.10599999999999</v>
          </cell>
          <cell r="Z177">
            <v>189.79300000000001</v>
          </cell>
        </row>
        <row r="178">
          <cell r="D178" t="str">
            <v>Secondary Energy|Gases|Other</v>
          </cell>
          <cell r="E178" t="str">
            <v>EJ/yr</v>
          </cell>
          <cell r="G178">
            <v>0</v>
          </cell>
          <cell r="H178">
            <v>0</v>
          </cell>
          <cell r="J178">
            <v>0</v>
          </cell>
          <cell r="L178">
            <v>0</v>
          </cell>
          <cell r="N178">
            <v>0</v>
          </cell>
          <cell r="P178">
            <v>0</v>
          </cell>
          <cell r="R178">
            <v>0</v>
          </cell>
          <cell r="T178">
            <v>0</v>
          </cell>
          <cell r="V178">
            <v>0.95399999999999996</v>
          </cell>
          <cell r="X178">
            <v>0.59399999999999997</v>
          </cell>
          <cell r="Z178">
            <v>6.9000000000000006E-2</v>
          </cell>
        </row>
        <row r="179">
          <cell r="D179" t="str">
            <v>Secondary Energy|Heat</v>
          </cell>
          <cell r="E179" t="str">
            <v>EJ/yr</v>
          </cell>
          <cell r="G179">
            <v>13.734</v>
          </cell>
          <cell r="H179">
            <v>14.656000000000001</v>
          </cell>
          <cell r="J179">
            <v>15.609</v>
          </cell>
          <cell r="L179">
            <v>15.327999999999999</v>
          </cell>
          <cell r="N179">
            <v>12.988</v>
          </cell>
          <cell r="P179">
            <v>10.217000000000001</v>
          </cell>
          <cell r="R179">
            <v>11.127000000000001</v>
          </cell>
          <cell r="T179">
            <v>12.795</v>
          </cell>
          <cell r="V179">
            <v>14.359</v>
          </cell>
          <cell r="X179">
            <v>15.51</v>
          </cell>
          <cell r="Z179">
            <v>13.253</v>
          </cell>
        </row>
        <row r="180">
          <cell r="D180" t="str">
            <v>Secondary Energy|Heat|Geothermal</v>
          </cell>
          <cell r="E180" t="str">
            <v>EJ/yr</v>
          </cell>
          <cell r="G180">
            <v>0.15</v>
          </cell>
          <cell r="H180">
            <v>0.219</v>
          </cell>
          <cell r="J180">
            <v>0.32300000000000001</v>
          </cell>
          <cell r="L180">
            <v>0.38300000000000001</v>
          </cell>
          <cell r="N180">
            <v>1E-3</v>
          </cell>
          <cell r="P180">
            <v>1E-3</v>
          </cell>
          <cell r="R180">
            <v>1E-3</v>
          </cell>
          <cell r="T180">
            <v>1E-3</v>
          </cell>
          <cell r="V180">
            <v>1E-3</v>
          </cell>
          <cell r="X180">
            <v>1E-3</v>
          </cell>
          <cell r="Z180">
            <v>1E-3</v>
          </cell>
        </row>
        <row r="181">
          <cell r="D181" t="str">
            <v>Secondary Energy|Hydrogen</v>
          </cell>
          <cell r="E181" t="str">
            <v>EJ/yr</v>
          </cell>
          <cell r="G181">
            <v>0</v>
          </cell>
          <cell r="H181">
            <v>0</v>
          </cell>
          <cell r="J181">
            <v>0</v>
          </cell>
          <cell r="L181">
            <v>0</v>
          </cell>
          <cell r="N181">
            <v>1.304</v>
          </cell>
          <cell r="P181">
            <v>4.9269999999999996</v>
          </cell>
          <cell r="R181">
            <v>11.39</v>
          </cell>
          <cell r="T181">
            <v>17.434000000000001</v>
          </cell>
          <cell r="V181">
            <v>28.274999999999999</v>
          </cell>
          <cell r="X181">
            <v>35.124000000000002</v>
          </cell>
          <cell r="Z181">
            <v>40.749000000000002</v>
          </cell>
        </row>
        <row r="182">
          <cell r="D182" t="str">
            <v>Secondary Energy|Hydrogen|Biomass</v>
          </cell>
          <cell r="E182" t="str">
            <v>EJ/yr</v>
          </cell>
          <cell r="G182">
            <v>0</v>
          </cell>
          <cell r="H182">
            <v>0</v>
          </cell>
          <cell r="J182">
            <v>0</v>
          </cell>
          <cell r="L182">
            <v>0</v>
          </cell>
          <cell r="N182">
            <v>0</v>
          </cell>
          <cell r="P182">
            <v>0</v>
          </cell>
          <cell r="R182">
            <v>0</v>
          </cell>
          <cell r="T182">
            <v>0</v>
          </cell>
          <cell r="V182">
            <v>0</v>
          </cell>
          <cell r="X182">
            <v>0</v>
          </cell>
          <cell r="Z182">
            <v>0</v>
          </cell>
        </row>
        <row r="183">
          <cell r="D183" t="str">
            <v>Secondary Energy|Hydrogen|Electricity</v>
          </cell>
          <cell r="E183" t="str">
            <v>EJ/yr</v>
          </cell>
          <cell r="G183">
            <v>0</v>
          </cell>
          <cell r="H183">
            <v>0</v>
          </cell>
          <cell r="J183">
            <v>0</v>
          </cell>
          <cell r="L183">
            <v>0</v>
          </cell>
          <cell r="N183">
            <v>0</v>
          </cell>
          <cell r="P183">
            <v>0</v>
          </cell>
          <cell r="R183">
            <v>0</v>
          </cell>
          <cell r="T183">
            <v>0</v>
          </cell>
          <cell r="V183">
            <v>0</v>
          </cell>
          <cell r="X183">
            <v>0</v>
          </cell>
          <cell r="Z183">
            <v>0</v>
          </cell>
        </row>
        <row r="184">
          <cell r="D184" t="str">
            <v>Secondary Energy|Hydrogen|Fossil</v>
          </cell>
          <cell r="E184" t="str">
            <v>EJ/yr</v>
          </cell>
          <cell r="G184">
            <v>0</v>
          </cell>
          <cell r="H184">
            <v>0</v>
          </cell>
          <cell r="J184">
            <v>0</v>
          </cell>
          <cell r="L184">
            <v>0</v>
          </cell>
          <cell r="N184">
            <v>1.304</v>
          </cell>
          <cell r="P184">
            <v>4.9269999999999996</v>
          </cell>
          <cell r="R184">
            <v>11.39</v>
          </cell>
          <cell r="T184">
            <v>17.434000000000001</v>
          </cell>
          <cell r="V184">
            <v>28.274999999999999</v>
          </cell>
          <cell r="X184">
            <v>35.124000000000002</v>
          </cell>
          <cell r="Z184">
            <v>40.749000000000002</v>
          </cell>
        </row>
        <row r="185">
          <cell r="D185" t="str">
            <v>Secondary Energy|Hydrogen|Other</v>
          </cell>
          <cell r="E185" t="str">
            <v>EJ/yr</v>
          </cell>
        </row>
        <row r="186">
          <cell r="D186" t="str">
            <v>Secondary Energy|Liquids</v>
          </cell>
          <cell r="E186" t="str">
            <v>EJ/yr</v>
          </cell>
          <cell r="G186">
            <v>162.20399999999901</v>
          </cell>
          <cell r="H186">
            <v>161.62100000000001</v>
          </cell>
          <cell r="J186">
            <v>218.60300000000001</v>
          </cell>
          <cell r="L186">
            <v>266.14400000000001</v>
          </cell>
          <cell r="N186">
            <v>303.11900000000003</v>
          </cell>
          <cell r="P186">
            <v>326.81200000000001</v>
          </cell>
          <cell r="R186">
            <v>343.68</v>
          </cell>
          <cell r="T186">
            <v>344.483</v>
          </cell>
          <cell r="V186">
            <v>339.21899999999999</v>
          </cell>
          <cell r="X186">
            <v>351.59100000000001</v>
          </cell>
          <cell r="Z186">
            <v>366.12900000000002</v>
          </cell>
        </row>
        <row r="187">
          <cell r="D187" t="str">
            <v>Secondary Energy|Liquids|Biomass</v>
          </cell>
          <cell r="E187" t="str">
            <v>EJ/yr</v>
          </cell>
          <cell r="G187">
            <v>0.77100000000000002</v>
          </cell>
          <cell r="H187">
            <v>2.109</v>
          </cell>
          <cell r="J187">
            <v>2.2029999999999998</v>
          </cell>
          <cell r="L187">
            <v>1.4690000000000001</v>
          </cell>
          <cell r="N187">
            <v>1.3740000000000001</v>
          </cell>
          <cell r="P187">
            <v>8.7390000000000008</v>
          </cell>
          <cell r="R187">
            <v>18.905000000000001</v>
          </cell>
          <cell r="T187">
            <v>33.481999999999999</v>
          </cell>
          <cell r="V187">
            <v>50.478000000000002</v>
          </cell>
          <cell r="X187">
            <v>64.42</v>
          </cell>
          <cell r="Z187">
            <v>75.491</v>
          </cell>
        </row>
        <row r="188">
          <cell r="D188" t="str">
            <v>Secondary Energy|Liquids|Coal</v>
          </cell>
          <cell r="E188" t="str">
            <v>EJ/yr</v>
          </cell>
          <cell r="G188">
            <v>0</v>
          </cell>
          <cell r="H188">
            <v>0</v>
          </cell>
          <cell r="J188">
            <v>1.222</v>
          </cell>
          <cell r="L188">
            <v>5.4390000000000001</v>
          </cell>
          <cell r="N188">
            <v>12.045</v>
          </cell>
          <cell r="P188">
            <v>24.963999999999999</v>
          </cell>
          <cell r="R188">
            <v>48.793999999999997</v>
          </cell>
          <cell r="T188">
            <v>81.534000000000006</v>
          </cell>
          <cell r="V188">
            <v>112.042</v>
          </cell>
          <cell r="X188">
            <v>135.04400000000001</v>
          </cell>
          <cell r="Z188">
            <v>149.43599999999901</v>
          </cell>
        </row>
        <row r="189">
          <cell r="D189" t="str">
            <v>Secondary Energy|Liquids|Fossil</v>
          </cell>
          <cell r="E189" t="str">
            <v>EJ/yr</v>
          </cell>
          <cell r="G189">
            <v>161.43299999999999</v>
          </cell>
          <cell r="H189">
            <v>159.512</v>
          </cell>
          <cell r="J189">
            <v>216.4</v>
          </cell>
          <cell r="L189">
            <v>264.67500000000001</v>
          </cell>
          <cell r="N189">
            <v>301.745</v>
          </cell>
          <cell r="P189">
            <v>318.07299999999998</v>
          </cell>
          <cell r="R189">
            <v>324.77499999999998</v>
          </cell>
          <cell r="T189">
            <v>311.00099999999998</v>
          </cell>
          <cell r="V189">
            <v>288.74099999999999</v>
          </cell>
          <cell r="X189">
            <v>287.17099999999999</v>
          </cell>
          <cell r="Z189">
            <v>290.63799999999998</v>
          </cell>
        </row>
        <row r="190">
          <cell r="D190" t="str">
            <v>Secondary Energy|Liquids|Fossil|w/ CCS</v>
          </cell>
          <cell r="E190" t="str">
            <v>EJ/yr</v>
          </cell>
          <cell r="G190">
            <v>0</v>
          </cell>
          <cell r="H190">
            <v>0</v>
          </cell>
          <cell r="J190">
            <v>0</v>
          </cell>
          <cell r="L190">
            <v>0.247</v>
          </cell>
          <cell r="N190">
            <v>0.247</v>
          </cell>
          <cell r="P190">
            <v>0.123</v>
          </cell>
          <cell r="R190">
            <v>0</v>
          </cell>
          <cell r="T190">
            <v>0</v>
          </cell>
          <cell r="V190">
            <v>0</v>
          </cell>
          <cell r="X190">
            <v>0</v>
          </cell>
          <cell r="Z190">
            <v>0.01</v>
          </cell>
        </row>
        <row r="191">
          <cell r="D191" t="str">
            <v>Secondary Energy|Liquids|Fossil|w/o CCS</v>
          </cell>
          <cell r="E191" t="str">
            <v>EJ/yr</v>
          </cell>
          <cell r="G191">
            <v>161.43299999999999</v>
          </cell>
          <cell r="H191">
            <v>159.512</v>
          </cell>
          <cell r="J191">
            <v>216.4</v>
          </cell>
          <cell r="L191">
            <v>264.428</v>
          </cell>
          <cell r="N191">
            <v>301.49799999999999</v>
          </cell>
          <cell r="P191">
            <v>317.95</v>
          </cell>
          <cell r="R191">
            <v>324.77499999999998</v>
          </cell>
          <cell r="T191">
            <v>311.00099999999998</v>
          </cell>
          <cell r="V191">
            <v>288.74099999999999</v>
          </cell>
          <cell r="X191">
            <v>287.17099999999999</v>
          </cell>
          <cell r="Z191">
            <v>290.62799999999999</v>
          </cell>
        </row>
        <row r="192">
          <cell r="D192" t="str">
            <v>Secondary Energy|Liquids|Gas</v>
          </cell>
          <cell r="E192" t="str">
            <v>EJ/yr</v>
          </cell>
          <cell r="G192">
            <v>0</v>
          </cell>
          <cell r="H192">
            <v>0</v>
          </cell>
          <cell r="J192">
            <v>0.623</v>
          </cell>
          <cell r="L192">
            <v>2.9689999999999999</v>
          </cell>
          <cell r="N192">
            <v>6.7320000000000002</v>
          </cell>
          <cell r="P192">
            <v>10.581</v>
          </cell>
          <cell r="R192">
            <v>14.614000000000001</v>
          </cell>
          <cell r="T192">
            <v>12.115</v>
          </cell>
          <cell r="V192">
            <v>12.326000000000001</v>
          </cell>
          <cell r="X192">
            <v>8.2360000000000007</v>
          </cell>
          <cell r="Z192">
            <v>6.3689999999999998</v>
          </cell>
        </row>
        <row r="193">
          <cell r="D193" t="str">
            <v>Secondary Energy|Liquids|Oil</v>
          </cell>
          <cell r="E193" t="str">
            <v>EJ/yr</v>
          </cell>
          <cell r="G193">
            <v>161.43299999999999</v>
          </cell>
          <cell r="H193">
            <v>159.512</v>
          </cell>
          <cell r="J193">
            <v>214.55500000000001</v>
          </cell>
          <cell r="L193">
            <v>256.267</v>
          </cell>
          <cell r="N193">
            <v>282.96800000000002</v>
          </cell>
          <cell r="P193">
            <v>282.52800000000002</v>
          </cell>
          <cell r="R193">
            <v>261.36700000000002</v>
          </cell>
          <cell r="T193">
            <v>217.352</v>
          </cell>
          <cell r="V193">
            <v>164.37299999999999</v>
          </cell>
          <cell r="X193">
            <v>143.89099999999999</v>
          </cell>
          <cell r="Z193">
            <v>134.833</v>
          </cell>
        </row>
        <row r="194">
          <cell r="D194" t="str">
            <v>Secondary Energy|Solids</v>
          </cell>
          <cell r="E194" t="str">
            <v>EJ/yr</v>
          </cell>
        </row>
        <row r="195">
          <cell r="D195" t="str">
            <v>Secondary Energy|Solids|Biomass</v>
          </cell>
          <cell r="E195" t="str">
            <v>EJ/yr</v>
          </cell>
        </row>
        <row r="196">
          <cell r="D196" t="str">
            <v>Secondary Energy|Solids|Coal</v>
          </cell>
          <cell r="E196" t="str">
            <v>EJ/yr</v>
          </cell>
        </row>
        <row r="197">
          <cell r="D197" t="str">
            <v>Temperature|Exceedance Probability|1.5 degC|MAGICC6</v>
          </cell>
          <cell r="E197" t="str">
            <v>-</v>
          </cell>
          <cell r="G197">
            <v>0</v>
          </cell>
          <cell r="H197">
            <v>0</v>
          </cell>
          <cell r="J197">
            <v>6.6666666666666697E-3</v>
          </cell>
          <cell r="L197">
            <v>0.32500000000000001</v>
          </cell>
          <cell r="N197">
            <v>0.88333333333333297</v>
          </cell>
          <cell r="P197">
            <v>0.98666666666666702</v>
          </cell>
          <cell r="R197">
            <v>1</v>
          </cell>
          <cell r="T197">
            <v>1</v>
          </cell>
          <cell r="V197">
            <v>1</v>
          </cell>
          <cell r="X197">
            <v>1</v>
          </cell>
          <cell r="Z197">
            <v>1</v>
          </cell>
        </row>
        <row r="198">
          <cell r="D198" t="str">
            <v>Temperature|Exceedance Probability|2.0 degC|MAGICC6</v>
          </cell>
          <cell r="E198" t="str">
            <v>-</v>
          </cell>
          <cell r="G198">
            <v>0</v>
          </cell>
          <cell r="H198">
            <v>0</v>
          </cell>
          <cell r="J198">
            <v>0</v>
          </cell>
          <cell r="L198">
            <v>1.4999999999999999E-2</v>
          </cell>
          <cell r="N198">
            <v>0.23499999999999999</v>
          </cell>
          <cell r="P198">
            <v>0.69666666666666699</v>
          </cell>
          <cell r="R198">
            <v>0.93333333333333302</v>
          </cell>
          <cell r="T198">
            <v>0.98</v>
          </cell>
          <cell r="V198">
            <v>1</v>
          </cell>
          <cell r="X198">
            <v>1</v>
          </cell>
          <cell r="Z198">
            <v>1</v>
          </cell>
        </row>
        <row r="199">
          <cell r="D199" t="str">
            <v>Temperature|Exceedance Probability|2.5 degC|MAGICC6</v>
          </cell>
          <cell r="E199" t="str">
            <v>-</v>
          </cell>
          <cell r="G199">
            <v>0</v>
          </cell>
          <cell r="H199">
            <v>0</v>
          </cell>
          <cell r="J199">
            <v>0</v>
          </cell>
          <cell r="L199">
            <v>0</v>
          </cell>
          <cell r="N199">
            <v>0.03</v>
          </cell>
          <cell r="P199">
            <v>0.228333333333333</v>
          </cell>
          <cell r="R199">
            <v>0.6</v>
          </cell>
          <cell r="T199">
            <v>0.84166666666666701</v>
          </cell>
          <cell r="V199">
            <v>0.94166666666666698</v>
          </cell>
          <cell r="X199">
            <v>0.98</v>
          </cell>
          <cell r="Z199">
            <v>0.995</v>
          </cell>
        </row>
        <row r="200">
          <cell r="D200" t="str">
            <v>Temperature|Exceedance Probability|3.0 degC|MAGICC6</v>
          </cell>
          <cell r="E200" t="str">
            <v>-</v>
          </cell>
          <cell r="G200">
            <v>0</v>
          </cell>
          <cell r="H200">
            <v>0</v>
          </cell>
          <cell r="J200">
            <v>0</v>
          </cell>
          <cell r="L200">
            <v>0</v>
          </cell>
          <cell r="N200">
            <v>5.0000000000000001E-3</v>
          </cell>
          <cell r="P200">
            <v>0.06</v>
          </cell>
          <cell r="R200">
            <v>0.24333333333333301</v>
          </cell>
          <cell r="T200">
            <v>0.52500000000000002</v>
          </cell>
          <cell r="V200">
            <v>0.77166666666666694</v>
          </cell>
          <cell r="X200">
            <v>0.89</v>
          </cell>
          <cell r="Z200">
            <v>0.94833333333333303</v>
          </cell>
        </row>
        <row r="201">
          <cell r="D201" t="str">
            <v>Temperature|Global Mean|Endogenous</v>
          </cell>
          <cell r="E201" t="str">
            <v>°C</v>
          </cell>
          <cell r="G201">
            <v>0.79507958889999997</v>
          </cell>
          <cell r="H201">
            <v>0.95373356340000004</v>
          </cell>
          <cell r="J201">
            <v>1.277960062</v>
          </cell>
          <cell r="L201">
            <v>1.629600406</v>
          </cell>
          <cell r="N201">
            <v>2.043179989</v>
          </cell>
          <cell r="P201">
            <v>2.4585475919999999</v>
          </cell>
          <cell r="R201">
            <v>2.8793413640000001</v>
          </cell>
          <cell r="T201">
            <v>3.2848172189999998</v>
          </cell>
          <cell r="V201">
            <v>3.6776156430000002</v>
          </cell>
          <cell r="X201">
            <v>4.0697813030000001</v>
          </cell>
          <cell r="Z201">
            <v>4.4476919170000002</v>
          </cell>
        </row>
        <row r="202">
          <cell r="D202" t="str">
            <v>Temperature|Global Mean|MAGICC6|MED</v>
          </cell>
          <cell r="E202" t="str">
            <v>°C</v>
          </cell>
          <cell r="G202">
            <v>0.82657622857058999</v>
          </cell>
          <cell r="H202">
            <v>0.90530291505617</v>
          </cell>
          <cell r="J202">
            <v>1.14856775144296</v>
          </cell>
          <cell r="L202">
            <v>1.4380660600773101</v>
          </cell>
          <cell r="N202">
            <v>1.80072593620481</v>
          </cell>
          <cell r="P202">
            <v>2.1876285510490798</v>
          </cell>
          <cell r="R202">
            <v>2.6063438509931101</v>
          </cell>
          <cell r="T202">
            <v>3.06829959243899</v>
          </cell>
          <cell r="V202">
            <v>3.51300282025896</v>
          </cell>
          <cell r="X202">
            <v>3.9660297389083401</v>
          </cell>
          <cell r="Z202">
            <v>4.4044562496960697</v>
          </cell>
        </row>
        <row r="203">
          <cell r="D203" t="str">
            <v>Temperature|Global Mean|MAGICC6|P16</v>
          </cell>
          <cell r="E203" t="str">
            <v>°C</v>
          </cell>
          <cell r="G203">
            <v>0.74330842014238896</v>
          </cell>
          <cell r="H203">
            <v>0.80951763302290503</v>
          </cell>
          <cell r="J203">
            <v>1.0086637252429</v>
          </cell>
          <cell r="L203">
            <v>1.23539327899324</v>
          </cell>
          <cell r="N203">
            <v>1.52858486871731</v>
          </cell>
          <cell r="P203">
            <v>1.8305929385748301</v>
          </cell>
          <cell r="R203">
            <v>2.1583996834535299</v>
          </cell>
          <cell r="T203">
            <v>2.5030568279423</v>
          </cell>
          <cell r="V203">
            <v>2.8426212763016698</v>
          </cell>
          <cell r="X203">
            <v>3.18267299436978</v>
          </cell>
          <cell r="Z203">
            <v>3.5112979310494401</v>
          </cell>
        </row>
        <row r="204">
          <cell r="D204" t="str">
            <v>Temperature|Global Mean|MAGICC6|P84</v>
          </cell>
          <cell r="E204" t="str">
            <v>°C</v>
          </cell>
          <cell r="G204">
            <v>0.91645998662019601</v>
          </cell>
          <cell r="H204">
            <v>0.99723608765632099</v>
          </cell>
          <cell r="J204">
            <v>1.2712453951109901</v>
          </cell>
          <cell r="L204">
            <v>1.6242596189559</v>
          </cell>
          <cell r="N204">
            <v>2.07800442865625</v>
          </cell>
          <cell r="P204">
            <v>2.59740145018865</v>
          </cell>
          <cell r="R204">
            <v>3.1588208786333101</v>
          </cell>
          <cell r="T204">
            <v>3.7523349483719901</v>
          </cell>
          <cell r="V204">
            <v>4.3678700333606404</v>
          </cell>
          <cell r="X204">
            <v>5.0319681848587097</v>
          </cell>
          <cell r="Z204">
            <v>5.7197767029071098</v>
          </cell>
        </row>
        <row r="205">
          <cell r="D205" t="str">
            <v>Trade|Primary Energy|Biomass|Volume</v>
          </cell>
          <cell r="E205" t="str">
            <v>EJ/yr</v>
          </cell>
        </row>
        <row r="206">
          <cell r="D206" t="str">
            <v>Trade|Primary Energy|Coal|Volume</v>
          </cell>
          <cell r="E206" t="str">
            <v>EJ/yr</v>
          </cell>
          <cell r="G206">
            <v>0.17499999999999999</v>
          </cell>
          <cell r="H206">
            <v>0.152</v>
          </cell>
          <cell r="J206">
            <v>0.17100000000000001</v>
          </cell>
          <cell r="L206">
            <v>0.19900000000000001</v>
          </cell>
          <cell r="N206">
            <v>0.26</v>
          </cell>
          <cell r="P206">
            <v>0.32100000000000001</v>
          </cell>
          <cell r="R206">
            <v>0.47099999999999997</v>
          </cell>
          <cell r="T206">
            <v>0.75900000000000001</v>
          </cell>
          <cell r="V206">
            <v>1.2330000000000001</v>
          </cell>
          <cell r="X206">
            <v>1.8240000000000001</v>
          </cell>
          <cell r="Z206">
            <v>2.6320000000000001</v>
          </cell>
        </row>
        <row r="207">
          <cell r="D207" t="str">
            <v>Trade|Primary Energy|Gas|Volume</v>
          </cell>
          <cell r="E207" t="str">
            <v>EJ/yr</v>
          </cell>
          <cell r="G207">
            <v>0.64700000000000002</v>
          </cell>
          <cell r="H207">
            <v>0.84399999999999997</v>
          </cell>
          <cell r="J207">
            <v>0.96799999999999997</v>
          </cell>
          <cell r="L207">
            <v>1.6419999999999999</v>
          </cell>
          <cell r="N207">
            <v>2.742</v>
          </cell>
          <cell r="P207">
            <v>2.7549999999999999</v>
          </cell>
          <cell r="R207">
            <v>2.956</v>
          </cell>
          <cell r="T207">
            <v>3.5169999999999999</v>
          </cell>
          <cell r="V207">
            <v>4.4370000000000003</v>
          </cell>
          <cell r="X207">
            <v>4.694</v>
          </cell>
          <cell r="Z207">
            <v>3.9649999999999999</v>
          </cell>
        </row>
        <row r="208">
          <cell r="D208" t="str">
            <v>Trade|Primary Energy|Oil|Volume</v>
          </cell>
          <cell r="E208" t="str">
            <v>EJ/yr</v>
          </cell>
          <cell r="G208">
            <v>-1.26</v>
          </cell>
          <cell r="H208">
            <v>0.73599999999999999</v>
          </cell>
          <cell r="J208">
            <v>0.96399999999999997</v>
          </cell>
          <cell r="L208">
            <v>1.0549999999999999</v>
          </cell>
          <cell r="N208">
            <v>0.89800000000000002</v>
          </cell>
          <cell r="P208">
            <v>0.77600000000000002</v>
          </cell>
          <cell r="R208">
            <v>0.60799999999999998</v>
          </cell>
          <cell r="T208">
            <v>0.41199999999999998</v>
          </cell>
          <cell r="V208">
            <v>0.27</v>
          </cell>
          <cell r="X208">
            <v>0.22600000000000001</v>
          </cell>
          <cell r="Z208">
            <v>0.217</v>
          </cell>
        </row>
      </sheetData>
      <sheetData sheetId="17">
        <row r="1">
          <cell r="D1" t="str">
            <v>VARIABLE</v>
          </cell>
          <cell r="E1" t="str">
            <v>UNIT</v>
          </cell>
          <cell r="F1">
            <v>2000</v>
          </cell>
          <cell r="G1">
            <v>2005</v>
          </cell>
          <cell r="H1">
            <v>2010</v>
          </cell>
          <cell r="I1">
            <v>2015</v>
          </cell>
          <cell r="J1">
            <v>2020</v>
          </cell>
          <cell r="K1">
            <v>2025</v>
          </cell>
          <cell r="L1">
            <v>2030</v>
          </cell>
          <cell r="M1">
            <v>2035</v>
          </cell>
          <cell r="N1">
            <v>2040</v>
          </cell>
          <cell r="O1">
            <v>2045</v>
          </cell>
          <cell r="P1">
            <v>2050</v>
          </cell>
          <cell r="Q1">
            <v>2055</v>
          </cell>
          <cell r="R1">
            <v>2060</v>
          </cell>
          <cell r="S1">
            <v>2065</v>
          </cell>
          <cell r="T1">
            <v>2070</v>
          </cell>
          <cell r="U1">
            <v>2075</v>
          </cell>
          <cell r="V1">
            <v>2080</v>
          </cell>
          <cell r="W1">
            <v>2085</v>
          </cell>
          <cell r="X1">
            <v>2090</v>
          </cell>
          <cell r="Y1">
            <v>2095</v>
          </cell>
          <cell r="Z1">
            <v>2100</v>
          </cell>
        </row>
        <row r="2">
          <cell r="D2" t="str">
            <v>Capacity|Electricity|Coal|w/ CCS</v>
          </cell>
          <cell r="E2" t="str">
            <v>GW</v>
          </cell>
          <cell r="G2">
            <v>0</v>
          </cell>
          <cell r="H2">
            <v>0</v>
          </cell>
          <cell r="J2">
            <v>3.9279999999999999</v>
          </cell>
          <cell r="L2">
            <v>48.414000000000001</v>
          </cell>
          <cell r="N2">
            <v>147.52000000000001</v>
          </cell>
          <cell r="P2">
            <v>244.517</v>
          </cell>
          <cell r="R2">
            <v>220.84200000000001</v>
          </cell>
          <cell r="T2">
            <v>154.97399999999999</v>
          </cell>
          <cell r="V2">
            <v>72.164000000000001</v>
          </cell>
          <cell r="X2">
            <v>44.194000000000003</v>
          </cell>
          <cell r="Z2">
            <v>16.931000000000001</v>
          </cell>
        </row>
        <row r="3">
          <cell r="D3" t="str">
            <v>Capacity|Electricity|Coal|w/o CCS</v>
          </cell>
          <cell r="E3" t="str">
            <v>GW</v>
          </cell>
          <cell r="G3">
            <v>1158.5260000000001</v>
          </cell>
          <cell r="H3">
            <v>1409.434</v>
          </cell>
          <cell r="J3">
            <v>1447.5740000000001</v>
          </cell>
          <cell r="L3">
            <v>1116.3910000000001</v>
          </cell>
          <cell r="N3">
            <v>330.512</v>
          </cell>
          <cell r="P3">
            <v>46.822000000000003</v>
          </cell>
          <cell r="R3">
            <v>0.51400000000000001</v>
          </cell>
          <cell r="T3">
            <v>0</v>
          </cell>
          <cell r="V3">
            <v>0</v>
          </cell>
          <cell r="X3">
            <v>0</v>
          </cell>
          <cell r="Z3">
            <v>0</v>
          </cell>
        </row>
        <row r="4">
          <cell r="D4" t="str">
            <v>Capacity|Electricity|Gas|w/ CCS</v>
          </cell>
          <cell r="E4" t="str">
            <v>GW</v>
          </cell>
          <cell r="G4">
            <v>0</v>
          </cell>
          <cell r="H4">
            <v>0</v>
          </cell>
          <cell r="J4">
            <v>3.681</v>
          </cell>
          <cell r="L4">
            <v>101.672</v>
          </cell>
          <cell r="N4">
            <v>487.524</v>
          </cell>
          <cell r="P4">
            <v>1269.318</v>
          </cell>
          <cell r="R4">
            <v>1515.605</v>
          </cell>
          <cell r="T4">
            <v>1201.5350000000001</v>
          </cell>
          <cell r="V4">
            <v>416.08699999999999</v>
          </cell>
          <cell r="X4">
            <v>71.772999999999996</v>
          </cell>
          <cell r="Z4">
            <v>5.3999999999999999E-2</v>
          </cell>
        </row>
        <row r="5">
          <cell r="D5" t="str">
            <v>Capacity|Electricity|Gas|w/o CCS</v>
          </cell>
          <cell r="E5" t="str">
            <v>GW</v>
          </cell>
          <cell r="G5">
            <v>1311.953</v>
          </cell>
          <cell r="H5">
            <v>1545.877</v>
          </cell>
          <cell r="J5">
            <v>2422.797</v>
          </cell>
          <cell r="L5">
            <v>3569.665</v>
          </cell>
          <cell r="N5">
            <v>4864.9449999999997</v>
          </cell>
          <cell r="P5">
            <v>4946.7349999999997</v>
          </cell>
          <cell r="R5">
            <v>4982.4840000000004</v>
          </cell>
          <cell r="T5">
            <v>4913.6469999999999</v>
          </cell>
          <cell r="V5">
            <v>4868.7690000000002</v>
          </cell>
          <cell r="X5">
            <v>4633.0919999999996</v>
          </cell>
          <cell r="Z5">
            <v>4449.9639999999999</v>
          </cell>
        </row>
        <row r="6">
          <cell r="D6" t="str">
            <v>Capacity|Electricity|Nuclear</v>
          </cell>
          <cell r="E6" t="str">
            <v>GW</v>
          </cell>
          <cell r="G6">
            <v>405.86399999999998</v>
          </cell>
          <cell r="H6">
            <v>411.77800000000002</v>
          </cell>
          <cell r="J6">
            <v>447.08199999999999</v>
          </cell>
          <cell r="L6">
            <v>428.50099999999998</v>
          </cell>
          <cell r="N6">
            <v>375.50200000000001</v>
          </cell>
          <cell r="P6">
            <v>439.03300000000002</v>
          </cell>
          <cell r="R6">
            <v>815.303</v>
          </cell>
          <cell r="T6">
            <v>1209.923</v>
          </cell>
          <cell r="V6">
            <v>1848.913</v>
          </cell>
          <cell r="X6">
            <v>2625.96</v>
          </cell>
          <cell r="Z6">
            <v>3630.4520000000002</v>
          </cell>
        </row>
        <row r="7">
          <cell r="D7" t="str">
            <v>Capacity|Electricity|Solar</v>
          </cell>
          <cell r="E7" t="str">
            <v>GW</v>
          </cell>
          <cell r="G7">
            <v>4.01</v>
          </cell>
          <cell r="H7">
            <v>26.91</v>
          </cell>
          <cell r="J7">
            <v>136.59800000000001</v>
          </cell>
          <cell r="L7">
            <v>636.32799999999997</v>
          </cell>
          <cell r="N7">
            <v>1835.8910000000001</v>
          </cell>
          <cell r="P7">
            <v>4091.5650000000001</v>
          </cell>
          <cell r="R7">
            <v>6753.1710000000003</v>
          </cell>
          <cell r="T7">
            <v>9320.7139999999999</v>
          </cell>
          <cell r="V7">
            <v>12467.039000000001</v>
          </cell>
          <cell r="X7">
            <v>16889.875</v>
          </cell>
          <cell r="Z7">
            <v>21622.42</v>
          </cell>
        </row>
        <row r="8">
          <cell r="D8" t="str">
            <v>Capacity|Electricity|Solar|CSP</v>
          </cell>
          <cell r="E8" t="str">
            <v>GW</v>
          </cell>
          <cell r="G8">
            <v>0.61</v>
          </cell>
          <cell r="H8">
            <v>1.21</v>
          </cell>
          <cell r="J8">
            <v>66.22</v>
          </cell>
          <cell r="L8">
            <v>285.39100000000002</v>
          </cell>
          <cell r="N8">
            <v>711.76900000000001</v>
          </cell>
          <cell r="P8">
            <v>1396.5</v>
          </cell>
          <cell r="R8">
            <v>2055.9340000000002</v>
          </cell>
          <cell r="T8">
            <v>2748.6550000000002</v>
          </cell>
          <cell r="V8">
            <v>3784.7669999999998</v>
          </cell>
          <cell r="X8">
            <v>5360.9440000000004</v>
          </cell>
          <cell r="Z8">
            <v>7278.7550000000001</v>
          </cell>
        </row>
        <row r="9">
          <cell r="D9" t="str">
            <v>Capacity|Electricity|Solar|PV</v>
          </cell>
          <cell r="E9" t="str">
            <v>GW</v>
          </cell>
          <cell r="G9">
            <v>3.4</v>
          </cell>
          <cell r="H9">
            <v>25.7</v>
          </cell>
          <cell r="J9">
            <v>70.378</v>
          </cell>
          <cell r="L9">
            <v>350.93700000000001</v>
          </cell>
          <cell r="N9">
            <v>1124.1220000000001</v>
          </cell>
          <cell r="P9">
            <v>2695.0650000000001</v>
          </cell>
          <cell r="R9">
            <v>4697.2370000000001</v>
          </cell>
          <cell r="T9">
            <v>6572.0590000000002</v>
          </cell>
          <cell r="V9">
            <v>8682.2720000000008</v>
          </cell>
          <cell r="X9">
            <v>11528.931</v>
          </cell>
          <cell r="Z9">
            <v>14343.665000000001</v>
          </cell>
        </row>
        <row r="10">
          <cell r="D10" t="str">
            <v>Capacity|Electricity|Wind</v>
          </cell>
          <cell r="E10" t="str">
            <v>GW</v>
          </cell>
          <cell r="G10">
            <v>55.302999999999997</v>
          </cell>
          <cell r="H10">
            <v>169.95400000000001</v>
          </cell>
          <cell r="J10">
            <v>384.414999999999</v>
          </cell>
          <cell r="L10">
            <v>1061.8409999999999</v>
          </cell>
          <cell r="P10">
            <v>3309.7420000000002</v>
          </cell>
          <cell r="R10">
            <v>4032.89</v>
          </cell>
          <cell r="T10">
            <v>4959.9660000000003</v>
          </cell>
          <cell r="V10">
            <v>6234.2870000000003</v>
          </cell>
          <cell r="X10">
            <v>7650.5569999999998</v>
          </cell>
          <cell r="Z10">
            <v>9046.8619999999992</v>
          </cell>
        </row>
        <row r="11">
          <cell r="D11" t="str">
            <v>Capital Cost|Electricity|Coal|IGCC|w/ CCS</v>
          </cell>
          <cell r="E11" t="str">
            <v>$/kW</v>
          </cell>
          <cell r="J11">
            <v>1098</v>
          </cell>
          <cell r="L11">
            <v>2161.54545454545</v>
          </cell>
          <cell r="N11">
            <v>2021</v>
          </cell>
          <cell r="P11">
            <v>1922.8181818181799</v>
          </cell>
          <cell r="R11">
            <v>1853</v>
          </cell>
          <cell r="T11">
            <v>1803</v>
          </cell>
          <cell r="V11">
            <v>1769</v>
          </cell>
          <cell r="X11">
            <v>1746</v>
          </cell>
          <cell r="Z11">
            <v>1731</v>
          </cell>
        </row>
        <row r="12">
          <cell r="D12" t="str">
            <v>Capital Cost|Electricity|Coal|IGCC|w/o CCS</v>
          </cell>
          <cell r="E12" t="str">
            <v>$/kW</v>
          </cell>
          <cell r="J12">
            <v>1451</v>
          </cell>
          <cell r="L12">
            <v>1380.72727272727</v>
          </cell>
          <cell r="N12">
            <v>1319.72727272727</v>
          </cell>
          <cell r="P12">
            <v>1276.54545454545</v>
          </cell>
          <cell r="R12">
            <v>1245</v>
          </cell>
          <cell r="T12">
            <v>1222</v>
          </cell>
          <cell r="V12">
            <v>1206</v>
          </cell>
          <cell r="X12">
            <v>1196</v>
          </cell>
          <cell r="Z12">
            <v>1189</v>
          </cell>
        </row>
        <row r="13">
          <cell r="D13" t="str">
            <v>Capital Cost|Electricity|Gas|CC|w/ CCS</v>
          </cell>
          <cell r="E13" t="str">
            <v>$/kW</v>
          </cell>
          <cell r="J13">
            <v>534.45454545454504</v>
          </cell>
          <cell r="L13">
            <v>1057.1818181818101</v>
          </cell>
          <cell r="N13">
            <v>991.63636363636294</v>
          </cell>
          <cell r="P13">
            <v>945.45454545454504</v>
          </cell>
          <cell r="R13">
            <v>913</v>
          </cell>
          <cell r="T13">
            <v>889</v>
          </cell>
          <cell r="V13">
            <v>873</v>
          </cell>
          <cell r="X13">
            <v>862</v>
          </cell>
          <cell r="Z13">
            <v>854</v>
          </cell>
        </row>
        <row r="14">
          <cell r="D14" t="str">
            <v>Capital Cost|Electricity|Gas|CC|w/o CCS</v>
          </cell>
          <cell r="E14" t="str">
            <v>$/kW</v>
          </cell>
          <cell r="J14">
            <v>459.09090909090901</v>
          </cell>
          <cell r="L14">
            <v>447.72727272727201</v>
          </cell>
          <cell r="N14">
            <v>433.72727272727201</v>
          </cell>
          <cell r="P14">
            <v>424.45454545454498</v>
          </cell>
          <cell r="R14">
            <v>416</v>
          </cell>
          <cell r="T14">
            <v>410</v>
          </cell>
          <cell r="V14">
            <v>406</v>
          </cell>
          <cell r="X14">
            <v>403</v>
          </cell>
          <cell r="Z14">
            <v>401</v>
          </cell>
        </row>
        <row r="15">
          <cell r="D15" t="str">
            <v>Capital Cost|Electricity|Nuclear</v>
          </cell>
          <cell r="E15" t="str">
            <v>$/kW</v>
          </cell>
          <cell r="J15">
            <v>4588</v>
          </cell>
          <cell r="L15">
            <v>4758.4545454545396</v>
          </cell>
          <cell r="N15">
            <v>4860.0909090908999</v>
          </cell>
          <cell r="P15">
            <v>4953</v>
          </cell>
          <cell r="R15">
            <v>4755</v>
          </cell>
          <cell r="T15">
            <v>4714</v>
          </cell>
          <cell r="V15">
            <v>4682</v>
          </cell>
          <cell r="X15">
            <v>4660</v>
          </cell>
          <cell r="Z15">
            <v>4643</v>
          </cell>
        </row>
        <row r="16">
          <cell r="D16" t="str">
            <v>Capital Cost|Electricity|Solar|CSP</v>
          </cell>
          <cell r="E16" t="str">
            <v>$/kW</v>
          </cell>
          <cell r="J16">
            <v>2077.7272727272698</v>
          </cell>
          <cell r="L16">
            <v>1842.54545454545</v>
          </cell>
          <cell r="N16">
            <v>1688.6363636363601</v>
          </cell>
          <cell r="P16">
            <v>1593.27272727272</v>
          </cell>
          <cell r="R16">
            <v>1533</v>
          </cell>
          <cell r="T16">
            <v>1494</v>
          </cell>
          <cell r="V16">
            <v>1470</v>
          </cell>
          <cell r="X16">
            <v>1455</v>
          </cell>
          <cell r="Z16">
            <v>1446</v>
          </cell>
        </row>
        <row r="17">
          <cell r="D17" t="str">
            <v>Capital Cost|Electricity|Solar|PV</v>
          </cell>
          <cell r="E17" t="str">
            <v>$/kW</v>
          </cell>
          <cell r="J17">
            <v>2055.8181818181802</v>
          </cell>
          <cell r="L17">
            <v>1629.72727272727</v>
          </cell>
          <cell r="N17">
            <v>1381.6363636363601</v>
          </cell>
          <cell r="P17">
            <v>1241.0909090908999</v>
          </cell>
          <cell r="R17">
            <v>1161</v>
          </cell>
          <cell r="T17">
            <v>1114</v>
          </cell>
          <cell r="V17">
            <v>1088</v>
          </cell>
          <cell r="X17">
            <v>1074</v>
          </cell>
          <cell r="Z17">
            <v>1065</v>
          </cell>
        </row>
        <row r="18">
          <cell r="D18" t="str">
            <v>Capital Cost|Electricity|Wind</v>
          </cell>
          <cell r="E18" t="str">
            <v>$/kW</v>
          </cell>
          <cell r="J18">
            <v>1168</v>
          </cell>
          <cell r="L18">
            <v>1019.63636363636</v>
          </cell>
          <cell r="N18">
            <v>924.18181818181802</v>
          </cell>
          <cell r="P18">
            <v>866</v>
          </cell>
          <cell r="R18">
            <v>830</v>
          </cell>
          <cell r="T18">
            <v>808</v>
          </cell>
          <cell r="V18">
            <v>794</v>
          </cell>
          <cell r="X18">
            <v>786</v>
          </cell>
          <cell r="Z18">
            <v>781</v>
          </cell>
        </row>
        <row r="19">
          <cell r="D19" t="str">
            <v>Concentration|CO2|MAGICC6|MED</v>
          </cell>
          <cell r="E19" t="str">
            <v>ppm</v>
          </cell>
          <cell r="G19">
            <v>379.85</v>
          </cell>
          <cell r="H19">
            <v>390.66043225288701</v>
          </cell>
          <cell r="J19">
            <v>414.71941986962298</v>
          </cell>
          <cell r="L19">
            <v>438.29498535783802</v>
          </cell>
          <cell r="N19">
            <v>456.58789846188699</v>
          </cell>
          <cell r="P19">
            <v>466.00001464871798</v>
          </cell>
          <cell r="R19">
            <v>466.77197640358901</v>
          </cell>
          <cell r="T19">
            <v>462.59282020978401</v>
          </cell>
          <cell r="V19">
            <v>455.1322470984</v>
          </cell>
          <cell r="X19">
            <v>445.014486892077</v>
          </cell>
          <cell r="Z19">
            <v>433.49031360448902</v>
          </cell>
        </row>
        <row r="20">
          <cell r="D20" t="str">
            <v>Concentration|CO2|MAGICC6|P16</v>
          </cell>
          <cell r="E20" t="str">
            <v>ppm</v>
          </cell>
          <cell r="G20">
            <v>379.85</v>
          </cell>
          <cell r="H20">
            <v>390.03915081822402</v>
          </cell>
          <cell r="J20">
            <v>411.30531206089898</v>
          </cell>
          <cell r="L20">
            <v>431.952558692087</v>
          </cell>
          <cell r="N20">
            <v>447.18548693644499</v>
          </cell>
          <cell r="P20">
            <v>452.254053220652</v>
          </cell>
          <cell r="R20">
            <v>447.77978607137902</v>
          </cell>
          <cell r="T20">
            <v>438.30813096959201</v>
          </cell>
          <cell r="V20">
            <v>427.87639782103201</v>
          </cell>
          <cell r="X20">
            <v>417.36010047685397</v>
          </cell>
          <cell r="Z20">
            <v>407.21543032398898</v>
          </cell>
        </row>
        <row r="21">
          <cell r="D21" t="str">
            <v>Concentration|CO2|MAGICC6|P84</v>
          </cell>
          <cell r="E21" t="str">
            <v>ppm</v>
          </cell>
          <cell r="G21">
            <v>379.85</v>
          </cell>
          <cell r="H21">
            <v>391.40507938919802</v>
          </cell>
          <cell r="J21">
            <v>418.86040387674001</v>
          </cell>
          <cell r="L21">
            <v>445.51438427070002</v>
          </cell>
          <cell r="N21">
            <v>467.34362316529399</v>
          </cell>
          <cell r="P21">
            <v>480.73181664247801</v>
          </cell>
          <cell r="R21">
            <v>486.20840931333601</v>
          </cell>
          <cell r="T21">
            <v>482.11947116718801</v>
          </cell>
          <cell r="V21">
            <v>475.13475607016102</v>
          </cell>
          <cell r="X21">
            <v>465.04311066152098</v>
          </cell>
          <cell r="Z21">
            <v>453.68697855911</v>
          </cell>
        </row>
        <row r="22">
          <cell r="D22" t="str">
            <v>Consumption</v>
          </cell>
          <cell r="E22" t="str">
            <v>billion US$2005/yr</v>
          </cell>
          <cell r="G22">
            <v>36765.440000000002</v>
          </cell>
          <cell r="H22">
            <v>42304.88</v>
          </cell>
          <cell r="J22">
            <v>54254.7</v>
          </cell>
          <cell r="L22">
            <v>78751.8</v>
          </cell>
          <cell r="N22">
            <v>103521</v>
          </cell>
          <cell r="P22">
            <v>133274.69999999899</v>
          </cell>
          <cell r="R22">
            <v>165388</v>
          </cell>
          <cell r="T22">
            <v>202116.3</v>
          </cell>
          <cell r="V22">
            <v>241882.6</v>
          </cell>
          <cell r="X22">
            <v>286949.8</v>
          </cell>
          <cell r="Z22">
            <v>331949.3</v>
          </cell>
        </row>
        <row r="23">
          <cell r="D23" t="str">
            <v>Cumulative Capacity|Electricity</v>
          </cell>
          <cell r="E23" t="str">
            <v>GW</v>
          </cell>
        </row>
        <row r="24">
          <cell r="D24" t="str">
            <v>Cumulative Capacity|Electricity|Biomass</v>
          </cell>
          <cell r="E24" t="str">
            <v>GW</v>
          </cell>
          <cell r="G24">
            <v>1.28</v>
          </cell>
          <cell r="H24">
            <v>15.906000000000001</v>
          </cell>
          <cell r="J24">
            <v>17.227</v>
          </cell>
          <cell r="L24">
            <v>32.661999999999999</v>
          </cell>
          <cell r="N24">
            <v>77.53</v>
          </cell>
          <cell r="P24">
            <v>147.03800000000001</v>
          </cell>
          <cell r="R24">
            <v>225.84</v>
          </cell>
          <cell r="T24">
            <v>297.30599999999998</v>
          </cell>
          <cell r="V24">
            <v>394.06599999999997</v>
          </cell>
          <cell r="X24">
            <v>486.13200000000001</v>
          </cell>
          <cell r="Z24">
            <v>587.06299999999999</v>
          </cell>
        </row>
        <row r="25">
          <cell r="D25" t="str">
            <v>Cumulative Capacity|Electricity|Coal</v>
          </cell>
          <cell r="E25" t="str">
            <v>GW</v>
          </cell>
          <cell r="G25">
            <v>66.004999999999995</v>
          </cell>
          <cell r="H25">
            <v>522.40899999999999</v>
          </cell>
          <cell r="J25">
            <v>809.99400000000003</v>
          </cell>
          <cell r="L25">
            <v>900.78800000000001</v>
          </cell>
          <cell r="N25">
            <v>1000.6559999999999</v>
          </cell>
          <cell r="P25">
            <v>1104.741</v>
          </cell>
          <cell r="R25">
            <v>1132.636</v>
          </cell>
          <cell r="T25">
            <v>1173.923</v>
          </cell>
          <cell r="V25">
            <v>1204.8</v>
          </cell>
          <cell r="X25">
            <v>1218.117</v>
          </cell>
          <cell r="Z25">
            <v>1221.732</v>
          </cell>
        </row>
        <row r="26">
          <cell r="D26" t="str">
            <v>Cumulative Capacity|Electricity|Gas</v>
          </cell>
          <cell r="E26" t="str">
            <v>GW</v>
          </cell>
          <cell r="G26">
            <v>82.229999999999905</v>
          </cell>
          <cell r="H26">
            <v>445.08800000000002</v>
          </cell>
          <cell r="J26">
            <v>1507.0160000000001</v>
          </cell>
          <cell r="L26">
            <v>3342.4</v>
          </cell>
          <cell r="N26">
            <v>5797.5619999999999</v>
          </cell>
          <cell r="P26">
            <v>7723.06699999999</v>
          </cell>
          <cell r="R26">
            <v>9840.4809999999998</v>
          </cell>
          <cell r="T26">
            <v>11912.7409999999</v>
          </cell>
          <cell r="V26">
            <v>13007.923000000001</v>
          </cell>
          <cell r="X26">
            <v>14545.344999999999</v>
          </cell>
          <cell r="Z26">
            <v>16362.759</v>
          </cell>
        </row>
        <row r="27">
          <cell r="D27" t="str">
            <v>Cumulative Capacity|Electricity|Nuclear</v>
          </cell>
          <cell r="E27" t="str">
            <v>GW</v>
          </cell>
          <cell r="G27">
            <v>3.9870000000000001</v>
          </cell>
          <cell r="H27">
            <v>10.701000000000001</v>
          </cell>
          <cell r="J27">
            <v>64.995999999999995</v>
          </cell>
          <cell r="L27">
            <v>111.47199999999999</v>
          </cell>
          <cell r="N27">
            <v>217.101</v>
          </cell>
          <cell r="P27">
            <v>407.46800000000002</v>
          </cell>
          <cell r="R27">
            <v>824.77800000000002</v>
          </cell>
          <cell r="T27">
            <v>1267.289</v>
          </cell>
          <cell r="V27">
            <v>1983.0820000000001</v>
          </cell>
          <cell r="X27">
            <v>2880.7739999999999</v>
          </cell>
          <cell r="Z27">
            <v>4148.5240000000003</v>
          </cell>
        </row>
        <row r="28">
          <cell r="D28" t="str">
            <v>Cumulative Capacity|Electricity|Solar</v>
          </cell>
          <cell r="E28" t="str">
            <v>GW</v>
          </cell>
          <cell r="G28">
            <v>0.73</v>
          </cell>
          <cell r="H28">
            <v>23.63</v>
          </cell>
          <cell r="J28">
            <v>133.678</v>
          </cell>
          <cell r="L28">
            <v>633.65799999999899</v>
          </cell>
          <cell r="N28">
            <v>1924.89</v>
          </cell>
          <cell r="P28">
            <v>4444.6639999999998</v>
          </cell>
          <cell r="R28">
            <v>7879.1759999999904</v>
          </cell>
          <cell r="T28">
            <v>12149.755999999999</v>
          </cell>
          <cell r="V28">
            <v>18063.484</v>
          </cell>
          <cell r="X28">
            <v>26365.924999999999</v>
          </cell>
          <cell r="Z28">
            <v>35960.069000000003</v>
          </cell>
        </row>
        <row r="29">
          <cell r="D29" t="str">
            <v>Cumulative Capacity|Electricity|Solar|CSP</v>
          </cell>
          <cell r="E29" t="str">
            <v>GW</v>
          </cell>
          <cell r="G29">
            <v>0.05</v>
          </cell>
          <cell r="H29">
            <v>0.65</v>
          </cell>
          <cell r="J29">
            <v>66.02</v>
          </cell>
          <cell r="L29">
            <v>285.44099999999997</v>
          </cell>
          <cell r="N29">
            <v>777.78800000000001</v>
          </cell>
          <cell r="P29">
            <v>1681.941</v>
          </cell>
          <cell r="R29">
            <v>2833.7220000000002</v>
          </cell>
          <cell r="T29">
            <v>4430.5959999999995</v>
          </cell>
          <cell r="V29">
            <v>6618.4889999999996</v>
          </cell>
          <cell r="X29">
            <v>9791.5400000000009</v>
          </cell>
          <cell r="Z29">
            <v>13897.244000000001</v>
          </cell>
        </row>
        <row r="30">
          <cell r="D30" t="str">
            <v>Cumulative Capacity|Electricity|Solar|PV</v>
          </cell>
          <cell r="E30" t="str">
            <v>GW</v>
          </cell>
          <cell r="G30">
            <v>0.68</v>
          </cell>
          <cell r="H30">
            <v>22.98</v>
          </cell>
          <cell r="J30">
            <v>67.658000000000001</v>
          </cell>
          <cell r="L30">
            <v>348.21699999999998</v>
          </cell>
          <cell r="N30">
            <v>1147.1020000000001</v>
          </cell>
          <cell r="P30">
            <v>2762.723</v>
          </cell>
          <cell r="R30">
            <v>5045.4539999999997</v>
          </cell>
          <cell r="T30">
            <v>7719.16</v>
          </cell>
          <cell r="V30">
            <v>11444.995000000001</v>
          </cell>
          <cell r="X30">
            <v>16574.384999999998</v>
          </cell>
          <cell r="Z30">
            <v>22062.825000000001</v>
          </cell>
        </row>
        <row r="31">
          <cell r="D31" t="str">
            <v>Cumulative Capacity|Electricity|Wind</v>
          </cell>
          <cell r="E31" t="str">
            <v>GW</v>
          </cell>
          <cell r="G31">
            <v>7.274</v>
          </cell>
          <cell r="H31">
            <v>126.563</v>
          </cell>
          <cell r="J31">
            <v>342.44099999999997</v>
          </cell>
          <cell r="L31">
            <v>1032.7460000000001</v>
          </cell>
          <cell r="N31">
            <v>2444.163</v>
          </cell>
          <cell r="P31">
            <v>3846.2689999999998</v>
          </cell>
          <cell r="R31">
            <v>5550.9030000000002</v>
          </cell>
          <cell r="T31">
            <v>8137.2439999999997</v>
          </cell>
          <cell r="V31">
            <v>10812.561</v>
          </cell>
          <cell r="X31">
            <v>14436.063</v>
          </cell>
          <cell r="Z31">
            <v>18779.02</v>
          </cell>
        </row>
        <row r="32">
          <cell r="D32" t="str">
            <v>Cumulative Capacity|Electricity|Wind|Offshore</v>
          </cell>
          <cell r="E32" t="str">
            <v>GW</v>
          </cell>
          <cell r="G32">
            <v>0</v>
          </cell>
          <cell r="H32">
            <v>0</v>
          </cell>
          <cell r="J32">
            <v>47.792000000000002</v>
          </cell>
          <cell r="L32">
            <v>241.87799999999999</v>
          </cell>
          <cell r="N32">
            <v>727.14400000000001</v>
          </cell>
          <cell r="P32">
            <v>1460.259</v>
          </cell>
          <cell r="R32">
            <v>2192.2640000000001</v>
          </cell>
          <cell r="T32">
            <v>3426.8679999999999</v>
          </cell>
          <cell r="V32">
            <v>5021.7820000000002</v>
          </cell>
          <cell r="X32">
            <v>7038.8450000000003</v>
          </cell>
          <cell r="Z32">
            <v>9541.7900000000009</v>
          </cell>
        </row>
        <row r="33">
          <cell r="D33" t="str">
            <v>Cumulative Capacity|Electricity|Wind|Onshore</v>
          </cell>
          <cell r="E33" t="str">
            <v>GW</v>
          </cell>
          <cell r="G33">
            <v>7.274</v>
          </cell>
          <cell r="H33">
            <v>126.563</v>
          </cell>
          <cell r="J33">
            <v>294.649</v>
          </cell>
          <cell r="L33">
            <v>790.86800000000005</v>
          </cell>
          <cell r="N33">
            <v>1717.019</v>
          </cell>
          <cell r="P33">
            <v>2386.0100000000002</v>
          </cell>
          <cell r="R33">
            <v>3358.6390000000001</v>
          </cell>
          <cell r="T33">
            <v>4710.3760000000002</v>
          </cell>
          <cell r="V33">
            <v>5790.7790000000005</v>
          </cell>
          <cell r="X33">
            <v>7397.2179999999998</v>
          </cell>
          <cell r="Z33">
            <v>9237.23</v>
          </cell>
        </row>
        <row r="34">
          <cell r="D34" t="str">
            <v>Emissions|BC</v>
          </cell>
          <cell r="E34" t="str">
            <v>Mt BC/yr</v>
          </cell>
          <cell r="G34">
            <v>7.8066098999999998</v>
          </cell>
          <cell r="H34">
            <v>7.5747625999999997</v>
          </cell>
          <cell r="J34">
            <v>6.7981448999999996</v>
          </cell>
          <cell r="L34">
            <v>6.1810730999999999</v>
          </cell>
          <cell r="N34">
            <v>4.6639042000000002</v>
          </cell>
          <cell r="P34">
            <v>3.7532619</v>
          </cell>
          <cell r="R34">
            <v>3.0317460000000001</v>
          </cell>
          <cell r="T34">
            <v>2.7939419999999999</v>
          </cell>
          <cell r="V34">
            <v>2.6019679999999998</v>
          </cell>
          <cell r="X34">
            <v>2.4271219999999998</v>
          </cell>
          <cell r="Z34">
            <v>2.2786590000000002</v>
          </cell>
        </row>
        <row r="35">
          <cell r="D35" t="str">
            <v>Emissions|CH4</v>
          </cell>
          <cell r="E35" t="str">
            <v>Mt CH4/yr</v>
          </cell>
          <cell r="G35">
            <v>329.81611989999999</v>
          </cell>
          <cell r="H35">
            <v>357.636108199999</v>
          </cell>
          <cell r="J35">
            <v>362.96880189999899</v>
          </cell>
          <cell r="L35">
            <v>380.16725309999998</v>
          </cell>
          <cell r="N35">
            <v>391.03066250000001</v>
          </cell>
          <cell r="P35">
            <v>377.98097419999999</v>
          </cell>
          <cell r="R35">
            <v>359.49443830000001</v>
          </cell>
          <cell r="T35">
            <v>345.96349880000002</v>
          </cell>
          <cell r="V35">
            <v>338.71592820000001</v>
          </cell>
          <cell r="X35">
            <v>321.75425089999999</v>
          </cell>
          <cell r="Z35">
            <v>299.70133509999999</v>
          </cell>
        </row>
        <row r="36">
          <cell r="D36" t="str">
            <v>Emissions|CO2</v>
          </cell>
          <cell r="E36" t="str">
            <v>Mt CO2/yr</v>
          </cell>
          <cell r="G36">
            <v>34468.103999999999</v>
          </cell>
          <cell r="H36">
            <v>36076.630333333298</v>
          </cell>
          <cell r="J36">
            <v>38048.131000000001</v>
          </cell>
          <cell r="L36">
            <v>36478.053333333301</v>
          </cell>
          <cell r="N36">
            <v>27332.506666666599</v>
          </cell>
          <cell r="P36">
            <v>14295.919</v>
          </cell>
          <cell r="R36">
            <v>4139.3549999999996</v>
          </cell>
          <cell r="T36">
            <v>-1665.2056666666599</v>
          </cell>
          <cell r="V36">
            <v>-5598.5819999999903</v>
          </cell>
          <cell r="X36">
            <v>-8754.0383333333302</v>
          </cell>
          <cell r="Z36">
            <v>-11101.199999999901</v>
          </cell>
        </row>
        <row r="37">
          <cell r="D37" t="str">
            <v>Emissions|CO2|Carbon Capture and Storage</v>
          </cell>
          <cell r="E37" t="str">
            <v>Mt CO2/yr</v>
          </cell>
          <cell r="G37">
            <v>0</v>
          </cell>
          <cell r="H37">
            <v>0</v>
          </cell>
          <cell r="J37">
            <v>101.50066666666601</v>
          </cell>
          <cell r="L37">
            <v>1964.4643333333299</v>
          </cell>
          <cell r="N37">
            <v>7338.8516666666601</v>
          </cell>
          <cell r="P37">
            <v>16263.800666666601</v>
          </cell>
          <cell r="R37">
            <v>22955.482</v>
          </cell>
          <cell r="T37">
            <v>25639.313333333299</v>
          </cell>
          <cell r="V37">
            <v>25170.8819999999</v>
          </cell>
          <cell r="X37">
            <v>22373.607666666601</v>
          </cell>
          <cell r="Z37">
            <v>17635.009333333299</v>
          </cell>
        </row>
        <row r="38">
          <cell r="D38" t="str">
            <v>Emissions|CO2|Carbon Capture and Storage|Biomass</v>
          </cell>
          <cell r="E38" t="str">
            <v>Mt CO2/yr</v>
          </cell>
          <cell r="G38">
            <v>0</v>
          </cell>
          <cell r="H38">
            <v>0</v>
          </cell>
          <cell r="J38">
            <v>0</v>
          </cell>
          <cell r="L38">
            <v>495.604999999999</v>
          </cell>
          <cell r="N38">
            <v>2084.9180000000001</v>
          </cell>
          <cell r="P38">
            <v>5611.3639999999996</v>
          </cell>
          <cell r="R38">
            <v>8554.4506666666603</v>
          </cell>
          <cell r="T38">
            <v>9510.8676666666597</v>
          </cell>
          <cell r="V38">
            <v>10504.307000000001</v>
          </cell>
          <cell r="X38">
            <v>11402.8713333333</v>
          </cell>
          <cell r="Z38">
            <v>12185.458999999901</v>
          </cell>
        </row>
        <row r="39">
          <cell r="D39" t="str">
            <v>Emissions|CO2|Fossil Fuels and Industry</v>
          </cell>
          <cell r="E39" t="str">
            <v>Mt CO2/yr</v>
          </cell>
          <cell r="G39">
            <v>30693.204666666599</v>
          </cell>
          <cell r="H39">
            <v>32486.824333333301</v>
          </cell>
          <cell r="J39">
            <v>34910.567999999897</v>
          </cell>
          <cell r="L39">
            <v>34089.931333333298</v>
          </cell>
          <cell r="N39">
            <v>25999.757666666599</v>
          </cell>
          <cell r="P39">
            <v>14367.407999999999</v>
          </cell>
          <cell r="R39">
            <v>6257.5333333333301</v>
          </cell>
          <cell r="T39">
            <v>2709.46133333333</v>
          </cell>
          <cell r="V39">
            <v>303.88233333333102</v>
          </cell>
          <cell r="X39">
            <v>-1815.0696666666699</v>
          </cell>
          <cell r="Z39">
            <v>-3082.3026666666601</v>
          </cell>
        </row>
        <row r="40">
          <cell r="D40" t="str">
            <v>Emissions|CO2|Fossil Fuels and Industry|Energy Demand</v>
          </cell>
          <cell r="E40" t="str">
            <v>Mt CO2/yr</v>
          </cell>
          <cell r="G40">
            <v>16667.845333333298</v>
          </cell>
          <cell r="H40">
            <v>18262.9369999999</v>
          </cell>
          <cell r="J40">
            <v>21102.960999999999</v>
          </cell>
          <cell r="L40">
            <v>22240.9586666666</v>
          </cell>
          <cell r="N40">
            <v>19971.911666666601</v>
          </cell>
          <cell r="P40">
            <v>16154.6769999999</v>
          </cell>
          <cell r="R40">
            <v>13036.393333333301</v>
          </cell>
          <cell r="T40">
            <v>11396.172333333299</v>
          </cell>
          <cell r="V40">
            <v>10727.5153333333</v>
          </cell>
          <cell r="X40">
            <v>9968.3833333333296</v>
          </cell>
          <cell r="Z40">
            <v>9972.2846666666592</v>
          </cell>
        </row>
        <row r="41">
          <cell r="D41" t="str">
            <v>Emissions|CO2|Fossil Fuels and Industry|Energy Demand|Industry</v>
          </cell>
          <cell r="E41" t="str">
            <v>Mt CO2/yr</v>
          </cell>
          <cell r="G41">
            <v>6939.2546666666603</v>
          </cell>
          <cell r="H41">
            <v>7856.9259999999904</v>
          </cell>
          <cell r="J41">
            <v>9116.2170000000006</v>
          </cell>
          <cell r="L41">
            <v>8886.625</v>
          </cell>
          <cell r="N41">
            <v>7369.5086666666602</v>
          </cell>
          <cell r="P41">
            <v>7248.4059999999999</v>
          </cell>
          <cell r="R41">
            <v>6255.3406666666597</v>
          </cell>
          <cell r="T41">
            <v>5671.0720000000001</v>
          </cell>
          <cell r="V41">
            <v>5418.3506666666599</v>
          </cell>
          <cell r="X41">
            <v>5140.2596666666605</v>
          </cell>
          <cell r="Z41">
            <v>5119.5209999999997</v>
          </cell>
        </row>
        <row r="42">
          <cell r="D42" t="str">
            <v>Emissions|CO2|Fossil Fuels and Industry|Energy Demand|Other Sector</v>
          </cell>
          <cell r="E42" t="str">
            <v>Mt CO2/yr</v>
          </cell>
        </row>
        <row r="43">
          <cell r="D43" t="str">
            <v>Emissions|CO2|Fossil Fuels and Industry|Energy Demand|Residential and Commercial</v>
          </cell>
          <cell r="E43" t="str">
            <v>Mt CO2/yr</v>
          </cell>
          <cell r="G43">
            <v>3378.4446666666599</v>
          </cell>
          <cell r="H43">
            <v>3614.9079999999999</v>
          </cell>
          <cell r="J43">
            <v>2951.1239999999998</v>
          </cell>
          <cell r="L43">
            <v>2325.2240000000002</v>
          </cell>
          <cell r="N43">
            <v>2098.2280000000001</v>
          </cell>
          <cell r="P43">
            <v>2056.9853333333299</v>
          </cell>
          <cell r="R43">
            <v>1585.8883333333299</v>
          </cell>
          <cell r="T43">
            <v>1003.17799999999</v>
          </cell>
          <cell r="V43">
            <v>607.91499999999996</v>
          </cell>
          <cell r="X43">
            <v>413.58533333333298</v>
          </cell>
          <cell r="Z43">
            <v>318.743333333333</v>
          </cell>
        </row>
        <row r="44">
          <cell r="D44" t="str">
            <v>Emissions|CO2|Fossil Fuels and Industry|Energy Demand|Transportation</v>
          </cell>
          <cell r="E44" t="str">
            <v>Mt CO2/yr</v>
          </cell>
          <cell r="G44">
            <v>6350.1459999999997</v>
          </cell>
          <cell r="H44">
            <v>6791.1029999999901</v>
          </cell>
          <cell r="J44">
            <v>9035.6199999999899</v>
          </cell>
          <cell r="L44">
            <v>11029.1096666666</v>
          </cell>
          <cell r="N44">
            <v>10504.174999999999</v>
          </cell>
          <cell r="P44">
            <v>6849.2856666666603</v>
          </cell>
          <cell r="R44">
            <v>5195.1643333333304</v>
          </cell>
          <cell r="T44">
            <v>4721.9223333333302</v>
          </cell>
          <cell r="V44">
            <v>4701.2496666666602</v>
          </cell>
          <cell r="X44">
            <v>4414.5383333333302</v>
          </cell>
          <cell r="Z44">
            <v>4534.0203333333302</v>
          </cell>
        </row>
        <row r="45">
          <cell r="D45" t="str">
            <v>Emissions|CO2|Fossil Fuels and Industry|Energy Supply</v>
          </cell>
          <cell r="E45" t="str">
            <v>Mt CO2/yr</v>
          </cell>
          <cell r="G45">
            <v>14025.359333333299</v>
          </cell>
          <cell r="H45">
            <v>14223.887333333299</v>
          </cell>
          <cell r="J45">
            <v>13807.607</v>
          </cell>
          <cell r="L45">
            <v>11848.972666666599</v>
          </cell>
          <cell r="N45">
            <v>6027.8459999999995</v>
          </cell>
          <cell r="P45">
            <v>-1787.269</v>
          </cell>
          <cell r="R45">
            <v>-6778.86</v>
          </cell>
          <cell r="T45">
            <v>-8686.7109999999993</v>
          </cell>
          <cell r="V45">
            <v>-10423.633</v>
          </cell>
          <cell r="X45">
            <v>-11783.453</v>
          </cell>
          <cell r="Z45">
            <v>-13054.5873333333</v>
          </cell>
        </row>
        <row r="46">
          <cell r="D46" t="str">
            <v>Emissions|CO2|Fossil Fuels and Industry|Energy Supply|Electricity</v>
          </cell>
          <cell r="E46" t="str">
            <v>Mt CO2/yr</v>
          </cell>
          <cell r="G46">
            <v>10889.981666666599</v>
          </cell>
          <cell r="H46">
            <v>11261.8183333333</v>
          </cell>
          <cell r="J46">
            <v>11086.9476666666</v>
          </cell>
          <cell r="L46">
            <v>9473.4933333333302</v>
          </cell>
          <cell r="N46">
            <v>5045.2746666666599</v>
          </cell>
          <cell r="P46">
            <v>1341.7836666666601</v>
          </cell>
          <cell r="R46">
            <v>239.87700000000001</v>
          </cell>
          <cell r="T46">
            <v>-30.627666666666599</v>
          </cell>
          <cell r="V46">
            <v>-2.83066666666666</v>
          </cell>
          <cell r="X46">
            <v>63.150999999999897</v>
          </cell>
          <cell r="Z46">
            <v>1.39333333333333</v>
          </cell>
        </row>
        <row r="47">
          <cell r="D47" t="str">
            <v>Emissions|CO2|Land Use</v>
          </cell>
          <cell r="E47" t="str">
            <v>Mt CO2/yr</v>
          </cell>
          <cell r="G47">
            <v>3774.9066666666599</v>
          </cell>
          <cell r="H47">
            <v>3589.806</v>
          </cell>
          <cell r="J47">
            <v>3137.5666666666598</v>
          </cell>
          <cell r="L47">
            <v>2388.12566666666</v>
          </cell>
          <cell r="N47">
            <v>1332.7526666666599</v>
          </cell>
          <cell r="P47">
            <v>-71.488999999999905</v>
          </cell>
          <cell r="R47">
            <v>-2118.1783333333301</v>
          </cell>
          <cell r="T47">
            <v>-4374.6669999999904</v>
          </cell>
          <cell r="V47">
            <v>-5902.4643333333297</v>
          </cell>
          <cell r="X47">
            <v>-6938.9686666666603</v>
          </cell>
          <cell r="Z47">
            <v>-8018.8973333333297</v>
          </cell>
        </row>
        <row r="48">
          <cell r="D48" t="str">
            <v>Emissions|F-Gases</v>
          </cell>
          <cell r="E48" t="str">
            <v>Mt CO2-equiv/yr</v>
          </cell>
          <cell r="G48">
            <v>550.25300000000004</v>
          </cell>
          <cell r="H48">
            <v>742.44133333333298</v>
          </cell>
          <cell r="J48">
            <v>968.61966666666603</v>
          </cell>
          <cell r="L48">
            <v>729.78033333333303</v>
          </cell>
          <cell r="N48">
            <v>717.91866666666601</v>
          </cell>
          <cell r="P48">
            <v>670.99266666666597</v>
          </cell>
          <cell r="R48">
            <v>665.53299999999899</v>
          </cell>
          <cell r="T48">
            <v>680.72399999999902</v>
          </cell>
          <cell r="V48">
            <v>712.777999999999</v>
          </cell>
          <cell r="X48">
            <v>755.71466666666595</v>
          </cell>
          <cell r="Z48">
            <v>824.25199999999995</v>
          </cell>
        </row>
        <row r="49">
          <cell r="D49" t="str">
            <v>Emissions|Kyoto Gases</v>
          </cell>
          <cell r="E49" t="str">
            <v>Mt CO2-equiv/yr</v>
          </cell>
          <cell r="G49">
            <v>46855.521129266599</v>
          </cell>
          <cell r="H49">
            <v>49557.527893133301</v>
          </cell>
          <cell r="J49">
            <v>52376.778837166603</v>
          </cell>
          <cell r="L49">
            <v>51361.983272966601</v>
          </cell>
          <cell r="N49">
            <v>42606.430179499999</v>
          </cell>
          <cell r="P49">
            <v>29187.941700133299</v>
          </cell>
          <cell r="R49">
            <v>18438.390666666601</v>
          </cell>
          <cell r="T49">
            <v>12167.261333333299</v>
          </cell>
          <cell r="V49">
            <v>8024.23966666666</v>
          </cell>
          <cell r="X49">
            <v>4436.4539999999997</v>
          </cell>
          <cell r="Z49">
            <v>1586.6033333333301</v>
          </cell>
        </row>
        <row r="50">
          <cell r="D50" t="str">
            <v>Emissions|N2O</v>
          </cell>
          <cell r="E50" t="str">
            <v>kt N2O/yr</v>
          </cell>
          <cell r="G50">
            <v>12045.913500000001</v>
          </cell>
          <cell r="H50">
            <v>12735.886</v>
          </cell>
          <cell r="J50">
            <v>14374.2560999999</v>
          </cell>
          <cell r="L50">
            <v>15595.9406</v>
          </cell>
          <cell r="N50">
            <v>16032.8513</v>
          </cell>
          <cell r="P50">
            <v>16003.8496</v>
          </cell>
          <cell r="R50">
            <v>15583.5594</v>
          </cell>
          <cell r="T50">
            <v>15102.346100000001</v>
          </cell>
          <cell r="V50">
            <v>14899.4357</v>
          </cell>
          <cell r="X50">
            <v>14727.9301</v>
          </cell>
          <cell r="Z50">
            <v>14661.6198</v>
          </cell>
        </row>
        <row r="51">
          <cell r="D51" t="str">
            <v>Emissions|NOx</v>
          </cell>
          <cell r="E51" t="str">
            <v>Mt NO2/yr</v>
          </cell>
          <cell r="G51">
            <v>117.477464999999</v>
          </cell>
          <cell r="H51">
            <v>115.629379999999</v>
          </cell>
          <cell r="J51">
            <v>113.9922617</v>
          </cell>
          <cell r="L51">
            <v>104.4998409</v>
          </cell>
          <cell r="N51">
            <v>71.837642200000005</v>
          </cell>
          <cell r="P51">
            <v>48.298530700000001</v>
          </cell>
          <cell r="R51">
            <v>31.278365000000001</v>
          </cell>
          <cell r="T51">
            <v>26.072595</v>
          </cell>
          <cell r="V51">
            <v>24.3742529999999</v>
          </cell>
          <cell r="X51">
            <v>22.644100999999999</v>
          </cell>
          <cell r="Z51">
            <v>21.294689999999999</v>
          </cell>
        </row>
        <row r="52">
          <cell r="D52" t="str">
            <v>Emissions|OC</v>
          </cell>
          <cell r="E52" t="str">
            <v>Mt OC/yr</v>
          </cell>
          <cell r="G52">
            <v>35.118236500000002</v>
          </cell>
          <cell r="H52">
            <v>32.497312000000001</v>
          </cell>
          <cell r="J52">
            <v>32.636128100000001</v>
          </cell>
          <cell r="L52">
            <v>31.934407400000001</v>
          </cell>
          <cell r="N52">
            <v>25.307803100000001</v>
          </cell>
          <cell r="P52">
            <v>21.1031333</v>
          </cell>
          <cell r="R52">
            <v>18.193158</v>
          </cell>
          <cell r="T52">
            <v>16.634654999999999</v>
          </cell>
          <cell r="V52">
            <v>15.390944999999901</v>
          </cell>
          <cell r="X52">
            <v>14.024607</v>
          </cell>
          <cell r="Z52">
            <v>12.798735000000001</v>
          </cell>
        </row>
        <row r="53">
          <cell r="D53" t="str">
            <v>Emissions|Sulfur</v>
          </cell>
          <cell r="E53" t="str">
            <v>Mt SO2/yr</v>
          </cell>
          <cell r="G53">
            <v>110.16154</v>
          </cell>
          <cell r="H53">
            <v>101.05177</v>
          </cell>
          <cell r="J53">
            <v>81.210371099999904</v>
          </cell>
          <cell r="L53">
            <v>64.895425599999996</v>
          </cell>
          <cell r="N53">
            <v>37.424246199999999</v>
          </cell>
          <cell r="P53">
            <v>26.275681599999999</v>
          </cell>
          <cell r="R53">
            <v>19.438025</v>
          </cell>
          <cell r="T53">
            <v>16.216187999999999</v>
          </cell>
          <cell r="V53">
            <v>14.0716749999999</v>
          </cell>
          <cell r="X53">
            <v>12.207656999999999</v>
          </cell>
          <cell r="Z53">
            <v>10.32414</v>
          </cell>
        </row>
        <row r="54">
          <cell r="D54" t="str">
            <v>Energy Service|Transportation|Freight</v>
          </cell>
          <cell r="E54" t="str">
            <v>bn tkm/yr</v>
          </cell>
        </row>
        <row r="55">
          <cell r="D55" t="str">
            <v>Energy Service|Transportation|Passenger</v>
          </cell>
          <cell r="E55" t="str">
            <v>bn pkm/yr</v>
          </cell>
        </row>
        <row r="56">
          <cell r="D56" t="str">
            <v>Final Energy</v>
          </cell>
          <cell r="E56" t="str">
            <v>EJ/yr</v>
          </cell>
          <cell r="G56">
            <v>321.44099999999997</v>
          </cell>
          <cell r="H56">
            <v>349.90199999999999</v>
          </cell>
          <cell r="J56">
            <v>415.44799999999998</v>
          </cell>
          <cell r="L56">
            <v>479.92500000000001</v>
          </cell>
          <cell r="N56">
            <v>517.45699999999999</v>
          </cell>
          <cell r="P56">
            <v>530.03</v>
          </cell>
          <cell r="R56">
            <v>552.04199999999901</v>
          </cell>
          <cell r="T56">
            <v>586.80100000000004</v>
          </cell>
          <cell r="V56">
            <v>631.53499999999997</v>
          </cell>
          <cell r="X56">
            <v>672.38699999999994</v>
          </cell>
          <cell r="Z56">
            <v>721.28200000000004</v>
          </cell>
        </row>
        <row r="57">
          <cell r="D57" t="str">
            <v>Final Energy|Electricity</v>
          </cell>
          <cell r="E57" t="str">
            <v>EJ/yr</v>
          </cell>
          <cell r="G57">
            <v>54.151000000000003</v>
          </cell>
          <cell r="H57">
            <v>61.868000000000002</v>
          </cell>
          <cell r="J57">
            <v>75.376000000000005</v>
          </cell>
          <cell r="L57">
            <v>96.548000000000002</v>
          </cell>
          <cell r="N57">
            <v>121.387</v>
          </cell>
          <cell r="P57">
            <v>154.56399999999999</v>
          </cell>
          <cell r="R57">
            <v>192.45500000000001</v>
          </cell>
          <cell r="T57">
            <v>227.667</v>
          </cell>
          <cell r="V57">
            <v>263.94099999999997</v>
          </cell>
          <cell r="X57">
            <v>307.75200000000001</v>
          </cell>
          <cell r="Z57">
            <v>354.77699999999999</v>
          </cell>
        </row>
        <row r="58">
          <cell r="D58" t="str">
            <v>Final Energy|Gases</v>
          </cell>
          <cell r="E58" t="str">
            <v>EJ/yr</v>
          </cell>
          <cell r="G58">
            <v>48.85</v>
          </cell>
          <cell r="H58">
            <v>51.444000000000003</v>
          </cell>
          <cell r="J58">
            <v>43.89</v>
          </cell>
          <cell r="L58">
            <v>46.116</v>
          </cell>
          <cell r="N58">
            <v>63.030999999999999</v>
          </cell>
          <cell r="P58">
            <v>79.998999999999995</v>
          </cell>
          <cell r="R58">
            <v>92.759</v>
          </cell>
          <cell r="T58">
            <v>112.61</v>
          </cell>
          <cell r="V58">
            <v>131.524</v>
          </cell>
          <cell r="X58">
            <v>132.714</v>
          </cell>
          <cell r="Z58">
            <v>132.62200000000001</v>
          </cell>
        </row>
        <row r="59">
          <cell r="D59" t="str">
            <v>Final Energy|Heat</v>
          </cell>
          <cell r="E59" t="str">
            <v>EJ/yr</v>
          </cell>
          <cell r="G59">
            <v>11.271000000000001</v>
          </cell>
          <cell r="H59">
            <v>12.941000000000001</v>
          </cell>
          <cell r="J59">
            <v>16.405000000000001</v>
          </cell>
          <cell r="L59">
            <v>20.876000000000001</v>
          </cell>
          <cell r="N59">
            <v>21.969000000000001</v>
          </cell>
          <cell r="P59">
            <v>21.24</v>
          </cell>
          <cell r="R59">
            <v>21.873999999999999</v>
          </cell>
          <cell r="T59">
            <v>18.847999999999999</v>
          </cell>
          <cell r="V59">
            <v>16.082999999999998</v>
          </cell>
          <cell r="X59">
            <v>11.079000000000001</v>
          </cell>
          <cell r="Z59">
            <v>7.9820000000000002</v>
          </cell>
        </row>
        <row r="60">
          <cell r="D60" t="str">
            <v>Final Energy|Hydrogen</v>
          </cell>
          <cell r="E60" t="str">
            <v>EJ/yr</v>
          </cell>
          <cell r="G60">
            <v>0</v>
          </cell>
          <cell r="H60">
            <v>0</v>
          </cell>
          <cell r="J60">
            <v>0</v>
          </cell>
          <cell r="L60">
            <v>0.88800000000000001</v>
          </cell>
          <cell r="N60">
            <v>4.8620000000000001</v>
          </cell>
          <cell r="P60">
            <v>8.4079999999999995</v>
          </cell>
          <cell r="R60">
            <v>13.496</v>
          </cell>
          <cell r="T60">
            <v>19.940999999999999</v>
          </cell>
          <cell r="V60">
            <v>24.677999999999901</v>
          </cell>
          <cell r="X60">
            <v>31.777000000000001</v>
          </cell>
          <cell r="Z60">
            <v>34.415999999999997</v>
          </cell>
        </row>
        <row r="61">
          <cell r="D61" t="str">
            <v>Final Energy|Industry</v>
          </cell>
          <cell r="E61" t="str">
            <v>EJ/yr</v>
          </cell>
          <cell r="G61">
            <v>116.735</v>
          </cell>
          <cell r="H61">
            <v>131.51599999999999</v>
          </cell>
          <cell r="J61">
            <v>165.441</v>
          </cell>
          <cell r="L61">
            <v>191.51300000000001</v>
          </cell>
          <cell r="N61">
            <v>210.678</v>
          </cell>
          <cell r="P61">
            <v>228.327</v>
          </cell>
          <cell r="R61">
            <v>239.13499999999999</v>
          </cell>
          <cell r="T61">
            <v>248.85900000000001</v>
          </cell>
          <cell r="V61">
            <v>261.42599999999999</v>
          </cell>
          <cell r="X61">
            <v>271.44900000000001</v>
          </cell>
          <cell r="Z61">
            <v>286.43400000000003</v>
          </cell>
        </row>
        <row r="62">
          <cell r="D62" t="str">
            <v>Final Energy|Industry|Electricity</v>
          </cell>
          <cell r="E62" t="str">
            <v>EJ/yr</v>
          </cell>
          <cell r="G62">
            <v>22.491</v>
          </cell>
          <cell r="H62">
            <v>25.465</v>
          </cell>
          <cell r="J62">
            <v>31.87</v>
          </cell>
          <cell r="L62">
            <v>40.317999999999998</v>
          </cell>
          <cell r="N62">
            <v>46.685000000000002</v>
          </cell>
          <cell r="P62">
            <v>53.465000000000003</v>
          </cell>
          <cell r="R62">
            <v>69.98</v>
          </cell>
          <cell r="T62">
            <v>85.236000000000004</v>
          </cell>
          <cell r="V62">
            <v>99.552999999999997</v>
          </cell>
          <cell r="X62">
            <v>122.191</v>
          </cell>
          <cell r="Z62">
            <v>148.809</v>
          </cell>
        </row>
        <row r="63">
          <cell r="D63" t="str">
            <v>Final Energy|Industry|Gases</v>
          </cell>
          <cell r="E63" t="str">
            <v>EJ/yr</v>
          </cell>
          <cell r="G63">
            <v>23.390999999999998</v>
          </cell>
          <cell r="H63">
            <v>23.245000000000001</v>
          </cell>
          <cell r="J63">
            <v>16.89</v>
          </cell>
          <cell r="L63">
            <v>18.126000000000001</v>
          </cell>
          <cell r="N63">
            <v>26.302</v>
          </cell>
          <cell r="P63">
            <v>39.692</v>
          </cell>
          <cell r="R63">
            <v>56.56</v>
          </cell>
          <cell r="T63">
            <v>72.882000000000005</v>
          </cell>
          <cell r="V63">
            <v>79.433999999999997</v>
          </cell>
          <cell r="X63">
            <v>77.980999999999995</v>
          </cell>
          <cell r="Z63">
            <v>75.278000000000006</v>
          </cell>
        </row>
        <row r="64">
          <cell r="D64" t="str">
            <v>Final Energy|Industry|Liquids</v>
          </cell>
          <cell r="E64" t="str">
            <v>EJ/yr</v>
          </cell>
          <cell r="G64">
            <v>36.654000000000003</v>
          </cell>
          <cell r="H64">
            <v>38.203000000000003</v>
          </cell>
          <cell r="J64">
            <v>59.747</v>
          </cell>
          <cell r="L64">
            <v>69.864000000000004</v>
          </cell>
          <cell r="N64">
            <v>72.744</v>
          </cell>
          <cell r="P64">
            <v>64.850999999999999</v>
          </cell>
          <cell r="R64">
            <v>41.665999999999997</v>
          </cell>
          <cell r="T64">
            <v>23.169</v>
          </cell>
          <cell r="V64">
            <v>16.716999999999999</v>
          </cell>
          <cell r="X64">
            <v>14.367000000000001</v>
          </cell>
          <cell r="Z64">
            <v>15.32</v>
          </cell>
        </row>
        <row r="65">
          <cell r="D65" t="str">
            <v>Final Energy|Industry|Other</v>
          </cell>
          <cell r="E65" t="str">
            <v>EJ/yr</v>
          </cell>
          <cell r="G65">
            <v>1.6E-2</v>
          </cell>
          <cell r="H65">
            <v>1.4999999999999999E-2</v>
          </cell>
          <cell r="J65">
            <v>0.33200000000000002</v>
          </cell>
          <cell r="L65">
            <v>3.2469999999999999</v>
          </cell>
          <cell r="N65">
            <v>10.41</v>
          </cell>
          <cell r="P65">
            <v>15.688000000000001</v>
          </cell>
          <cell r="R65">
            <v>17.564</v>
          </cell>
          <cell r="T65">
            <v>18.904</v>
          </cell>
          <cell r="V65">
            <v>20.145</v>
          </cell>
          <cell r="X65">
            <v>21.292999999999999</v>
          </cell>
          <cell r="Z65">
            <v>22.696000000000002</v>
          </cell>
        </row>
        <row r="66">
          <cell r="D66" t="str">
            <v>Final Energy|Industry|Solids</v>
          </cell>
          <cell r="E66" t="str">
            <v>EJ/yr</v>
          </cell>
          <cell r="G66">
            <v>29.459</v>
          </cell>
          <cell r="H66">
            <v>38.768999999999998</v>
          </cell>
          <cell r="J66">
            <v>49.057000000000002</v>
          </cell>
          <cell r="L66">
            <v>49.405999999999999</v>
          </cell>
          <cell r="N66">
            <v>38.131999999999998</v>
          </cell>
          <cell r="P66">
            <v>33.497999999999998</v>
          </cell>
          <cell r="R66">
            <v>28.616</v>
          </cell>
          <cell r="T66">
            <v>23.788</v>
          </cell>
          <cell r="V66">
            <v>19.108000000000001</v>
          </cell>
          <cell r="X66">
            <v>10.388</v>
          </cell>
          <cell r="Z66">
            <v>1.268</v>
          </cell>
        </row>
        <row r="67">
          <cell r="D67" t="str">
            <v>Final Energy|Liquids</v>
          </cell>
          <cell r="E67" t="str">
            <v>EJ/yr</v>
          </cell>
          <cell r="G67">
            <v>142.81100000000001</v>
          </cell>
          <cell r="H67">
            <v>152.30199999999999</v>
          </cell>
          <cell r="J67">
            <v>201.93899999999999</v>
          </cell>
          <cell r="L67">
            <v>232.10499999999999</v>
          </cell>
          <cell r="N67">
            <v>231.756</v>
          </cell>
          <cell r="P67">
            <v>196.75399999999999</v>
          </cell>
          <cell r="R67">
            <v>168.70999999999901</v>
          </cell>
          <cell r="T67">
            <v>148.15899999999999</v>
          </cell>
          <cell r="V67">
            <v>139.273</v>
          </cell>
          <cell r="X67">
            <v>141.203</v>
          </cell>
          <cell r="Z67">
            <v>152.25899999999999</v>
          </cell>
        </row>
        <row r="68">
          <cell r="D68" t="str">
            <v>Final Energy|Other</v>
          </cell>
          <cell r="E68" t="str">
            <v>EJ/yr</v>
          </cell>
        </row>
        <row r="69">
          <cell r="D69" t="str">
            <v>Final Energy|Other Sector</v>
          </cell>
          <cell r="E69" t="str">
            <v>EJ/yr</v>
          </cell>
        </row>
        <row r="70">
          <cell r="D70" t="str">
            <v>Final Energy|Residential and Commercial</v>
          </cell>
          <cell r="E70" t="str">
            <v>EJ/yr</v>
          </cell>
          <cell r="G70">
            <v>117.991999999999</v>
          </cell>
          <cell r="H70">
            <v>124.616999999999</v>
          </cell>
          <cell r="J70">
            <v>126.268</v>
          </cell>
          <cell r="L70">
            <v>131.565</v>
          </cell>
          <cell r="N70">
            <v>133.88</v>
          </cell>
          <cell r="P70">
            <v>136.916</v>
          </cell>
          <cell r="R70">
            <v>143.38</v>
          </cell>
          <cell r="T70">
            <v>150.19</v>
          </cell>
          <cell r="V70">
            <v>156.92599999999999</v>
          </cell>
          <cell r="X70">
            <v>167.04499999999999</v>
          </cell>
          <cell r="Z70">
            <v>180.559</v>
          </cell>
        </row>
        <row r="71">
          <cell r="D71" t="str">
            <v>Final Energy|Residential and Commercial|Electricity</v>
          </cell>
          <cell r="E71" t="str">
            <v>EJ/yr</v>
          </cell>
          <cell r="G71">
            <v>30.879000000000001</v>
          </cell>
          <cell r="H71">
            <v>35.606999999999999</v>
          </cell>
          <cell r="J71">
            <v>41.884999999999998</v>
          </cell>
          <cell r="L71">
            <v>51.889000000000003</v>
          </cell>
          <cell r="N71">
            <v>61.41</v>
          </cell>
          <cell r="P71">
            <v>70.974000000000004</v>
          </cell>
          <cell r="R71">
            <v>84.066999999999993</v>
          </cell>
          <cell r="T71">
            <v>99.421999999999997</v>
          </cell>
          <cell r="V71">
            <v>117.42400000000001</v>
          </cell>
          <cell r="X71">
            <v>135.07900000000001</v>
          </cell>
          <cell r="Z71">
            <v>151.41900000000001</v>
          </cell>
        </row>
        <row r="72">
          <cell r="D72" t="str">
            <v>Final Energy|Residential and Commercial|Gases</v>
          </cell>
          <cell r="E72" t="str">
            <v>EJ/yr</v>
          </cell>
          <cell r="G72">
            <v>25.119</v>
          </cell>
          <cell r="H72">
            <v>27.82</v>
          </cell>
          <cell r="J72">
            <v>26.036000000000001</v>
          </cell>
          <cell r="L72">
            <v>25.05</v>
          </cell>
          <cell r="N72">
            <v>29.893000000000001</v>
          </cell>
          <cell r="P72">
            <v>31.215</v>
          </cell>
          <cell r="R72">
            <v>25.745999999999999</v>
          </cell>
          <cell r="T72">
            <v>14.946</v>
          </cell>
          <cell r="V72">
            <v>6.1130000000000004</v>
          </cell>
          <cell r="X72">
            <v>1.306</v>
          </cell>
          <cell r="Z72">
            <v>0.41599999999999998</v>
          </cell>
        </row>
        <row r="73">
          <cell r="D73" t="str">
            <v>Final Energy|Residential and Commercial|Liquids</v>
          </cell>
          <cell r="E73" t="str">
            <v>EJ/yr</v>
          </cell>
          <cell r="G73">
            <v>20.75</v>
          </cell>
          <cell r="H73">
            <v>21.506</v>
          </cell>
          <cell r="J73">
            <v>21.036999999999999</v>
          </cell>
          <cell r="L73">
            <v>12.675000000000001</v>
          </cell>
          <cell r="N73">
            <v>6.2409999999999997</v>
          </cell>
          <cell r="P73">
            <v>6.3330000000000002</v>
          </cell>
          <cell r="R73">
            <v>6.4050000000000002</v>
          </cell>
          <cell r="T73">
            <v>6.335</v>
          </cell>
          <cell r="V73">
            <v>6.2510000000000003</v>
          </cell>
          <cell r="X73">
            <v>6.2109999999999896</v>
          </cell>
          <cell r="Z73">
            <v>6.2249999999999996</v>
          </cell>
        </row>
        <row r="74">
          <cell r="D74" t="str">
            <v>Final Energy|Residential and Commercial|Other</v>
          </cell>
          <cell r="E74" t="str">
            <v>EJ/yr</v>
          </cell>
          <cell r="G74">
            <v>6.8339999999999996</v>
          </cell>
          <cell r="H74">
            <v>7.843</v>
          </cell>
          <cell r="J74">
            <v>14.385999999999999</v>
          </cell>
          <cell r="L74">
            <v>21.859000000000002</v>
          </cell>
          <cell r="N74">
            <v>24.498999999999999</v>
          </cell>
          <cell r="P74">
            <v>24.321999999999999</v>
          </cell>
          <cell r="R74">
            <v>27.159999999999901</v>
          </cell>
          <cell r="T74">
            <v>29.488999999999901</v>
          </cell>
          <cell r="V74">
            <v>27.138000000000002</v>
          </cell>
          <cell r="X74">
            <v>24.45</v>
          </cell>
          <cell r="Z74">
            <v>22.5</v>
          </cell>
        </row>
        <row r="75">
          <cell r="D75" t="str">
            <v>Final Energy|Residential and Commercial|Solids|Biomass</v>
          </cell>
          <cell r="E75" t="str">
            <v>EJ/yr</v>
          </cell>
          <cell r="G75">
            <v>29.652000000000001</v>
          </cell>
          <cell r="H75">
            <v>26.803999999999998</v>
          </cell>
          <cell r="J75">
            <v>22.812000000000001</v>
          </cell>
          <cell r="L75">
            <v>20.093</v>
          </cell>
          <cell r="N75">
            <v>11.837999999999999</v>
          </cell>
          <cell r="P75">
            <v>4.0709999999999997</v>
          </cell>
          <cell r="R75">
            <v>0</v>
          </cell>
          <cell r="T75">
            <v>0</v>
          </cell>
          <cell r="V75">
            <v>0</v>
          </cell>
          <cell r="X75">
            <v>0</v>
          </cell>
          <cell r="Z75">
            <v>0</v>
          </cell>
        </row>
        <row r="76">
          <cell r="D76" t="str">
            <v>Final Energy|Residential and Commercial|Solids|Biomass|Traditional</v>
          </cell>
          <cell r="E76" t="str">
            <v>EJ/yr</v>
          </cell>
          <cell r="G76">
            <v>27.198</v>
          </cell>
          <cell r="H76">
            <v>24.295999999999999</v>
          </cell>
          <cell r="J76">
            <v>17.585000000000001</v>
          </cell>
          <cell r="L76">
            <v>12.679</v>
          </cell>
          <cell r="N76">
            <v>9.4120000000000008</v>
          </cell>
          <cell r="P76">
            <v>4.0709999999999997</v>
          </cell>
          <cell r="R76">
            <v>0</v>
          </cell>
          <cell r="T76">
            <v>0</v>
          </cell>
          <cell r="V76">
            <v>0</v>
          </cell>
          <cell r="X76">
            <v>0</v>
          </cell>
          <cell r="Z76">
            <v>0</v>
          </cell>
        </row>
        <row r="77">
          <cell r="D77" t="str">
            <v>Final Energy|Residential and Commercial|Solids|Coal</v>
          </cell>
          <cell r="E77" t="str">
            <v>EJ/yr</v>
          </cell>
          <cell r="G77">
            <v>4.7569999999999997</v>
          </cell>
          <cell r="H77">
            <v>5.0359999999999996</v>
          </cell>
          <cell r="J77">
            <v>0.11</v>
          </cell>
          <cell r="L77">
            <v>0</v>
          </cell>
          <cell r="N77">
            <v>0</v>
          </cell>
          <cell r="P77">
            <v>0</v>
          </cell>
          <cell r="R77">
            <v>0</v>
          </cell>
          <cell r="T77">
            <v>0</v>
          </cell>
          <cell r="V77">
            <v>0</v>
          </cell>
          <cell r="X77">
            <v>0</v>
          </cell>
          <cell r="Z77">
            <v>0</v>
          </cell>
        </row>
        <row r="78">
          <cell r="D78" t="str">
            <v>Final Energy|Residential and Commercial|Space Heating</v>
          </cell>
          <cell r="E78" t="str">
            <v>EJ/yr</v>
          </cell>
        </row>
        <row r="79">
          <cell r="D79" t="str">
            <v>Final Energy|Solids</v>
          </cell>
          <cell r="E79" t="str">
            <v>EJ/yr</v>
          </cell>
          <cell r="G79">
            <v>64.054999999999893</v>
          </cell>
          <cell r="H79">
            <v>70.611999999999995</v>
          </cell>
          <cell r="J79">
            <v>71.979999999999905</v>
          </cell>
          <cell r="L79">
            <v>69.498000000000005</v>
          </cell>
          <cell r="N79">
            <v>49.968999999999902</v>
          </cell>
          <cell r="P79">
            <v>37.568999999999903</v>
          </cell>
          <cell r="R79">
            <v>28.616</v>
          </cell>
          <cell r="T79">
            <v>23.788</v>
          </cell>
          <cell r="V79">
            <v>19.108000000000001</v>
          </cell>
          <cell r="X79">
            <v>10.388</v>
          </cell>
          <cell r="Z79">
            <v>1.268</v>
          </cell>
        </row>
        <row r="80">
          <cell r="D80" t="str">
            <v>Final Energy|Solids|Biomass</v>
          </cell>
          <cell r="E80" t="str">
            <v>EJ/yr</v>
          </cell>
          <cell r="G80">
            <v>37.067999999999998</v>
          </cell>
          <cell r="H80">
            <v>36.116</v>
          </cell>
          <cell r="J80">
            <v>42.378999999999998</v>
          </cell>
          <cell r="L80">
            <v>47.499000000000002</v>
          </cell>
          <cell r="N80">
            <v>45.622999999999998</v>
          </cell>
          <cell r="P80">
            <v>34.729999999999997</v>
          </cell>
          <cell r="R80">
            <v>28.007999999999999</v>
          </cell>
          <cell r="T80">
            <v>23.788</v>
          </cell>
          <cell r="V80">
            <v>19.108000000000001</v>
          </cell>
          <cell r="X80">
            <v>10.388</v>
          </cell>
          <cell r="Z80">
            <v>1.268</v>
          </cell>
        </row>
        <row r="81">
          <cell r="D81" t="str">
            <v>Final Energy|Solids|Biomass|Traditional</v>
          </cell>
          <cell r="E81" t="str">
            <v>EJ/yr</v>
          </cell>
          <cell r="G81">
            <v>27.198</v>
          </cell>
          <cell r="H81">
            <v>24.295999999999999</v>
          </cell>
          <cell r="J81">
            <v>17.585000000000001</v>
          </cell>
          <cell r="L81">
            <v>12.679</v>
          </cell>
          <cell r="N81">
            <v>9.4120000000000008</v>
          </cell>
          <cell r="P81">
            <v>4.0709999999999997</v>
          </cell>
          <cell r="R81">
            <v>0</v>
          </cell>
          <cell r="T81">
            <v>0</v>
          </cell>
          <cell r="V81">
            <v>0</v>
          </cell>
          <cell r="X81">
            <v>0</v>
          </cell>
          <cell r="Z81">
            <v>0</v>
          </cell>
        </row>
        <row r="82">
          <cell r="D82" t="str">
            <v>Final Energy|Solids|Coal</v>
          </cell>
          <cell r="E82" t="str">
            <v>EJ/yr</v>
          </cell>
          <cell r="G82">
            <v>26.986999999999998</v>
          </cell>
          <cell r="H82">
            <v>34.496000000000002</v>
          </cell>
          <cell r="J82">
            <v>29.600999999999999</v>
          </cell>
          <cell r="L82">
            <v>21.998999999999999</v>
          </cell>
          <cell r="N82">
            <v>4.3460000000000001</v>
          </cell>
          <cell r="P82">
            <v>2.839</v>
          </cell>
          <cell r="R82">
            <v>0.60799999999999998</v>
          </cell>
          <cell r="T82">
            <v>0</v>
          </cell>
          <cell r="V82">
            <v>0</v>
          </cell>
          <cell r="X82">
            <v>0</v>
          </cell>
          <cell r="Z82">
            <v>0</v>
          </cell>
        </row>
        <row r="83">
          <cell r="D83" t="str">
            <v>Final Energy|Transportation</v>
          </cell>
          <cell r="E83" t="str">
            <v>EJ/yr</v>
          </cell>
          <cell r="G83">
            <v>86.713999999999999</v>
          </cell>
          <cell r="H83">
            <v>93.768999999999906</v>
          </cell>
          <cell r="J83">
            <v>123.738999999999</v>
          </cell>
          <cell r="L83">
            <v>156.846</v>
          </cell>
          <cell r="N83">
            <v>172.899</v>
          </cell>
          <cell r="P83">
            <v>164.78700000000001</v>
          </cell>
          <cell r="R83">
            <v>169.52699999999999</v>
          </cell>
          <cell r="T83">
            <v>187.75299999999999</v>
          </cell>
          <cell r="V83">
            <v>213.18299999999999</v>
          </cell>
          <cell r="X83">
            <v>233.893</v>
          </cell>
          <cell r="Z83">
            <v>254.28899999999999</v>
          </cell>
        </row>
        <row r="84">
          <cell r="D84" t="str">
            <v>Final Energy|Transportation|Electricity</v>
          </cell>
          <cell r="E84" t="str">
            <v>EJ/yr</v>
          </cell>
          <cell r="G84">
            <v>0.78</v>
          </cell>
          <cell r="H84">
            <v>0.79600000000000004</v>
          </cell>
          <cell r="J84">
            <v>1.621</v>
          </cell>
          <cell r="L84">
            <v>4.34</v>
          </cell>
          <cell r="N84">
            <v>13.292</v>
          </cell>
          <cell r="P84">
            <v>30.126000000000001</v>
          </cell>
          <cell r="R84">
            <v>38.408000000000001</v>
          </cell>
          <cell r="T84">
            <v>43.009</v>
          </cell>
          <cell r="V84">
            <v>46.963999999999999</v>
          </cell>
          <cell r="X84">
            <v>50.481999999999999</v>
          </cell>
          <cell r="Z84">
            <v>54.548999999999999</v>
          </cell>
        </row>
        <row r="85">
          <cell r="D85" t="str">
            <v>Final Energy|Transportation|Freight</v>
          </cell>
          <cell r="E85" t="str">
            <v>EJ/yr</v>
          </cell>
        </row>
        <row r="86">
          <cell r="D86" t="str">
            <v>Final Energy|Transportation|Gases</v>
          </cell>
          <cell r="E86" t="str">
            <v>EJ/yr</v>
          </cell>
          <cell r="G86">
            <v>0.33900000000000002</v>
          </cell>
          <cell r="H86">
            <v>0.379</v>
          </cell>
          <cell r="J86">
            <v>0.96299999999999997</v>
          </cell>
          <cell r="L86">
            <v>2.9409999999999998</v>
          </cell>
          <cell r="N86">
            <v>6.8359999999999896</v>
          </cell>
          <cell r="P86">
            <v>9.0909999999999993</v>
          </cell>
          <cell r="R86">
            <v>10.452999999999999</v>
          </cell>
          <cell r="T86">
            <v>24.783000000000001</v>
          </cell>
          <cell r="V86">
            <v>45.976999999999997</v>
          </cell>
          <cell r="X86">
            <v>53.427</v>
          </cell>
          <cell r="Z86">
            <v>56.927999999999997</v>
          </cell>
        </row>
        <row r="87">
          <cell r="D87" t="str">
            <v>Final Energy|Transportation|Hydrogen</v>
          </cell>
          <cell r="E87" t="str">
            <v>EJ/yr</v>
          </cell>
          <cell r="G87">
            <v>0</v>
          </cell>
          <cell r="H87">
            <v>0</v>
          </cell>
          <cell r="J87">
            <v>0</v>
          </cell>
          <cell r="L87">
            <v>0</v>
          </cell>
          <cell r="N87">
            <v>0</v>
          </cell>
          <cell r="P87">
            <v>0</v>
          </cell>
          <cell r="R87">
            <v>2.8000000000000001E-2</v>
          </cell>
          <cell r="T87">
            <v>1.304</v>
          </cell>
          <cell r="V87">
            <v>3.9350000000000001</v>
          </cell>
          <cell r="X87">
            <v>9.3580000000000005</v>
          </cell>
          <cell r="Z87">
            <v>12.097</v>
          </cell>
        </row>
        <row r="88">
          <cell r="D88" t="str">
            <v>Final Energy|Transportation|Liquids</v>
          </cell>
          <cell r="E88" t="str">
            <v>EJ/yr</v>
          </cell>
          <cell r="G88">
            <v>85.406999999999996</v>
          </cell>
          <cell r="H88">
            <v>92.593000000000004</v>
          </cell>
          <cell r="J88">
            <v>121.15499999999901</v>
          </cell>
          <cell r="L88">
            <v>149.566</v>
          </cell>
          <cell r="N88">
            <v>152.77099999999999</v>
          </cell>
          <cell r="P88">
            <v>125.57</v>
          </cell>
          <cell r="R88">
            <v>120.639</v>
          </cell>
          <cell r="T88">
            <v>118.657</v>
          </cell>
          <cell r="V88">
            <v>116.30500000000001</v>
          </cell>
          <cell r="X88">
            <v>120.626</v>
          </cell>
          <cell r="Z88">
            <v>130.715</v>
          </cell>
        </row>
        <row r="89">
          <cell r="D89" t="str">
            <v>Final Energy|Transportation|Liquids|Biomass</v>
          </cell>
          <cell r="E89" t="str">
            <v>EJ/yr</v>
          </cell>
          <cell r="G89">
            <v>0.76400000000000001</v>
          </cell>
          <cell r="H89">
            <v>1.796</v>
          </cell>
          <cell r="J89">
            <v>0.56799999999999995</v>
          </cell>
          <cell r="L89">
            <v>3.7709999999999999</v>
          </cell>
          <cell r="N89">
            <v>15.791</v>
          </cell>
          <cell r="P89">
            <v>37.6</v>
          </cell>
          <cell r="R89">
            <v>51.960999999999999</v>
          </cell>
          <cell r="T89">
            <v>61.832000000000001</v>
          </cell>
          <cell r="V89">
            <v>68.119</v>
          </cell>
          <cell r="X89">
            <v>75.930999999999997</v>
          </cell>
          <cell r="Z89">
            <v>83.822000000000003</v>
          </cell>
        </row>
        <row r="90">
          <cell r="D90" t="str">
            <v>Final Energy|Transportation|Liquids|Coal</v>
          </cell>
          <cell r="E90" t="str">
            <v>EJ/yr</v>
          </cell>
        </row>
        <row r="91">
          <cell r="D91" t="str">
            <v>Final Energy|Transportation|Liquids|Oil</v>
          </cell>
          <cell r="E91" t="str">
            <v>EJ/yr</v>
          </cell>
          <cell r="G91">
            <v>84.643000000000001</v>
          </cell>
          <cell r="H91">
            <v>90.796999999999997</v>
          </cell>
          <cell r="J91">
            <v>120.58699999999899</v>
          </cell>
          <cell r="L91">
            <v>145.06800000000001</v>
          </cell>
          <cell r="N91">
            <v>130.23099999999999</v>
          </cell>
          <cell r="P91">
            <v>68.245000000000005</v>
          </cell>
          <cell r="R91">
            <v>21.567</v>
          </cell>
          <cell r="T91">
            <v>0.71</v>
          </cell>
          <cell r="V91">
            <v>0</v>
          </cell>
          <cell r="X91">
            <v>0</v>
          </cell>
          <cell r="Z91">
            <v>0</v>
          </cell>
        </row>
        <row r="92">
          <cell r="D92" t="str">
            <v>Final Energy|Transportation|Other</v>
          </cell>
          <cell r="E92" t="str">
            <v>EJ/yr</v>
          </cell>
          <cell r="G92">
            <v>0.187</v>
          </cell>
          <cell r="H92">
            <v>2E-3</v>
          </cell>
          <cell r="J92">
            <v>0</v>
          </cell>
          <cell r="L92">
            <v>0</v>
          </cell>
          <cell r="N92">
            <v>0</v>
          </cell>
          <cell r="P92">
            <v>0</v>
          </cell>
          <cell r="R92">
            <v>0</v>
          </cell>
          <cell r="T92">
            <v>0</v>
          </cell>
          <cell r="V92">
            <v>0</v>
          </cell>
          <cell r="X92">
            <v>0</v>
          </cell>
          <cell r="Z92">
            <v>0</v>
          </cell>
        </row>
        <row r="93">
          <cell r="D93" t="str">
            <v>Final Energy|Transportation|Passenger</v>
          </cell>
          <cell r="E93" t="str">
            <v>EJ/yr</v>
          </cell>
        </row>
        <row r="94">
          <cell r="D94" t="str">
            <v>Forcing|AN3A|Endogenous</v>
          </cell>
          <cell r="E94" t="str">
            <v>W/m2</v>
          </cell>
          <cell r="G94">
            <v>2.0186019239999999</v>
          </cell>
          <cell r="H94">
            <v>2.3067842717999998</v>
          </cell>
          <cell r="J94">
            <v>2.8474326279</v>
          </cell>
          <cell r="L94">
            <v>3.3138070107400002</v>
          </cell>
          <cell r="N94">
            <v>3.71107328651</v>
          </cell>
          <cell r="P94">
            <v>3.8417796266200002</v>
          </cell>
          <cell r="R94">
            <v>3.8015677667099901</v>
          </cell>
          <cell r="T94">
            <v>3.6804004655979998</v>
          </cell>
          <cell r="V94">
            <v>3.5296737376360001</v>
          </cell>
          <cell r="X94">
            <v>3.3543297985299998</v>
          </cell>
          <cell r="Z94">
            <v>3.15571438736999</v>
          </cell>
        </row>
        <row r="95">
          <cell r="D95" t="str">
            <v>Forcing|CO2|MAGICC6|MED</v>
          </cell>
          <cell r="E95" t="str">
            <v>W/m2</v>
          </cell>
          <cell r="G95">
            <v>1.6924585622578101</v>
          </cell>
          <cell r="H95">
            <v>1.8431716765861901</v>
          </cell>
          <cell r="J95">
            <v>2.1638675627178401</v>
          </cell>
          <cell r="L95">
            <v>2.46437125171704</v>
          </cell>
          <cell r="N95">
            <v>2.6956560773431901</v>
          </cell>
          <cell r="P95">
            <v>2.79443893087277</v>
          </cell>
          <cell r="R95">
            <v>2.7934133776445398</v>
          </cell>
          <cell r="T95">
            <v>2.7307496709148098</v>
          </cell>
          <cell r="V95">
            <v>2.6366012479383798</v>
          </cell>
          <cell r="X95">
            <v>2.5170803940414901</v>
          </cell>
          <cell r="Z95">
            <v>2.3904419720866898</v>
          </cell>
        </row>
        <row r="96">
          <cell r="D96" t="str">
            <v>Forcing|CO2|MAGICC6|P16</v>
          </cell>
          <cell r="E96" t="str">
            <v>W/m2</v>
          </cell>
          <cell r="G96">
            <v>1.60594921316971</v>
          </cell>
          <cell r="H96">
            <v>1.74420377493011</v>
          </cell>
          <cell r="J96">
            <v>2.0386639308121799</v>
          </cell>
          <cell r="L96">
            <v>2.3038316778233998</v>
          </cell>
          <cell r="N96">
            <v>2.4885240329435399</v>
          </cell>
          <cell r="P96">
            <v>2.5581606609700902</v>
          </cell>
          <cell r="R96">
            <v>2.5252022192362298</v>
          </cell>
          <cell r="T96">
            <v>2.43624690390405</v>
          </cell>
          <cell r="V96">
            <v>2.3347333149837901</v>
          </cell>
          <cell r="X96">
            <v>2.2069904591742899</v>
          </cell>
          <cell r="Z96">
            <v>2.06518153146965</v>
          </cell>
        </row>
        <row r="97">
          <cell r="D97" t="str">
            <v>Forcing|CO2|MAGICC6|P84</v>
          </cell>
          <cell r="E97" t="str">
            <v>W/m2</v>
          </cell>
          <cell r="G97">
            <v>1.7830994566962299</v>
          </cell>
          <cell r="H97">
            <v>1.9446801067049899</v>
          </cell>
          <cell r="J97">
            <v>2.2961041584172501</v>
          </cell>
          <cell r="L97">
            <v>2.6350941647182098</v>
          </cell>
          <cell r="N97">
            <v>2.89827609015859</v>
          </cell>
          <cell r="P97">
            <v>3.0289194989068702</v>
          </cell>
          <cell r="R97">
            <v>3.05355206548401</v>
          </cell>
          <cell r="T97">
            <v>3.0014266590473802</v>
          </cell>
          <cell r="V97">
            <v>2.92759461891271</v>
          </cell>
          <cell r="X97">
            <v>2.81568904174582</v>
          </cell>
          <cell r="Z97">
            <v>2.6734031512581602</v>
          </cell>
        </row>
        <row r="98">
          <cell r="D98" t="str">
            <v>Forcing|Endogenous</v>
          </cell>
          <cell r="E98" t="str">
            <v>W/m2</v>
          </cell>
          <cell r="G98">
            <v>1.618601918</v>
          </cell>
          <cell r="H98">
            <v>1.9067842658</v>
          </cell>
          <cell r="J98">
            <v>2.4474326219</v>
          </cell>
          <cell r="L98">
            <v>2.9138070047400002</v>
          </cell>
          <cell r="N98">
            <v>3.31107328051</v>
          </cell>
          <cell r="P98">
            <v>3.4417796206200002</v>
          </cell>
          <cell r="R98">
            <v>3.4015677607099901</v>
          </cell>
          <cell r="T98">
            <v>3.2804004595979999</v>
          </cell>
          <cell r="V98">
            <v>3.1296737316360002</v>
          </cell>
          <cell r="X98">
            <v>2.9543297925299998</v>
          </cell>
          <cell r="Z98">
            <v>2.7557143813699998</v>
          </cell>
        </row>
        <row r="99">
          <cell r="D99" t="str">
            <v>Forcing|Kyoto Gases|Endogenous</v>
          </cell>
          <cell r="E99" t="str">
            <v>W/m2</v>
          </cell>
          <cell r="G99">
            <v>2.3661888388999999</v>
          </cell>
          <cell r="H99">
            <v>2.57084657964</v>
          </cell>
          <cell r="J99">
            <v>2.9752525461299899</v>
          </cell>
          <cell r="L99">
            <v>3.3379522636600001</v>
          </cell>
          <cell r="N99">
            <v>3.6073712890299898</v>
          </cell>
          <cell r="P99">
            <v>3.7189806697000001</v>
          </cell>
          <cell r="R99">
            <v>3.6804529873399998</v>
          </cell>
          <cell r="T99">
            <v>3.55749890959</v>
          </cell>
          <cell r="V99">
            <v>3.3974346259299999</v>
          </cell>
          <cell r="X99">
            <v>3.21196436156999</v>
          </cell>
          <cell r="Z99">
            <v>3.0040374178200002</v>
          </cell>
        </row>
        <row r="100">
          <cell r="D100" t="str">
            <v>Forcing|Kyoto Gases|MAGICC6|MED</v>
          </cell>
          <cell r="E100" t="str">
            <v>W/m2</v>
          </cell>
          <cell r="G100">
            <v>2.35901809986037</v>
          </cell>
          <cell r="H100">
            <v>2.5421084902683502</v>
          </cell>
          <cell r="J100">
            <v>2.9416680224154401</v>
          </cell>
          <cell r="L100">
            <v>3.3066683020975298</v>
          </cell>
          <cell r="N100">
            <v>3.5902719663531402</v>
          </cell>
          <cell r="P100">
            <v>3.7578860793381001</v>
          </cell>
          <cell r="R100">
            <v>3.7772657281815398</v>
          </cell>
          <cell r="T100">
            <v>3.7163819501946098</v>
          </cell>
          <cell r="V100">
            <v>3.6198367371189701</v>
          </cell>
          <cell r="X100">
            <v>3.5066452022630199</v>
          </cell>
          <cell r="Z100">
            <v>3.3631945814477802</v>
          </cell>
        </row>
        <row r="101">
          <cell r="D101" t="str">
            <v>Forcing|Kyoto Gases|MAGICC6|P16</v>
          </cell>
          <cell r="E101" t="str">
            <v>W/m2</v>
          </cell>
          <cell r="G101">
            <v>2.2650428181816702</v>
          </cell>
          <cell r="H101">
            <v>2.4398990374231202</v>
          </cell>
          <cell r="J101">
            <v>2.8076719141397901</v>
          </cell>
          <cell r="L101">
            <v>3.1369073541685899</v>
          </cell>
          <cell r="N101">
            <v>3.3860998753547098</v>
          </cell>
          <cell r="P101">
            <v>3.5161067359872198</v>
          </cell>
          <cell r="R101">
            <v>3.50680731287606</v>
          </cell>
          <cell r="T101">
            <v>3.4296375043980198</v>
          </cell>
          <cell r="V101">
            <v>3.33329890162288</v>
          </cell>
          <cell r="X101">
            <v>3.2059412921266599</v>
          </cell>
          <cell r="Z101">
            <v>3.0509252023331701</v>
          </cell>
        </row>
        <row r="102">
          <cell r="D102" t="str">
            <v>Forcing|Kyoto Gases|MAGICC6|P84</v>
          </cell>
          <cell r="E102" t="str">
            <v>W/m2</v>
          </cell>
          <cell r="G102">
            <v>2.4528229326940498</v>
          </cell>
          <cell r="H102">
            <v>2.6453481449590899</v>
          </cell>
          <cell r="J102">
            <v>3.0743969038399501</v>
          </cell>
          <cell r="L102">
            <v>3.4769602909014399</v>
          </cell>
          <cell r="N102">
            <v>3.81081572660917</v>
          </cell>
          <cell r="P102">
            <v>3.99310299989819</v>
          </cell>
          <cell r="R102">
            <v>4.0351019377563899</v>
          </cell>
          <cell r="T102">
            <v>4.0063980361609</v>
          </cell>
          <cell r="V102">
            <v>3.9160452454452401</v>
          </cell>
          <cell r="X102">
            <v>3.8043717035921101</v>
          </cell>
          <cell r="Z102">
            <v>3.65399443457805</v>
          </cell>
        </row>
        <row r="103">
          <cell r="D103" t="str">
            <v>Forcing|MAGICC6|MED</v>
          </cell>
          <cell r="E103" t="str">
            <v>W/m2</v>
          </cell>
          <cell r="G103">
            <v>1.96800294290149</v>
          </cell>
          <cell r="H103">
            <v>2.20403462549816</v>
          </cell>
          <cell r="J103">
            <v>2.68603945452191</v>
          </cell>
          <cell r="L103">
            <v>3.11164189647319</v>
          </cell>
          <cell r="N103">
            <v>3.53207757605864</v>
          </cell>
          <cell r="P103">
            <v>3.70690950807903</v>
          </cell>
          <cell r="R103">
            <v>3.7456509461365699</v>
          </cell>
          <cell r="T103">
            <v>3.6771684301233099</v>
          </cell>
          <cell r="V103">
            <v>3.5786480958100899</v>
          </cell>
          <cell r="X103">
            <v>3.4591138578749798</v>
          </cell>
          <cell r="Z103">
            <v>3.31059229578833</v>
          </cell>
        </row>
        <row r="104">
          <cell r="D104" t="str">
            <v>Forcing|MAGICC6|P16</v>
          </cell>
          <cell r="E104" t="str">
            <v>W/m2</v>
          </cell>
          <cell r="G104">
            <v>1.68702351776154</v>
          </cell>
          <cell r="H104">
            <v>1.93588193766114</v>
          </cell>
          <cell r="J104">
            <v>2.43631144464123</v>
          </cell>
          <cell r="L104">
            <v>2.8476220154776501</v>
          </cell>
          <cell r="N104">
            <v>3.2522735380722101</v>
          </cell>
          <cell r="P104">
            <v>3.43166114759731</v>
          </cell>
          <cell r="R104">
            <v>3.4458324800310001</v>
          </cell>
          <cell r="T104">
            <v>3.3677755581086499</v>
          </cell>
          <cell r="V104">
            <v>3.2567924808065198</v>
          </cell>
          <cell r="X104">
            <v>3.1277532256588598</v>
          </cell>
          <cell r="Z104">
            <v>2.9804860364169801</v>
          </cell>
        </row>
        <row r="105">
          <cell r="D105" t="str">
            <v>Forcing|MAGICC6|P84</v>
          </cell>
          <cell r="E105" t="str">
            <v>W/m2</v>
          </cell>
          <cell r="G105">
            <v>2.1887387299505598</v>
          </cell>
          <cell r="H105">
            <v>2.4312656124990402</v>
          </cell>
          <cell r="J105">
            <v>2.9213815711726299</v>
          </cell>
          <cell r="L105">
            <v>3.3754316184813802</v>
          </cell>
          <cell r="N105">
            <v>3.7924909430964</v>
          </cell>
          <cell r="P105">
            <v>3.99168612689818</v>
          </cell>
          <cell r="R105">
            <v>4.0327412317562397</v>
          </cell>
          <cell r="T105">
            <v>3.9729260415743601</v>
          </cell>
          <cell r="V105">
            <v>3.8767401651664199</v>
          </cell>
          <cell r="X105">
            <v>3.7566158939146299</v>
          </cell>
          <cell r="Z105">
            <v>3.6124838198820002</v>
          </cell>
        </row>
        <row r="106">
          <cell r="D106" t="str">
            <v>GDP|MER</v>
          </cell>
          <cell r="E106" t="str">
            <v>billion US$2005/yr</v>
          </cell>
          <cell r="G106">
            <v>45636.3</v>
          </cell>
          <cell r="H106">
            <v>50647.49</v>
          </cell>
          <cell r="J106">
            <v>73056.2</v>
          </cell>
          <cell r="L106">
            <v>100730.7</v>
          </cell>
          <cell r="N106">
            <v>132353.19999999899</v>
          </cell>
          <cell r="P106">
            <v>168030.8</v>
          </cell>
          <cell r="R106">
            <v>207024</v>
          </cell>
          <cell r="T106">
            <v>251299.4</v>
          </cell>
          <cell r="V106">
            <v>298789.3</v>
          </cell>
          <cell r="X106">
            <v>350716.4</v>
          </cell>
          <cell r="Z106">
            <v>409921.7</v>
          </cell>
        </row>
        <row r="107">
          <cell r="D107" t="str">
            <v>GDP|PPP</v>
          </cell>
          <cell r="E107" t="str">
            <v>billion US$2005/yr</v>
          </cell>
          <cell r="G107">
            <v>58901</v>
          </cell>
          <cell r="H107">
            <v>68798.100000000006</v>
          </cell>
          <cell r="J107">
            <v>104524.2</v>
          </cell>
          <cell r="L107">
            <v>142097.29999999999</v>
          </cell>
          <cell r="N107">
            <v>177180.4</v>
          </cell>
          <cell r="P107">
            <v>211707.9</v>
          </cell>
          <cell r="R107">
            <v>246240</v>
          </cell>
          <cell r="T107">
            <v>283279.5</v>
          </cell>
          <cell r="V107">
            <v>320878.3</v>
          </cell>
          <cell r="X107">
            <v>359710.7</v>
          </cell>
          <cell r="Z107">
            <v>402773.9</v>
          </cell>
        </row>
        <row r="108">
          <cell r="D108" t="str">
            <v>Interest Rate|Real</v>
          </cell>
          <cell r="E108" t="str">
            <v>%</v>
          </cell>
        </row>
        <row r="109">
          <cell r="D109" t="str">
            <v>Investment|Energy Supply</v>
          </cell>
          <cell r="E109" t="str">
            <v>billion US$2005/yr</v>
          </cell>
          <cell r="G109">
            <v>844.90499999999997</v>
          </cell>
          <cell r="H109">
            <v>927.471</v>
          </cell>
          <cell r="J109">
            <v>951.76199999999994</v>
          </cell>
          <cell r="L109">
            <v>1386.508</v>
          </cell>
          <cell r="N109">
            <v>2030.4939999999999</v>
          </cell>
          <cell r="P109">
            <v>2519.7669999999998</v>
          </cell>
          <cell r="R109">
            <v>2988.527</v>
          </cell>
          <cell r="T109">
            <v>3309.2049999999999</v>
          </cell>
          <cell r="V109">
            <v>3740.221</v>
          </cell>
          <cell r="X109">
            <v>4301.1270000000004</v>
          </cell>
          <cell r="Z109">
            <v>4855.6260000000002</v>
          </cell>
        </row>
        <row r="110">
          <cell r="D110" t="str">
            <v>Investment|Energy Supply|Electricity</v>
          </cell>
          <cell r="E110" t="str">
            <v>billion US$2005/yr</v>
          </cell>
          <cell r="G110">
            <v>170.40799999999999</v>
          </cell>
          <cell r="H110">
            <v>264.67500000000001</v>
          </cell>
          <cell r="J110">
            <v>175.69799999999901</v>
          </cell>
          <cell r="L110">
            <v>324.284999999999</v>
          </cell>
          <cell r="N110">
            <v>609.15599999999995</v>
          </cell>
          <cell r="P110">
            <v>822.301999999999</v>
          </cell>
          <cell r="R110">
            <v>1072.4649999999999</v>
          </cell>
          <cell r="T110">
            <v>1286.759</v>
          </cell>
          <cell r="V110">
            <v>1583.5829999999901</v>
          </cell>
          <cell r="X110">
            <v>2019.0609999999999</v>
          </cell>
          <cell r="Z110">
            <v>2426.627</v>
          </cell>
        </row>
        <row r="111">
          <cell r="D111" t="str">
            <v>Policy Cost|Additional Total Energy System Cost</v>
          </cell>
          <cell r="E111" t="str">
            <v>billion US$2005/yr</v>
          </cell>
        </row>
        <row r="112">
          <cell r="D112" t="str">
            <v>Policy Cost|Area under MAC Curve</v>
          </cell>
          <cell r="E112" t="str">
            <v>billion US$2005/yr</v>
          </cell>
        </row>
        <row r="113">
          <cell r="D113" t="str">
            <v>Policy Cost|Consumption Loss</v>
          </cell>
          <cell r="E113" t="str">
            <v>billion US$2005/yr</v>
          </cell>
          <cell r="H113">
            <v>0</v>
          </cell>
          <cell r="J113">
            <v>-12.600000000005799</v>
          </cell>
          <cell r="L113">
            <v>341.89999999999401</v>
          </cell>
          <cell r="N113">
            <v>811.00000000001398</v>
          </cell>
          <cell r="P113">
            <v>1506.9000000000201</v>
          </cell>
          <cell r="R113">
            <v>2207.7000000000098</v>
          </cell>
          <cell r="T113">
            <v>2834.2000000000098</v>
          </cell>
          <cell r="V113">
            <v>4084.8999999999901</v>
          </cell>
          <cell r="X113">
            <v>5553.7000000000098</v>
          </cell>
          <cell r="Z113">
            <v>9135.2000000000098</v>
          </cell>
        </row>
        <row r="114">
          <cell r="D114" t="str">
            <v>Policy Cost|Equivalent Variation</v>
          </cell>
          <cell r="E114" t="str">
            <v>billion US$2005/yr</v>
          </cell>
        </row>
        <row r="115">
          <cell r="D115" t="str">
            <v>Policy Cost|GDP Loss</v>
          </cell>
          <cell r="E115" t="str">
            <v>billion US$2005/yr</v>
          </cell>
          <cell r="G115">
            <v>0</v>
          </cell>
          <cell r="H115">
            <v>0</v>
          </cell>
          <cell r="J115">
            <v>251.300000000002</v>
          </cell>
          <cell r="L115">
            <v>862.20000000001096</v>
          </cell>
          <cell r="N115">
            <v>1635.6</v>
          </cell>
          <cell r="P115">
            <v>2824.5</v>
          </cell>
          <cell r="R115">
            <v>4120.3999999999896</v>
          </cell>
          <cell r="T115">
            <v>5646.8000000000102</v>
          </cell>
          <cell r="V115">
            <v>8051.4000000000196</v>
          </cell>
          <cell r="X115">
            <v>11713.8999999999</v>
          </cell>
          <cell r="Z115">
            <v>15486.3999999999</v>
          </cell>
        </row>
        <row r="116">
          <cell r="D116" t="str">
            <v>Policy Cost|Other</v>
          </cell>
          <cell r="E116" t="str">
            <v>billion US$2005/yr</v>
          </cell>
        </row>
        <row r="117">
          <cell r="D117" t="str">
            <v>Population</v>
          </cell>
          <cell r="E117" t="str">
            <v>million</v>
          </cell>
          <cell r="G117">
            <v>6455.9</v>
          </cell>
          <cell r="H117">
            <v>6843.7</v>
          </cell>
          <cell r="J117">
            <v>7602.8</v>
          </cell>
          <cell r="L117">
            <v>8266.7999999999993</v>
          </cell>
          <cell r="N117">
            <v>8819.7000000000007</v>
          </cell>
          <cell r="P117">
            <v>9253.2000000000007</v>
          </cell>
          <cell r="R117">
            <v>9564.2999999999993</v>
          </cell>
          <cell r="T117">
            <v>9778.4</v>
          </cell>
          <cell r="V117">
            <v>9921.7999999999993</v>
          </cell>
          <cell r="X117">
            <v>10016.799999999999</v>
          </cell>
          <cell r="Z117">
            <v>10080.65</v>
          </cell>
        </row>
        <row r="118">
          <cell r="D118" t="str">
            <v>Price|Carbon</v>
          </cell>
          <cell r="E118" t="str">
            <v>US$2005/t CO2</v>
          </cell>
          <cell r="G118">
            <v>0</v>
          </cell>
          <cell r="H118">
            <v>0</v>
          </cell>
          <cell r="J118">
            <v>19.290900000000001</v>
          </cell>
          <cell r="L118">
            <v>31.422840000000001</v>
          </cell>
          <cell r="N118">
            <v>51.184489999999997</v>
          </cell>
          <cell r="P118">
            <v>83.374139999999997</v>
          </cell>
          <cell r="R118">
            <v>135.80770000000001</v>
          </cell>
          <cell r="T118">
            <v>221.21643</v>
          </cell>
          <cell r="V118">
            <v>360.33825000000002</v>
          </cell>
          <cell r="X118">
            <v>586.95303999999999</v>
          </cell>
          <cell r="Z118">
            <v>956.08465000000001</v>
          </cell>
        </row>
        <row r="119">
          <cell r="D119" t="str">
            <v>Price|Primary Energy|Coal</v>
          </cell>
          <cell r="E119" t="str">
            <v>US$2005/GJ</v>
          </cell>
          <cell r="H119">
            <v>1.9450000000000001</v>
          </cell>
          <cell r="J119">
            <v>1.925</v>
          </cell>
          <cell r="L119">
            <v>2.129</v>
          </cell>
          <cell r="N119">
            <v>2.1280000000000001</v>
          </cell>
          <cell r="P119">
            <v>3.02</v>
          </cell>
          <cell r="R119">
            <v>3.3159999999999998</v>
          </cell>
          <cell r="T119">
            <v>4.8929999999999998</v>
          </cell>
          <cell r="V119">
            <v>5.266</v>
          </cell>
          <cell r="X119">
            <v>6.774</v>
          </cell>
          <cell r="Z119">
            <v>7.4130000000000003</v>
          </cell>
        </row>
        <row r="120">
          <cell r="D120" t="str">
            <v>Price|Primary Energy|Gas</v>
          </cell>
          <cell r="E120" t="str">
            <v>US$2005/GJ</v>
          </cell>
          <cell r="H120">
            <v>3.5720000000000001</v>
          </cell>
          <cell r="J120">
            <v>4.1840000000000002</v>
          </cell>
          <cell r="L120">
            <v>4.742</v>
          </cell>
          <cell r="N120">
            <v>5.4749999999999996</v>
          </cell>
          <cell r="P120">
            <v>6.282</v>
          </cell>
          <cell r="R120">
            <v>6.141</v>
          </cell>
          <cell r="T120">
            <v>6.9029999999999996</v>
          </cell>
          <cell r="V120">
            <v>8.843</v>
          </cell>
          <cell r="X120">
            <v>9.4629999999999992</v>
          </cell>
          <cell r="Z120">
            <v>12.773999999999999</v>
          </cell>
        </row>
        <row r="121">
          <cell r="D121" t="str">
            <v>Price|Primary Energy|Oil</v>
          </cell>
          <cell r="E121" t="str">
            <v>US$2005/GJ</v>
          </cell>
          <cell r="H121">
            <v>3.109</v>
          </cell>
          <cell r="J121">
            <v>3.49</v>
          </cell>
          <cell r="L121">
            <v>4.3520000000000003</v>
          </cell>
          <cell r="N121">
            <v>4.8540000000000001</v>
          </cell>
          <cell r="P121">
            <v>5.649</v>
          </cell>
          <cell r="R121">
            <v>5.4610000000000003</v>
          </cell>
          <cell r="T121">
            <v>5.806</v>
          </cell>
          <cell r="V121">
            <v>7.1980000000000004</v>
          </cell>
          <cell r="X121">
            <v>9.2520000000000007</v>
          </cell>
          <cell r="Z121">
            <v>10.939</v>
          </cell>
        </row>
        <row r="122">
          <cell r="D122" t="str">
            <v>Primary Energy</v>
          </cell>
          <cell r="E122" t="str">
            <v>EJ/yr</v>
          </cell>
          <cell r="G122">
            <v>454.49799999999999</v>
          </cell>
          <cell r="H122">
            <v>479.55500000000001</v>
          </cell>
          <cell r="J122">
            <v>541.31099999999901</v>
          </cell>
          <cell r="L122">
            <v>610.56599999999901</v>
          </cell>
          <cell r="N122">
            <v>664.94100000000003</v>
          </cell>
          <cell r="P122">
            <v>719.56999999999903</v>
          </cell>
          <cell r="R122">
            <v>776.09199999999998</v>
          </cell>
          <cell r="T122">
            <v>831.53499999999997</v>
          </cell>
          <cell r="V122">
            <v>878.56200000000001</v>
          </cell>
          <cell r="X122">
            <v>926.45399999999995</v>
          </cell>
          <cell r="Z122">
            <v>986.67899999999997</v>
          </cell>
        </row>
        <row r="123">
          <cell r="D123" t="str">
            <v>Primary Energy|Biomass</v>
          </cell>
          <cell r="E123" t="str">
            <v>EJ/yr</v>
          </cell>
          <cell r="G123">
            <v>42.414000000000001</v>
          </cell>
          <cell r="H123">
            <v>45.162999999999997</v>
          </cell>
          <cell r="J123">
            <v>50.716999999999999</v>
          </cell>
          <cell r="L123">
            <v>65.872</v>
          </cell>
          <cell r="N123">
            <v>94.580999999999904</v>
          </cell>
          <cell r="P123">
            <v>135.35199999999901</v>
          </cell>
          <cell r="R123">
            <v>156.071</v>
          </cell>
          <cell r="T123">
            <v>173.256</v>
          </cell>
          <cell r="V123">
            <v>190.38</v>
          </cell>
          <cell r="X123">
            <v>206.732</v>
          </cell>
          <cell r="Z123">
            <v>221.018</v>
          </cell>
        </row>
        <row r="124">
          <cell r="D124" t="str">
            <v>Primary Energy|Biomass|Modern</v>
          </cell>
          <cell r="E124" t="str">
            <v>EJ/yr</v>
          </cell>
          <cell r="G124">
            <v>15.215999999999999</v>
          </cell>
          <cell r="H124">
            <v>20.866</v>
          </cell>
          <cell r="J124">
            <v>33.131999999999998</v>
          </cell>
          <cell r="L124">
            <v>53.192999999999998</v>
          </cell>
          <cell r="N124">
            <v>85.168999999999997</v>
          </cell>
          <cell r="P124">
            <v>131.28100000000001</v>
          </cell>
          <cell r="R124">
            <v>156.071</v>
          </cell>
          <cell r="T124">
            <v>173.256</v>
          </cell>
          <cell r="V124">
            <v>190.38</v>
          </cell>
          <cell r="X124">
            <v>206.732</v>
          </cell>
          <cell r="Z124">
            <v>221.018</v>
          </cell>
        </row>
        <row r="125">
          <cell r="D125" t="str">
            <v>Primary Energy|Biomass|Traditional</v>
          </cell>
          <cell r="E125" t="str">
            <v>EJ/yr</v>
          </cell>
          <cell r="G125">
            <v>27.198</v>
          </cell>
          <cell r="H125">
            <v>24.295999999999999</v>
          </cell>
          <cell r="J125">
            <v>17.585000000000001</v>
          </cell>
          <cell r="L125">
            <v>12.679</v>
          </cell>
          <cell r="N125">
            <v>9.4120000000000008</v>
          </cell>
          <cell r="P125">
            <v>4.0709999999999997</v>
          </cell>
          <cell r="R125">
            <v>0</v>
          </cell>
          <cell r="T125">
            <v>0</v>
          </cell>
          <cell r="V125">
            <v>0</v>
          </cell>
          <cell r="X125">
            <v>0</v>
          </cell>
          <cell r="Z125">
            <v>0</v>
          </cell>
        </row>
        <row r="126">
          <cell r="D126" t="str">
            <v>Primary Energy|Biomass|w/ CCS</v>
          </cell>
          <cell r="E126" t="str">
            <v>EJ/yr</v>
          </cell>
          <cell r="G126">
            <v>0</v>
          </cell>
          <cell r="H126">
            <v>0</v>
          </cell>
          <cell r="J126">
            <v>0</v>
          </cell>
          <cell r="L126">
            <v>6.7359999999999998</v>
          </cell>
          <cell r="N126">
            <v>28.504999999999999</v>
          </cell>
          <cell r="P126">
            <v>77.819999999999993</v>
          </cell>
          <cell r="R126">
            <v>119.44799999999999</v>
          </cell>
          <cell r="T126">
            <v>132.74</v>
          </cell>
          <cell r="V126">
            <v>146.24</v>
          </cell>
          <cell r="X126">
            <v>158.16300000000001</v>
          </cell>
          <cell r="Z126">
            <v>168.673</v>
          </cell>
        </row>
        <row r="127">
          <cell r="D127" t="str">
            <v>Primary Energy|Biomass|w/o CCS</v>
          </cell>
          <cell r="E127" t="str">
            <v>EJ/yr</v>
          </cell>
          <cell r="G127">
            <v>42.414000000000001</v>
          </cell>
          <cell r="H127">
            <v>45.162999999999997</v>
          </cell>
          <cell r="J127">
            <v>50.716999999999999</v>
          </cell>
          <cell r="L127">
            <v>59.136000000000003</v>
          </cell>
          <cell r="N127">
            <v>66.075999999999993</v>
          </cell>
          <cell r="P127">
            <v>57.531999999999996</v>
          </cell>
          <cell r="R127">
            <v>36.622999999999998</v>
          </cell>
          <cell r="T127">
            <v>40.515999999999998</v>
          </cell>
          <cell r="V127">
            <v>44.14</v>
          </cell>
          <cell r="X127">
            <v>48.569000000000003</v>
          </cell>
          <cell r="Z127">
            <v>52.344999999999999</v>
          </cell>
        </row>
        <row r="128">
          <cell r="D128" t="str">
            <v>Primary Energy|Coal</v>
          </cell>
          <cell r="E128" t="str">
            <v>EJ/yr</v>
          </cell>
          <cell r="G128">
            <v>121.148</v>
          </cell>
          <cell r="H128">
            <v>137.82499999999999</v>
          </cell>
          <cell r="J128">
            <v>125.78</v>
          </cell>
          <cell r="L128">
            <v>97.275999999999996</v>
          </cell>
          <cell r="N128">
            <v>61.533000000000001</v>
          </cell>
          <cell r="P128">
            <v>77.811000000000007</v>
          </cell>
          <cell r="R128">
            <v>97.649000000000001</v>
          </cell>
          <cell r="T128">
            <v>122.96</v>
          </cell>
          <cell r="V128">
            <v>122.822</v>
          </cell>
          <cell r="X128">
            <v>92.033999999999907</v>
          </cell>
          <cell r="Z128">
            <v>28.497</v>
          </cell>
        </row>
        <row r="129">
          <cell r="D129" t="str">
            <v>Primary Energy|Coal|Electricity</v>
          </cell>
          <cell r="E129" t="str">
            <v>EJ/yr</v>
          </cell>
        </row>
        <row r="130">
          <cell r="D130" t="str">
            <v>Primary Energy|Coal|w/ CCS</v>
          </cell>
          <cell r="E130" t="str">
            <v>EJ/yr</v>
          </cell>
          <cell r="G130">
            <v>0</v>
          </cell>
          <cell r="H130">
            <v>0</v>
          </cell>
          <cell r="J130">
            <v>0.82699999999999996</v>
          </cell>
          <cell r="L130">
            <v>10.803000000000001</v>
          </cell>
          <cell r="N130">
            <v>37.563000000000002</v>
          </cell>
          <cell r="P130">
            <v>71.837000000000003</v>
          </cell>
          <cell r="R130">
            <v>96.522999999999996</v>
          </cell>
          <cell r="T130">
            <v>122.41800000000001</v>
          </cell>
          <cell r="V130">
            <v>122.803</v>
          </cell>
          <cell r="X130">
            <v>92.022999999999996</v>
          </cell>
          <cell r="Z130">
            <v>28.49</v>
          </cell>
        </row>
        <row r="131">
          <cell r="D131" t="str">
            <v>Primary Energy|Coal|w/o CCS</v>
          </cell>
          <cell r="E131" t="str">
            <v>EJ/yr</v>
          </cell>
          <cell r="G131">
            <v>121.148</v>
          </cell>
          <cell r="H131">
            <v>137.82499999999999</v>
          </cell>
          <cell r="J131">
            <v>124.953</v>
          </cell>
          <cell r="L131">
            <v>86.472999999999999</v>
          </cell>
          <cell r="N131">
            <v>23.97</v>
          </cell>
          <cell r="P131">
            <v>5.9740000000000002</v>
          </cell>
          <cell r="R131">
            <v>1.1259999999999999</v>
          </cell>
          <cell r="T131">
            <v>0.54200000000000004</v>
          </cell>
          <cell r="V131">
            <v>1.9E-2</v>
          </cell>
          <cell r="X131">
            <v>1.0999999999999999E-2</v>
          </cell>
          <cell r="Z131">
            <v>7.0000000000000001E-3</v>
          </cell>
        </row>
        <row r="132">
          <cell r="D132" t="str">
            <v>Primary Energy|Fossil</v>
          </cell>
          <cell r="E132" t="str">
            <v>EJ/yr</v>
          </cell>
          <cell r="G132">
            <v>390.69099999999997</v>
          </cell>
          <cell r="H132">
            <v>409.20400000000001</v>
          </cell>
          <cell r="J132">
            <v>453.68</v>
          </cell>
          <cell r="L132">
            <v>484.86399999999998</v>
          </cell>
          <cell r="N132">
            <v>468.387</v>
          </cell>
          <cell r="P132">
            <v>431.14199999999897</v>
          </cell>
          <cell r="R132">
            <v>411.34699999999998</v>
          </cell>
          <cell r="T132">
            <v>388.43400000000003</v>
          </cell>
          <cell r="V132">
            <v>338.77499999999998</v>
          </cell>
          <cell r="X132">
            <v>271.16699999999997</v>
          </cell>
          <cell r="Z132">
            <v>205.69200000000001</v>
          </cell>
        </row>
        <row r="133">
          <cell r="D133" t="str">
            <v>Primary Energy|Fossil|w/ CCS</v>
          </cell>
          <cell r="E133" t="str">
            <v>EJ/yr</v>
          </cell>
          <cell r="G133">
            <v>0</v>
          </cell>
          <cell r="H133">
            <v>0</v>
          </cell>
          <cell r="J133">
            <v>1.0329999999999999</v>
          </cell>
          <cell r="L133">
            <v>16.274000000000001</v>
          </cell>
          <cell r="N133">
            <v>63.965000000000003</v>
          </cell>
          <cell r="P133">
            <v>139.958</v>
          </cell>
          <cell r="R133">
            <v>176.464</v>
          </cell>
          <cell r="T133">
            <v>177.00299999999999</v>
          </cell>
          <cell r="V133">
            <v>145.78100000000001</v>
          </cell>
          <cell r="X133">
            <v>96.433999999999997</v>
          </cell>
          <cell r="Z133">
            <v>29.561</v>
          </cell>
        </row>
        <row r="134">
          <cell r="D134" t="str">
            <v>Primary Energy|Fossil|w/o CCS</v>
          </cell>
          <cell r="E134" t="str">
            <v>EJ/yr</v>
          </cell>
          <cell r="G134">
            <v>390.69099999999997</v>
          </cell>
          <cell r="H134">
            <v>409.20400000000001</v>
          </cell>
          <cell r="J134">
            <v>452.64699999999999</v>
          </cell>
          <cell r="L134">
            <v>468.59</v>
          </cell>
          <cell r="N134">
            <v>404.42200000000003</v>
          </cell>
          <cell r="P134">
            <v>291.183999999999</v>
          </cell>
          <cell r="R134">
            <v>234.88300000000001</v>
          </cell>
          <cell r="T134">
            <v>211.43100000000001</v>
          </cell>
          <cell r="V134">
            <v>192.994</v>
          </cell>
          <cell r="X134">
            <v>174.73299999999901</v>
          </cell>
          <cell r="Z134">
            <v>176.131</v>
          </cell>
        </row>
        <row r="135">
          <cell r="D135" t="str">
            <v>Primary Energy|Gas</v>
          </cell>
          <cell r="E135" t="str">
            <v>EJ/yr</v>
          </cell>
          <cell r="G135">
            <v>100.2</v>
          </cell>
          <cell r="H135">
            <v>100.92</v>
          </cell>
          <cell r="J135">
            <v>110.09699999999999</v>
          </cell>
          <cell r="L135">
            <v>147.75200000000001</v>
          </cell>
          <cell r="N135">
            <v>190.851</v>
          </cell>
          <cell r="P135">
            <v>215.60900000000001</v>
          </cell>
          <cell r="R135">
            <v>242.10400000000001</v>
          </cell>
          <cell r="T135">
            <v>232.90799999999999</v>
          </cell>
          <cell r="V135">
            <v>192.57300000000001</v>
          </cell>
          <cell r="X135">
            <v>158.72299999999899</v>
          </cell>
          <cell r="Z135">
            <v>157.22200000000001</v>
          </cell>
        </row>
        <row r="136">
          <cell r="D136" t="str">
            <v>Primary Energy|Gas|Electricity</v>
          </cell>
          <cell r="E136" t="str">
            <v>EJ/yr</v>
          </cell>
        </row>
        <row r="137">
          <cell r="D137" t="str">
            <v>Primary Energy|Gas|w/ CCS</v>
          </cell>
          <cell r="E137" t="str">
            <v>EJ/yr</v>
          </cell>
          <cell r="G137">
            <v>0</v>
          </cell>
          <cell r="H137">
            <v>0</v>
          </cell>
          <cell r="J137">
            <v>0.20599999999999999</v>
          </cell>
          <cell r="L137">
            <v>5.4710000000000001</v>
          </cell>
          <cell r="N137">
            <v>26.402000000000001</v>
          </cell>
          <cell r="P137">
            <v>68.120999999999995</v>
          </cell>
          <cell r="R137">
            <v>79.941000000000003</v>
          </cell>
          <cell r="T137">
            <v>54.585000000000001</v>
          </cell>
          <cell r="V137">
            <v>22.978000000000002</v>
          </cell>
          <cell r="X137">
            <v>4.4109999999999996</v>
          </cell>
          <cell r="Z137">
            <v>1.071</v>
          </cell>
        </row>
        <row r="138">
          <cell r="D138" t="str">
            <v>Primary Energy|Gas|w/o CCS</v>
          </cell>
          <cell r="E138" t="str">
            <v>EJ/yr</v>
          </cell>
          <cell r="G138">
            <v>100.2</v>
          </cell>
          <cell r="H138">
            <v>100.92</v>
          </cell>
          <cell r="J138">
            <v>109.89100000000001</v>
          </cell>
          <cell r="L138">
            <v>142.28100000000001</v>
          </cell>
          <cell r="N138">
            <v>164.44899999999899</v>
          </cell>
          <cell r="P138">
            <v>147.488</v>
          </cell>
          <cell r="R138">
            <v>162.16300000000001</v>
          </cell>
          <cell r="T138">
            <v>178.32300000000001</v>
          </cell>
          <cell r="V138">
            <v>169.595</v>
          </cell>
          <cell r="X138">
            <v>154.31199999999899</v>
          </cell>
          <cell r="Z138">
            <v>156.15100000000001</v>
          </cell>
        </row>
        <row r="139">
          <cell r="D139" t="str">
            <v>Primary Energy|Geothermal</v>
          </cell>
          <cell r="E139" t="str">
            <v>EJ/yr</v>
          </cell>
          <cell r="G139">
            <v>0.35399999999999998</v>
          </cell>
          <cell r="H139">
            <v>0.52200000000000002</v>
          </cell>
          <cell r="J139">
            <v>0.67300000000000004</v>
          </cell>
          <cell r="L139">
            <v>0.58299999999999996</v>
          </cell>
          <cell r="N139">
            <v>0.70399999999999996</v>
          </cell>
          <cell r="P139">
            <v>1.4690000000000001</v>
          </cell>
          <cell r="R139">
            <v>2.746</v>
          </cell>
          <cell r="T139">
            <v>4.5839999999999996</v>
          </cell>
          <cell r="V139">
            <v>7.0970000000000004</v>
          </cell>
          <cell r="X139">
            <v>8.5399999999999991</v>
          </cell>
          <cell r="Z139">
            <v>9.3390000000000004</v>
          </cell>
        </row>
        <row r="140">
          <cell r="D140" t="str">
            <v>Primary Energy|Hydro</v>
          </cell>
          <cell r="E140" t="str">
            <v>EJ/yr</v>
          </cell>
          <cell r="G140">
            <v>10.38</v>
          </cell>
          <cell r="H140">
            <v>12.242000000000001</v>
          </cell>
          <cell r="J140">
            <v>13.577</v>
          </cell>
          <cell r="L140">
            <v>15.372</v>
          </cell>
          <cell r="N140">
            <v>18.478999999999999</v>
          </cell>
          <cell r="P140">
            <v>19.838000000000001</v>
          </cell>
          <cell r="R140">
            <v>22.271000000000001</v>
          </cell>
          <cell r="T140">
            <v>25.311</v>
          </cell>
          <cell r="V140">
            <v>29.096</v>
          </cell>
          <cell r="X140">
            <v>30.454999999999998</v>
          </cell>
          <cell r="Z140">
            <v>30.885000000000002</v>
          </cell>
        </row>
        <row r="141">
          <cell r="D141" t="str">
            <v>Primary Energy|Non-Biomass Renewables</v>
          </cell>
          <cell r="E141" t="str">
            <v>EJ/yr</v>
          </cell>
          <cell r="G141">
            <v>11.458</v>
          </cell>
          <cell r="H141">
            <v>14.923</v>
          </cell>
          <cell r="J141">
            <v>25.602</v>
          </cell>
          <cell r="L141">
            <v>48.972999999999999</v>
          </cell>
          <cell r="N141">
            <v>92.418999999999997</v>
          </cell>
          <cell r="P141">
            <v>141.898</v>
          </cell>
          <cell r="R141">
            <v>187.88899999999899</v>
          </cell>
          <cell r="T141">
            <v>239.483</v>
          </cell>
          <cell r="V141">
            <v>303.74399999999901</v>
          </cell>
          <cell r="X141">
            <v>383.69799999999998</v>
          </cell>
          <cell r="Z141">
            <v>470.33300000000003</v>
          </cell>
        </row>
        <row r="142">
          <cell r="D142" t="str">
            <v>Primary Energy|Nuclear</v>
          </cell>
          <cell r="E142" t="str">
            <v>EJ/yr</v>
          </cell>
          <cell r="G142">
            <v>9.9670000000000005</v>
          </cell>
          <cell r="H142">
            <v>10.275</v>
          </cell>
          <cell r="J142">
            <v>11.327</v>
          </cell>
          <cell r="L142">
            <v>10.897</v>
          </cell>
          <cell r="N142">
            <v>9.64</v>
          </cell>
          <cell r="P142">
            <v>11.316000000000001</v>
          </cell>
          <cell r="R142">
            <v>20.995000000000001</v>
          </cell>
          <cell r="T142">
            <v>30.664000000000001</v>
          </cell>
          <cell r="V142">
            <v>45.982999999999997</v>
          </cell>
          <cell r="X142">
            <v>65.251999999999995</v>
          </cell>
          <cell r="Z142">
            <v>90.358999999999995</v>
          </cell>
        </row>
        <row r="143">
          <cell r="D143" t="str">
            <v>Primary Energy|Ocean</v>
          </cell>
          <cell r="E143" t="str">
            <v>EJ/yr</v>
          </cell>
        </row>
        <row r="144">
          <cell r="D144" t="str">
            <v>Primary Energy|Oil</v>
          </cell>
          <cell r="E144" t="str">
            <v>EJ/yr</v>
          </cell>
          <cell r="G144">
            <v>169.34299999999999</v>
          </cell>
          <cell r="H144">
            <v>170.459</v>
          </cell>
          <cell r="J144">
            <v>217.803</v>
          </cell>
          <cell r="L144">
            <v>239.83600000000001</v>
          </cell>
          <cell r="N144">
            <v>216.00299999999999</v>
          </cell>
          <cell r="P144">
            <v>137.72200000000001</v>
          </cell>
          <cell r="R144">
            <v>71.593999999999994</v>
          </cell>
          <cell r="T144">
            <v>32.566000000000003</v>
          </cell>
          <cell r="V144">
            <v>23.38</v>
          </cell>
          <cell r="X144">
            <v>20.41</v>
          </cell>
          <cell r="Z144">
            <v>19.972999999999999</v>
          </cell>
        </row>
        <row r="145">
          <cell r="D145" t="str">
            <v>Primary Energy|Oil|w/ CCS</v>
          </cell>
          <cell r="E145" t="str">
            <v>EJ/yr</v>
          </cell>
        </row>
        <row r="146">
          <cell r="D146" t="str">
            <v>Primary Energy|Oil|w/o CCS</v>
          </cell>
          <cell r="E146" t="str">
            <v>EJ/yr</v>
          </cell>
          <cell r="G146">
            <v>169.34299999999999</v>
          </cell>
          <cell r="H146">
            <v>170.459</v>
          </cell>
          <cell r="J146">
            <v>217.803</v>
          </cell>
          <cell r="L146">
            <v>239.83600000000001</v>
          </cell>
          <cell r="N146">
            <v>216.00299999999999</v>
          </cell>
          <cell r="P146">
            <v>137.72200000000001</v>
          </cell>
          <cell r="R146">
            <v>71.593999999999994</v>
          </cell>
          <cell r="T146">
            <v>32.566000000000003</v>
          </cell>
          <cell r="V146">
            <v>23.38</v>
          </cell>
          <cell r="X146">
            <v>20.41</v>
          </cell>
          <cell r="Z146">
            <v>19.972999999999999</v>
          </cell>
        </row>
        <row r="147">
          <cell r="D147" t="str">
            <v>Primary Energy|Other</v>
          </cell>
          <cell r="E147" t="str">
            <v>EJ/yr</v>
          </cell>
        </row>
        <row r="148">
          <cell r="D148" t="str">
            <v>Primary Energy|Solar</v>
          </cell>
          <cell r="E148" t="str">
            <v>EJ/yr</v>
          </cell>
          <cell r="G148">
            <v>0.33900000000000002</v>
          </cell>
          <cell r="H148">
            <v>0.95199999999999996</v>
          </cell>
          <cell r="J148">
            <v>7.4630000000000001</v>
          </cell>
          <cell r="L148">
            <v>21.048999999999999</v>
          </cell>
          <cell r="N148">
            <v>46.350999999999999</v>
          </cell>
          <cell r="P148">
            <v>80.649000000000001</v>
          </cell>
          <cell r="R148">
            <v>114.52</v>
          </cell>
          <cell r="T148">
            <v>149.27000000000001</v>
          </cell>
          <cell r="V148">
            <v>190.77699999999999</v>
          </cell>
          <cell r="X148">
            <v>250.64699999999999</v>
          </cell>
          <cell r="Z148">
            <v>317.43200000000002</v>
          </cell>
        </row>
        <row r="149">
          <cell r="D149" t="str">
            <v>Primary Energy|Wind</v>
          </cell>
          <cell r="E149" t="str">
            <v>EJ/yr</v>
          </cell>
          <cell r="G149">
            <v>0.38500000000000001</v>
          </cell>
          <cell r="H149">
            <v>1.2070000000000001</v>
          </cell>
          <cell r="J149">
            <v>3.8889999999999998</v>
          </cell>
          <cell r="L149">
            <v>11.968999999999999</v>
          </cell>
          <cell r="N149">
            <v>26.885000000000002</v>
          </cell>
          <cell r="P149">
            <v>39.942</v>
          </cell>
          <cell r="R149">
            <v>48.351999999999997</v>
          </cell>
          <cell r="T149">
            <v>60.317999999999998</v>
          </cell>
          <cell r="V149">
            <v>76.774000000000001</v>
          </cell>
          <cell r="X149">
            <v>94.055999999999997</v>
          </cell>
          <cell r="Z149">
            <v>112.67700000000001</v>
          </cell>
        </row>
        <row r="150">
          <cell r="D150" t="str">
            <v>Resource|Cumulative Extraction|Coal</v>
          </cell>
          <cell r="E150" t="str">
            <v>EJ</v>
          </cell>
          <cell r="G150">
            <v>1949</v>
          </cell>
          <cell r="H150">
            <v>2639</v>
          </cell>
          <cell r="J150">
            <v>3897</v>
          </cell>
          <cell r="L150">
            <v>4871</v>
          </cell>
          <cell r="N150">
            <v>5487</v>
          </cell>
          <cell r="P150">
            <v>6266</v>
          </cell>
          <cell r="R150">
            <v>7244</v>
          </cell>
          <cell r="T150">
            <v>8476</v>
          </cell>
          <cell r="V150">
            <v>9709</v>
          </cell>
          <cell r="X150">
            <v>10633</v>
          </cell>
          <cell r="Z150">
            <v>10920</v>
          </cell>
        </row>
        <row r="151">
          <cell r="D151" t="str">
            <v>Resource|Cumulative Extraction|Gas</v>
          </cell>
          <cell r="E151" t="str">
            <v>EJ</v>
          </cell>
          <cell r="G151">
            <v>1704</v>
          </cell>
          <cell r="H151">
            <v>2213</v>
          </cell>
          <cell r="J151">
            <v>3325</v>
          </cell>
          <cell r="L151">
            <v>4822</v>
          </cell>
          <cell r="N151">
            <v>6757</v>
          </cell>
          <cell r="P151">
            <v>8940</v>
          </cell>
          <cell r="R151">
            <v>11393</v>
          </cell>
          <cell r="T151">
            <v>13751</v>
          </cell>
          <cell r="V151">
            <v>15706</v>
          </cell>
          <cell r="X151">
            <v>17327</v>
          </cell>
          <cell r="Z151">
            <v>18940</v>
          </cell>
        </row>
        <row r="152">
          <cell r="D152" t="str">
            <v>Resource|Cumulative Extraction|Oil</v>
          </cell>
          <cell r="E152" t="str">
            <v>EJ</v>
          </cell>
          <cell r="G152">
            <v>3073</v>
          </cell>
          <cell r="H152">
            <v>3929</v>
          </cell>
          <cell r="J152">
            <v>6118</v>
          </cell>
          <cell r="L152">
            <v>8529</v>
          </cell>
          <cell r="N152">
            <v>10701</v>
          </cell>
          <cell r="P152">
            <v>12086</v>
          </cell>
          <cell r="R152">
            <v>12808</v>
          </cell>
          <cell r="T152">
            <v>13136</v>
          </cell>
          <cell r="V152">
            <v>13372</v>
          </cell>
          <cell r="X152">
            <v>13578</v>
          </cell>
          <cell r="Z152">
            <v>13791</v>
          </cell>
        </row>
        <row r="153">
          <cell r="D153" t="str">
            <v>Secondary Energy</v>
          </cell>
          <cell r="E153" t="str">
            <v>EJ/yr</v>
          </cell>
          <cell r="G153">
            <v>329.13299999999998</v>
          </cell>
          <cell r="H153">
            <v>337.402999999999</v>
          </cell>
          <cell r="J153">
            <v>407.53399999999999</v>
          </cell>
          <cell r="L153">
            <v>492.57999999999902</v>
          </cell>
          <cell r="N153">
            <v>549.00699999999995</v>
          </cell>
          <cell r="P153">
            <v>583.06899999999996</v>
          </cell>
          <cell r="R153">
            <v>653.729999999999</v>
          </cell>
          <cell r="T153">
            <v>722.65899999999999</v>
          </cell>
          <cell r="V153">
            <v>773.404</v>
          </cell>
          <cell r="X153">
            <v>838.56200000000001</v>
          </cell>
          <cell r="Z153">
            <v>948.18299999999999</v>
          </cell>
        </row>
        <row r="154">
          <cell r="D154" t="str">
            <v>Secondary Energy|Electricity</v>
          </cell>
          <cell r="E154" t="str">
            <v>EJ/yr</v>
          </cell>
          <cell r="G154">
            <v>65.078999999999994</v>
          </cell>
          <cell r="H154">
            <v>72.738999999999905</v>
          </cell>
          <cell r="J154">
            <v>87.583999999999904</v>
          </cell>
          <cell r="L154">
            <v>111.310999999999</v>
          </cell>
          <cell r="N154">
            <v>139.83599999999899</v>
          </cell>
          <cell r="P154">
            <v>180.13899999999899</v>
          </cell>
          <cell r="R154">
            <v>226.12199999999899</v>
          </cell>
          <cell r="T154">
            <v>271.565</v>
          </cell>
          <cell r="V154">
            <v>329.46699999999998</v>
          </cell>
          <cell r="X154">
            <v>417.18799999999999</v>
          </cell>
          <cell r="Z154">
            <v>526.29100000000005</v>
          </cell>
        </row>
        <row r="155">
          <cell r="D155" t="str">
            <v>Secondary Energy|Electricity|Biomass</v>
          </cell>
          <cell r="E155" t="str">
            <v>EJ/yr</v>
          </cell>
          <cell r="G155">
            <v>0.64800000000000002</v>
          </cell>
          <cell r="H155">
            <v>0.9</v>
          </cell>
          <cell r="J155">
            <v>0.32700000000000001</v>
          </cell>
          <cell r="L155">
            <v>0.73899999999999999</v>
          </cell>
          <cell r="N155">
            <v>1.6839999999999999</v>
          </cell>
          <cell r="P155">
            <v>3.387</v>
          </cell>
          <cell r="R155">
            <v>4.5759999999999996</v>
          </cell>
          <cell r="T155">
            <v>5.3490000000000002</v>
          </cell>
          <cell r="V155">
            <v>6.2240000000000002</v>
          </cell>
          <cell r="X155">
            <v>6.4829999999999997</v>
          </cell>
          <cell r="Z155">
            <v>6.8360000000000003</v>
          </cell>
        </row>
        <row r="156">
          <cell r="D156" t="str">
            <v>Secondary Energy|Electricity|Biomass|w/ CCS</v>
          </cell>
          <cell r="E156" t="str">
            <v>EJ/yr</v>
          </cell>
          <cell r="G156">
            <v>0</v>
          </cell>
          <cell r="H156">
            <v>0</v>
          </cell>
          <cell r="J156">
            <v>0</v>
          </cell>
          <cell r="L156">
            <v>0.377</v>
          </cell>
          <cell r="N156">
            <v>1.46</v>
          </cell>
          <cell r="P156">
            <v>3.17</v>
          </cell>
          <cell r="R156">
            <v>4.524</v>
          </cell>
          <cell r="T156">
            <v>5.0330000000000004</v>
          </cell>
          <cell r="V156">
            <v>5.6630000000000003</v>
          </cell>
          <cell r="X156">
            <v>5.66</v>
          </cell>
          <cell r="Z156">
            <v>5.6150000000000002</v>
          </cell>
        </row>
        <row r="157">
          <cell r="D157" t="str">
            <v>Secondary Energy|Electricity|Biomass|w/o CCS</v>
          </cell>
          <cell r="E157" t="str">
            <v>EJ/yr</v>
          </cell>
          <cell r="G157">
            <v>0.64800000000000002</v>
          </cell>
          <cell r="H157">
            <v>0.9</v>
          </cell>
          <cell r="J157">
            <v>0.32700000000000001</v>
          </cell>
          <cell r="L157">
            <v>0.36199999999999999</v>
          </cell>
          <cell r="N157">
            <v>0.224</v>
          </cell>
          <cell r="P157">
            <v>0.217</v>
          </cell>
          <cell r="R157">
            <v>5.1999999999999998E-2</v>
          </cell>
          <cell r="T157">
            <v>0.316</v>
          </cell>
          <cell r="V157">
            <v>0.56100000000000005</v>
          </cell>
          <cell r="X157">
            <v>0.82299999999999995</v>
          </cell>
          <cell r="Z157">
            <v>1.2210000000000001</v>
          </cell>
        </row>
        <row r="158">
          <cell r="D158" t="str">
            <v>Secondary Energy|Electricity|Coal</v>
          </cell>
          <cell r="E158" t="str">
            <v>EJ/yr</v>
          </cell>
          <cell r="G158">
            <v>26.335000000000001</v>
          </cell>
          <cell r="H158">
            <v>30.231999999999999</v>
          </cell>
          <cell r="J158">
            <v>30.457999999999998</v>
          </cell>
          <cell r="L158">
            <v>23.674999999999901</v>
          </cell>
          <cell r="N158">
            <v>11.298</v>
          </cell>
          <cell r="P158">
            <v>7.4649999999999999</v>
          </cell>
          <cell r="R158">
            <v>5.8529999999999998</v>
          </cell>
          <cell r="T158">
            <v>4.3959999999999999</v>
          </cell>
          <cell r="V158">
            <v>2.4409999999999998</v>
          </cell>
          <cell r="X158">
            <v>1.84</v>
          </cell>
          <cell r="Z158">
            <v>0.56999999999999995</v>
          </cell>
        </row>
        <row r="159">
          <cell r="D159" t="str">
            <v>Secondary Energy|Electricity|Coal|w/ CCS</v>
          </cell>
          <cell r="E159" t="str">
            <v>EJ/yr</v>
          </cell>
          <cell r="G159">
            <v>0</v>
          </cell>
          <cell r="H159">
            <v>0</v>
          </cell>
          <cell r="J159">
            <v>0.10199999999999999</v>
          </cell>
          <cell r="L159">
            <v>1.246</v>
          </cell>
          <cell r="N159">
            <v>3.7730000000000001</v>
          </cell>
          <cell r="P159">
            <v>6.2969999999999997</v>
          </cell>
          <cell r="R159">
            <v>5.851</v>
          </cell>
          <cell r="T159">
            <v>4.3959999999999999</v>
          </cell>
          <cell r="V159">
            <v>2.4409999999999998</v>
          </cell>
          <cell r="X159">
            <v>1.84</v>
          </cell>
          <cell r="Z159">
            <v>0.56999999999999995</v>
          </cell>
        </row>
        <row r="160">
          <cell r="D160" t="str">
            <v>Secondary Energy|Electricity|Coal|w/o CCS</v>
          </cell>
          <cell r="E160" t="str">
            <v>EJ/yr</v>
          </cell>
          <cell r="G160">
            <v>26.335000000000001</v>
          </cell>
          <cell r="H160">
            <v>30.231999999999999</v>
          </cell>
          <cell r="J160">
            <v>30.356000000000002</v>
          </cell>
          <cell r="L160">
            <v>22.428999999999998</v>
          </cell>
          <cell r="N160">
            <v>7.5250000000000004</v>
          </cell>
          <cell r="P160">
            <v>1.1679999999999999</v>
          </cell>
          <cell r="R160">
            <v>2E-3</v>
          </cell>
          <cell r="T160">
            <v>0</v>
          </cell>
          <cell r="V160">
            <v>0</v>
          </cell>
          <cell r="X160">
            <v>0</v>
          </cell>
          <cell r="Z160">
            <v>0</v>
          </cell>
        </row>
        <row r="161">
          <cell r="D161" t="str">
            <v>Secondary Energy|Electricity|Gas</v>
          </cell>
          <cell r="E161" t="str">
            <v>EJ/yr</v>
          </cell>
          <cell r="G161">
            <v>13.241</v>
          </cell>
          <cell r="H161">
            <v>14.638</v>
          </cell>
          <cell r="J161">
            <v>24.731000000000002</v>
          </cell>
          <cell r="L161">
            <v>40.173000000000002</v>
          </cell>
          <cell r="N161">
            <v>48.226999999999997</v>
          </cell>
          <cell r="P161">
            <v>46.927</v>
          </cell>
          <cell r="R161">
            <v>42.082000000000001</v>
          </cell>
          <cell r="T161">
            <v>29.811</v>
          </cell>
          <cell r="V161">
            <v>12.398</v>
          </cell>
          <cell r="X161">
            <v>2.1219999999999999</v>
          </cell>
          <cell r="Z161">
            <v>1E-3</v>
          </cell>
        </row>
        <row r="162">
          <cell r="D162" t="str">
            <v>Secondary Energy|Electricity|Gas|w/ CCS</v>
          </cell>
          <cell r="E162" t="str">
            <v>EJ/yr</v>
          </cell>
          <cell r="G162">
            <v>0</v>
          </cell>
          <cell r="H162">
            <v>0</v>
          </cell>
          <cell r="J162">
            <v>9.6000000000000002E-2</v>
          </cell>
          <cell r="L162">
            <v>2.6429999999999998</v>
          </cell>
          <cell r="N162">
            <v>12.574</v>
          </cell>
          <cell r="P162">
            <v>32.649000000000001</v>
          </cell>
          <cell r="R162">
            <v>38.295000000000002</v>
          </cell>
          <cell r="T162">
            <v>26.253</v>
          </cell>
          <cell r="V162">
            <v>10.538</v>
          </cell>
          <cell r="X162">
            <v>1.804</v>
          </cell>
          <cell r="Z162">
            <v>1E-3</v>
          </cell>
        </row>
        <row r="163">
          <cell r="D163" t="str">
            <v>Secondary Energy|Electricity|Gas|w/o CCS</v>
          </cell>
          <cell r="E163" t="str">
            <v>EJ/yr</v>
          </cell>
          <cell r="G163">
            <v>13.241</v>
          </cell>
          <cell r="H163">
            <v>14.638</v>
          </cell>
          <cell r="J163">
            <v>24.635000000000002</v>
          </cell>
          <cell r="L163">
            <v>37.53</v>
          </cell>
          <cell r="N163">
            <v>35.652999999999999</v>
          </cell>
          <cell r="P163">
            <v>14.278</v>
          </cell>
          <cell r="R163">
            <v>3.7869999999999999</v>
          </cell>
          <cell r="T163">
            <v>3.5579999999999998</v>
          </cell>
          <cell r="V163">
            <v>1.86</v>
          </cell>
          <cell r="X163">
            <v>0.318</v>
          </cell>
          <cell r="Z163">
            <v>0</v>
          </cell>
        </row>
        <row r="164">
          <cell r="D164" t="str">
            <v>Secondary Energy|Electricity|Geothermal</v>
          </cell>
          <cell r="E164" t="str">
            <v>EJ/yr</v>
          </cell>
          <cell r="G164">
            <v>0.20100000000000001</v>
          </cell>
          <cell r="H164">
            <v>0.29699999999999999</v>
          </cell>
          <cell r="J164">
            <v>0.29499999999999998</v>
          </cell>
          <cell r="L164">
            <v>0.18099999999999999</v>
          </cell>
          <cell r="N164">
            <v>0.48399999999999999</v>
          </cell>
          <cell r="P164">
            <v>1.1080000000000001</v>
          </cell>
          <cell r="R164">
            <v>1.988</v>
          </cell>
          <cell r="T164">
            <v>3.0390000000000001</v>
          </cell>
          <cell r="V164">
            <v>4.0049999999999999</v>
          </cell>
          <cell r="X164">
            <v>4.774</v>
          </cell>
          <cell r="Z164">
            <v>5.3840000000000003</v>
          </cell>
        </row>
        <row r="165">
          <cell r="D165" t="str">
            <v>Secondary Energy|Electricity|Hydro</v>
          </cell>
          <cell r="E165" t="str">
            <v>EJ/yr</v>
          </cell>
          <cell r="G165">
            <v>10.38</v>
          </cell>
          <cell r="H165">
            <v>12.242000000000001</v>
          </cell>
          <cell r="J165">
            <v>13.577</v>
          </cell>
          <cell r="L165">
            <v>15.372</v>
          </cell>
          <cell r="N165">
            <v>18.478999999999999</v>
          </cell>
          <cell r="P165">
            <v>19.838000000000001</v>
          </cell>
          <cell r="R165">
            <v>22.271000000000001</v>
          </cell>
          <cell r="T165">
            <v>25.311</v>
          </cell>
          <cell r="V165">
            <v>29.096</v>
          </cell>
          <cell r="X165">
            <v>30.454999999999998</v>
          </cell>
          <cell r="Z165">
            <v>30.885000000000002</v>
          </cell>
        </row>
        <row r="166">
          <cell r="D166" t="str">
            <v>Secondary Energy|Electricity|Non-Biomass Renewables</v>
          </cell>
          <cell r="E166" t="str">
            <v>EJ/yr</v>
          </cell>
          <cell r="G166">
            <v>11.002000000000001</v>
          </cell>
          <cell r="H166">
            <v>13.961</v>
          </cell>
          <cell r="J166">
            <v>19.366</v>
          </cell>
          <cell r="L166">
            <v>34.675999999999902</v>
          </cell>
          <cell r="N166">
            <v>67.716999999999999</v>
          </cell>
          <cell r="P166">
            <v>110.041</v>
          </cell>
          <cell r="R166">
            <v>153</v>
          </cell>
          <cell r="T166">
            <v>202.15099999999899</v>
          </cell>
          <cell r="V166">
            <v>263.72399999999999</v>
          </cell>
          <cell r="X166">
            <v>342.459</v>
          </cell>
          <cell r="Z166">
            <v>428.42200000000003</v>
          </cell>
        </row>
        <row r="167">
          <cell r="D167" t="str">
            <v>Secondary Energy|Electricity|Nuclear</v>
          </cell>
          <cell r="E167" t="str">
            <v>EJ/yr</v>
          </cell>
          <cell r="G167">
            <v>9.8170000000000002</v>
          </cell>
          <cell r="H167">
            <v>10.093999999999999</v>
          </cell>
          <cell r="J167">
            <v>11.06</v>
          </cell>
          <cell r="L167">
            <v>10.568</v>
          </cell>
          <cell r="N167">
            <v>9.2739999999999991</v>
          </cell>
          <cell r="P167">
            <v>10.856999999999999</v>
          </cell>
          <cell r="R167">
            <v>20.125</v>
          </cell>
          <cell r="T167">
            <v>29.533000000000001</v>
          </cell>
          <cell r="V167">
            <v>44.598999999999997</v>
          </cell>
          <cell r="X167">
            <v>64.28</v>
          </cell>
          <cell r="Z167">
            <v>89.79</v>
          </cell>
        </row>
        <row r="168">
          <cell r="D168" t="str">
            <v>Secondary Energy|Electricity|Oil</v>
          </cell>
          <cell r="E168" t="str">
            <v>EJ/yr</v>
          </cell>
          <cell r="G168">
            <v>4.0359999999999996</v>
          </cell>
          <cell r="H168">
            <v>2.9140000000000001</v>
          </cell>
          <cell r="J168">
            <v>1.6419999999999999</v>
          </cell>
          <cell r="L168">
            <v>1.1259999999999999</v>
          </cell>
          <cell r="N168">
            <v>0.28999999999999998</v>
          </cell>
          <cell r="P168">
            <v>0.10100000000000001</v>
          </cell>
          <cell r="R168">
            <v>2.4E-2</v>
          </cell>
          <cell r="T168">
            <v>0</v>
          </cell>
          <cell r="V168">
            <v>0</v>
          </cell>
          <cell r="X168">
            <v>0</v>
          </cell>
          <cell r="Z168">
            <v>0</v>
          </cell>
        </row>
        <row r="169">
          <cell r="D169" t="str">
            <v>Secondary Energy|Electricity|Oil|w/ CCS</v>
          </cell>
          <cell r="E169" t="str">
            <v>EJ/yr</v>
          </cell>
        </row>
        <row r="170">
          <cell r="D170" t="str">
            <v>Secondary Energy|Electricity|Oil|w/o CCS</v>
          </cell>
          <cell r="E170" t="str">
            <v>EJ/yr</v>
          </cell>
          <cell r="G170">
            <v>4.0359999999999996</v>
          </cell>
          <cell r="H170">
            <v>2.9140000000000001</v>
          </cell>
          <cell r="J170">
            <v>1.6419999999999999</v>
          </cell>
          <cell r="L170">
            <v>1.1259999999999999</v>
          </cell>
          <cell r="N170">
            <v>0.28999999999999998</v>
          </cell>
          <cell r="P170">
            <v>0.10100000000000001</v>
          </cell>
          <cell r="R170">
            <v>2.4E-2</v>
          </cell>
          <cell r="T170">
            <v>0</v>
          </cell>
          <cell r="V170">
            <v>0</v>
          </cell>
          <cell r="X170">
            <v>0</v>
          </cell>
          <cell r="Z170">
            <v>0</v>
          </cell>
        </row>
        <row r="171">
          <cell r="D171" t="str">
            <v>Secondary Energy|Electricity|Other</v>
          </cell>
          <cell r="E171" t="str">
            <v>EJ/yr</v>
          </cell>
          <cell r="G171">
            <v>0</v>
          </cell>
          <cell r="H171">
            <v>0</v>
          </cell>
          <cell r="J171">
            <v>0</v>
          </cell>
          <cell r="L171">
            <v>0.35399999999999998</v>
          </cell>
          <cell r="N171">
            <v>1.3460000000000001</v>
          </cell>
          <cell r="P171">
            <v>1.361</v>
          </cell>
          <cell r="R171">
            <v>0.46200000000000002</v>
          </cell>
          <cell r="T171">
            <v>0.32500000000000001</v>
          </cell>
          <cell r="V171">
            <v>8.1000000000000003E-2</v>
          </cell>
          <cell r="X171">
            <v>4.0000000000000001E-3</v>
          </cell>
          <cell r="Z171">
            <v>0.67200000000000004</v>
          </cell>
        </row>
        <row r="172">
          <cell r="D172" t="str">
            <v>Secondary Energy|Electricity|Solar</v>
          </cell>
          <cell r="E172" t="str">
            <v>EJ/yr</v>
          </cell>
          <cell r="G172">
            <v>3.5999999999999997E-2</v>
          </cell>
          <cell r="H172">
            <v>0.215</v>
          </cell>
          <cell r="J172">
            <v>1.605</v>
          </cell>
          <cell r="L172">
            <v>7.1539999999999999</v>
          </cell>
          <cell r="N172">
            <v>21.869</v>
          </cell>
          <cell r="P172">
            <v>49.152999999999999</v>
          </cell>
          <cell r="R172">
            <v>80.388999999999996</v>
          </cell>
          <cell r="T172">
            <v>113.483</v>
          </cell>
          <cell r="V172">
            <v>153.84899999999999</v>
          </cell>
          <cell r="X172">
            <v>213.17399999999901</v>
          </cell>
          <cell r="Z172">
            <v>279.476</v>
          </cell>
        </row>
        <row r="173">
          <cell r="D173" t="str">
            <v>Secondary Energy|Electricity|Wind</v>
          </cell>
          <cell r="E173" t="str">
            <v>EJ/yr</v>
          </cell>
          <cell r="G173">
            <v>0.38500000000000001</v>
          </cell>
          <cell r="H173">
            <v>1.2070000000000001</v>
          </cell>
          <cell r="J173">
            <v>3.8889999999999998</v>
          </cell>
          <cell r="L173">
            <v>11.968999999999999</v>
          </cell>
          <cell r="N173">
            <v>26.885000000000002</v>
          </cell>
          <cell r="P173">
            <v>39.942</v>
          </cell>
          <cell r="R173">
            <v>48.351999999999997</v>
          </cell>
          <cell r="T173">
            <v>60.317999999999998</v>
          </cell>
          <cell r="V173">
            <v>76.774000000000001</v>
          </cell>
          <cell r="X173">
            <v>94.055999999999997</v>
          </cell>
          <cell r="Z173">
            <v>112.67700000000001</v>
          </cell>
        </row>
        <row r="174">
          <cell r="D174" t="str">
            <v>Secondary Energy|Gases</v>
          </cell>
          <cell r="E174" t="str">
            <v>EJ/yr</v>
          </cell>
          <cell r="G174">
            <v>88.116</v>
          </cell>
          <cell r="H174">
            <v>88.387</v>
          </cell>
          <cell r="J174">
            <v>93.248000000000005</v>
          </cell>
          <cell r="L174">
            <v>119.042</v>
          </cell>
          <cell r="N174">
            <v>142.58500000000001</v>
          </cell>
          <cell r="P174">
            <v>161.40899999999999</v>
          </cell>
          <cell r="R174">
            <v>193.298</v>
          </cell>
          <cell r="T174">
            <v>211.702</v>
          </cell>
          <cell r="V174">
            <v>197.65</v>
          </cell>
          <cell r="X174">
            <v>170.32599999999999</v>
          </cell>
          <cell r="Z174">
            <v>158.14699999999999</v>
          </cell>
        </row>
        <row r="175">
          <cell r="D175" t="str">
            <v>Secondary Energy|Gases|Biomass</v>
          </cell>
          <cell r="E175" t="str">
            <v>EJ/yr</v>
          </cell>
          <cell r="G175">
            <v>0.185</v>
          </cell>
          <cell r="H175">
            <v>0</v>
          </cell>
          <cell r="J175">
            <v>0</v>
          </cell>
          <cell r="L175">
            <v>0</v>
          </cell>
          <cell r="N175">
            <v>0</v>
          </cell>
          <cell r="P175">
            <v>0</v>
          </cell>
          <cell r="R175">
            <v>0</v>
          </cell>
          <cell r="T175">
            <v>0.83599999999999997</v>
          </cell>
          <cell r="V175">
            <v>6.2220000000000004</v>
          </cell>
          <cell r="X175">
            <v>10.51</v>
          </cell>
          <cell r="Z175">
            <v>11.798</v>
          </cell>
        </row>
        <row r="176">
          <cell r="D176" t="str">
            <v>Secondary Energy|Gases|Coal</v>
          </cell>
          <cell r="E176" t="str">
            <v>EJ/yr</v>
          </cell>
          <cell r="G176">
            <v>0</v>
          </cell>
          <cell r="H176">
            <v>0</v>
          </cell>
          <cell r="J176">
            <v>0</v>
          </cell>
          <cell r="L176">
            <v>0</v>
          </cell>
          <cell r="N176">
            <v>0</v>
          </cell>
          <cell r="P176">
            <v>0</v>
          </cell>
          <cell r="R176">
            <v>0</v>
          </cell>
          <cell r="T176">
            <v>0</v>
          </cell>
          <cell r="V176">
            <v>0</v>
          </cell>
          <cell r="X176">
            <v>0</v>
          </cell>
          <cell r="Z176">
            <v>0</v>
          </cell>
        </row>
        <row r="177">
          <cell r="D177" t="str">
            <v>Secondary Energy|Gases|Natural Gas</v>
          </cell>
          <cell r="E177" t="str">
            <v>EJ/yr</v>
          </cell>
          <cell r="G177">
            <v>87.930999999999997</v>
          </cell>
          <cell r="H177">
            <v>88.387</v>
          </cell>
          <cell r="J177">
            <v>93.149000000000001</v>
          </cell>
          <cell r="L177">
            <v>118.467</v>
          </cell>
          <cell r="N177">
            <v>140.637</v>
          </cell>
          <cell r="P177">
            <v>151.31899999999999</v>
          </cell>
          <cell r="R177">
            <v>168.40299999999999</v>
          </cell>
          <cell r="T177">
            <v>164.21199999999999</v>
          </cell>
          <cell r="V177">
            <v>131.096</v>
          </cell>
          <cell r="X177">
            <v>98.887</v>
          </cell>
          <cell r="Z177">
            <v>85.614000000000004</v>
          </cell>
        </row>
        <row r="178">
          <cell r="D178" t="str">
            <v>Secondary Energy|Gases|Other</v>
          </cell>
          <cell r="E178" t="str">
            <v>EJ/yr</v>
          </cell>
          <cell r="G178">
            <v>0</v>
          </cell>
          <cell r="H178">
            <v>0</v>
          </cell>
          <cell r="J178">
            <v>9.9000000000000005E-2</v>
          </cell>
          <cell r="L178">
            <v>0.57499999999999996</v>
          </cell>
          <cell r="N178">
            <v>1.948</v>
          </cell>
          <cell r="P178">
            <v>10.09</v>
          </cell>
          <cell r="R178">
            <v>24.895</v>
          </cell>
          <cell r="T178">
            <v>46.654000000000003</v>
          </cell>
          <cell r="V178">
            <v>60.332000000000001</v>
          </cell>
          <cell r="X178">
            <v>60.929000000000002</v>
          </cell>
          <cell r="Z178">
            <v>60.734999999999999</v>
          </cell>
        </row>
        <row r="179">
          <cell r="D179" t="str">
            <v>Secondary Energy|Heat</v>
          </cell>
          <cell r="E179" t="str">
            <v>EJ/yr</v>
          </cell>
          <cell r="G179">
            <v>13.734</v>
          </cell>
          <cell r="H179">
            <v>14.656000000000001</v>
          </cell>
          <cell r="J179">
            <v>17.617999999999999</v>
          </cell>
          <cell r="L179">
            <v>22.050999999999998</v>
          </cell>
          <cell r="N179">
            <v>22.934999999999999</v>
          </cell>
          <cell r="P179">
            <v>22.036000000000001</v>
          </cell>
          <cell r="R179">
            <v>22.597999999999999</v>
          </cell>
          <cell r="T179">
            <v>19.446999999999999</v>
          </cell>
          <cell r="V179">
            <v>16.584</v>
          </cell>
          <cell r="X179">
            <v>11.422000000000001</v>
          </cell>
          <cell r="Z179">
            <v>8.2289999999999992</v>
          </cell>
        </row>
        <row r="180">
          <cell r="D180" t="str">
            <v>Secondary Energy|Heat|Geothermal</v>
          </cell>
          <cell r="E180" t="str">
            <v>EJ/yr</v>
          </cell>
          <cell r="G180">
            <v>0.15</v>
          </cell>
          <cell r="H180">
            <v>0.219</v>
          </cell>
          <cell r="J180">
            <v>0.371</v>
          </cell>
          <cell r="L180">
            <v>0.39600000000000002</v>
          </cell>
          <cell r="N180">
            <v>0.20100000000000001</v>
          </cell>
          <cell r="P180">
            <v>0.315</v>
          </cell>
          <cell r="R180">
            <v>0.67200000000000004</v>
          </cell>
          <cell r="T180">
            <v>1.429</v>
          </cell>
          <cell r="V180">
            <v>2.968</v>
          </cell>
          <cell r="X180">
            <v>3.694</v>
          </cell>
          <cell r="Z180">
            <v>3.9209999999999998</v>
          </cell>
        </row>
        <row r="181">
          <cell r="D181" t="str">
            <v>Secondary Energy|Hydrogen</v>
          </cell>
          <cell r="E181" t="str">
            <v>EJ/yr</v>
          </cell>
          <cell r="G181">
            <v>0</v>
          </cell>
          <cell r="H181">
            <v>0</v>
          </cell>
          <cell r="J181">
            <v>9.9000000000000005E-2</v>
          </cell>
          <cell r="L181">
            <v>1.62</v>
          </cell>
          <cell r="N181">
            <v>7.6689999999999996</v>
          </cell>
          <cell r="P181">
            <v>19.981000000000002</v>
          </cell>
          <cell r="R181">
            <v>40.767000000000003</v>
          </cell>
          <cell r="T181">
            <v>69.884</v>
          </cell>
          <cell r="V181">
            <v>88.671000000000006</v>
          </cell>
          <cell r="X181">
            <v>96.677999999999997</v>
          </cell>
          <cell r="Z181">
            <v>100.23</v>
          </cell>
        </row>
        <row r="182">
          <cell r="D182" t="str">
            <v>Secondary Energy|Hydrogen|Biomass</v>
          </cell>
          <cell r="E182" t="str">
            <v>EJ/yr</v>
          </cell>
          <cell r="G182">
            <v>0</v>
          </cell>
          <cell r="H182">
            <v>0</v>
          </cell>
          <cell r="J182">
            <v>0</v>
          </cell>
          <cell r="L182">
            <v>0</v>
          </cell>
          <cell r="N182">
            <v>5.8000000000000003E-2</v>
          </cell>
          <cell r="P182">
            <v>5.8000000000000003E-2</v>
          </cell>
          <cell r="R182">
            <v>2.9000000000000001E-2</v>
          </cell>
          <cell r="T182">
            <v>0</v>
          </cell>
          <cell r="V182">
            <v>0</v>
          </cell>
          <cell r="X182">
            <v>0</v>
          </cell>
          <cell r="Z182">
            <v>0</v>
          </cell>
        </row>
        <row r="183">
          <cell r="D183" t="str">
            <v>Secondary Energy|Hydrogen|Electricity</v>
          </cell>
          <cell r="E183" t="str">
            <v>EJ/yr</v>
          </cell>
          <cell r="G183">
            <v>0</v>
          </cell>
          <cell r="H183">
            <v>0</v>
          </cell>
          <cell r="J183">
            <v>0</v>
          </cell>
          <cell r="L183">
            <v>0</v>
          </cell>
          <cell r="N183">
            <v>0</v>
          </cell>
          <cell r="P183">
            <v>8.3000000000000004E-2</v>
          </cell>
          <cell r="R183">
            <v>0.56999999999999995</v>
          </cell>
          <cell r="T183">
            <v>3.1379999999999999</v>
          </cell>
          <cell r="V183">
            <v>13.355</v>
          </cell>
          <cell r="X183">
            <v>40.636000000000003</v>
          </cell>
          <cell r="Z183">
            <v>82.356999999999999</v>
          </cell>
        </row>
        <row r="184">
          <cell r="D184" t="str">
            <v>Secondary Energy|Hydrogen|Fossil</v>
          </cell>
          <cell r="E184" t="str">
            <v>EJ/yr</v>
          </cell>
          <cell r="G184">
            <v>0</v>
          </cell>
          <cell r="H184">
            <v>0</v>
          </cell>
          <cell r="J184">
            <v>9.9000000000000005E-2</v>
          </cell>
          <cell r="L184">
            <v>1.62</v>
          </cell>
          <cell r="N184">
            <v>7.6109999999999998</v>
          </cell>
          <cell r="P184">
            <v>19.84</v>
          </cell>
          <cell r="R184">
            <v>40.167999999999999</v>
          </cell>
          <cell r="T184">
            <v>66.745999999999995</v>
          </cell>
          <cell r="V184">
            <v>75.316000000000003</v>
          </cell>
          <cell r="X184">
            <v>56.042000000000002</v>
          </cell>
          <cell r="Z184">
            <v>17.873000000000001</v>
          </cell>
        </row>
        <row r="185">
          <cell r="D185" t="str">
            <v>Secondary Energy|Hydrogen|Other</v>
          </cell>
          <cell r="E185" t="str">
            <v>EJ/yr</v>
          </cell>
        </row>
        <row r="186">
          <cell r="D186" t="str">
            <v>Secondary Energy|Liquids</v>
          </cell>
          <cell r="E186" t="str">
            <v>EJ/yr</v>
          </cell>
          <cell r="G186">
            <v>162.20399999999901</v>
          </cell>
          <cell r="H186">
            <v>161.62100000000001</v>
          </cell>
          <cell r="J186">
            <v>208.98499999999899</v>
          </cell>
          <cell r="L186">
            <v>238.55600000000001</v>
          </cell>
          <cell r="N186">
            <v>235.982</v>
          </cell>
          <cell r="P186">
            <v>199.50399999999999</v>
          </cell>
          <cell r="R186">
            <v>170.94499999999999</v>
          </cell>
          <cell r="T186">
            <v>150.06100000000001</v>
          </cell>
          <cell r="V186">
            <v>141.03200000000001</v>
          </cell>
          <cell r="X186">
            <v>142.94800000000001</v>
          </cell>
          <cell r="Z186">
            <v>155.286</v>
          </cell>
        </row>
        <row r="187">
          <cell r="D187" t="str">
            <v>Secondary Energy|Liquids|Biomass</v>
          </cell>
          <cell r="E187" t="str">
            <v>EJ/yr</v>
          </cell>
          <cell r="G187">
            <v>0.77100000000000002</v>
          </cell>
          <cell r="H187">
            <v>2.109</v>
          </cell>
          <cell r="J187">
            <v>2.4870000000000001</v>
          </cell>
          <cell r="L187">
            <v>6.1210000000000004</v>
          </cell>
          <cell r="N187">
            <v>18.201000000000001</v>
          </cell>
          <cell r="P187">
            <v>40.896000000000001</v>
          </cell>
          <cell r="R187">
            <v>53.792000000000002</v>
          </cell>
          <cell r="T187">
            <v>62.744</v>
          </cell>
          <cell r="V187">
            <v>69.441999999999993</v>
          </cell>
          <cell r="X187">
            <v>78.442999999999998</v>
          </cell>
          <cell r="Z187">
            <v>88.412999999999997</v>
          </cell>
        </row>
        <row r="188">
          <cell r="D188" t="str">
            <v>Secondary Energy|Liquids|Coal</v>
          </cell>
          <cell r="E188" t="str">
            <v>EJ/yr</v>
          </cell>
          <cell r="G188">
            <v>0</v>
          </cell>
          <cell r="H188">
            <v>0</v>
          </cell>
          <cell r="J188">
            <v>0.19400000000000001</v>
          </cell>
          <cell r="L188">
            <v>2.4</v>
          </cell>
          <cell r="N188">
            <v>7.7409999999999997</v>
          </cell>
          <cell r="P188">
            <v>12.254</v>
          </cell>
          <cell r="R188">
            <v>10.335000000000001</v>
          </cell>
          <cell r="T188">
            <v>4.76</v>
          </cell>
          <cell r="V188">
            <v>0.78</v>
          </cell>
          <cell r="X188">
            <v>0</v>
          </cell>
          <cell r="Z188">
            <v>0</v>
          </cell>
        </row>
        <row r="189">
          <cell r="D189" t="str">
            <v>Secondary Energy|Liquids|Fossil</v>
          </cell>
          <cell r="E189" t="str">
            <v>EJ/yr</v>
          </cell>
          <cell r="G189">
            <v>161.43299999999999</v>
          </cell>
          <cell r="H189">
            <v>159.512</v>
          </cell>
          <cell r="J189">
            <v>206.49799999999999</v>
          </cell>
          <cell r="L189">
            <v>232.435</v>
          </cell>
          <cell r="N189">
            <v>217.78100000000001</v>
          </cell>
          <cell r="P189">
            <v>158.608</v>
          </cell>
          <cell r="R189">
            <v>117.152999999999</v>
          </cell>
          <cell r="T189">
            <v>87.316999999999993</v>
          </cell>
          <cell r="V189">
            <v>71.59</v>
          </cell>
          <cell r="X189">
            <v>64.504999999999995</v>
          </cell>
          <cell r="Z189">
            <v>66.873000000000005</v>
          </cell>
        </row>
        <row r="190">
          <cell r="D190" t="str">
            <v>Secondary Energy|Liquids|Fossil|w/ CCS</v>
          </cell>
          <cell r="E190" t="str">
            <v>EJ/yr</v>
          </cell>
          <cell r="G190">
            <v>0</v>
          </cell>
          <cell r="H190">
            <v>0</v>
          </cell>
          <cell r="J190">
            <v>0.34699999999999998</v>
          </cell>
          <cell r="L190">
            <v>3.8849999999999998</v>
          </cell>
          <cell r="N190">
            <v>13.164</v>
          </cell>
          <cell r="P190">
            <v>28.948999999999899</v>
          </cell>
          <cell r="R190">
            <v>51.206000000000003</v>
          </cell>
          <cell r="T190">
            <v>57.515999999999998</v>
          </cell>
          <cell r="V190">
            <v>50.052999999999997</v>
          </cell>
          <cell r="X190">
            <v>45.731000000000002</v>
          </cell>
          <cell r="Z190">
            <v>47.39</v>
          </cell>
        </row>
        <row r="191">
          <cell r="D191" t="str">
            <v>Secondary Energy|Liquids|Fossil|w/o CCS</v>
          </cell>
          <cell r="E191" t="str">
            <v>EJ/yr</v>
          </cell>
          <cell r="G191">
            <v>161.43299999999999</v>
          </cell>
          <cell r="H191">
            <v>159.512</v>
          </cell>
          <cell r="J191">
            <v>206.15099999999899</v>
          </cell>
          <cell r="L191">
            <v>228.55</v>
          </cell>
          <cell r="N191">
            <v>204.61699999999999</v>
          </cell>
          <cell r="P191">
            <v>129.65899999999999</v>
          </cell>
          <cell r="R191">
            <v>65.946999999999903</v>
          </cell>
          <cell r="T191">
            <v>29.800999999999998</v>
          </cell>
          <cell r="V191">
            <v>21.536999999999999</v>
          </cell>
          <cell r="X191">
            <v>18.774000000000001</v>
          </cell>
          <cell r="Z191">
            <v>19.483000000000001</v>
          </cell>
        </row>
        <row r="192">
          <cell r="D192" t="str">
            <v>Secondary Energy|Liquids|Gas</v>
          </cell>
          <cell r="E192" t="str">
            <v>EJ/yr</v>
          </cell>
          <cell r="G192">
            <v>0</v>
          </cell>
          <cell r="H192">
            <v>0</v>
          </cell>
          <cell r="J192">
            <v>0.93600000000000005</v>
          </cell>
          <cell r="L192">
            <v>3.8090000000000002</v>
          </cell>
          <cell r="N192">
            <v>8.9339999999999993</v>
          </cell>
          <cell r="P192">
            <v>19.137</v>
          </cell>
          <cell r="R192">
            <v>41.709000000000003</v>
          </cell>
          <cell r="T192">
            <v>52.756</v>
          </cell>
          <cell r="V192">
            <v>49.273000000000003</v>
          </cell>
          <cell r="X192">
            <v>45.731000000000002</v>
          </cell>
          <cell r="Z192">
            <v>47.39</v>
          </cell>
        </row>
        <row r="193">
          <cell r="D193" t="str">
            <v>Secondary Energy|Liquids|Oil</v>
          </cell>
          <cell r="E193" t="str">
            <v>EJ/yr</v>
          </cell>
          <cell r="G193">
            <v>161.43299999999999</v>
          </cell>
          <cell r="H193">
            <v>159.512</v>
          </cell>
          <cell r="J193">
            <v>205.36799999999999</v>
          </cell>
          <cell r="L193">
            <v>226.226</v>
          </cell>
          <cell r="N193">
            <v>201.10599999999999</v>
          </cell>
          <cell r="P193">
            <v>127.217</v>
          </cell>
          <cell r="R193">
            <v>65.108999999999995</v>
          </cell>
          <cell r="T193">
            <v>29.800999999999998</v>
          </cell>
          <cell r="V193">
            <v>21.536999999999999</v>
          </cell>
          <cell r="X193">
            <v>18.774000000000001</v>
          </cell>
          <cell r="Z193">
            <v>19.483000000000001</v>
          </cell>
        </row>
        <row r="194">
          <cell r="D194" t="str">
            <v>Secondary Energy|Solids</v>
          </cell>
          <cell r="E194" t="str">
            <v>EJ/yr</v>
          </cell>
        </row>
        <row r="195">
          <cell r="D195" t="str">
            <v>Secondary Energy|Solids|Biomass</v>
          </cell>
          <cell r="E195" t="str">
            <v>EJ/yr</v>
          </cell>
        </row>
        <row r="196">
          <cell r="D196" t="str">
            <v>Secondary Energy|Solids|Coal</v>
          </cell>
          <cell r="E196" t="str">
            <v>EJ/yr</v>
          </cell>
        </row>
        <row r="197">
          <cell r="D197" t="str">
            <v>Temperature|Exceedance Probability|1.5 degC|MAGICC6</v>
          </cell>
          <cell r="E197" t="str">
            <v>-</v>
          </cell>
          <cell r="G197">
            <v>0</v>
          </cell>
          <cell r="H197">
            <v>0</v>
          </cell>
          <cell r="J197">
            <v>1.16666666666667E-2</v>
          </cell>
          <cell r="L197">
            <v>0.31666666666666698</v>
          </cell>
          <cell r="N197">
            <v>0.77166666666666694</v>
          </cell>
          <cell r="P197">
            <v>0.91</v>
          </cell>
          <cell r="R197">
            <v>0.93666666666666698</v>
          </cell>
          <cell r="T197">
            <v>0.93833333333333302</v>
          </cell>
          <cell r="V197">
            <v>0.93333333333333302</v>
          </cell>
          <cell r="X197">
            <v>0.92</v>
          </cell>
          <cell r="Z197">
            <v>0.89</v>
          </cell>
        </row>
        <row r="198">
          <cell r="D198" t="str">
            <v>Temperature|Exceedance Probability|2.0 degC|MAGICC6</v>
          </cell>
          <cell r="E198" t="str">
            <v>-</v>
          </cell>
          <cell r="G198">
            <v>0</v>
          </cell>
          <cell r="H198">
            <v>0</v>
          </cell>
          <cell r="J198">
            <v>0</v>
          </cell>
          <cell r="L198">
            <v>1.8333333333333299E-2</v>
          </cell>
          <cell r="N198">
            <v>0.133333333333333</v>
          </cell>
          <cell r="P198">
            <v>0.37</v>
          </cell>
          <cell r="R198">
            <v>0.51</v>
          </cell>
          <cell r="T198">
            <v>0.56000000000000005</v>
          </cell>
          <cell r="V198">
            <v>0.55500000000000005</v>
          </cell>
          <cell r="X198">
            <v>0.53166666666666695</v>
          </cell>
          <cell r="Z198">
            <v>0.49666666666666698</v>
          </cell>
        </row>
        <row r="199">
          <cell r="D199" t="str">
            <v>Temperature|Exceedance Probability|2.5 degC|MAGICC6</v>
          </cell>
          <cell r="E199" t="str">
            <v>-</v>
          </cell>
          <cell r="G199">
            <v>0</v>
          </cell>
          <cell r="H199">
            <v>0</v>
          </cell>
          <cell r="J199">
            <v>0</v>
          </cell>
          <cell r="L199">
            <v>0</v>
          </cell>
          <cell r="N199">
            <v>1.8333333333333299E-2</v>
          </cell>
          <cell r="P199">
            <v>8.5000000000000006E-2</v>
          </cell>
          <cell r="R199">
            <v>0.14499999999999999</v>
          </cell>
          <cell r="T199">
            <v>0.18666666666666701</v>
          </cell>
          <cell r="V199">
            <v>0.20333333333333301</v>
          </cell>
          <cell r="X199">
            <v>0.206666666666667</v>
          </cell>
          <cell r="Z199">
            <v>0.198333333333333</v>
          </cell>
        </row>
        <row r="200">
          <cell r="D200" t="str">
            <v>Temperature|Exceedance Probability|3.0 degC|MAGICC6</v>
          </cell>
          <cell r="E200" t="str">
            <v>-</v>
          </cell>
          <cell r="G200">
            <v>0</v>
          </cell>
          <cell r="H200">
            <v>0</v>
          </cell>
          <cell r="J200">
            <v>0</v>
          </cell>
          <cell r="L200">
            <v>0</v>
          </cell>
          <cell r="N200">
            <v>5.0000000000000001E-3</v>
          </cell>
          <cell r="P200">
            <v>1.4999999999999999E-2</v>
          </cell>
          <cell r="R200">
            <v>0.04</v>
          </cell>
          <cell r="T200">
            <v>5.83333333333333E-2</v>
          </cell>
          <cell r="V200">
            <v>6.8333333333333302E-2</v>
          </cell>
          <cell r="X200">
            <v>7.6666666666666702E-2</v>
          </cell>
          <cell r="Z200">
            <v>7.6666666666666702E-2</v>
          </cell>
        </row>
        <row r="201">
          <cell r="D201" t="str">
            <v>Temperature|Global Mean|Endogenous</v>
          </cell>
          <cell r="E201" t="str">
            <v>°C</v>
          </cell>
          <cell r="G201">
            <v>0.79507958889999997</v>
          </cell>
          <cell r="H201">
            <v>0.95373356340000004</v>
          </cell>
          <cell r="J201">
            <v>1.2945418360000001</v>
          </cell>
          <cell r="L201">
            <v>1.61698699</v>
          </cell>
          <cell r="N201">
            <v>1.91603744</v>
          </cell>
          <cell r="P201">
            <v>2.0939071180000002</v>
          </cell>
          <cell r="R201">
            <v>2.1637716290000002</v>
          </cell>
          <cell r="T201">
            <v>2.1665205959999998</v>
          </cell>
          <cell r="V201">
            <v>2.1325178149999999</v>
          </cell>
          <cell r="X201">
            <v>2.0721163749999998</v>
          </cell>
          <cell r="Z201">
            <v>1.9888347390000001</v>
          </cell>
        </row>
        <row r="202">
          <cell r="D202" t="str">
            <v>Temperature|Global Mean|MAGICC6|MED</v>
          </cell>
          <cell r="E202" t="str">
            <v>°C</v>
          </cell>
          <cell r="G202">
            <v>0.82657622857058999</v>
          </cell>
          <cell r="H202">
            <v>0.90585728249173403</v>
          </cell>
          <cell r="J202">
            <v>1.15878443977007</v>
          </cell>
          <cell r="L202">
            <v>1.42281877109698</v>
          </cell>
          <cell r="N202">
            <v>1.6911955603264199</v>
          </cell>
          <cell r="P202">
            <v>1.90055199195587</v>
          </cell>
          <cell r="R202">
            <v>2.0202493595508999</v>
          </cell>
          <cell r="T202">
            <v>2.0654193126531499</v>
          </cell>
          <cell r="V202">
            <v>2.07689442155616</v>
          </cell>
          <cell r="X202">
            <v>2.0591265656354598</v>
          </cell>
          <cell r="Z202">
            <v>2.0201812950710498</v>
          </cell>
        </row>
        <row r="203">
          <cell r="D203" t="str">
            <v>Temperature|Global Mean|MAGICC6|P16</v>
          </cell>
          <cell r="E203" t="str">
            <v>°C</v>
          </cell>
          <cell r="G203">
            <v>0.74330842014238896</v>
          </cell>
          <cell r="H203">
            <v>0.810027151821754</v>
          </cell>
          <cell r="J203">
            <v>1.0167958431054001</v>
          </cell>
          <cell r="L203">
            <v>1.2211319517792301</v>
          </cell>
          <cell r="N203">
            <v>1.41890575304253</v>
          </cell>
          <cell r="P203">
            <v>1.5759228643969101</v>
          </cell>
          <cell r="R203">
            <v>1.6584362010912601</v>
          </cell>
          <cell r="T203">
            <v>1.67559505619851</v>
          </cell>
          <cell r="V203">
            <v>1.67408718380338</v>
          </cell>
          <cell r="X203">
            <v>1.6478950418862399</v>
          </cell>
          <cell r="Z203">
            <v>1.6068013153662299</v>
          </cell>
        </row>
        <row r="204">
          <cell r="D204" t="str">
            <v>Temperature|Global Mean|MAGICC6|P84</v>
          </cell>
          <cell r="E204" t="str">
            <v>°C</v>
          </cell>
          <cell r="G204">
            <v>0.91645998662019601</v>
          </cell>
          <cell r="H204">
            <v>0.997812415745436</v>
          </cell>
          <cell r="J204">
            <v>1.28717373798928</v>
          </cell>
          <cell r="L204">
            <v>1.61285666164605</v>
          </cell>
          <cell r="N204">
            <v>1.9691485384520899</v>
          </cell>
          <cell r="P204">
            <v>2.2674369263976799</v>
          </cell>
          <cell r="R204">
            <v>2.4553569368848698</v>
          </cell>
          <cell r="T204">
            <v>2.5667402527822301</v>
          </cell>
          <cell r="V204">
            <v>2.59696682354905</v>
          </cell>
          <cell r="X204">
            <v>2.6011990625367001</v>
          </cell>
          <cell r="Z204">
            <v>2.5643982249638899</v>
          </cell>
        </row>
        <row r="205">
          <cell r="D205" t="str">
            <v>Trade|Primary Energy|Biomass|Volume</v>
          </cell>
          <cell r="E205" t="str">
            <v>EJ/yr</v>
          </cell>
        </row>
        <row r="206">
          <cell r="D206" t="str">
            <v>Trade|Primary Energy|Coal|Volume</v>
          </cell>
          <cell r="E206" t="str">
            <v>EJ/yr</v>
          </cell>
          <cell r="G206">
            <v>0.17499999999999999</v>
          </cell>
          <cell r="H206">
            <v>0.152</v>
          </cell>
          <cell r="J206">
            <v>0.12</v>
          </cell>
          <cell r="L206">
            <v>7.0999999999999994E-2</v>
          </cell>
          <cell r="N206">
            <v>4.1000000000000002E-2</v>
          </cell>
          <cell r="P206">
            <v>8.1000000000000003E-2</v>
          </cell>
          <cell r="R206">
            <v>0.15</v>
          </cell>
          <cell r="T206">
            <v>0.29799999999999999</v>
          </cell>
          <cell r="V206">
            <v>0.44</v>
          </cell>
          <cell r="X206">
            <v>0.40899999999999997</v>
          </cell>
          <cell r="Z206">
            <v>0.23300000000000001</v>
          </cell>
        </row>
        <row r="207">
          <cell r="D207" t="str">
            <v>Trade|Primary Energy|Gas|Volume</v>
          </cell>
          <cell r="E207" t="str">
            <v>EJ/yr</v>
          </cell>
          <cell r="G207">
            <v>0.64700000000000002</v>
          </cell>
          <cell r="H207">
            <v>0.84399999999999997</v>
          </cell>
          <cell r="J207">
            <v>1.119</v>
          </cell>
          <cell r="L207">
            <v>1.9870000000000001</v>
          </cell>
          <cell r="N207">
            <v>2.6080000000000001</v>
          </cell>
          <cell r="P207">
            <v>2.7530000000000001</v>
          </cell>
          <cell r="R207">
            <v>3.085</v>
          </cell>
          <cell r="T207">
            <v>2.984</v>
          </cell>
          <cell r="V207">
            <v>2.911</v>
          </cell>
          <cell r="X207">
            <v>3.3460000000000001</v>
          </cell>
          <cell r="Z207">
            <v>4.069</v>
          </cell>
        </row>
        <row r="208">
          <cell r="D208" t="str">
            <v>Trade|Primary Energy|Oil|Volume</v>
          </cell>
          <cell r="E208" t="str">
            <v>EJ/yr</v>
          </cell>
          <cell r="G208">
            <v>-1.26</v>
          </cell>
          <cell r="H208">
            <v>0.73599999999999999</v>
          </cell>
          <cell r="J208">
            <v>0.85299999999999998</v>
          </cell>
          <cell r="L208">
            <v>0.84599999999999997</v>
          </cell>
          <cell r="N208">
            <v>0.69299999999999995</v>
          </cell>
          <cell r="P208">
            <v>0.441</v>
          </cell>
          <cell r="R208">
            <v>0.249</v>
          </cell>
          <cell r="T208">
            <v>7.5999999999999998E-2</v>
          </cell>
          <cell r="V208">
            <v>2.9000000000000001E-2</v>
          </cell>
          <cell r="X208">
            <v>7.0000000000000001E-3</v>
          </cell>
          <cell r="Z208">
            <v>0</v>
          </cell>
        </row>
      </sheetData>
      <sheetData sheetId="18">
        <row r="6">
          <cell r="E6" t="str">
            <v>MESSAGE</v>
          </cell>
        </row>
      </sheetData>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nergyEmissions"/>
    </sheetNames>
    <sheetDataSet>
      <sheetData sheetId="0"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me"/>
      <sheetName val="Ref Data input"/>
      <sheetName val="Int Data input"/>
      <sheetName val="Ref Data"/>
      <sheetName val="Int Data"/>
      <sheetName val="Figure Primary E Ref"/>
      <sheetName val="Figure Primary E Int"/>
      <sheetName val="Fig3ExpandKAYAfactorsDEq"/>
      <sheetName val="Fig4ExpandKAYAratiosDEq"/>
      <sheetName val="Fig6AdditiveDashboard"/>
      <sheetName val="Fig7CCSgraph"/>
      <sheetName val="Fig8MitChart(LMDI1corrected)DEq"/>
      <sheetName val="WaterfallAllSectors"/>
      <sheetName val="WaterfallVert"/>
      <sheetName val="Savings"/>
      <sheetName val="WaterfallVert2050"/>
      <sheetName val="Savings2050"/>
      <sheetName val="EmissionsReductionsTable"/>
      <sheetName val="WaterfallVertData"/>
      <sheetName val="WaterfallVertData2050"/>
      <sheetName val="Fig Ref drivers"/>
      <sheetName val="LMDItableRefAllSectors"/>
      <sheetName val="IndustryEmissionsAccountingRef"/>
      <sheetName val="IndustryEmissionsAccountingInt"/>
      <sheetName val="FossilEneEmissionsAccountingRef"/>
      <sheetName val="FossilEneEmissionsAccountingInt"/>
      <sheetName val="PEfossilRef"/>
      <sheetName val="PEfossilInt"/>
      <sheetName val="ExpKayaFactorsRef"/>
      <sheetName val="ExpKayaFactorsInt"/>
      <sheetName val="ExpKayaRatiosRef"/>
      <sheetName val="ExpKayaRatiosInt"/>
      <sheetName val="AvAnn%∆"/>
      <sheetName val="HistoricalGrowthRates"/>
      <sheetName val="AreasForDashboardsFactors"/>
      <sheetName val="AreasForDashboardsRatios"/>
      <sheetName val="WaterfallData"/>
      <sheetName val="WaterfallData2050"/>
      <sheetName val="LMDI 1 MethodDEq"/>
      <sheetName val="MitTable(LMDI I)DEq"/>
      <sheetName val="LMDI 1 MethodRefCumulative"/>
      <sheetName val="OtherGases"/>
      <sheetName val="TotalEmissions"/>
      <sheetName val="AdditiveDashboardDat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ow r="12">
          <cell r="C12">
            <v>0</v>
          </cell>
        </row>
      </sheetData>
      <sheetData sheetId="39" refreshError="1"/>
      <sheetData sheetId="40" refreshError="1"/>
      <sheetData sheetId="41" refreshError="1"/>
      <sheetData sheetId="42" refreshError="1"/>
      <sheetData sheetId="43"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sheetDataSet>
      <sheetData sheetId="0">
        <row r="8">
          <cell r="C8">
            <v>95.333333333333329</v>
          </cell>
        </row>
        <row r="9">
          <cell r="C9">
            <v>73.333333333333329</v>
          </cell>
        </row>
        <row r="10">
          <cell r="C10">
            <v>55</v>
          </cell>
        </row>
      </sheetData>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me"/>
      <sheetName val="Ref Data input"/>
      <sheetName val="Int Data input"/>
      <sheetName val="Ref Data"/>
      <sheetName val="Int Data"/>
      <sheetName val="Figure Primary E Ref"/>
      <sheetName val="Figure Primary E Int"/>
      <sheetName val="Fig3ExpandKAYAfactorsDEq"/>
      <sheetName val="Fig4ExpandKAYAratiosDEq"/>
      <sheetName val="Fig6AdditiveDashboard"/>
      <sheetName val="Chart1"/>
      <sheetName val="Chart2"/>
      <sheetName val="Chart3"/>
      <sheetName val="Chart4"/>
      <sheetName val="Savings"/>
      <sheetName val="Savings2050_2100"/>
      <sheetName val="Chart5"/>
      <sheetName val="Savings2050"/>
      <sheetName val="EmissionsReductionsTable"/>
      <sheetName val="WaterfallVertData"/>
      <sheetName val="WaterfallVertData2050"/>
      <sheetName val="Fig Ref drivers"/>
      <sheetName val="LMDItableRefAllSectors"/>
      <sheetName val="IndustryEmissionsAccountingRef"/>
      <sheetName val="IndustryEmissionsAccountingInt"/>
      <sheetName val="FossilEneEmissionsAccountingRef"/>
      <sheetName val="FossilEneEmissionsAccountingInt"/>
      <sheetName val="PEfossilRef"/>
      <sheetName val="PEfossilInt"/>
      <sheetName val="ExpKayaFactorsRef"/>
      <sheetName val="ExpKayaFactorsInt"/>
      <sheetName val="ExpKayaRatiosRef"/>
      <sheetName val="ExpKayaRatiosInt"/>
      <sheetName val="AvAnn%∆"/>
      <sheetName val="HistoricalGrowthRates"/>
      <sheetName val="AreasForDashboardsFactors"/>
      <sheetName val="AreasForDashboardsRatios"/>
      <sheetName val="WaterfallData"/>
      <sheetName val="WaterfallData2050"/>
      <sheetName val="WaterfallData2050_2100"/>
      <sheetName val="LMDI 1 MethodDEq"/>
      <sheetName val="MitTable(LMDI I)DEq"/>
      <sheetName val="LMDI 1 MethodRefCumulative"/>
      <sheetName val="OtherGases"/>
      <sheetName val="TotalEmissions"/>
      <sheetName val="AdditiveDashboardData"/>
    </sheetNames>
    <sheetDataSet>
      <sheetData sheetId="0"/>
      <sheetData sheetId="1"/>
      <sheetData sheetId="2"/>
      <sheetData sheetId="3"/>
      <sheetData sheetId="4"/>
      <sheetData sheetId="5"/>
      <sheetData sheetId="6"/>
      <sheetData sheetId="7"/>
      <sheetData sheetId="8"/>
      <sheetData sheetId="9"/>
      <sheetData sheetId="14"/>
      <sheetData sheetId="15"/>
      <sheetData sheetId="17"/>
      <sheetData sheetId="18"/>
      <sheetData sheetId="19"/>
      <sheetData sheetId="20"/>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row r="24">
          <cell r="B24">
            <v>4707.4319443028398</v>
          </cell>
        </row>
        <row r="25">
          <cell r="B25">
            <v>-89.741328245955017</v>
          </cell>
        </row>
        <row r="26">
          <cell r="B26">
            <v>2.1204695061481994E-6</v>
          </cell>
        </row>
        <row r="27">
          <cell r="B27">
            <v>10.397802643477712</v>
          </cell>
        </row>
        <row r="28">
          <cell r="B28">
            <v>-1263.4845614901333</v>
          </cell>
        </row>
        <row r="29">
          <cell r="B29">
            <v>-2642.7501309446275</v>
          </cell>
        </row>
        <row r="30">
          <cell r="B30">
            <v>-234.95498827251359</v>
          </cell>
        </row>
      </sheetData>
      <sheetData sheetId="38">
        <row r="24">
          <cell r="B24">
            <v>1337.7880026869889</v>
          </cell>
        </row>
        <row r="25">
          <cell r="B25">
            <v>-39.332362995913719</v>
          </cell>
        </row>
        <row r="26">
          <cell r="B26">
            <v>1.6452414397430709E-6</v>
          </cell>
        </row>
        <row r="27">
          <cell r="B27">
            <v>5.2736123512773174</v>
          </cell>
        </row>
        <row r="28">
          <cell r="B28">
            <v>-414.39577705481355</v>
          </cell>
        </row>
        <row r="29">
          <cell r="B29">
            <v>-407.23455048951701</v>
          </cell>
        </row>
        <row r="30">
          <cell r="B30">
            <v>-45.113921418944265</v>
          </cell>
        </row>
      </sheetData>
      <sheetData sheetId="39">
        <row r="24">
          <cell r="B24">
            <v>3420.9656442453497</v>
          </cell>
        </row>
        <row r="25">
          <cell r="B25">
            <v>-52.295793547095954</v>
          </cell>
        </row>
        <row r="26">
          <cell r="B26">
            <v>4.1647429241194106E-7</v>
          </cell>
        </row>
        <row r="27">
          <cell r="B27">
            <v>5.253924381515553</v>
          </cell>
        </row>
        <row r="28">
          <cell r="B28">
            <v>-866.54069498954789</v>
          </cell>
        </row>
        <row r="29">
          <cell r="B29">
            <v>-2261.8879547555716</v>
          </cell>
        </row>
        <row r="30">
          <cell r="B30">
            <v>-191.9828580769325</v>
          </cell>
        </row>
      </sheetData>
      <sheetData sheetId="40"/>
      <sheetData sheetId="41"/>
      <sheetData sheetId="42"/>
      <sheetData sheetId="43"/>
      <sheetData sheetId="44"/>
      <sheetData sheetId="4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7.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8.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9.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0.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9.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0.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5.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8.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9.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50.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5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5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5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5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55.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56.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57.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58.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59.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60.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6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6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6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6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65.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6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hyperlink" Target="mailto:zacharym.schmidt@gmail.com" TargetMode="External"/></Relationships>
</file>

<file path=xl/worksheets/_rels/sheet6.xml.rels><?xml version="1.0" encoding="UTF-8" standalone="yes"?>
<Relationships xmlns="http://schemas.openxmlformats.org/package/2006/relationships"><Relationship Id="rId1" Type="http://schemas.openxmlformats.org/officeDocument/2006/relationships/hyperlink" Target="mailto:zacharym.schmidt@gmail.com" TargetMode="Externa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hyperlink" Target="mailto:jgkoomey@gmail.com" TargetMode="Externa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hyperlink" Target="mailto:jgkoomey@gmail.com" TargetMode="Externa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7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1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EB2702-D259-9E4B-8872-A5A90CA90B43}">
  <sheetPr>
    <tabColor rgb="FF008000"/>
  </sheetPr>
  <dimension ref="B1:AK88"/>
  <sheetViews>
    <sheetView showGridLines="0" zoomScaleNormal="100" zoomScaleSheetLayoutView="100" zoomScalePageLayoutView="150" workbookViewId="0">
      <selection activeCell="R38" sqref="R38"/>
    </sheetView>
  </sheetViews>
  <sheetFormatPr baseColWidth="10" defaultColWidth="5.5" defaultRowHeight="13" customHeight="1" x14ac:dyDescent="0.15"/>
  <cols>
    <col min="1" max="2" width="5.5" style="1"/>
    <col min="3" max="3" width="7.33203125" style="1" bestFit="1" customWidth="1"/>
    <col min="4" max="6" width="5.5" style="1"/>
    <col min="7" max="7" width="5.6640625" style="1" bestFit="1" customWidth="1"/>
    <col min="8" max="10" width="5.5" style="59"/>
    <col min="11" max="11" width="6.1640625" style="1" bestFit="1" customWidth="1"/>
    <col min="12" max="14" width="5.5" style="1"/>
    <col min="15" max="15" width="5.6640625" style="1" bestFit="1" customWidth="1"/>
    <col min="16" max="18" width="5.5" style="1"/>
    <col min="19" max="19" width="6.1640625" style="1" bestFit="1" customWidth="1"/>
    <col min="20" max="22" width="5.5" style="1"/>
    <col min="23" max="23" width="5.6640625" style="1" bestFit="1" customWidth="1"/>
    <col min="24" max="24" width="5.6640625" style="1" customWidth="1"/>
    <col min="25" max="16384" width="5.5" style="1"/>
  </cols>
  <sheetData>
    <row r="1" spans="2:34" s="48" customFormat="1" ht="13" customHeight="1" x14ac:dyDescent="0.2">
      <c r="B1" s="131"/>
      <c r="C1" s="132" t="s">
        <v>122</v>
      </c>
      <c r="D1" s="131"/>
      <c r="E1" s="131"/>
      <c r="F1" s="131"/>
      <c r="G1" s="131"/>
      <c r="H1" s="131"/>
      <c r="I1" s="131"/>
      <c r="J1" s="131"/>
      <c r="K1" s="131"/>
      <c r="L1" s="131"/>
      <c r="M1" s="131"/>
      <c r="N1" s="131"/>
      <c r="O1" s="131"/>
      <c r="P1" s="130"/>
    </row>
    <row r="2" spans="2:34" s="126" customFormat="1" ht="13" customHeight="1" x14ac:dyDescent="0.2">
      <c r="C2" s="129"/>
    </row>
    <row r="3" spans="2:34" s="126" customFormat="1" ht="13" customHeight="1" x14ac:dyDescent="0.15">
      <c r="B3" s="1" t="s">
        <v>30</v>
      </c>
      <c r="C3" s="1" t="str">
        <f>Readme!C6</f>
        <v>IMAGE 3.0.1</v>
      </c>
      <c r="D3" s="1"/>
      <c r="E3" s="128" t="s">
        <v>32</v>
      </c>
      <c r="F3" s="1"/>
      <c r="G3" s="1"/>
      <c r="H3" s="1" t="str">
        <f>Readme!C4</f>
        <v>SSP2-Baseline</v>
      </c>
    </row>
    <row r="4" spans="2:34" s="126" customFormat="1" ht="13" customHeight="1" x14ac:dyDescent="0.15">
      <c r="B4" s="1"/>
      <c r="C4" s="1"/>
      <c r="D4" s="1"/>
      <c r="E4" s="127" t="s">
        <v>116</v>
      </c>
      <c r="F4" s="1"/>
      <c r="G4" s="127"/>
      <c r="H4" s="1" t="str">
        <f>Readme!C5</f>
        <v>IMA15-TOT</v>
      </c>
      <c r="S4" s="133"/>
      <c r="Y4" s="133"/>
    </row>
    <row r="5" spans="2:34" ht="13" customHeight="1" x14ac:dyDescent="0.15">
      <c r="X5" s="133"/>
      <c r="AD5" s="133"/>
      <c r="AH5" s="133"/>
    </row>
    <row r="9" spans="2:34" s="123" customFormat="1" ht="13" customHeight="1" x14ac:dyDescent="0.2">
      <c r="D9" s="295" t="s">
        <v>49</v>
      </c>
      <c r="E9" s="124"/>
      <c r="H9" s="124" t="s">
        <v>455</v>
      </c>
      <c r="I9" s="124"/>
      <c r="L9" s="124" t="s">
        <v>121</v>
      </c>
      <c r="P9" s="124" t="s">
        <v>126</v>
      </c>
      <c r="T9" s="124"/>
      <c r="X9" s="216"/>
      <c r="AB9" s="216"/>
    </row>
    <row r="10" spans="2:34" s="123" customFormat="1" ht="13" customHeight="1" x14ac:dyDescent="0.2">
      <c r="D10" s="295"/>
      <c r="E10" s="135"/>
      <c r="H10" s="124" t="s">
        <v>124</v>
      </c>
      <c r="I10" s="135"/>
      <c r="L10" s="124" t="s">
        <v>456</v>
      </c>
      <c r="P10" s="124" t="s">
        <v>51</v>
      </c>
      <c r="T10" s="164"/>
      <c r="X10" s="124"/>
      <c r="AB10" s="124"/>
    </row>
    <row r="12" spans="2:34" ht="13" customHeight="1" x14ac:dyDescent="0.15">
      <c r="L12" s="59"/>
    </row>
    <row r="13" spans="2:34" ht="13" customHeight="1" x14ac:dyDescent="0.15">
      <c r="L13" s="59"/>
    </row>
    <row r="14" spans="2:34" ht="13" customHeight="1" x14ac:dyDescent="0.15">
      <c r="L14" s="59"/>
    </row>
    <row r="15" spans="2:34" ht="13" customHeight="1" x14ac:dyDescent="0.15">
      <c r="L15" s="59"/>
    </row>
    <row r="16" spans="2:34" ht="13" customHeight="1" x14ac:dyDescent="0.15">
      <c r="L16" s="59"/>
    </row>
    <row r="17" spans="3:37" ht="13" customHeight="1" x14ac:dyDescent="0.15">
      <c r="L17" s="59"/>
    </row>
    <row r="18" spans="3:37" ht="13" customHeight="1" x14ac:dyDescent="0.15">
      <c r="L18" s="59"/>
    </row>
    <row r="19" spans="3:37" ht="13" customHeight="1" x14ac:dyDescent="0.15">
      <c r="L19" s="59"/>
      <c r="AJ19" s="36"/>
    </row>
    <row r="20" spans="3:37" ht="13" customHeight="1" x14ac:dyDescent="0.15">
      <c r="L20" s="59"/>
    </row>
    <row r="24" spans="3:37" s="118" customFormat="1" ht="13" customHeight="1" x14ac:dyDescent="0.15">
      <c r="C24" s="114">
        <f ca="1">INDEX(Prate1,2)</f>
        <v>1.33397307876435E-2</v>
      </c>
      <c r="D24" s="113" t="s">
        <v>127</v>
      </c>
      <c r="E24" s="113"/>
      <c r="G24" s="114">
        <f ca="1">INDEX(GWPperPrate1,2)</f>
        <v>1.7068161340146881E-2</v>
      </c>
      <c r="H24" s="113" t="s">
        <v>127</v>
      </c>
      <c r="I24" s="113"/>
      <c r="J24" s="121"/>
      <c r="K24" s="114">
        <f ca="1">INDEX(FEperGWPrate1,2)</f>
        <v>-8.1117757387337841E-3</v>
      </c>
      <c r="L24" s="113" t="s">
        <v>127</v>
      </c>
      <c r="M24" s="113"/>
      <c r="O24" s="114">
        <f ca="1">INDEX(PEdeqperFErate1,2)</f>
        <v>2.0153774592224227E-3</v>
      </c>
      <c r="P24" s="113" t="s">
        <v>127</v>
      </c>
      <c r="Q24" s="113"/>
      <c r="S24" s="114"/>
      <c r="T24" s="113"/>
      <c r="U24" s="110"/>
      <c r="W24" s="114"/>
      <c r="X24" s="113"/>
    </row>
    <row r="25" spans="3:37" s="139" customFormat="1" ht="13" customHeight="1" x14ac:dyDescent="0.15">
      <c r="C25" s="138">
        <f ca="1">INDEX(Prate2,2)</f>
        <v>1.2523115485857383E-2</v>
      </c>
      <c r="D25" s="139" t="s">
        <v>128</v>
      </c>
      <c r="F25" s="138"/>
      <c r="G25" s="138">
        <f ca="1">INDEX(GWPperPrate2,2)</f>
        <v>2.5565099356545273E-2</v>
      </c>
      <c r="H25" s="139" t="s">
        <v>128</v>
      </c>
      <c r="K25" s="138">
        <f ca="1">INDEX(FEperGWPrate2,2)</f>
        <v>-1.8257046810357003E-2</v>
      </c>
      <c r="L25" s="139" t="s">
        <v>128</v>
      </c>
      <c r="M25" s="140"/>
      <c r="O25" s="138">
        <f ca="1">INDEX(PEdeqperFErate2,2)</f>
        <v>2.4377147280183475E-3</v>
      </c>
      <c r="P25" s="139" t="s">
        <v>128</v>
      </c>
      <c r="S25" s="138"/>
      <c r="W25" s="138"/>
    </row>
    <row r="26" spans="3:37" s="105" customFormat="1" ht="13" customHeight="1" x14ac:dyDescent="0.15">
      <c r="F26" s="107"/>
      <c r="AH26" s="133"/>
    </row>
    <row r="27" spans="3:37" ht="13" customHeight="1" x14ac:dyDescent="0.15">
      <c r="H27" s="1"/>
      <c r="I27" s="1"/>
      <c r="J27" s="1"/>
      <c r="L27" s="59"/>
      <c r="S27" s="104"/>
    </row>
    <row r="28" spans="3:37" ht="13" customHeight="1" x14ac:dyDescent="0.15">
      <c r="D28" s="124" t="s">
        <v>125</v>
      </c>
      <c r="E28" s="123"/>
      <c r="F28" s="123"/>
      <c r="H28" s="216" t="s">
        <v>43</v>
      </c>
      <c r="I28" s="123"/>
      <c r="J28" s="123"/>
      <c r="L28" s="216" t="s">
        <v>54</v>
      </c>
      <c r="S28" s="104"/>
      <c r="AI28" s="133"/>
    </row>
    <row r="29" spans="3:37" ht="13" customHeight="1" x14ac:dyDescent="0.15">
      <c r="D29" s="164" t="s">
        <v>296</v>
      </c>
      <c r="E29" s="123"/>
      <c r="F29" s="123"/>
      <c r="H29" s="124" t="s">
        <v>123</v>
      </c>
      <c r="I29" s="123"/>
      <c r="J29" s="123"/>
      <c r="L29" s="124" t="s">
        <v>43</v>
      </c>
      <c r="S29" s="104"/>
    </row>
    <row r="30" spans="3:37" ht="13" customHeight="1" x14ac:dyDescent="0.15">
      <c r="H30" s="1"/>
      <c r="I30" s="1"/>
      <c r="J30" s="1"/>
      <c r="L30" s="59"/>
      <c r="AK30" s="133"/>
    </row>
    <row r="31" spans="3:37" ht="13" customHeight="1" x14ac:dyDescent="0.15">
      <c r="L31" s="59"/>
    </row>
    <row r="32" spans="3:37" ht="13" customHeight="1" x14ac:dyDescent="0.15">
      <c r="L32" s="59"/>
      <c r="AI32" s="133"/>
    </row>
    <row r="33" spans="3:36" ht="13" customHeight="1" x14ac:dyDescent="0.15">
      <c r="L33" s="59"/>
    </row>
    <row r="34" spans="3:36" ht="13" customHeight="1" x14ac:dyDescent="0.15">
      <c r="L34" s="59"/>
      <c r="AI34" s="133"/>
    </row>
    <row r="35" spans="3:36" ht="13" customHeight="1" x14ac:dyDescent="0.15">
      <c r="H35" s="103"/>
      <c r="K35" s="102"/>
      <c r="L35" s="59"/>
    </row>
    <row r="36" spans="3:36" ht="13" customHeight="1" x14ac:dyDescent="0.15">
      <c r="E36" s="98"/>
      <c r="I36" s="97"/>
      <c r="J36" s="87"/>
      <c r="K36" s="101"/>
      <c r="L36" s="87"/>
      <c r="M36" s="100"/>
      <c r="N36" s="99"/>
      <c r="AI36" s="133"/>
    </row>
    <row r="37" spans="3:36" ht="13" customHeight="1" x14ac:dyDescent="0.15">
      <c r="E37" s="98"/>
      <c r="G37" s="90"/>
      <c r="I37" s="97"/>
      <c r="J37" s="87"/>
      <c r="M37" s="96"/>
      <c r="N37" s="95"/>
    </row>
    <row r="38" spans="3:36" ht="13" customHeight="1" x14ac:dyDescent="0.15">
      <c r="G38" s="90"/>
      <c r="I38" s="94"/>
      <c r="J38" s="93"/>
    </row>
    <row r="39" spans="3:36" ht="13" customHeight="1" x14ac:dyDescent="0.15">
      <c r="G39" s="90"/>
      <c r="H39" s="1"/>
      <c r="I39" s="92"/>
      <c r="J39" s="91"/>
    </row>
    <row r="40" spans="3:36" ht="13" customHeight="1" x14ac:dyDescent="0.15">
      <c r="G40" s="90"/>
      <c r="H40" s="89"/>
      <c r="I40" s="88"/>
      <c r="J40" s="87"/>
    </row>
    <row r="41" spans="3:36" s="84" customFormat="1" ht="13" customHeight="1" x14ac:dyDescent="0.15">
      <c r="C41" s="1"/>
      <c r="D41" s="1"/>
      <c r="E41" s="1"/>
      <c r="H41" s="83"/>
      <c r="I41" s="83"/>
      <c r="J41" s="87"/>
    </row>
    <row r="42" spans="3:36" s="84" customFormat="1" ht="13" customHeight="1" x14ac:dyDescent="0.15">
      <c r="C42" s="1"/>
      <c r="D42" s="1"/>
      <c r="E42" s="1"/>
      <c r="H42" s="83"/>
      <c r="I42" s="83"/>
      <c r="J42" s="83"/>
    </row>
    <row r="44" spans="3:36" ht="13" customHeight="1" x14ac:dyDescent="0.15">
      <c r="C44" s="114">
        <f ca="1">INDEX(PEffperPEdeqrate1,2)</f>
        <v>-4.1638405816923907E-4</v>
      </c>
      <c r="D44" s="113" t="s">
        <v>127</v>
      </c>
      <c r="E44" s="110"/>
      <c r="F44" s="118"/>
      <c r="G44" s="114">
        <f ca="1">INDEX(TFCperPEffrate1,2)</f>
        <v>1.5451450911869724E-3</v>
      </c>
      <c r="H44" s="113" t="s">
        <v>127</v>
      </c>
      <c r="I44" s="118"/>
    </row>
    <row r="45" spans="3:36" ht="13" customHeight="1" x14ac:dyDescent="0.15">
      <c r="C45" s="138">
        <f ca="1">INDEX(PEffperPEdeqrate2,2)</f>
        <v>9.4954208600395162E-6</v>
      </c>
      <c r="D45" s="139" t="s">
        <v>128</v>
      </c>
      <c r="E45" s="139"/>
      <c r="F45" s="139"/>
      <c r="G45" s="138">
        <f ca="1">INDEX(TFCperPEffrate2,2)</f>
        <v>7.7771181949937152E-4</v>
      </c>
      <c r="H45" s="139" t="s">
        <v>128</v>
      </c>
      <c r="I45" s="139"/>
    </row>
    <row r="46" spans="3:36" customFormat="1" ht="20" customHeight="1" x14ac:dyDescent="0.2">
      <c r="D46" s="199"/>
      <c r="E46" s="200"/>
      <c r="G46" s="201"/>
      <c r="H46" s="197"/>
      <c r="I46" s="202"/>
      <c r="J46" s="202"/>
      <c r="K46" s="199"/>
      <c r="L46" s="197"/>
      <c r="O46" s="201"/>
      <c r="P46" s="197"/>
      <c r="S46" s="201"/>
      <c r="T46" s="197"/>
      <c r="W46" s="197"/>
      <c r="X46" s="197"/>
      <c r="AB46" s="197"/>
    </row>
    <row r="47" spans="3:36" customFormat="1" ht="19" customHeight="1" x14ac:dyDescent="0.2">
      <c r="D47" s="197"/>
      <c r="E47" s="202"/>
      <c r="G47" s="201"/>
      <c r="H47" s="197"/>
      <c r="I47" s="201"/>
      <c r="J47" s="202"/>
      <c r="K47" s="201"/>
      <c r="L47" s="197"/>
      <c r="N47" s="201"/>
      <c r="O47" s="199"/>
      <c r="P47" s="197"/>
      <c r="R47" s="197"/>
      <c r="S47" s="199"/>
      <c r="T47" s="197"/>
      <c r="W47" s="197"/>
      <c r="X47" s="197"/>
      <c r="AB47" s="197"/>
    </row>
    <row r="48" spans="3:36" ht="13" customHeight="1" x14ac:dyDescent="0.15">
      <c r="F48" s="59"/>
      <c r="L48" s="59"/>
      <c r="AJ48" s="133"/>
    </row>
    <row r="49" spans="3:12" ht="13" customHeight="1" x14ac:dyDescent="0.15">
      <c r="F49" s="59"/>
      <c r="L49" s="59"/>
    </row>
    <row r="50" spans="3:12" ht="13" customHeight="1" x14ac:dyDescent="0.15">
      <c r="F50" s="59"/>
      <c r="L50" s="59"/>
    </row>
    <row r="51" spans="3:12" ht="13" customHeight="1" x14ac:dyDescent="0.15">
      <c r="F51" s="59"/>
      <c r="L51" s="59"/>
    </row>
    <row r="52" spans="3:12" ht="13" customHeight="1" x14ac:dyDescent="0.15">
      <c r="F52" s="59"/>
      <c r="L52" s="59"/>
    </row>
    <row r="53" spans="3:12" ht="13" customHeight="1" x14ac:dyDescent="0.15">
      <c r="F53" s="59"/>
      <c r="L53" s="59"/>
    </row>
    <row r="54" spans="3:12" ht="13" customHeight="1" x14ac:dyDescent="0.15">
      <c r="F54" s="59"/>
      <c r="L54" s="59"/>
    </row>
    <row r="55" spans="3:12" ht="13" customHeight="1" x14ac:dyDescent="0.15">
      <c r="F55" s="59"/>
    </row>
    <row r="56" spans="3:12" ht="13" customHeight="1" x14ac:dyDescent="0.15">
      <c r="F56" s="59"/>
    </row>
    <row r="57" spans="3:12" ht="13" customHeight="1" x14ac:dyDescent="0.15">
      <c r="F57" s="59"/>
    </row>
    <row r="58" spans="3:12" ht="13" customHeight="1" x14ac:dyDescent="0.15">
      <c r="F58" s="59"/>
    </row>
    <row r="60" spans="3:12" ht="13" customHeight="1" x14ac:dyDescent="0.15">
      <c r="C60" s="64"/>
      <c r="F60" s="76"/>
      <c r="G60" s="75"/>
      <c r="H60" s="73"/>
      <c r="I60" s="74"/>
      <c r="K60" s="65"/>
      <c r="L60" s="64"/>
    </row>
    <row r="61" spans="3:12" ht="13" customHeight="1" x14ac:dyDescent="0.15">
      <c r="C61" s="64"/>
      <c r="F61" s="76"/>
      <c r="G61" s="75"/>
      <c r="H61" s="73"/>
      <c r="I61" s="74"/>
      <c r="K61" s="65"/>
      <c r="L61" s="64"/>
    </row>
    <row r="62" spans="3:12" ht="13" customHeight="1" x14ac:dyDescent="0.15">
      <c r="C62" s="64"/>
      <c r="F62" s="76"/>
      <c r="G62" s="75"/>
      <c r="H62" s="73"/>
      <c r="I62" s="74"/>
      <c r="L62" s="64"/>
    </row>
    <row r="63" spans="3:12" ht="13" customHeight="1" x14ac:dyDescent="0.15">
      <c r="F63" s="76"/>
      <c r="G63" s="75"/>
      <c r="H63" s="74"/>
      <c r="I63" s="73"/>
      <c r="L63" s="64"/>
    </row>
    <row r="64" spans="3:12" ht="13" customHeight="1" x14ac:dyDescent="0.15">
      <c r="F64" s="76"/>
      <c r="G64" s="75"/>
      <c r="H64" s="74"/>
      <c r="I64" s="73"/>
      <c r="L64" s="64"/>
    </row>
    <row r="65" spans="4:12" ht="13" customHeight="1" x14ac:dyDescent="0.15">
      <c r="F65" s="76"/>
      <c r="G65" s="75"/>
      <c r="H65" s="74"/>
      <c r="I65" s="73"/>
      <c r="L65" s="64"/>
    </row>
    <row r="66" spans="4:12" ht="13" customHeight="1" x14ac:dyDescent="0.15">
      <c r="F66" s="76"/>
      <c r="G66" s="75"/>
      <c r="H66" s="74"/>
      <c r="I66" s="73"/>
      <c r="L66" s="64"/>
    </row>
    <row r="67" spans="4:12" ht="13" customHeight="1" x14ac:dyDescent="0.15">
      <c r="F67" s="76"/>
      <c r="G67" s="75"/>
      <c r="H67" s="74"/>
      <c r="I67" s="73"/>
      <c r="L67" s="64"/>
    </row>
    <row r="68" spans="4:12" ht="13" customHeight="1" x14ac:dyDescent="0.15">
      <c r="F68" s="76"/>
      <c r="G68" s="75"/>
      <c r="H68" s="74"/>
      <c r="I68" s="73"/>
      <c r="L68" s="64"/>
    </row>
    <row r="69" spans="4:12" ht="13" customHeight="1" x14ac:dyDescent="0.15">
      <c r="F69" s="76"/>
      <c r="G69" s="75"/>
      <c r="H69" s="74"/>
      <c r="I69" s="73"/>
      <c r="L69" s="64"/>
    </row>
    <row r="70" spans="4:12" ht="13" customHeight="1" x14ac:dyDescent="0.15">
      <c r="F70" s="76"/>
      <c r="G70" s="75"/>
      <c r="H70" s="74"/>
      <c r="I70" s="73"/>
      <c r="L70" s="64"/>
    </row>
    <row r="71" spans="4:12" ht="13" customHeight="1" x14ac:dyDescent="0.15">
      <c r="F71" s="76"/>
      <c r="G71" s="75"/>
      <c r="H71" s="74"/>
      <c r="I71" s="73"/>
      <c r="L71" s="64"/>
    </row>
    <row r="72" spans="4:12" ht="13" customHeight="1" x14ac:dyDescent="0.15">
      <c r="I72" s="61"/>
      <c r="L72" s="64"/>
    </row>
    <row r="74" spans="4:12" ht="13" customHeight="1" x14ac:dyDescent="0.15">
      <c r="H74" s="72"/>
      <c r="I74" s="61"/>
      <c r="L74" s="64"/>
    </row>
    <row r="80" spans="4:12" s="59" customFormat="1" ht="13" customHeight="1" x14ac:dyDescent="0.15">
      <c r="D80" s="68"/>
      <c r="E80" s="68"/>
      <c r="F80" s="68"/>
      <c r="G80" s="68"/>
      <c r="I80" s="68"/>
      <c r="J80" s="68"/>
      <c r="K80" s="68"/>
    </row>
    <row r="81" spans="3:14" s="59" customFormat="1" ht="13" customHeight="1" x14ac:dyDescent="0.15">
      <c r="D81" s="68"/>
      <c r="E81" s="68"/>
      <c r="F81" s="68"/>
      <c r="G81" s="68"/>
      <c r="I81" s="68"/>
      <c r="J81" s="68"/>
      <c r="K81" s="68"/>
    </row>
    <row r="82" spans="3:14" ht="13" customHeight="1" x14ac:dyDescent="0.2">
      <c r="C82" s="64"/>
      <c r="F82" s="67"/>
      <c r="H82" s="66"/>
      <c r="K82" s="71"/>
      <c r="L82" s="70"/>
      <c r="N82" s="61"/>
    </row>
    <row r="83" spans="3:14" s="59" customFormat="1" ht="13" customHeight="1" x14ac:dyDescent="0.15">
      <c r="C83" s="64"/>
      <c r="F83" s="69"/>
      <c r="H83" s="66"/>
      <c r="J83" s="68"/>
      <c r="K83" s="65"/>
      <c r="N83" s="61"/>
    </row>
    <row r="84" spans="3:14" ht="13" customHeight="1" x14ac:dyDescent="0.15">
      <c r="C84" s="61"/>
      <c r="F84" s="67"/>
      <c r="H84" s="66"/>
      <c r="K84" s="65"/>
      <c r="N84" s="64"/>
    </row>
    <row r="85" spans="3:14" ht="13" customHeight="1" x14ac:dyDescent="0.15">
      <c r="C85" s="63"/>
    </row>
    <row r="86" spans="3:14" ht="13" customHeight="1" x14ac:dyDescent="0.15">
      <c r="C86" s="62"/>
      <c r="I86" s="61"/>
    </row>
    <row r="87" spans="3:14" ht="13" customHeight="1" x14ac:dyDescent="0.15">
      <c r="C87" s="60"/>
    </row>
    <row r="88" spans="3:14" ht="13" customHeight="1" x14ac:dyDescent="0.15">
      <c r="C88" s="60"/>
    </row>
  </sheetData>
  <mergeCells count="1">
    <mergeCell ref="D9:D10"/>
  </mergeCells>
  <pageMargins left="1" right="1" top="1.1000000000000001" bottom="1.1000000000000001" header="0.5" footer="0.5"/>
  <pageSetup orientation="landscape" horizontalDpi="1200" verticalDpi="120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B87F2-F513-9D44-B263-1F933C52055C}">
  <sheetPr codeName="Sheet3">
    <tabColor rgb="FFC1EFC5"/>
  </sheetPr>
  <dimension ref="A1:CZ99"/>
  <sheetViews>
    <sheetView showGridLines="0" workbookViewId="0">
      <selection activeCell="C4" sqref="C4"/>
    </sheetView>
  </sheetViews>
  <sheetFormatPr baseColWidth="10" defaultColWidth="9.1640625" defaultRowHeight="13" x14ac:dyDescent="0.2"/>
  <cols>
    <col min="1" max="1" width="3.83203125" style="48" customWidth="1"/>
    <col min="2" max="2" width="29.33203125" style="48" customWidth="1"/>
    <col min="3" max="3" width="68" style="48" customWidth="1"/>
    <col min="4" max="5" width="9.1640625" style="48"/>
    <col min="6" max="6" width="4.5" style="48" customWidth="1"/>
    <col min="7" max="8" width="9.1640625" style="48"/>
    <col min="9" max="9" width="8.83203125" style="48" customWidth="1"/>
    <col min="10" max="12" width="9.1640625" style="48"/>
    <col min="13" max="14" width="0" style="48" hidden="1" customWidth="1"/>
    <col min="15" max="16384" width="9.1640625" style="48"/>
  </cols>
  <sheetData>
    <row r="1" spans="1:104" s="58" customFormat="1" ht="21" customHeight="1" x14ac:dyDescent="0.2">
      <c r="A1" s="177" t="s">
        <v>115</v>
      </c>
      <c r="B1" s="268"/>
      <c r="C1" s="268"/>
      <c r="D1" s="268"/>
      <c r="E1" s="268"/>
      <c r="F1" s="268"/>
      <c r="G1" s="268"/>
      <c r="H1" s="268"/>
      <c r="I1" s="268"/>
      <c r="J1" s="48"/>
      <c r="K1" s="48"/>
      <c r="L1" s="48"/>
      <c r="M1" s="48" t="s">
        <v>192</v>
      </c>
      <c r="N1" s="48"/>
      <c r="O1" s="48"/>
      <c r="P1" s="48"/>
      <c r="Q1" s="48"/>
      <c r="R1" s="48"/>
      <c r="S1" s="48"/>
      <c r="T1" s="48"/>
      <c r="U1" s="48"/>
      <c r="V1" s="48"/>
      <c r="W1" s="48"/>
      <c r="X1" s="48"/>
      <c r="Y1" s="48"/>
      <c r="Z1" s="48"/>
      <c r="AA1" s="48"/>
      <c r="AB1" s="48"/>
      <c r="AC1" s="48"/>
      <c r="AD1" s="48"/>
      <c r="AE1" s="48"/>
      <c r="AF1" s="48"/>
      <c r="AG1" s="48"/>
      <c r="AH1" s="48"/>
      <c r="AI1" s="48"/>
      <c r="AJ1" s="48"/>
      <c r="AK1" s="48"/>
      <c r="AL1" s="48"/>
      <c r="AM1" s="48"/>
      <c r="AN1" s="48"/>
      <c r="AO1" s="48"/>
      <c r="AP1" s="48"/>
      <c r="AQ1" s="48"/>
      <c r="AR1" s="48"/>
      <c r="AS1" s="48"/>
      <c r="AT1" s="48"/>
      <c r="AU1" s="48"/>
      <c r="AV1" s="48"/>
      <c r="AW1" s="48"/>
      <c r="AX1" s="48"/>
      <c r="AY1" s="48"/>
      <c r="AZ1" s="48"/>
      <c r="BA1" s="48"/>
      <c r="BB1" s="48"/>
      <c r="BC1" s="48"/>
      <c r="BD1" s="48"/>
      <c r="BE1" s="48"/>
      <c r="BF1" s="48"/>
      <c r="BG1" s="48"/>
      <c r="BH1" s="48"/>
      <c r="BI1" s="48"/>
      <c r="BJ1" s="48"/>
      <c r="BK1" s="48"/>
      <c r="BL1" s="48"/>
      <c r="BM1" s="48"/>
      <c r="BN1" s="48"/>
      <c r="BO1" s="48"/>
      <c r="BP1" s="48"/>
      <c r="BQ1" s="48"/>
      <c r="BR1" s="48"/>
      <c r="BS1" s="48"/>
      <c r="BT1" s="48"/>
      <c r="BU1" s="48"/>
      <c r="BV1" s="48"/>
      <c r="BW1" s="48"/>
      <c r="BX1" s="48"/>
      <c r="BY1" s="48"/>
      <c r="BZ1" s="48"/>
      <c r="CA1" s="48"/>
      <c r="CB1" s="48"/>
      <c r="CC1" s="48"/>
      <c r="CD1" s="48"/>
      <c r="CE1" s="48"/>
      <c r="CF1" s="48"/>
      <c r="CG1" s="48"/>
      <c r="CH1" s="48"/>
      <c r="CI1" s="48"/>
      <c r="CJ1" s="48"/>
      <c r="CK1" s="48"/>
      <c r="CL1" s="48"/>
      <c r="CM1" s="48"/>
      <c r="CN1" s="48"/>
      <c r="CO1" s="48"/>
      <c r="CP1" s="48"/>
      <c r="CQ1" s="48"/>
      <c r="CR1" s="48"/>
      <c r="CS1" s="48"/>
      <c r="CT1" s="48"/>
      <c r="CU1" s="48"/>
      <c r="CV1" s="48"/>
      <c r="CW1" s="48"/>
      <c r="CX1" s="48"/>
      <c r="CY1" s="48"/>
      <c r="CZ1" s="48"/>
    </row>
    <row r="2" spans="1:104" ht="11" customHeight="1" x14ac:dyDescent="0.2">
      <c r="M2" s="203" t="s">
        <v>193</v>
      </c>
    </row>
    <row r="3" spans="1:104" ht="20" customHeight="1" x14ac:dyDescent="0.2">
      <c r="M3" s="48" t="s">
        <v>283</v>
      </c>
    </row>
    <row r="4" spans="1:104" ht="30" customHeight="1" x14ac:dyDescent="0.2">
      <c r="B4" s="50" t="s">
        <v>32</v>
      </c>
      <c r="C4" s="57" t="str">
        <f>'Ref Data input'!B2</f>
        <v>SSP2-Baseline</v>
      </c>
    </row>
    <row r="5" spans="1:104" ht="30" customHeight="1" x14ac:dyDescent="0.2">
      <c r="B5" s="50" t="s">
        <v>116</v>
      </c>
      <c r="C5" s="57" t="str">
        <f>'Int Data input'!B2</f>
        <v>IMA15-TOT</v>
      </c>
    </row>
    <row r="6" spans="1:104" ht="30" customHeight="1" x14ac:dyDescent="0.2">
      <c r="B6" s="50" t="s">
        <v>30</v>
      </c>
      <c r="C6" s="57" t="str">
        <f>'Ref Data input'!A2</f>
        <v>IMAGE 3.0.1</v>
      </c>
    </row>
    <row r="7" spans="1:104" ht="30" customHeight="1" x14ac:dyDescent="0.2">
      <c r="B7" s="50"/>
      <c r="E7" s="57"/>
    </row>
    <row r="8" spans="1:104" s="55" customFormat="1" ht="17" customHeight="1" x14ac:dyDescent="0.2">
      <c r="A8" s="177"/>
      <c r="B8" s="48"/>
      <c r="C8" s="48"/>
      <c r="D8" s="48"/>
      <c r="E8" s="48"/>
      <c r="F8" s="48"/>
      <c r="G8" s="48"/>
      <c r="H8" s="48"/>
      <c r="I8" s="48"/>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48"/>
      <c r="BA8" s="48"/>
      <c r="BB8" s="48"/>
      <c r="BC8" s="48"/>
      <c r="BD8" s="48"/>
      <c r="BE8" s="48"/>
      <c r="BF8" s="48"/>
      <c r="BG8" s="48"/>
      <c r="BH8" s="48"/>
      <c r="BI8" s="48"/>
      <c r="BJ8" s="48"/>
      <c r="BK8" s="48"/>
      <c r="BL8" s="48"/>
      <c r="BM8" s="48"/>
      <c r="BN8" s="48"/>
      <c r="BO8" s="48"/>
      <c r="BP8" s="48"/>
      <c r="BQ8" s="48"/>
      <c r="BR8" s="48"/>
      <c r="BS8" s="48"/>
      <c r="BT8" s="48"/>
      <c r="BU8" s="48"/>
      <c r="BV8" s="48"/>
      <c r="BW8" s="48"/>
      <c r="BX8" s="48"/>
      <c r="BY8" s="48"/>
      <c r="BZ8" s="48"/>
      <c r="CA8" s="48"/>
      <c r="CB8" s="48"/>
      <c r="CC8" s="48"/>
      <c r="CD8" s="48"/>
      <c r="CE8" s="48"/>
      <c r="CF8" s="48"/>
      <c r="CG8" s="48"/>
      <c r="CH8" s="48"/>
      <c r="CI8" s="48"/>
      <c r="CJ8" s="48"/>
      <c r="CK8" s="48"/>
      <c r="CL8" s="48"/>
      <c r="CM8" s="48"/>
      <c r="CN8" s="48"/>
      <c r="CO8" s="48"/>
      <c r="CP8" s="48"/>
      <c r="CQ8" s="48"/>
      <c r="CR8" s="48"/>
      <c r="CS8" s="48"/>
      <c r="CT8" s="48"/>
      <c r="CU8" s="48"/>
      <c r="CV8" s="48"/>
      <c r="CW8" s="48"/>
      <c r="CX8" s="48"/>
      <c r="CY8" s="48"/>
      <c r="CZ8" s="48"/>
    </row>
    <row r="9" spans="1:104" s="55" customFormat="1" ht="14" customHeight="1" x14ac:dyDescent="0.2">
      <c r="A9" s="175"/>
      <c r="B9" s="48"/>
      <c r="C9" s="48"/>
      <c r="D9" s="48"/>
      <c r="E9" s="48"/>
      <c r="F9" s="48"/>
      <c r="G9" s="48"/>
      <c r="H9" s="48"/>
      <c r="I9" s="48"/>
      <c r="J9" s="48"/>
      <c r="K9" s="48"/>
      <c r="L9" s="48"/>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48"/>
      <c r="BA9" s="48"/>
      <c r="BB9" s="48"/>
      <c r="BC9" s="48"/>
      <c r="BD9" s="48"/>
      <c r="BE9" s="48"/>
      <c r="BF9" s="48"/>
      <c r="BG9" s="48"/>
      <c r="BH9" s="48"/>
      <c r="BI9" s="48"/>
      <c r="BJ9" s="48"/>
      <c r="BK9" s="48"/>
      <c r="BL9" s="48"/>
      <c r="BM9" s="48"/>
      <c r="BN9" s="48"/>
      <c r="BO9" s="48"/>
      <c r="BP9" s="48"/>
      <c r="BQ9" s="48"/>
      <c r="BR9" s="48"/>
      <c r="BS9" s="48"/>
      <c r="BT9" s="48"/>
      <c r="BU9" s="48"/>
      <c r="BV9" s="48"/>
      <c r="BW9" s="48"/>
      <c r="BX9" s="48"/>
      <c r="BY9" s="48"/>
      <c r="BZ9" s="48"/>
      <c r="CA9" s="48"/>
      <c r="CB9" s="48"/>
      <c r="CC9" s="48"/>
      <c r="CD9" s="48"/>
      <c r="CE9" s="48"/>
      <c r="CF9" s="48"/>
      <c r="CG9" s="48"/>
      <c r="CH9" s="48"/>
      <c r="CI9" s="48"/>
      <c r="CJ9" s="48"/>
      <c r="CK9" s="48"/>
      <c r="CL9" s="48"/>
      <c r="CM9" s="48"/>
      <c r="CN9" s="48"/>
      <c r="CO9" s="48"/>
      <c r="CP9" s="48"/>
      <c r="CQ9" s="48"/>
      <c r="CR9" s="48"/>
      <c r="CS9" s="48"/>
      <c r="CT9" s="48"/>
      <c r="CU9" s="48"/>
      <c r="CV9" s="48"/>
      <c r="CW9" s="48"/>
      <c r="CX9" s="48"/>
      <c r="CY9" s="48"/>
      <c r="CZ9" s="48"/>
    </row>
    <row r="10" spans="1:104" s="55" customFormat="1" ht="18" customHeight="1" x14ac:dyDescent="0.2">
      <c r="A10" s="176" t="s">
        <v>189</v>
      </c>
      <c r="B10" s="48"/>
      <c r="C10" s="48"/>
      <c r="D10" s="48"/>
      <c r="E10" s="48"/>
      <c r="F10" s="48"/>
      <c r="G10" s="48"/>
      <c r="H10" s="48"/>
      <c r="I10" s="48"/>
      <c r="J10" s="48"/>
      <c r="K10" s="48"/>
      <c r="L10" s="48"/>
      <c r="M10" s="48"/>
      <c r="N10" s="48"/>
      <c r="O10" s="48"/>
      <c r="P10" s="48"/>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48"/>
      <c r="BA10" s="48"/>
      <c r="BB10" s="48"/>
      <c r="BC10" s="48"/>
      <c r="BD10" s="48"/>
      <c r="BE10" s="48"/>
      <c r="BF10" s="48"/>
      <c r="BG10" s="48"/>
      <c r="BH10" s="48"/>
      <c r="BI10" s="48"/>
      <c r="BJ10" s="48"/>
      <c r="BK10" s="48"/>
      <c r="BL10" s="48"/>
      <c r="BM10" s="48"/>
      <c r="BN10" s="48"/>
      <c r="BO10" s="48"/>
      <c r="BP10" s="48"/>
      <c r="BQ10" s="48"/>
      <c r="BR10" s="48"/>
      <c r="BS10" s="48"/>
      <c r="BT10" s="48"/>
      <c r="BU10" s="48"/>
      <c r="BV10" s="48"/>
      <c r="BW10" s="48"/>
      <c r="BX10" s="48"/>
      <c r="BY10" s="48"/>
      <c r="BZ10" s="48"/>
      <c r="CA10" s="48"/>
      <c r="CB10" s="48"/>
      <c r="CC10" s="48"/>
      <c r="CD10" s="48"/>
      <c r="CE10" s="48"/>
      <c r="CF10" s="48"/>
      <c r="CG10" s="48"/>
      <c r="CH10" s="48"/>
      <c r="CI10" s="48"/>
      <c r="CJ10" s="48"/>
      <c r="CK10" s="48"/>
      <c r="CL10" s="48"/>
      <c r="CM10" s="48"/>
      <c r="CN10" s="48"/>
      <c r="CO10" s="48"/>
      <c r="CP10" s="48"/>
      <c r="CQ10" s="48"/>
      <c r="CR10" s="48"/>
      <c r="CS10" s="48"/>
      <c r="CT10" s="48"/>
      <c r="CU10" s="48"/>
      <c r="CV10" s="48"/>
      <c r="CW10" s="48"/>
      <c r="CX10" s="48"/>
      <c r="CY10" s="48"/>
      <c r="CZ10" s="48"/>
    </row>
    <row r="11" spans="1:104" s="55" customFormat="1" ht="14" customHeight="1" x14ac:dyDescent="0.2">
      <c r="A11" s="56"/>
      <c r="B11" s="170" t="s">
        <v>151</v>
      </c>
      <c r="C11" s="48"/>
      <c r="D11" s="48"/>
      <c r="E11" s="48"/>
      <c r="F11" s="48"/>
      <c r="G11" s="48"/>
      <c r="H11" s="48"/>
      <c r="I11" s="48"/>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48"/>
      <c r="BA11" s="48"/>
      <c r="BB11" s="48"/>
      <c r="BC11" s="48"/>
      <c r="BD11" s="48"/>
      <c r="BE11" s="48"/>
      <c r="BF11" s="48"/>
      <c r="BG11" s="48"/>
      <c r="BH11" s="48"/>
      <c r="BI11" s="48"/>
      <c r="BJ11" s="48"/>
      <c r="BK11" s="48"/>
      <c r="BL11" s="48"/>
      <c r="BM11" s="48"/>
      <c r="BN11" s="48"/>
      <c r="BO11" s="48"/>
      <c r="BP11" s="48"/>
      <c r="BQ11" s="48"/>
      <c r="BR11" s="48"/>
      <c r="BS11" s="48"/>
      <c r="BT11" s="48"/>
      <c r="BU11" s="48"/>
      <c r="BV11" s="48"/>
      <c r="BW11" s="48"/>
      <c r="BX11" s="48"/>
      <c r="BY11" s="48"/>
      <c r="BZ11" s="48"/>
      <c r="CA11" s="48"/>
      <c r="CB11" s="48"/>
      <c r="CC11" s="48"/>
      <c r="CD11" s="48"/>
      <c r="CE11" s="48"/>
      <c r="CF11" s="48"/>
      <c r="CG11" s="48"/>
      <c r="CH11" s="48"/>
      <c r="CI11" s="48"/>
      <c r="CJ11" s="48"/>
      <c r="CK11" s="48"/>
      <c r="CL11" s="48"/>
      <c r="CM11" s="48"/>
      <c r="CN11" s="48"/>
      <c r="CO11" s="48"/>
      <c r="CP11" s="48"/>
      <c r="CQ11" s="48"/>
      <c r="CR11" s="48"/>
      <c r="CS11" s="48"/>
      <c r="CT11" s="48"/>
      <c r="CU11" s="48"/>
      <c r="CV11" s="48"/>
      <c r="CW11" s="48"/>
      <c r="CX11" s="48"/>
      <c r="CY11" s="48"/>
      <c r="CZ11" s="48"/>
    </row>
    <row r="12" spans="1:104" s="55" customFormat="1" ht="14" customHeight="1" x14ac:dyDescent="0.2">
      <c r="A12" s="56"/>
      <c r="B12" s="269" t="s">
        <v>114</v>
      </c>
      <c r="C12" s="48" t="s">
        <v>185</v>
      </c>
      <c r="D12" s="48"/>
      <c r="E12" s="48"/>
      <c r="F12" s="48"/>
      <c r="G12" s="48"/>
      <c r="H12" s="48"/>
      <c r="I12" s="48"/>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48"/>
      <c r="BA12" s="48"/>
      <c r="BB12" s="48"/>
      <c r="BC12" s="48"/>
      <c r="BD12" s="48"/>
      <c r="BE12" s="48"/>
      <c r="BF12" s="48"/>
      <c r="BG12" s="48"/>
      <c r="BH12" s="48"/>
      <c r="BI12" s="48"/>
      <c r="BJ12" s="48"/>
      <c r="BK12" s="48"/>
      <c r="BL12" s="48"/>
      <c r="BM12" s="48"/>
      <c r="BN12" s="48"/>
      <c r="BO12" s="48"/>
      <c r="BP12" s="48"/>
      <c r="BQ12" s="48"/>
      <c r="BR12" s="48"/>
      <c r="BS12" s="48"/>
      <c r="BT12" s="48"/>
      <c r="BU12" s="48"/>
      <c r="BV12" s="48"/>
      <c r="BW12" s="48"/>
      <c r="BX12" s="48"/>
      <c r="BY12" s="48"/>
      <c r="BZ12" s="48"/>
      <c r="CA12" s="48"/>
      <c r="CB12" s="48"/>
      <c r="CC12" s="48"/>
      <c r="CD12" s="48"/>
      <c r="CE12" s="48"/>
      <c r="CF12" s="48"/>
      <c r="CG12" s="48"/>
      <c r="CH12" s="48"/>
      <c r="CI12" s="48"/>
      <c r="CJ12" s="48"/>
      <c r="CK12" s="48"/>
      <c r="CL12" s="48"/>
      <c r="CM12" s="48"/>
      <c r="CN12" s="48"/>
      <c r="CO12" s="48"/>
      <c r="CP12" s="48"/>
      <c r="CQ12" s="48"/>
      <c r="CR12" s="48"/>
      <c r="CS12" s="48"/>
      <c r="CT12" s="48"/>
      <c r="CU12" s="48"/>
      <c r="CV12" s="48"/>
      <c r="CW12" s="48"/>
      <c r="CX12" s="48"/>
      <c r="CY12" s="48"/>
      <c r="CZ12" s="48"/>
    </row>
    <row r="13" spans="1:104" s="55" customFormat="1" ht="14" customHeight="1" x14ac:dyDescent="0.2">
      <c r="A13" s="56"/>
      <c r="B13" s="269" t="s">
        <v>148</v>
      </c>
      <c r="C13" s="48" t="s">
        <v>185</v>
      </c>
      <c r="D13" s="48"/>
      <c r="E13" s="48"/>
      <c r="F13" s="48"/>
      <c r="G13" s="48"/>
      <c r="H13" s="48"/>
      <c r="I13" s="48"/>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48"/>
      <c r="BA13" s="48"/>
      <c r="BB13" s="48"/>
      <c r="BC13" s="48"/>
      <c r="BD13" s="48"/>
      <c r="BE13" s="48"/>
      <c r="BF13" s="48"/>
      <c r="BG13" s="48"/>
      <c r="BH13" s="48"/>
      <c r="BI13" s="48"/>
      <c r="BJ13" s="48"/>
      <c r="BK13" s="48"/>
      <c r="BL13" s="48"/>
      <c r="BM13" s="48"/>
      <c r="BN13" s="48"/>
      <c r="BO13" s="48"/>
      <c r="BP13" s="48"/>
      <c r="BQ13" s="48"/>
      <c r="BR13" s="48"/>
      <c r="BS13" s="48"/>
      <c r="BT13" s="48"/>
      <c r="BU13" s="48"/>
      <c r="BV13" s="48"/>
      <c r="BW13" s="48"/>
      <c r="BX13" s="48"/>
      <c r="BY13" s="48"/>
      <c r="BZ13" s="48"/>
      <c r="CA13" s="48"/>
      <c r="CB13" s="48"/>
      <c r="CC13" s="48"/>
      <c r="CD13" s="48"/>
      <c r="CE13" s="48"/>
      <c r="CF13" s="48"/>
      <c r="CG13" s="48"/>
      <c r="CH13" s="48"/>
      <c r="CI13" s="48"/>
      <c r="CJ13" s="48"/>
      <c r="CK13" s="48"/>
      <c r="CL13" s="48"/>
      <c r="CM13" s="48"/>
      <c r="CN13" s="48"/>
      <c r="CO13" s="48"/>
      <c r="CP13" s="48"/>
      <c r="CQ13" s="48"/>
      <c r="CR13" s="48"/>
      <c r="CS13" s="48"/>
      <c r="CT13" s="48"/>
      <c r="CU13" s="48"/>
      <c r="CV13" s="48"/>
      <c r="CW13" s="48"/>
      <c r="CX13" s="48"/>
      <c r="CY13" s="48"/>
      <c r="CZ13" s="48"/>
    </row>
    <row r="14" spans="1:104" s="55" customFormat="1" ht="14" customHeight="1" x14ac:dyDescent="0.2">
      <c r="A14" s="56"/>
      <c r="B14" s="52" t="s">
        <v>149</v>
      </c>
      <c r="C14" s="48" t="s">
        <v>168</v>
      </c>
      <c r="D14" s="48"/>
      <c r="E14" s="48"/>
      <c r="F14" s="48"/>
      <c r="G14" s="48"/>
      <c r="H14" s="48"/>
      <c r="I14" s="48"/>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48"/>
      <c r="BA14" s="48"/>
      <c r="BB14" s="48"/>
      <c r="BC14" s="48"/>
      <c r="BD14" s="48"/>
      <c r="BE14" s="48"/>
      <c r="BF14" s="48"/>
      <c r="BG14" s="48"/>
      <c r="BH14" s="48"/>
      <c r="BI14" s="48"/>
      <c r="BJ14" s="48"/>
      <c r="BK14" s="48"/>
      <c r="BL14" s="48"/>
      <c r="BM14" s="48"/>
      <c r="BN14" s="48"/>
      <c r="BO14" s="48"/>
      <c r="BP14" s="48"/>
      <c r="BQ14" s="48"/>
      <c r="BR14" s="48"/>
      <c r="BS14" s="48"/>
      <c r="BT14" s="48"/>
      <c r="BU14" s="48"/>
      <c r="BV14" s="48"/>
      <c r="BW14" s="48"/>
      <c r="BX14" s="48"/>
      <c r="BY14" s="48"/>
      <c r="BZ14" s="48"/>
      <c r="CA14" s="48"/>
      <c r="CB14" s="48"/>
      <c r="CC14" s="48"/>
      <c r="CD14" s="48"/>
      <c r="CE14" s="48"/>
      <c r="CF14" s="48"/>
      <c r="CG14" s="48"/>
      <c r="CH14" s="48"/>
      <c r="CI14" s="48"/>
      <c r="CJ14" s="48"/>
      <c r="CK14" s="48"/>
      <c r="CL14" s="48"/>
      <c r="CM14" s="48"/>
      <c r="CN14" s="48"/>
      <c r="CO14" s="48"/>
      <c r="CP14" s="48"/>
      <c r="CQ14" s="48"/>
      <c r="CR14" s="48"/>
      <c r="CS14" s="48"/>
      <c r="CT14" s="48"/>
      <c r="CU14" s="48"/>
      <c r="CV14" s="48"/>
      <c r="CW14" s="48"/>
      <c r="CX14" s="48"/>
      <c r="CY14" s="48"/>
      <c r="CZ14" s="48"/>
    </row>
    <row r="15" spans="1:104" s="55" customFormat="1" ht="14" customHeight="1" x14ac:dyDescent="0.2">
      <c r="A15" s="56"/>
      <c r="B15" s="52" t="s">
        <v>150</v>
      </c>
      <c r="C15" s="48" t="s">
        <v>168</v>
      </c>
      <c r="D15" s="48"/>
      <c r="E15" s="48"/>
      <c r="F15" s="48"/>
      <c r="G15" s="48"/>
      <c r="H15" s="48"/>
      <c r="I15" s="48"/>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48"/>
      <c r="BA15" s="48"/>
      <c r="BB15" s="48"/>
      <c r="BC15" s="48"/>
      <c r="BD15" s="48"/>
      <c r="BE15" s="48"/>
      <c r="BF15" s="48"/>
      <c r="BG15" s="48"/>
      <c r="BH15" s="48"/>
      <c r="BI15" s="48"/>
      <c r="BJ15" s="48"/>
      <c r="BK15" s="48"/>
      <c r="BL15" s="48"/>
      <c r="BM15" s="48"/>
      <c r="BN15" s="48"/>
      <c r="BO15" s="48"/>
      <c r="BP15" s="48"/>
      <c r="BQ15" s="48"/>
      <c r="BR15" s="48"/>
      <c r="BS15" s="48"/>
      <c r="BT15" s="48"/>
      <c r="BU15" s="48"/>
      <c r="BV15" s="48"/>
      <c r="BW15" s="48"/>
      <c r="BX15" s="48"/>
      <c r="BY15" s="48"/>
      <c r="BZ15" s="48"/>
      <c r="CA15" s="48"/>
      <c r="CB15" s="48"/>
      <c r="CC15" s="48"/>
      <c r="CD15" s="48"/>
      <c r="CE15" s="48"/>
      <c r="CF15" s="48"/>
      <c r="CG15" s="48"/>
      <c r="CH15" s="48"/>
      <c r="CI15" s="48"/>
      <c r="CJ15" s="48"/>
      <c r="CK15" s="48"/>
      <c r="CL15" s="48"/>
      <c r="CM15" s="48"/>
      <c r="CN15" s="48"/>
      <c r="CO15" s="48"/>
      <c r="CP15" s="48"/>
      <c r="CQ15" s="48"/>
      <c r="CR15" s="48"/>
      <c r="CS15" s="48"/>
      <c r="CT15" s="48"/>
      <c r="CU15" s="48"/>
      <c r="CV15" s="48"/>
      <c r="CW15" s="48"/>
      <c r="CX15" s="48"/>
      <c r="CY15" s="48"/>
      <c r="CZ15" s="48"/>
    </row>
    <row r="16" spans="1:104" s="55" customFormat="1" ht="14" customHeight="1" x14ac:dyDescent="0.15">
      <c r="A16" s="176"/>
      <c r="B16" s="167" t="s">
        <v>145</v>
      </c>
      <c r="C16" s="50" t="s">
        <v>169</v>
      </c>
      <c r="D16" s="48"/>
      <c r="E16" s="48"/>
      <c r="F16" s="48"/>
      <c r="G16" s="48"/>
      <c r="H16" s="48"/>
      <c r="I16" s="48"/>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48"/>
      <c r="BA16" s="48"/>
      <c r="BB16" s="48"/>
      <c r="BC16" s="48"/>
      <c r="BD16" s="48"/>
      <c r="BE16" s="48"/>
      <c r="BF16" s="48"/>
      <c r="BG16" s="48"/>
      <c r="BH16" s="48"/>
      <c r="BI16" s="48"/>
      <c r="BJ16" s="48"/>
      <c r="BK16" s="48"/>
      <c r="BL16" s="48"/>
      <c r="BM16" s="48"/>
      <c r="BN16" s="48"/>
      <c r="BO16" s="48"/>
      <c r="BP16" s="48"/>
      <c r="BQ16" s="48"/>
      <c r="BR16" s="48"/>
      <c r="BS16" s="48"/>
      <c r="BT16" s="48"/>
      <c r="BU16" s="48"/>
      <c r="BV16" s="48"/>
      <c r="BW16" s="48"/>
      <c r="BX16" s="48"/>
      <c r="BY16" s="48"/>
      <c r="BZ16" s="48"/>
      <c r="CA16" s="48"/>
      <c r="CB16" s="48"/>
      <c r="CC16" s="48"/>
      <c r="CD16" s="48"/>
      <c r="CE16" s="48"/>
      <c r="CF16" s="48"/>
      <c r="CG16" s="48"/>
      <c r="CH16" s="48"/>
      <c r="CI16" s="48"/>
      <c r="CJ16" s="48"/>
      <c r="CK16" s="48"/>
      <c r="CL16" s="48"/>
      <c r="CM16" s="48"/>
      <c r="CN16" s="48"/>
      <c r="CO16" s="48"/>
      <c r="CP16" s="48"/>
      <c r="CQ16" s="48"/>
      <c r="CR16" s="48"/>
      <c r="CS16" s="48"/>
      <c r="CT16" s="48"/>
      <c r="CU16" s="48"/>
      <c r="CV16" s="48"/>
      <c r="CW16" s="48"/>
      <c r="CX16" s="48"/>
      <c r="CY16" s="48"/>
      <c r="CZ16" s="48"/>
    </row>
    <row r="17" spans="1:104" s="55" customFormat="1" ht="18" customHeight="1" x14ac:dyDescent="0.15">
      <c r="A17" s="50"/>
      <c r="B17" s="54" t="s">
        <v>146</v>
      </c>
      <c r="C17" s="50" t="s">
        <v>170</v>
      </c>
      <c r="D17" s="50"/>
      <c r="E17" s="50"/>
      <c r="F17" s="50"/>
      <c r="G17" s="270"/>
      <c r="H17" s="50"/>
      <c r="I17" s="50"/>
      <c r="J17" s="50"/>
      <c r="K17" s="271"/>
      <c r="L17" s="49"/>
      <c r="M17" s="49"/>
      <c r="N17" s="49"/>
      <c r="O17" s="50"/>
      <c r="P17" s="50"/>
      <c r="Q17" s="50"/>
      <c r="R17" s="50"/>
      <c r="S17" s="50"/>
      <c r="T17" s="50"/>
      <c r="U17" s="50"/>
      <c r="V17" s="50"/>
      <c r="W17" s="50"/>
      <c r="X17" s="50"/>
      <c r="Y17" s="50"/>
      <c r="Z17" s="50"/>
      <c r="AA17" s="50"/>
      <c r="AB17" s="50"/>
      <c r="AC17" s="50"/>
      <c r="AD17" s="50"/>
      <c r="AE17" s="50"/>
      <c r="AF17" s="50"/>
      <c r="AG17" s="50"/>
      <c r="AH17" s="50"/>
      <c r="AI17" s="50"/>
      <c r="AJ17" s="50"/>
      <c r="AK17" s="50"/>
      <c r="AL17" s="50"/>
      <c r="AM17" s="50"/>
      <c r="AN17" s="50"/>
      <c r="AO17" s="50"/>
      <c r="AP17" s="50"/>
      <c r="AQ17" s="50"/>
      <c r="AR17" s="50"/>
      <c r="AS17" s="50"/>
      <c r="AT17" s="50"/>
      <c r="AU17" s="50"/>
      <c r="AV17" s="50"/>
      <c r="AW17" s="50"/>
      <c r="AX17" s="50"/>
      <c r="AY17" s="50"/>
      <c r="AZ17" s="50"/>
      <c r="BA17" s="50"/>
      <c r="BB17" s="50"/>
      <c r="BC17" s="50"/>
      <c r="BD17" s="50"/>
      <c r="BE17" s="50"/>
      <c r="BF17" s="50"/>
      <c r="BG17" s="50"/>
      <c r="BH17" s="50"/>
      <c r="BI17" s="50"/>
      <c r="BJ17" s="50"/>
      <c r="BK17" s="50"/>
      <c r="BL17" s="50"/>
      <c r="BM17" s="50"/>
      <c r="BN17" s="50"/>
      <c r="BO17" s="50"/>
      <c r="BP17" s="50"/>
      <c r="BQ17" s="50"/>
      <c r="BR17" s="50"/>
      <c r="BS17" s="50"/>
      <c r="BT17" s="50"/>
      <c r="BU17" s="50"/>
      <c r="BV17" s="50"/>
      <c r="BW17" s="50"/>
      <c r="BX17" s="50"/>
      <c r="BY17" s="50"/>
      <c r="BZ17" s="50"/>
      <c r="CA17" s="50"/>
      <c r="CB17" s="50"/>
      <c r="CC17" s="50"/>
      <c r="CD17" s="50"/>
      <c r="CE17" s="50"/>
      <c r="CF17" s="50"/>
      <c r="CG17" s="50"/>
      <c r="CH17" s="50"/>
      <c r="CI17" s="50"/>
      <c r="CJ17" s="50"/>
      <c r="CK17" s="50"/>
      <c r="CL17" s="50"/>
      <c r="CM17" s="50"/>
      <c r="CN17" s="50"/>
      <c r="CO17" s="50"/>
      <c r="CP17" s="50"/>
      <c r="CQ17" s="50"/>
      <c r="CR17" s="50"/>
      <c r="CS17" s="50"/>
      <c r="CT17" s="50"/>
      <c r="CU17" s="50"/>
      <c r="CV17" s="50"/>
      <c r="CW17" s="50"/>
      <c r="CX17" s="50"/>
      <c r="CY17" s="50"/>
      <c r="CZ17" s="50"/>
    </row>
    <row r="18" spans="1:104" s="51" customFormat="1" ht="22" customHeight="1" x14ac:dyDescent="0.2">
      <c r="A18" s="50"/>
      <c r="B18" s="168" t="s">
        <v>147</v>
      </c>
      <c r="C18" s="50" t="s">
        <v>171</v>
      </c>
      <c r="D18" s="50"/>
      <c r="E18" s="50"/>
      <c r="F18" s="50"/>
      <c r="G18" s="270"/>
      <c r="H18" s="50"/>
      <c r="I18" s="50"/>
      <c r="J18" s="50"/>
      <c r="K18" s="50"/>
      <c r="L18" s="50"/>
      <c r="M18" s="50"/>
      <c r="N18" s="50"/>
      <c r="O18" s="50"/>
      <c r="P18" s="50"/>
      <c r="Q18" s="50"/>
      <c r="R18" s="50"/>
      <c r="S18" s="50"/>
      <c r="T18" s="50"/>
      <c r="U18" s="50"/>
      <c r="V18" s="50"/>
      <c r="W18" s="50"/>
      <c r="X18" s="50"/>
      <c r="Y18" s="50"/>
      <c r="Z18" s="50"/>
      <c r="AA18" s="50"/>
      <c r="AB18" s="50"/>
      <c r="AC18" s="50"/>
      <c r="AD18" s="50"/>
      <c r="AE18" s="50"/>
      <c r="AF18" s="50"/>
      <c r="AG18" s="50"/>
      <c r="AH18" s="50"/>
      <c r="AI18" s="50"/>
      <c r="AJ18" s="50"/>
      <c r="AK18" s="50"/>
      <c r="AL18" s="50"/>
      <c r="AM18" s="50"/>
      <c r="AN18" s="50"/>
      <c r="AO18" s="50"/>
      <c r="AP18" s="50"/>
      <c r="AQ18" s="50"/>
      <c r="AR18" s="50"/>
      <c r="AS18" s="50"/>
      <c r="AT18" s="50"/>
      <c r="AU18" s="50"/>
      <c r="AV18" s="50"/>
      <c r="AW18" s="50"/>
      <c r="AX18" s="50"/>
      <c r="AY18" s="50"/>
      <c r="AZ18" s="50"/>
      <c r="BA18" s="50"/>
      <c r="BB18" s="50"/>
      <c r="BC18" s="50"/>
      <c r="BD18" s="50"/>
      <c r="BE18" s="50"/>
      <c r="BF18" s="50"/>
      <c r="BG18" s="50"/>
      <c r="BH18" s="50"/>
      <c r="BI18" s="50"/>
      <c r="BJ18" s="50"/>
      <c r="BK18" s="50"/>
      <c r="BL18" s="50"/>
      <c r="BM18" s="50"/>
      <c r="BN18" s="50"/>
      <c r="BO18" s="50"/>
      <c r="BP18" s="50"/>
      <c r="BQ18" s="50"/>
      <c r="BR18" s="50"/>
      <c r="BS18" s="50"/>
      <c r="BT18" s="50"/>
      <c r="BU18" s="50"/>
      <c r="BV18" s="50"/>
      <c r="BW18" s="50"/>
      <c r="BX18" s="50"/>
      <c r="BY18" s="50"/>
      <c r="BZ18" s="50"/>
      <c r="CA18" s="50"/>
      <c r="CB18" s="50"/>
      <c r="CC18" s="50"/>
      <c r="CD18" s="50"/>
      <c r="CE18" s="50"/>
      <c r="CF18" s="50"/>
      <c r="CG18" s="50"/>
      <c r="CH18" s="50"/>
      <c r="CI18" s="50"/>
      <c r="CJ18" s="50"/>
      <c r="CK18" s="50"/>
      <c r="CL18" s="50"/>
      <c r="CM18" s="50"/>
      <c r="CN18" s="50"/>
      <c r="CO18" s="50"/>
      <c r="CP18" s="50"/>
      <c r="CQ18" s="50"/>
      <c r="CR18" s="50"/>
      <c r="CS18" s="50"/>
      <c r="CT18" s="50"/>
      <c r="CU18" s="50"/>
      <c r="CV18" s="50"/>
      <c r="CW18" s="50"/>
      <c r="CX18" s="50"/>
      <c r="CY18" s="50"/>
      <c r="CZ18" s="50"/>
    </row>
    <row r="19" spans="1:104" s="51" customFormat="1" ht="23" customHeight="1" x14ac:dyDescent="0.2">
      <c r="A19" s="50"/>
      <c r="B19" s="169" t="s">
        <v>186</v>
      </c>
      <c r="C19" s="50" t="s">
        <v>172</v>
      </c>
      <c r="D19" s="50"/>
      <c r="E19" s="50"/>
      <c r="F19" s="50"/>
      <c r="G19" s="272"/>
      <c r="H19" s="272"/>
      <c r="I19" s="50"/>
      <c r="J19" s="50"/>
      <c r="K19" s="50"/>
      <c r="L19" s="50"/>
      <c r="M19" s="50"/>
      <c r="N19" s="50"/>
      <c r="O19" s="50"/>
      <c r="P19" s="50"/>
      <c r="Q19" s="50"/>
      <c r="R19" s="50"/>
      <c r="S19" s="50"/>
      <c r="T19" s="50"/>
      <c r="U19" s="50"/>
      <c r="V19" s="50"/>
      <c r="W19" s="50"/>
      <c r="X19" s="50"/>
      <c r="Y19" s="50"/>
      <c r="Z19" s="50"/>
      <c r="AA19" s="50"/>
      <c r="AB19" s="50"/>
      <c r="AC19" s="50"/>
      <c r="AD19" s="50"/>
      <c r="AE19" s="50"/>
      <c r="AF19" s="50"/>
      <c r="AG19" s="50"/>
      <c r="AH19" s="50"/>
      <c r="AI19" s="50"/>
      <c r="AJ19" s="50"/>
      <c r="AK19" s="50"/>
      <c r="AL19" s="50"/>
      <c r="AM19" s="50"/>
      <c r="AN19" s="50"/>
      <c r="AO19" s="50"/>
      <c r="AP19" s="50"/>
      <c r="AQ19" s="50"/>
      <c r="AR19" s="50"/>
      <c r="AS19" s="50"/>
      <c r="AT19" s="50"/>
      <c r="AU19" s="50"/>
      <c r="AV19" s="50"/>
      <c r="AW19" s="50"/>
      <c r="AX19" s="50"/>
      <c r="AY19" s="50"/>
      <c r="AZ19" s="50"/>
      <c r="BA19" s="50"/>
      <c r="BB19" s="50"/>
      <c r="BC19" s="50"/>
      <c r="BD19" s="50"/>
      <c r="BE19" s="50"/>
      <c r="BF19" s="50"/>
      <c r="BG19" s="50"/>
      <c r="BH19" s="50"/>
      <c r="BI19" s="50"/>
      <c r="BJ19" s="50"/>
      <c r="BK19" s="50"/>
      <c r="BL19" s="50"/>
      <c r="BM19" s="50"/>
      <c r="BN19" s="50"/>
      <c r="BO19" s="50"/>
      <c r="BP19" s="50"/>
      <c r="BQ19" s="50"/>
      <c r="BR19" s="50"/>
      <c r="BS19" s="50"/>
      <c r="BT19" s="50"/>
      <c r="BU19" s="50"/>
      <c r="BV19" s="50"/>
      <c r="BW19" s="50"/>
      <c r="BX19" s="50"/>
      <c r="BY19" s="50"/>
      <c r="BZ19" s="50"/>
      <c r="CA19" s="50"/>
      <c r="CB19" s="50"/>
      <c r="CC19" s="50"/>
      <c r="CD19" s="50"/>
      <c r="CE19" s="50"/>
      <c r="CF19" s="50"/>
      <c r="CG19" s="50"/>
      <c r="CH19" s="50"/>
      <c r="CI19" s="50"/>
      <c r="CJ19" s="50"/>
      <c r="CK19" s="50"/>
      <c r="CL19" s="50"/>
      <c r="CM19" s="50"/>
      <c r="CN19" s="50"/>
      <c r="CO19" s="50"/>
      <c r="CP19" s="50"/>
      <c r="CQ19" s="50"/>
      <c r="CR19" s="50"/>
      <c r="CS19" s="50"/>
      <c r="CT19" s="50"/>
      <c r="CU19" s="50"/>
      <c r="CV19" s="50"/>
      <c r="CW19" s="50"/>
      <c r="CX19" s="50"/>
      <c r="CY19" s="50"/>
      <c r="CZ19" s="50"/>
    </row>
    <row r="20" spans="1:104" s="51" customFormat="1" ht="23" customHeight="1" x14ac:dyDescent="0.2">
      <c r="A20" s="50"/>
      <c r="B20" s="273" t="s">
        <v>392</v>
      </c>
      <c r="C20" s="50" t="s">
        <v>393</v>
      </c>
      <c r="D20" s="50"/>
      <c r="E20" s="50"/>
      <c r="F20" s="50"/>
      <c r="G20" s="272"/>
      <c r="H20" s="272"/>
      <c r="I20" s="50"/>
      <c r="J20" s="50"/>
      <c r="K20" s="50"/>
      <c r="L20" s="50"/>
      <c r="M20" s="50"/>
      <c r="N20" s="50"/>
      <c r="O20" s="50"/>
      <c r="P20" s="50"/>
      <c r="Q20" s="50"/>
      <c r="R20" s="50"/>
      <c r="S20" s="50"/>
      <c r="T20" s="50"/>
      <c r="U20" s="50"/>
      <c r="V20" s="50"/>
      <c r="W20" s="50"/>
      <c r="X20" s="50"/>
      <c r="Y20" s="50"/>
      <c r="Z20" s="50"/>
      <c r="AA20" s="50"/>
      <c r="AB20" s="50"/>
      <c r="AC20" s="50"/>
      <c r="AD20" s="50"/>
      <c r="AE20" s="50"/>
      <c r="AF20" s="50"/>
      <c r="AG20" s="50"/>
      <c r="AH20" s="50"/>
      <c r="AI20" s="50"/>
      <c r="AJ20" s="50"/>
      <c r="AK20" s="50"/>
      <c r="AL20" s="50"/>
      <c r="AM20" s="50"/>
      <c r="AN20" s="50"/>
      <c r="AO20" s="50"/>
      <c r="AP20" s="50"/>
      <c r="AQ20" s="50"/>
      <c r="AR20" s="50"/>
      <c r="AS20" s="50"/>
      <c r="AT20" s="50"/>
      <c r="AU20" s="50"/>
      <c r="AV20" s="50"/>
      <c r="AW20" s="50"/>
      <c r="AX20" s="50"/>
      <c r="AY20" s="50"/>
      <c r="AZ20" s="50"/>
      <c r="BA20" s="50"/>
      <c r="BB20" s="50"/>
      <c r="BC20" s="50"/>
      <c r="BD20" s="50"/>
      <c r="BE20" s="50"/>
      <c r="BF20" s="50"/>
      <c r="BG20" s="50"/>
      <c r="BH20" s="50"/>
      <c r="BI20" s="50"/>
      <c r="BJ20" s="50"/>
      <c r="BK20" s="50"/>
      <c r="BL20" s="50"/>
      <c r="BM20" s="50"/>
      <c r="BN20" s="50"/>
      <c r="BO20" s="50"/>
      <c r="BP20" s="50"/>
      <c r="BQ20" s="50"/>
      <c r="BR20" s="50"/>
      <c r="BS20" s="50"/>
      <c r="BT20" s="50"/>
      <c r="BU20" s="50"/>
      <c r="BV20" s="50"/>
      <c r="BW20" s="50"/>
      <c r="BX20" s="50"/>
      <c r="BY20" s="50"/>
      <c r="BZ20" s="50"/>
      <c r="CA20" s="50"/>
      <c r="CB20" s="50"/>
      <c r="CC20" s="50"/>
      <c r="CD20" s="50"/>
      <c r="CE20" s="50"/>
      <c r="CF20" s="50"/>
      <c r="CG20" s="50"/>
      <c r="CH20" s="50"/>
      <c r="CI20" s="50"/>
      <c r="CJ20" s="50"/>
      <c r="CK20" s="50"/>
      <c r="CL20" s="50"/>
      <c r="CM20" s="50"/>
      <c r="CN20" s="50"/>
      <c r="CO20" s="50"/>
      <c r="CP20" s="50"/>
      <c r="CQ20" s="50"/>
      <c r="CR20" s="50"/>
      <c r="CS20" s="50"/>
      <c r="CT20" s="50"/>
      <c r="CU20" s="50"/>
      <c r="CV20" s="50"/>
      <c r="CW20" s="50"/>
      <c r="CX20" s="50"/>
      <c r="CY20" s="50"/>
      <c r="CZ20" s="50"/>
    </row>
    <row r="21" spans="1:104" s="51" customFormat="1" ht="24.75" customHeight="1" x14ac:dyDescent="0.2">
      <c r="A21" s="50"/>
      <c r="B21" s="207" t="s">
        <v>256</v>
      </c>
      <c r="C21" s="50" t="s">
        <v>257</v>
      </c>
      <c r="D21" s="50"/>
      <c r="E21" s="50"/>
      <c r="F21" s="50"/>
      <c r="G21" s="272"/>
      <c r="H21" s="272"/>
      <c r="I21" s="50"/>
      <c r="J21" s="50"/>
      <c r="K21" s="50"/>
      <c r="L21" s="50"/>
      <c r="M21" s="50"/>
      <c r="N21" s="50"/>
      <c r="O21" s="50"/>
      <c r="P21" s="50"/>
      <c r="Q21" s="50"/>
      <c r="R21" s="50"/>
      <c r="S21" s="50"/>
      <c r="T21" s="50"/>
      <c r="U21" s="50"/>
      <c r="V21" s="50"/>
      <c r="W21" s="50"/>
      <c r="X21" s="50"/>
      <c r="Y21" s="50"/>
      <c r="Z21" s="50"/>
      <c r="AA21" s="50"/>
      <c r="AB21" s="50"/>
      <c r="AC21" s="50"/>
      <c r="AD21" s="50"/>
      <c r="AE21" s="50"/>
      <c r="AF21" s="50"/>
      <c r="AG21" s="50"/>
      <c r="AH21" s="50"/>
      <c r="AI21" s="50"/>
      <c r="AJ21" s="50"/>
      <c r="AK21" s="50"/>
      <c r="AL21" s="50"/>
      <c r="AM21" s="50"/>
      <c r="AN21" s="50"/>
      <c r="AO21" s="50"/>
      <c r="AP21" s="50"/>
      <c r="AQ21" s="50"/>
      <c r="AR21" s="50"/>
      <c r="AS21" s="50"/>
      <c r="AT21" s="50"/>
      <c r="AU21" s="50"/>
      <c r="AV21" s="50"/>
      <c r="AW21" s="50"/>
      <c r="AX21" s="50"/>
      <c r="AY21" s="50"/>
      <c r="AZ21" s="50"/>
      <c r="BA21" s="50"/>
      <c r="BB21" s="50"/>
      <c r="BC21" s="50"/>
      <c r="BD21" s="50"/>
      <c r="BE21" s="50"/>
      <c r="BF21" s="50"/>
      <c r="BG21" s="50"/>
      <c r="BH21" s="50"/>
      <c r="BI21" s="50"/>
      <c r="BJ21" s="50"/>
      <c r="BK21" s="50"/>
      <c r="BL21" s="50"/>
      <c r="BM21" s="50"/>
      <c r="BN21" s="50"/>
      <c r="BO21" s="50"/>
      <c r="BP21" s="50"/>
      <c r="BQ21" s="50"/>
      <c r="BR21" s="50"/>
      <c r="BS21" s="50"/>
      <c r="BT21" s="50"/>
      <c r="BU21" s="50"/>
      <c r="BV21" s="50"/>
      <c r="BW21" s="50"/>
      <c r="BX21" s="50"/>
      <c r="BY21" s="50"/>
      <c r="BZ21" s="50"/>
      <c r="CA21" s="50"/>
      <c r="CB21" s="50"/>
      <c r="CC21" s="50"/>
      <c r="CD21" s="50"/>
      <c r="CE21" s="50"/>
      <c r="CF21" s="50"/>
      <c r="CG21" s="50"/>
      <c r="CH21" s="50"/>
      <c r="CI21" s="50"/>
      <c r="CJ21" s="50"/>
      <c r="CK21" s="50"/>
      <c r="CL21" s="50"/>
      <c r="CM21" s="50"/>
      <c r="CN21" s="50"/>
      <c r="CO21" s="50"/>
      <c r="CP21" s="50"/>
      <c r="CQ21" s="50"/>
      <c r="CR21" s="50"/>
      <c r="CS21" s="50"/>
      <c r="CT21" s="50"/>
      <c r="CU21" s="50"/>
      <c r="CV21" s="50"/>
      <c r="CW21" s="50"/>
      <c r="CX21" s="50"/>
      <c r="CY21" s="50"/>
      <c r="CZ21" s="50"/>
    </row>
    <row r="22" spans="1:104" s="51" customFormat="1" ht="24.75" customHeight="1" x14ac:dyDescent="0.2">
      <c r="A22" s="50"/>
      <c r="B22" s="207" t="s">
        <v>394</v>
      </c>
      <c r="C22" s="50" t="s">
        <v>395</v>
      </c>
      <c r="D22" s="50"/>
      <c r="E22" s="50"/>
      <c r="F22" s="50"/>
      <c r="G22" s="272"/>
      <c r="H22" s="272"/>
      <c r="I22" s="50"/>
      <c r="J22" s="50"/>
      <c r="K22" s="50"/>
      <c r="L22" s="50"/>
      <c r="M22" s="50"/>
      <c r="N22" s="50"/>
      <c r="O22" s="50"/>
      <c r="P22" s="50"/>
      <c r="Q22" s="50"/>
      <c r="R22" s="50"/>
      <c r="S22" s="50"/>
      <c r="T22" s="50"/>
      <c r="U22" s="50"/>
      <c r="V22" s="50"/>
      <c r="W22" s="50"/>
      <c r="X22" s="50"/>
      <c r="Y22" s="50"/>
      <c r="Z22" s="50"/>
      <c r="AA22" s="50"/>
      <c r="AB22" s="50"/>
      <c r="AC22" s="50"/>
      <c r="AD22" s="50"/>
      <c r="AE22" s="50"/>
      <c r="AF22" s="50"/>
      <c r="AG22" s="50"/>
      <c r="AH22" s="50"/>
      <c r="AI22" s="50"/>
      <c r="AJ22" s="50"/>
      <c r="AK22" s="50"/>
      <c r="AL22" s="50"/>
      <c r="AM22" s="50"/>
      <c r="AN22" s="50"/>
      <c r="AO22" s="50"/>
      <c r="AP22" s="50"/>
      <c r="AQ22" s="50"/>
      <c r="AR22" s="50"/>
      <c r="AS22" s="50"/>
      <c r="AT22" s="50"/>
      <c r="AU22" s="50"/>
      <c r="AV22" s="50"/>
      <c r="AW22" s="50"/>
      <c r="AX22" s="50"/>
      <c r="AY22" s="50"/>
      <c r="AZ22" s="50"/>
      <c r="BA22" s="50"/>
      <c r="BB22" s="50"/>
      <c r="BC22" s="50"/>
      <c r="BD22" s="50"/>
      <c r="BE22" s="50"/>
      <c r="BF22" s="50"/>
      <c r="BG22" s="50"/>
      <c r="BH22" s="50"/>
      <c r="BI22" s="50"/>
      <c r="BJ22" s="50"/>
      <c r="BK22" s="50"/>
      <c r="BL22" s="50"/>
      <c r="BM22" s="50"/>
      <c r="BN22" s="50"/>
      <c r="BO22" s="50"/>
      <c r="BP22" s="50"/>
      <c r="BQ22" s="50"/>
      <c r="BR22" s="50"/>
      <c r="BS22" s="50"/>
      <c r="BT22" s="50"/>
      <c r="BU22" s="50"/>
      <c r="BV22" s="50"/>
      <c r="BW22" s="50"/>
      <c r="BX22" s="50"/>
      <c r="BY22" s="50"/>
      <c r="BZ22" s="50"/>
      <c r="CA22" s="50"/>
      <c r="CB22" s="50"/>
      <c r="CC22" s="50"/>
      <c r="CD22" s="50"/>
      <c r="CE22" s="50"/>
      <c r="CF22" s="50"/>
      <c r="CG22" s="50"/>
      <c r="CH22" s="50"/>
      <c r="CI22" s="50"/>
      <c r="CJ22" s="50"/>
      <c r="CK22" s="50"/>
      <c r="CL22" s="50"/>
      <c r="CM22" s="50"/>
      <c r="CN22" s="50"/>
      <c r="CO22" s="50"/>
      <c r="CP22" s="50"/>
      <c r="CQ22" s="50"/>
      <c r="CR22" s="50"/>
      <c r="CS22" s="50"/>
      <c r="CT22" s="50"/>
      <c r="CU22" s="50"/>
      <c r="CV22" s="50"/>
      <c r="CW22" s="50"/>
      <c r="CX22" s="50"/>
      <c r="CY22" s="50"/>
      <c r="CZ22" s="50"/>
    </row>
    <row r="23" spans="1:104" s="51" customFormat="1" ht="24.75" customHeight="1" x14ac:dyDescent="0.2">
      <c r="A23" s="50"/>
      <c r="B23" s="274" t="s">
        <v>99</v>
      </c>
      <c r="C23" s="50" t="s">
        <v>396</v>
      </c>
      <c r="D23" s="50"/>
      <c r="E23" s="50"/>
      <c r="F23" s="50"/>
      <c r="G23" s="272"/>
      <c r="H23" s="272"/>
      <c r="I23" s="50"/>
      <c r="J23" s="50"/>
      <c r="K23" s="50"/>
      <c r="L23" s="50"/>
      <c r="M23" s="50"/>
      <c r="N23" s="50"/>
      <c r="O23" s="50"/>
      <c r="P23" s="50"/>
      <c r="Q23" s="50"/>
      <c r="R23" s="50"/>
      <c r="S23" s="50"/>
      <c r="T23" s="50"/>
      <c r="U23" s="50"/>
      <c r="V23" s="50"/>
      <c r="W23" s="50"/>
      <c r="X23" s="50"/>
      <c r="Y23" s="50"/>
      <c r="Z23" s="50"/>
      <c r="AA23" s="50"/>
      <c r="AB23" s="50"/>
      <c r="AC23" s="50"/>
      <c r="AD23" s="50"/>
      <c r="AE23" s="50"/>
      <c r="AF23" s="50"/>
      <c r="AG23" s="50"/>
      <c r="AH23" s="50"/>
      <c r="AI23" s="50"/>
      <c r="AJ23" s="50"/>
      <c r="AK23" s="50"/>
      <c r="AL23" s="50"/>
      <c r="AM23" s="50"/>
      <c r="AN23" s="50"/>
      <c r="AO23" s="50"/>
      <c r="AP23" s="50"/>
      <c r="AQ23" s="50"/>
      <c r="AR23" s="50"/>
      <c r="AS23" s="50"/>
      <c r="AT23" s="50"/>
      <c r="AU23" s="50"/>
      <c r="AV23" s="50"/>
      <c r="AW23" s="50"/>
      <c r="AX23" s="50"/>
      <c r="AY23" s="50"/>
      <c r="AZ23" s="50"/>
      <c r="BA23" s="50"/>
      <c r="BB23" s="50"/>
      <c r="BC23" s="50"/>
      <c r="BD23" s="50"/>
      <c r="BE23" s="50"/>
      <c r="BF23" s="50"/>
      <c r="BG23" s="50"/>
      <c r="BH23" s="50"/>
      <c r="BI23" s="50"/>
      <c r="BJ23" s="50"/>
      <c r="BK23" s="50"/>
      <c r="BL23" s="50"/>
      <c r="BM23" s="50"/>
      <c r="BN23" s="50"/>
      <c r="BO23" s="50"/>
      <c r="BP23" s="50"/>
      <c r="BQ23" s="50"/>
      <c r="BR23" s="50"/>
      <c r="BS23" s="50"/>
      <c r="BT23" s="50"/>
      <c r="BU23" s="50"/>
      <c r="BV23" s="50"/>
      <c r="BW23" s="50"/>
      <c r="BX23" s="50"/>
      <c r="BY23" s="50"/>
      <c r="BZ23" s="50"/>
      <c r="CA23" s="50"/>
      <c r="CB23" s="50"/>
      <c r="CC23" s="50"/>
      <c r="CD23" s="50"/>
      <c r="CE23" s="50"/>
      <c r="CF23" s="50"/>
      <c r="CG23" s="50"/>
      <c r="CH23" s="50"/>
      <c r="CI23" s="50"/>
      <c r="CJ23" s="50"/>
      <c r="CK23" s="50"/>
      <c r="CL23" s="50"/>
      <c r="CM23" s="50"/>
      <c r="CN23" s="50"/>
      <c r="CO23" s="50"/>
      <c r="CP23" s="50"/>
      <c r="CQ23" s="50"/>
      <c r="CR23" s="50"/>
      <c r="CS23" s="50"/>
      <c r="CT23" s="50"/>
      <c r="CU23" s="50"/>
      <c r="CV23" s="50"/>
      <c r="CW23" s="50"/>
      <c r="CX23" s="50"/>
      <c r="CY23" s="50"/>
      <c r="CZ23" s="50"/>
    </row>
    <row r="24" spans="1:104" s="51" customFormat="1" ht="24.75" customHeight="1" x14ac:dyDescent="0.2">
      <c r="A24" s="50"/>
      <c r="B24" s="207" t="s">
        <v>397</v>
      </c>
      <c r="C24" s="50" t="s">
        <v>398</v>
      </c>
      <c r="D24" s="50"/>
      <c r="E24" s="50"/>
      <c r="F24" s="50"/>
      <c r="G24" s="272"/>
      <c r="H24" s="272"/>
      <c r="I24" s="272"/>
      <c r="J24" s="50"/>
      <c r="K24" s="50"/>
      <c r="L24" s="50"/>
      <c r="M24" s="50"/>
      <c r="N24" s="50"/>
      <c r="O24" s="50"/>
      <c r="P24" s="50"/>
      <c r="Q24" s="50"/>
      <c r="R24" s="50"/>
      <c r="S24" s="50"/>
      <c r="T24" s="50"/>
      <c r="U24" s="50"/>
      <c r="V24" s="50"/>
      <c r="W24" s="50"/>
      <c r="X24" s="50"/>
      <c r="Y24" s="50"/>
      <c r="Z24" s="50"/>
      <c r="AA24" s="50"/>
      <c r="AB24" s="50"/>
      <c r="AC24" s="50"/>
      <c r="AD24" s="50"/>
      <c r="AE24" s="50"/>
      <c r="AF24" s="50"/>
      <c r="AG24" s="50"/>
      <c r="AH24" s="50"/>
      <c r="AI24" s="50"/>
      <c r="AJ24" s="50"/>
      <c r="AK24" s="50"/>
      <c r="AL24" s="50"/>
      <c r="AM24" s="50"/>
      <c r="AN24" s="50"/>
      <c r="AO24" s="50"/>
      <c r="AP24" s="50"/>
      <c r="AQ24" s="50"/>
      <c r="AR24" s="50"/>
      <c r="AS24" s="50"/>
      <c r="AT24" s="50"/>
      <c r="AU24" s="50"/>
      <c r="AV24" s="50"/>
      <c r="AW24" s="50"/>
      <c r="AX24" s="50"/>
      <c r="AY24" s="50"/>
      <c r="AZ24" s="50"/>
      <c r="BA24" s="50"/>
      <c r="BB24" s="50"/>
      <c r="BC24" s="50"/>
      <c r="BD24" s="50"/>
      <c r="BE24" s="50"/>
      <c r="BF24" s="50"/>
      <c r="BG24" s="50"/>
      <c r="BH24" s="50"/>
      <c r="BI24" s="50"/>
      <c r="BJ24" s="50"/>
      <c r="BK24" s="50"/>
      <c r="BL24" s="50"/>
      <c r="BM24" s="50"/>
      <c r="BN24" s="50"/>
      <c r="BO24" s="50"/>
      <c r="BP24" s="50"/>
      <c r="BQ24" s="50"/>
      <c r="BR24" s="50"/>
      <c r="BS24" s="50"/>
      <c r="BT24" s="50"/>
      <c r="BU24" s="50"/>
      <c r="BV24" s="50"/>
      <c r="BW24" s="50"/>
      <c r="BX24" s="50"/>
      <c r="BY24" s="50"/>
      <c r="BZ24" s="50"/>
      <c r="CA24" s="50"/>
      <c r="CB24" s="50"/>
      <c r="CC24" s="50"/>
      <c r="CD24" s="50"/>
      <c r="CE24" s="50"/>
      <c r="CF24" s="50"/>
      <c r="CG24" s="50"/>
      <c r="CH24" s="50"/>
      <c r="CI24" s="50"/>
      <c r="CJ24" s="50"/>
      <c r="CK24" s="50"/>
      <c r="CL24" s="50"/>
      <c r="CM24" s="50"/>
      <c r="CN24" s="50"/>
      <c r="CO24" s="50"/>
      <c r="CP24" s="50"/>
      <c r="CQ24" s="50"/>
      <c r="CR24" s="50"/>
      <c r="CS24" s="50"/>
      <c r="CT24" s="50"/>
      <c r="CU24" s="50"/>
      <c r="CV24" s="50"/>
      <c r="CW24" s="50"/>
      <c r="CX24" s="50"/>
      <c r="CY24" s="50"/>
      <c r="CZ24" s="50"/>
    </row>
    <row r="25" spans="1:104" s="51" customFormat="1" ht="24.75" customHeight="1" x14ac:dyDescent="0.2">
      <c r="A25" s="50"/>
      <c r="B25" s="274" t="s">
        <v>399</v>
      </c>
      <c r="C25" s="50" t="s">
        <v>400</v>
      </c>
      <c r="D25" s="50"/>
      <c r="E25" s="50"/>
      <c r="F25" s="50"/>
      <c r="G25" s="272"/>
      <c r="H25" s="272"/>
      <c r="I25" s="272"/>
      <c r="J25" s="50"/>
      <c r="K25" s="50"/>
      <c r="L25" s="50"/>
      <c r="M25" s="50"/>
      <c r="N25" s="50"/>
      <c r="O25" s="50"/>
      <c r="P25" s="50"/>
      <c r="Q25" s="50"/>
      <c r="R25" s="50"/>
      <c r="S25" s="50"/>
      <c r="T25" s="50"/>
      <c r="U25" s="50"/>
      <c r="V25" s="50"/>
      <c r="W25" s="50"/>
      <c r="X25" s="50"/>
      <c r="Y25" s="50"/>
      <c r="Z25" s="50"/>
      <c r="AA25" s="50"/>
      <c r="AB25" s="50"/>
      <c r="AC25" s="50"/>
      <c r="AD25" s="50"/>
      <c r="AE25" s="50"/>
      <c r="AF25" s="50"/>
      <c r="AG25" s="50"/>
      <c r="AH25" s="50"/>
      <c r="AI25" s="50"/>
      <c r="AJ25" s="50"/>
      <c r="AK25" s="50"/>
      <c r="AL25" s="50"/>
      <c r="AM25" s="50"/>
      <c r="AN25" s="50"/>
      <c r="AO25" s="50"/>
      <c r="AP25" s="50"/>
      <c r="AQ25" s="50"/>
      <c r="AR25" s="50"/>
      <c r="AS25" s="50"/>
      <c r="AT25" s="50"/>
      <c r="AU25" s="50"/>
      <c r="AV25" s="50"/>
      <c r="AW25" s="50"/>
      <c r="AX25" s="50"/>
      <c r="AY25" s="50"/>
      <c r="AZ25" s="50"/>
      <c r="BA25" s="50"/>
      <c r="BB25" s="50"/>
      <c r="BC25" s="50"/>
      <c r="BD25" s="50"/>
      <c r="BE25" s="50"/>
      <c r="BF25" s="50"/>
      <c r="BG25" s="50"/>
      <c r="BH25" s="50"/>
      <c r="BI25" s="50"/>
      <c r="BJ25" s="50"/>
      <c r="BK25" s="50"/>
      <c r="BL25" s="50"/>
      <c r="BM25" s="50"/>
      <c r="BN25" s="50"/>
      <c r="BO25" s="50"/>
      <c r="BP25" s="50"/>
      <c r="BQ25" s="50"/>
      <c r="BR25" s="50"/>
      <c r="BS25" s="50"/>
      <c r="BT25" s="50"/>
      <c r="BU25" s="50"/>
      <c r="BV25" s="50"/>
      <c r="BW25" s="50"/>
      <c r="BX25" s="50"/>
      <c r="BY25" s="50"/>
      <c r="BZ25" s="50"/>
      <c r="CA25" s="50"/>
      <c r="CB25" s="50"/>
      <c r="CC25" s="50"/>
      <c r="CD25" s="50"/>
      <c r="CE25" s="50"/>
      <c r="CF25" s="50"/>
      <c r="CG25" s="50"/>
      <c r="CH25" s="50"/>
      <c r="CI25" s="50"/>
      <c r="CJ25" s="50"/>
      <c r="CK25" s="50"/>
      <c r="CL25" s="50"/>
      <c r="CM25" s="50"/>
      <c r="CN25" s="50"/>
      <c r="CO25" s="50"/>
      <c r="CP25" s="50"/>
      <c r="CQ25" s="50"/>
      <c r="CR25" s="50"/>
      <c r="CS25" s="50"/>
      <c r="CT25" s="50"/>
      <c r="CU25" s="50"/>
      <c r="CV25" s="50"/>
      <c r="CW25" s="50"/>
      <c r="CX25" s="50"/>
      <c r="CY25" s="50"/>
      <c r="CZ25" s="50"/>
    </row>
    <row r="26" spans="1:104" s="51" customFormat="1" ht="24.75" customHeight="1" x14ac:dyDescent="0.2">
      <c r="A26" s="50"/>
      <c r="B26" s="275" t="s">
        <v>401</v>
      </c>
      <c r="C26" s="50" t="s">
        <v>402</v>
      </c>
      <c r="D26" s="50"/>
      <c r="E26" s="50"/>
      <c r="F26" s="50"/>
      <c r="G26" s="272"/>
      <c r="H26" s="272"/>
      <c r="I26" s="272"/>
      <c r="J26" s="50"/>
      <c r="K26" s="50"/>
      <c r="L26" s="50"/>
      <c r="M26" s="50"/>
      <c r="N26" s="50"/>
      <c r="O26" s="50"/>
      <c r="P26" s="50"/>
      <c r="Q26" s="50"/>
      <c r="R26" s="50"/>
      <c r="S26" s="50"/>
      <c r="T26" s="50"/>
      <c r="U26" s="50"/>
      <c r="V26" s="50"/>
      <c r="W26" s="50"/>
      <c r="X26" s="50"/>
      <c r="Y26" s="50"/>
      <c r="Z26" s="50"/>
      <c r="AA26" s="50"/>
      <c r="AB26" s="50"/>
      <c r="AC26" s="50"/>
      <c r="AD26" s="50"/>
      <c r="AE26" s="50"/>
      <c r="AF26" s="50"/>
      <c r="AG26" s="50"/>
      <c r="AH26" s="50"/>
      <c r="AI26" s="50"/>
      <c r="AJ26" s="50"/>
      <c r="AK26" s="50"/>
      <c r="AL26" s="50"/>
      <c r="AM26" s="50"/>
      <c r="AN26" s="50"/>
      <c r="AO26" s="50"/>
      <c r="AP26" s="50"/>
      <c r="AQ26" s="50"/>
      <c r="AR26" s="50"/>
      <c r="AS26" s="50"/>
      <c r="AT26" s="50"/>
      <c r="AU26" s="50"/>
      <c r="AV26" s="50"/>
      <c r="AW26" s="50"/>
      <c r="AX26" s="50"/>
      <c r="AY26" s="50"/>
      <c r="AZ26" s="50"/>
      <c r="BA26" s="50"/>
      <c r="BB26" s="50"/>
      <c r="BC26" s="50"/>
      <c r="BD26" s="50"/>
      <c r="BE26" s="50"/>
      <c r="BF26" s="50"/>
      <c r="BG26" s="50"/>
      <c r="BH26" s="50"/>
      <c r="BI26" s="50"/>
      <c r="BJ26" s="50"/>
      <c r="BK26" s="50"/>
      <c r="BL26" s="50"/>
      <c r="BM26" s="50"/>
      <c r="BN26" s="50"/>
      <c r="BO26" s="50"/>
      <c r="BP26" s="50"/>
      <c r="BQ26" s="50"/>
      <c r="BR26" s="50"/>
      <c r="BS26" s="50"/>
      <c r="BT26" s="50"/>
      <c r="BU26" s="50"/>
      <c r="BV26" s="50"/>
      <c r="BW26" s="50"/>
      <c r="BX26" s="50"/>
      <c r="BY26" s="50"/>
      <c r="BZ26" s="50"/>
      <c r="CA26" s="50"/>
      <c r="CB26" s="50"/>
      <c r="CC26" s="50"/>
      <c r="CD26" s="50"/>
      <c r="CE26" s="50"/>
      <c r="CF26" s="50"/>
      <c r="CG26" s="50"/>
      <c r="CH26" s="50"/>
      <c r="CI26" s="50"/>
      <c r="CJ26" s="50"/>
      <c r="CK26" s="50"/>
      <c r="CL26" s="50"/>
      <c r="CM26" s="50"/>
      <c r="CN26" s="50"/>
      <c r="CO26" s="50"/>
      <c r="CP26" s="50"/>
      <c r="CQ26" s="50"/>
      <c r="CR26" s="50"/>
      <c r="CS26" s="50"/>
      <c r="CT26" s="50"/>
      <c r="CU26" s="50"/>
      <c r="CV26" s="50"/>
      <c r="CW26" s="50"/>
      <c r="CX26" s="50"/>
      <c r="CY26" s="50"/>
      <c r="CZ26" s="50"/>
    </row>
    <row r="27" spans="1:104" s="51" customFormat="1" ht="24.75" customHeight="1" x14ac:dyDescent="0.2">
      <c r="A27" s="50"/>
      <c r="B27" s="207" t="s">
        <v>403</v>
      </c>
      <c r="C27" s="50" t="s">
        <v>404</v>
      </c>
      <c r="D27" s="50"/>
      <c r="E27" s="50"/>
      <c r="F27" s="50"/>
      <c r="G27" s="272"/>
      <c r="H27" s="272"/>
      <c r="I27" s="272"/>
      <c r="J27" s="50"/>
      <c r="K27" s="50"/>
      <c r="L27" s="50"/>
      <c r="M27" s="50"/>
      <c r="N27" s="50"/>
      <c r="O27" s="50"/>
      <c r="P27" s="50"/>
      <c r="Q27" s="50"/>
      <c r="R27" s="50"/>
      <c r="S27" s="50"/>
      <c r="T27" s="50"/>
      <c r="U27" s="50"/>
      <c r="V27" s="50"/>
      <c r="W27" s="50"/>
      <c r="X27" s="50"/>
      <c r="Y27" s="50"/>
      <c r="Z27" s="50"/>
      <c r="AA27" s="50"/>
      <c r="AB27" s="50"/>
      <c r="AC27" s="50"/>
      <c r="AD27" s="50"/>
      <c r="AE27" s="50"/>
      <c r="AF27" s="50"/>
      <c r="AG27" s="50"/>
      <c r="AH27" s="50"/>
      <c r="AI27" s="50"/>
      <c r="AJ27" s="50"/>
      <c r="AK27" s="50"/>
      <c r="AL27" s="50"/>
      <c r="AM27" s="50"/>
      <c r="AN27" s="50"/>
      <c r="AO27" s="50"/>
      <c r="AP27" s="50"/>
      <c r="AQ27" s="50"/>
      <c r="AR27" s="50"/>
      <c r="AS27" s="50"/>
      <c r="AT27" s="50"/>
      <c r="AU27" s="50"/>
      <c r="AV27" s="50"/>
      <c r="AW27" s="50"/>
      <c r="AX27" s="50"/>
      <c r="AY27" s="50"/>
      <c r="AZ27" s="50"/>
      <c r="BA27" s="50"/>
      <c r="BB27" s="50"/>
      <c r="BC27" s="50"/>
      <c r="BD27" s="50"/>
      <c r="BE27" s="50"/>
      <c r="BF27" s="50"/>
      <c r="BG27" s="50"/>
      <c r="BH27" s="50"/>
      <c r="BI27" s="50"/>
      <c r="BJ27" s="50"/>
      <c r="BK27" s="50"/>
      <c r="BL27" s="50"/>
      <c r="BM27" s="50"/>
      <c r="BN27" s="50"/>
      <c r="BO27" s="50"/>
      <c r="BP27" s="50"/>
      <c r="BQ27" s="50"/>
      <c r="BR27" s="50"/>
      <c r="BS27" s="50"/>
      <c r="BT27" s="50"/>
      <c r="BU27" s="50"/>
      <c r="BV27" s="50"/>
      <c r="BW27" s="50"/>
      <c r="BX27" s="50"/>
      <c r="BY27" s="50"/>
      <c r="BZ27" s="50"/>
      <c r="CA27" s="50"/>
      <c r="CB27" s="50"/>
      <c r="CC27" s="50"/>
      <c r="CD27" s="50"/>
      <c r="CE27" s="50"/>
      <c r="CF27" s="50"/>
      <c r="CG27" s="50"/>
      <c r="CH27" s="50"/>
      <c r="CI27" s="50"/>
      <c r="CJ27" s="50"/>
      <c r="CK27" s="50"/>
      <c r="CL27" s="50"/>
      <c r="CM27" s="50"/>
      <c r="CN27" s="50"/>
      <c r="CO27" s="50"/>
      <c r="CP27" s="50"/>
      <c r="CQ27" s="50"/>
      <c r="CR27" s="50"/>
      <c r="CS27" s="50"/>
      <c r="CT27" s="50"/>
      <c r="CU27" s="50"/>
      <c r="CV27" s="50"/>
      <c r="CW27" s="50"/>
      <c r="CX27" s="50"/>
      <c r="CY27" s="50"/>
      <c r="CZ27" s="50"/>
    </row>
    <row r="28" spans="1:104" s="51" customFormat="1" ht="24.75" customHeight="1" x14ac:dyDescent="0.2">
      <c r="A28" s="50"/>
      <c r="B28" s="207" t="s">
        <v>405</v>
      </c>
      <c r="C28" s="50" t="s">
        <v>406</v>
      </c>
      <c r="D28" s="50"/>
      <c r="E28" s="50"/>
      <c r="F28" s="50"/>
      <c r="G28" s="272"/>
      <c r="H28" s="272"/>
      <c r="I28" s="272"/>
      <c r="J28" s="50"/>
      <c r="K28" s="50"/>
      <c r="L28" s="50"/>
      <c r="M28" s="50"/>
      <c r="N28" s="50"/>
      <c r="O28" s="50"/>
      <c r="P28" s="50"/>
      <c r="Q28" s="50"/>
      <c r="R28" s="50"/>
      <c r="S28" s="50"/>
      <c r="T28" s="50"/>
      <c r="U28" s="50"/>
      <c r="V28" s="50"/>
      <c r="W28" s="50"/>
      <c r="X28" s="50"/>
      <c r="Y28" s="50"/>
      <c r="Z28" s="50"/>
      <c r="AA28" s="50"/>
      <c r="AB28" s="50"/>
      <c r="AC28" s="50"/>
      <c r="AD28" s="50"/>
      <c r="AE28" s="50"/>
      <c r="AF28" s="50"/>
      <c r="AG28" s="50"/>
      <c r="AH28" s="50"/>
      <c r="AI28" s="50"/>
      <c r="AJ28" s="50"/>
      <c r="AK28" s="50"/>
      <c r="AL28" s="50"/>
      <c r="AM28" s="50"/>
      <c r="AN28" s="50"/>
      <c r="AO28" s="50"/>
      <c r="AP28" s="50"/>
      <c r="AQ28" s="50"/>
      <c r="AR28" s="50"/>
      <c r="AS28" s="50"/>
      <c r="AT28" s="50"/>
      <c r="AU28" s="50"/>
      <c r="AV28" s="50"/>
      <c r="AW28" s="50"/>
      <c r="AX28" s="50"/>
      <c r="AY28" s="50"/>
      <c r="AZ28" s="50"/>
      <c r="BA28" s="50"/>
      <c r="BB28" s="50"/>
      <c r="BC28" s="50"/>
      <c r="BD28" s="50"/>
      <c r="BE28" s="50"/>
      <c r="BF28" s="50"/>
      <c r="BG28" s="50"/>
      <c r="BH28" s="50"/>
      <c r="BI28" s="50"/>
      <c r="BJ28" s="50"/>
      <c r="BK28" s="50"/>
      <c r="BL28" s="50"/>
      <c r="BM28" s="50"/>
      <c r="BN28" s="50"/>
      <c r="BO28" s="50"/>
      <c r="BP28" s="50"/>
      <c r="BQ28" s="50"/>
      <c r="BR28" s="50"/>
      <c r="BS28" s="50"/>
      <c r="BT28" s="50"/>
      <c r="BU28" s="50"/>
      <c r="BV28" s="50"/>
      <c r="BW28" s="50"/>
      <c r="BX28" s="50"/>
      <c r="BY28" s="50"/>
      <c r="BZ28" s="50"/>
      <c r="CA28" s="50"/>
      <c r="CB28" s="50"/>
      <c r="CC28" s="50"/>
      <c r="CD28" s="50"/>
      <c r="CE28" s="50"/>
      <c r="CF28" s="50"/>
      <c r="CG28" s="50"/>
      <c r="CH28" s="50"/>
      <c r="CI28" s="50"/>
      <c r="CJ28" s="50"/>
      <c r="CK28" s="50"/>
      <c r="CL28" s="50"/>
      <c r="CM28" s="50"/>
      <c r="CN28" s="50"/>
      <c r="CO28" s="50"/>
      <c r="CP28" s="50"/>
      <c r="CQ28" s="50"/>
      <c r="CR28" s="50"/>
      <c r="CS28" s="50"/>
      <c r="CT28" s="50"/>
      <c r="CU28" s="50"/>
      <c r="CV28" s="50"/>
      <c r="CW28" s="50"/>
      <c r="CX28" s="50"/>
      <c r="CY28" s="50"/>
      <c r="CZ28" s="50"/>
    </row>
    <row r="29" spans="1:104" s="51" customFormat="1" ht="24.75" customHeight="1" x14ac:dyDescent="0.2">
      <c r="A29" s="50"/>
      <c r="B29" s="276" t="s">
        <v>407</v>
      </c>
      <c r="C29" s="50" t="s">
        <v>408</v>
      </c>
      <c r="D29" s="50"/>
      <c r="E29" s="50"/>
      <c r="F29" s="50"/>
      <c r="G29" s="272"/>
      <c r="H29" s="272"/>
      <c r="I29" s="272"/>
      <c r="J29" s="50"/>
      <c r="K29" s="50"/>
      <c r="L29" s="50"/>
      <c r="M29" s="50"/>
      <c r="N29" s="50"/>
      <c r="O29" s="50"/>
      <c r="P29" s="50"/>
      <c r="Q29" s="50"/>
      <c r="R29" s="50"/>
      <c r="S29" s="50"/>
      <c r="T29" s="50"/>
      <c r="U29" s="50"/>
      <c r="V29" s="50"/>
      <c r="W29" s="50"/>
      <c r="X29" s="50"/>
      <c r="Y29" s="50"/>
      <c r="Z29" s="50"/>
      <c r="AA29" s="50"/>
      <c r="AB29" s="50"/>
      <c r="AC29" s="50"/>
      <c r="AD29" s="50"/>
      <c r="AE29" s="50"/>
      <c r="AF29" s="50"/>
      <c r="AG29" s="50"/>
      <c r="AH29" s="50"/>
      <c r="AI29" s="50"/>
      <c r="AJ29" s="50"/>
      <c r="AK29" s="50"/>
      <c r="AL29" s="50"/>
      <c r="AM29" s="50"/>
      <c r="AN29" s="50"/>
      <c r="AO29" s="50"/>
      <c r="AP29" s="50"/>
      <c r="AQ29" s="50"/>
      <c r="AR29" s="50"/>
      <c r="AS29" s="50"/>
      <c r="AT29" s="50"/>
      <c r="AU29" s="50"/>
      <c r="AV29" s="50"/>
      <c r="AW29" s="50"/>
      <c r="AX29" s="50"/>
      <c r="AY29" s="50"/>
      <c r="AZ29" s="50"/>
      <c r="BA29" s="50"/>
      <c r="BB29" s="50"/>
      <c r="BC29" s="50"/>
      <c r="BD29" s="50"/>
      <c r="BE29" s="50"/>
      <c r="BF29" s="50"/>
      <c r="BG29" s="50"/>
      <c r="BH29" s="50"/>
      <c r="BI29" s="50"/>
      <c r="BJ29" s="50"/>
      <c r="BK29" s="50"/>
      <c r="BL29" s="50"/>
      <c r="BM29" s="50"/>
      <c r="BN29" s="50"/>
      <c r="BO29" s="50"/>
      <c r="BP29" s="50"/>
      <c r="BQ29" s="50"/>
      <c r="BR29" s="50"/>
      <c r="BS29" s="50"/>
      <c r="BT29" s="50"/>
      <c r="BU29" s="50"/>
      <c r="BV29" s="50"/>
      <c r="BW29" s="50"/>
      <c r="BX29" s="50"/>
      <c r="BY29" s="50"/>
      <c r="BZ29" s="50"/>
      <c r="CA29" s="50"/>
      <c r="CB29" s="50"/>
      <c r="CC29" s="50"/>
      <c r="CD29" s="50"/>
      <c r="CE29" s="50"/>
      <c r="CF29" s="50"/>
      <c r="CG29" s="50"/>
      <c r="CH29" s="50"/>
      <c r="CI29" s="50"/>
      <c r="CJ29" s="50"/>
      <c r="CK29" s="50"/>
      <c r="CL29" s="50"/>
      <c r="CM29" s="50"/>
      <c r="CN29" s="50"/>
      <c r="CO29" s="50"/>
      <c r="CP29" s="50"/>
      <c r="CQ29" s="50"/>
      <c r="CR29" s="50"/>
      <c r="CS29" s="50"/>
      <c r="CT29" s="50"/>
      <c r="CU29" s="50"/>
      <c r="CV29" s="50"/>
      <c r="CW29" s="50"/>
      <c r="CX29" s="50"/>
      <c r="CY29" s="50"/>
      <c r="CZ29" s="50"/>
    </row>
    <row r="30" spans="1:104" s="51" customFormat="1" ht="24.75" customHeight="1" x14ac:dyDescent="0.2">
      <c r="A30" s="50"/>
      <c r="B30" s="277" t="s">
        <v>409</v>
      </c>
      <c r="C30" s="50" t="s">
        <v>410</v>
      </c>
      <c r="D30" s="50"/>
      <c r="E30" s="50"/>
      <c r="F30" s="50"/>
      <c r="G30" s="272"/>
      <c r="H30" s="272"/>
      <c r="I30" s="272"/>
      <c r="J30" s="50"/>
      <c r="K30" s="50"/>
      <c r="L30" s="50"/>
      <c r="M30" s="50"/>
      <c r="N30" s="50"/>
      <c r="O30" s="50"/>
      <c r="P30" s="50"/>
      <c r="Q30" s="50"/>
      <c r="R30" s="50"/>
      <c r="S30" s="50"/>
      <c r="T30" s="50"/>
      <c r="U30" s="50"/>
      <c r="V30" s="50"/>
      <c r="W30" s="50"/>
      <c r="X30" s="50"/>
      <c r="Y30" s="50"/>
      <c r="Z30" s="50"/>
      <c r="AA30" s="50"/>
      <c r="AB30" s="50"/>
      <c r="AC30" s="50"/>
      <c r="AD30" s="50"/>
      <c r="AE30" s="50"/>
      <c r="AF30" s="50"/>
      <c r="AG30" s="50"/>
      <c r="AH30" s="50"/>
      <c r="AI30" s="50"/>
      <c r="AJ30" s="50"/>
      <c r="AK30" s="50"/>
      <c r="AL30" s="50"/>
      <c r="AM30" s="50"/>
      <c r="AN30" s="50"/>
      <c r="AO30" s="50"/>
      <c r="AP30" s="50"/>
      <c r="AQ30" s="50"/>
      <c r="AR30" s="50"/>
      <c r="AS30" s="50"/>
      <c r="AT30" s="50"/>
      <c r="AU30" s="50"/>
      <c r="AV30" s="50"/>
      <c r="AW30" s="50"/>
      <c r="AX30" s="50"/>
      <c r="AY30" s="50"/>
      <c r="AZ30" s="50"/>
      <c r="BA30" s="50"/>
      <c r="BB30" s="50"/>
      <c r="BC30" s="50"/>
      <c r="BD30" s="50"/>
      <c r="BE30" s="50"/>
      <c r="BF30" s="50"/>
      <c r="BG30" s="50"/>
      <c r="BH30" s="50"/>
      <c r="BI30" s="50"/>
      <c r="BJ30" s="50"/>
      <c r="BK30" s="50"/>
      <c r="BL30" s="50"/>
      <c r="BM30" s="50"/>
      <c r="BN30" s="50"/>
      <c r="BO30" s="50"/>
      <c r="BP30" s="50"/>
      <c r="BQ30" s="50"/>
      <c r="BR30" s="50"/>
      <c r="BS30" s="50"/>
      <c r="BT30" s="50"/>
      <c r="BU30" s="50"/>
      <c r="BV30" s="50"/>
      <c r="BW30" s="50"/>
      <c r="BX30" s="50"/>
      <c r="BY30" s="50"/>
      <c r="BZ30" s="50"/>
      <c r="CA30" s="50"/>
      <c r="CB30" s="50"/>
      <c r="CC30" s="50"/>
      <c r="CD30" s="50"/>
      <c r="CE30" s="50"/>
      <c r="CF30" s="50"/>
      <c r="CG30" s="50"/>
      <c r="CH30" s="50"/>
      <c r="CI30" s="50"/>
      <c r="CJ30" s="50"/>
      <c r="CK30" s="50"/>
      <c r="CL30" s="50"/>
      <c r="CM30" s="50"/>
      <c r="CN30" s="50"/>
      <c r="CO30" s="50"/>
      <c r="CP30" s="50"/>
      <c r="CQ30" s="50"/>
      <c r="CR30" s="50"/>
      <c r="CS30" s="50"/>
      <c r="CT30" s="50"/>
      <c r="CU30" s="50"/>
      <c r="CV30" s="50"/>
      <c r="CW30" s="50"/>
      <c r="CX30" s="50"/>
      <c r="CY30" s="50"/>
      <c r="CZ30" s="50"/>
    </row>
    <row r="31" spans="1:104" s="51" customFormat="1" ht="24.75" customHeight="1" x14ac:dyDescent="0.2">
      <c r="A31" s="50"/>
      <c r="B31" s="278" t="s">
        <v>152</v>
      </c>
      <c r="C31" s="50" t="s">
        <v>173</v>
      </c>
      <c r="D31" s="50"/>
      <c r="E31" s="50"/>
      <c r="F31" s="50"/>
      <c r="G31" s="272"/>
      <c r="H31" s="272"/>
      <c r="I31" s="272"/>
      <c r="J31" s="50"/>
      <c r="K31" s="50"/>
      <c r="L31" s="50"/>
      <c r="M31" s="50"/>
      <c r="N31" s="50"/>
      <c r="O31" s="50"/>
      <c r="P31" s="50"/>
      <c r="Q31" s="50"/>
      <c r="R31" s="50"/>
      <c r="S31" s="50"/>
      <c r="T31" s="50"/>
      <c r="U31" s="50"/>
      <c r="V31" s="50"/>
      <c r="W31" s="50"/>
      <c r="X31" s="50"/>
      <c r="Y31" s="50"/>
      <c r="Z31" s="50"/>
      <c r="AA31" s="50"/>
      <c r="AB31" s="50"/>
      <c r="AC31" s="50"/>
      <c r="AD31" s="50"/>
      <c r="AE31" s="50"/>
      <c r="AF31" s="50"/>
      <c r="AG31" s="50"/>
      <c r="AH31" s="50"/>
      <c r="AI31" s="50"/>
      <c r="AJ31" s="50"/>
      <c r="AK31" s="50"/>
      <c r="AL31" s="50"/>
      <c r="AM31" s="50"/>
      <c r="AN31" s="50"/>
      <c r="AO31" s="50"/>
      <c r="AP31" s="50"/>
      <c r="AQ31" s="50"/>
      <c r="AR31" s="50"/>
      <c r="AS31" s="50"/>
      <c r="AT31" s="50"/>
      <c r="AU31" s="50"/>
      <c r="AV31" s="50"/>
      <c r="AW31" s="50"/>
      <c r="AX31" s="50"/>
      <c r="AY31" s="50"/>
      <c r="AZ31" s="50"/>
      <c r="BA31" s="50"/>
      <c r="BB31" s="50"/>
      <c r="BC31" s="50"/>
      <c r="BD31" s="50"/>
      <c r="BE31" s="50"/>
      <c r="BF31" s="50"/>
      <c r="BG31" s="50"/>
      <c r="BH31" s="50"/>
      <c r="BI31" s="50"/>
      <c r="BJ31" s="50"/>
      <c r="BK31" s="50"/>
      <c r="BL31" s="50"/>
      <c r="BM31" s="50"/>
      <c r="BN31" s="50"/>
      <c r="BO31" s="50"/>
      <c r="BP31" s="50"/>
      <c r="BQ31" s="50"/>
      <c r="BR31" s="50"/>
      <c r="BS31" s="50"/>
      <c r="BT31" s="50"/>
      <c r="BU31" s="50"/>
      <c r="BV31" s="50"/>
      <c r="BW31" s="50"/>
      <c r="BX31" s="50"/>
      <c r="BY31" s="50"/>
      <c r="BZ31" s="50"/>
      <c r="CA31" s="50"/>
      <c r="CB31" s="50"/>
      <c r="CC31" s="50"/>
      <c r="CD31" s="50"/>
      <c r="CE31" s="50"/>
      <c r="CF31" s="50"/>
      <c r="CG31" s="50"/>
      <c r="CH31" s="50"/>
      <c r="CI31" s="50"/>
      <c r="CJ31" s="50"/>
      <c r="CK31" s="50"/>
      <c r="CL31" s="50"/>
      <c r="CM31" s="50"/>
      <c r="CN31" s="50"/>
      <c r="CO31" s="50"/>
      <c r="CP31" s="50"/>
      <c r="CQ31" s="50"/>
      <c r="CR31" s="50"/>
      <c r="CS31" s="50"/>
      <c r="CT31" s="50"/>
      <c r="CU31" s="50"/>
      <c r="CV31" s="50"/>
      <c r="CW31" s="50"/>
      <c r="CX31" s="50"/>
      <c r="CY31" s="50"/>
      <c r="CZ31" s="50"/>
    </row>
    <row r="32" spans="1:104" s="51" customFormat="1" ht="24.75" customHeight="1" x14ac:dyDescent="0.2">
      <c r="A32" s="50"/>
      <c r="B32" s="278" t="s">
        <v>153</v>
      </c>
      <c r="C32" s="50" t="s">
        <v>173</v>
      </c>
      <c r="D32" s="50"/>
      <c r="E32" s="50"/>
      <c r="F32" s="50"/>
      <c r="G32" s="272"/>
      <c r="H32" s="272"/>
      <c r="I32" s="272"/>
      <c r="J32" s="50"/>
      <c r="K32" s="50"/>
      <c r="L32" s="50"/>
      <c r="M32" s="50"/>
      <c r="N32" s="50"/>
      <c r="O32" s="50"/>
      <c r="P32" s="50"/>
      <c r="Q32" s="50"/>
      <c r="R32" s="50"/>
      <c r="S32" s="50"/>
      <c r="T32" s="50"/>
      <c r="U32" s="50"/>
      <c r="V32" s="50"/>
      <c r="W32" s="50"/>
      <c r="X32" s="50"/>
      <c r="Y32" s="50"/>
      <c r="Z32" s="50"/>
      <c r="AA32" s="50"/>
      <c r="AB32" s="50"/>
      <c r="AC32" s="50"/>
      <c r="AD32" s="50"/>
      <c r="AE32" s="50"/>
      <c r="AF32" s="50"/>
      <c r="AG32" s="50"/>
      <c r="AH32" s="50"/>
      <c r="AI32" s="50"/>
      <c r="AJ32" s="50"/>
      <c r="AK32" s="50"/>
      <c r="AL32" s="50"/>
      <c r="AM32" s="50"/>
      <c r="AN32" s="50"/>
      <c r="AO32" s="50"/>
      <c r="AP32" s="50"/>
      <c r="AQ32" s="50"/>
      <c r="AR32" s="50"/>
      <c r="AS32" s="50"/>
      <c r="AT32" s="50"/>
      <c r="AU32" s="50"/>
      <c r="AV32" s="50"/>
      <c r="AW32" s="50"/>
      <c r="AX32" s="50"/>
      <c r="AY32" s="50"/>
      <c r="AZ32" s="50"/>
      <c r="BA32" s="50"/>
      <c r="BB32" s="50"/>
      <c r="BC32" s="50"/>
      <c r="BD32" s="50"/>
      <c r="BE32" s="50"/>
      <c r="BF32" s="50"/>
      <c r="BG32" s="50"/>
      <c r="BH32" s="50"/>
      <c r="BI32" s="50"/>
      <c r="BJ32" s="50"/>
      <c r="BK32" s="50"/>
      <c r="BL32" s="50"/>
      <c r="BM32" s="50"/>
      <c r="BN32" s="50"/>
      <c r="BO32" s="50"/>
      <c r="BP32" s="50"/>
      <c r="BQ32" s="50"/>
      <c r="BR32" s="50"/>
      <c r="BS32" s="50"/>
      <c r="BT32" s="50"/>
      <c r="BU32" s="50"/>
      <c r="BV32" s="50"/>
      <c r="BW32" s="50"/>
      <c r="BX32" s="50"/>
      <c r="BY32" s="50"/>
      <c r="BZ32" s="50"/>
      <c r="CA32" s="50"/>
      <c r="CB32" s="50"/>
      <c r="CC32" s="50"/>
      <c r="CD32" s="50"/>
      <c r="CE32" s="50"/>
      <c r="CF32" s="50"/>
      <c r="CG32" s="50"/>
      <c r="CH32" s="50"/>
      <c r="CI32" s="50"/>
      <c r="CJ32" s="50"/>
      <c r="CK32" s="50"/>
      <c r="CL32" s="50"/>
      <c r="CM32" s="50"/>
      <c r="CN32" s="50"/>
      <c r="CO32" s="50"/>
      <c r="CP32" s="50"/>
      <c r="CQ32" s="50"/>
      <c r="CR32" s="50"/>
      <c r="CS32" s="50"/>
      <c r="CT32" s="50"/>
      <c r="CU32" s="50"/>
      <c r="CV32" s="50"/>
      <c r="CW32" s="50"/>
      <c r="CX32" s="50"/>
      <c r="CY32" s="50"/>
      <c r="CZ32" s="50"/>
    </row>
    <row r="33" spans="1:104" s="51" customFormat="1" ht="24.75" customHeight="1" x14ac:dyDescent="0.2">
      <c r="A33" s="176"/>
      <c r="B33" s="169" t="s">
        <v>154</v>
      </c>
      <c r="C33" s="50" t="s">
        <v>174</v>
      </c>
      <c r="D33" s="50"/>
      <c r="E33" s="50"/>
      <c r="F33" s="50"/>
      <c r="G33" s="50"/>
      <c r="H33" s="50"/>
      <c r="I33" s="50"/>
      <c r="J33" s="50"/>
      <c r="K33" s="50"/>
      <c r="L33" s="50"/>
      <c r="M33" s="50"/>
      <c r="N33" s="50"/>
      <c r="O33" s="50"/>
      <c r="P33" s="50"/>
      <c r="Q33" s="50"/>
      <c r="R33" s="50"/>
      <c r="S33" s="50"/>
      <c r="T33" s="50"/>
      <c r="U33" s="50"/>
      <c r="V33" s="50"/>
      <c r="W33" s="50"/>
      <c r="X33" s="50"/>
      <c r="Y33" s="50"/>
      <c r="Z33" s="50"/>
      <c r="AA33" s="50"/>
      <c r="AB33" s="50"/>
      <c r="AC33" s="50"/>
      <c r="AD33" s="50"/>
      <c r="AE33" s="50"/>
      <c r="AF33" s="50"/>
      <c r="AG33" s="50"/>
      <c r="AH33" s="50"/>
      <c r="AI33" s="50"/>
      <c r="AJ33" s="50"/>
      <c r="AK33" s="50"/>
      <c r="AL33" s="50"/>
      <c r="AM33" s="50"/>
      <c r="AN33" s="50"/>
      <c r="AO33" s="50"/>
      <c r="AP33" s="50"/>
      <c r="AQ33" s="50"/>
      <c r="AR33" s="50"/>
      <c r="AS33" s="50"/>
      <c r="AT33" s="50"/>
      <c r="AU33" s="50"/>
      <c r="AV33" s="50"/>
      <c r="AW33" s="50"/>
      <c r="AX33" s="50"/>
      <c r="AY33" s="50"/>
      <c r="AZ33" s="50"/>
      <c r="BA33" s="50"/>
      <c r="BB33" s="50"/>
      <c r="BC33" s="50"/>
      <c r="BD33" s="50"/>
      <c r="BE33" s="50"/>
      <c r="BF33" s="50"/>
      <c r="BG33" s="50"/>
      <c r="BH33" s="50"/>
      <c r="BI33" s="50"/>
      <c r="BJ33" s="50"/>
      <c r="BK33" s="50"/>
      <c r="BL33" s="50"/>
      <c r="BM33" s="50"/>
      <c r="BN33" s="50"/>
      <c r="BO33" s="50"/>
      <c r="BP33" s="50"/>
      <c r="BQ33" s="50"/>
      <c r="BR33" s="50"/>
      <c r="BS33" s="50"/>
      <c r="BT33" s="50"/>
      <c r="BU33" s="50"/>
      <c r="BV33" s="50"/>
      <c r="BW33" s="50"/>
      <c r="BX33" s="50"/>
      <c r="BY33" s="50"/>
      <c r="BZ33" s="50"/>
      <c r="CA33" s="50"/>
      <c r="CB33" s="50"/>
      <c r="CC33" s="50"/>
      <c r="CD33" s="50"/>
      <c r="CE33" s="50"/>
      <c r="CF33" s="50"/>
      <c r="CG33" s="50"/>
      <c r="CH33" s="50"/>
      <c r="CI33" s="50"/>
      <c r="CJ33" s="50"/>
      <c r="CK33" s="50"/>
      <c r="CL33" s="50"/>
      <c r="CM33" s="50"/>
      <c r="CN33" s="50"/>
      <c r="CO33" s="50"/>
      <c r="CP33" s="50"/>
      <c r="CQ33" s="50"/>
      <c r="CR33" s="50"/>
      <c r="CS33" s="50"/>
      <c r="CT33" s="50"/>
      <c r="CU33" s="50"/>
      <c r="CV33" s="50"/>
      <c r="CW33" s="50"/>
      <c r="CX33" s="50"/>
      <c r="CY33" s="50"/>
      <c r="CZ33" s="50"/>
    </row>
    <row r="34" spans="1:104" s="51" customFormat="1" ht="24.75" customHeight="1" x14ac:dyDescent="0.2">
      <c r="A34" s="50"/>
      <c r="B34" s="172" t="s">
        <v>155</v>
      </c>
      <c r="C34" s="50" t="s">
        <v>174</v>
      </c>
      <c r="D34" s="50"/>
      <c r="E34" s="50"/>
      <c r="F34" s="50"/>
      <c r="G34" s="50"/>
      <c r="H34" s="50"/>
      <c r="I34" s="50"/>
      <c r="J34" s="50"/>
      <c r="K34" s="50"/>
      <c r="L34" s="50"/>
      <c r="M34" s="50"/>
      <c r="N34" s="50"/>
      <c r="O34" s="50"/>
      <c r="P34" s="50"/>
      <c r="Q34" s="50"/>
      <c r="R34" s="50"/>
      <c r="S34" s="50"/>
      <c r="T34" s="50"/>
      <c r="U34" s="50"/>
      <c r="V34" s="50"/>
      <c r="W34" s="50"/>
      <c r="X34" s="50"/>
      <c r="Y34" s="50"/>
      <c r="Z34" s="50"/>
      <c r="AA34" s="50"/>
      <c r="AB34" s="50"/>
      <c r="AC34" s="50"/>
      <c r="AD34" s="50"/>
      <c r="AE34" s="50"/>
      <c r="AF34" s="50"/>
      <c r="AG34" s="50"/>
      <c r="AH34" s="50"/>
      <c r="AI34" s="50"/>
      <c r="AJ34" s="50"/>
      <c r="AK34" s="50"/>
      <c r="AL34" s="50"/>
      <c r="AM34" s="50"/>
      <c r="AN34" s="50"/>
      <c r="AO34" s="50"/>
      <c r="AP34" s="50"/>
      <c r="AQ34" s="50"/>
      <c r="AR34" s="50"/>
      <c r="AS34" s="50"/>
      <c r="AT34" s="50"/>
      <c r="AU34" s="50"/>
      <c r="AV34" s="50"/>
      <c r="AW34" s="50"/>
      <c r="AX34" s="50"/>
      <c r="AY34" s="50"/>
      <c r="AZ34" s="50"/>
      <c r="BA34" s="50"/>
      <c r="BB34" s="50"/>
      <c r="BC34" s="50"/>
      <c r="BD34" s="50"/>
      <c r="BE34" s="50"/>
      <c r="BF34" s="50"/>
      <c r="BG34" s="50"/>
      <c r="BH34" s="50"/>
      <c r="BI34" s="50"/>
      <c r="BJ34" s="50"/>
      <c r="BK34" s="50"/>
      <c r="BL34" s="50"/>
      <c r="BM34" s="50"/>
      <c r="BN34" s="50"/>
      <c r="BO34" s="50"/>
      <c r="BP34" s="50"/>
      <c r="BQ34" s="50"/>
      <c r="BR34" s="50"/>
      <c r="BS34" s="50"/>
      <c r="BT34" s="50"/>
      <c r="BU34" s="50"/>
      <c r="BV34" s="50"/>
      <c r="BW34" s="50"/>
      <c r="BX34" s="50"/>
      <c r="BY34" s="50"/>
      <c r="BZ34" s="50"/>
      <c r="CA34" s="50"/>
      <c r="CB34" s="50"/>
      <c r="CC34" s="50"/>
      <c r="CD34" s="50"/>
      <c r="CE34" s="50"/>
      <c r="CF34" s="50"/>
      <c r="CG34" s="50"/>
      <c r="CH34" s="50"/>
      <c r="CI34" s="50"/>
      <c r="CJ34" s="50"/>
      <c r="CK34" s="50"/>
      <c r="CL34" s="50"/>
      <c r="CM34" s="50"/>
      <c r="CN34" s="50"/>
      <c r="CO34" s="50"/>
      <c r="CP34" s="50"/>
      <c r="CQ34" s="50"/>
      <c r="CR34" s="50"/>
      <c r="CS34" s="50"/>
      <c r="CT34" s="50"/>
      <c r="CU34" s="50"/>
      <c r="CV34" s="50"/>
      <c r="CW34" s="50"/>
      <c r="CX34" s="50"/>
      <c r="CY34" s="50"/>
      <c r="CZ34" s="50"/>
    </row>
    <row r="35" spans="1:104" s="51" customFormat="1" ht="24.75" customHeight="1" x14ac:dyDescent="0.2">
      <c r="A35" s="50"/>
      <c r="B35" s="279" t="s">
        <v>156</v>
      </c>
      <c r="C35" s="50" t="s">
        <v>175</v>
      </c>
      <c r="D35" s="50"/>
      <c r="E35" s="50"/>
      <c r="F35" s="50"/>
      <c r="G35" s="50"/>
      <c r="H35" s="50"/>
      <c r="I35" s="50"/>
      <c r="J35" s="50"/>
      <c r="K35" s="50"/>
      <c r="L35" s="50"/>
      <c r="M35" s="50"/>
      <c r="N35" s="50"/>
      <c r="O35" s="50"/>
      <c r="P35" s="50"/>
      <c r="Q35" s="50"/>
      <c r="R35" s="50"/>
      <c r="S35" s="50"/>
      <c r="T35" s="50"/>
      <c r="U35" s="50"/>
      <c r="V35" s="50"/>
      <c r="W35" s="50"/>
      <c r="X35" s="50"/>
      <c r="Y35" s="50"/>
      <c r="Z35" s="50"/>
      <c r="AA35" s="50"/>
      <c r="AB35" s="50"/>
      <c r="AC35" s="50"/>
      <c r="AD35" s="50"/>
      <c r="AE35" s="50"/>
      <c r="AF35" s="50"/>
      <c r="AG35" s="50"/>
      <c r="AH35" s="50"/>
      <c r="AI35" s="50"/>
      <c r="AJ35" s="50"/>
      <c r="AK35" s="50"/>
      <c r="AL35" s="50"/>
      <c r="AM35" s="50"/>
      <c r="AN35" s="50"/>
      <c r="AO35" s="50"/>
      <c r="AP35" s="50"/>
      <c r="AQ35" s="50"/>
      <c r="AR35" s="50"/>
      <c r="AS35" s="50"/>
      <c r="AT35" s="50"/>
      <c r="AU35" s="50"/>
      <c r="AV35" s="50"/>
      <c r="AW35" s="50"/>
      <c r="AX35" s="50"/>
      <c r="AY35" s="50"/>
      <c r="AZ35" s="50"/>
      <c r="BA35" s="50"/>
      <c r="BB35" s="50"/>
      <c r="BC35" s="50"/>
      <c r="BD35" s="50"/>
      <c r="BE35" s="50"/>
      <c r="BF35" s="50"/>
      <c r="BG35" s="50"/>
      <c r="BH35" s="50"/>
      <c r="BI35" s="50"/>
      <c r="BJ35" s="50"/>
      <c r="BK35" s="50"/>
      <c r="BL35" s="50"/>
      <c r="BM35" s="50"/>
      <c r="BN35" s="50"/>
      <c r="BO35" s="50"/>
      <c r="BP35" s="50"/>
      <c r="BQ35" s="50"/>
      <c r="BR35" s="50"/>
      <c r="BS35" s="50"/>
      <c r="BT35" s="50"/>
      <c r="BU35" s="50"/>
      <c r="BV35" s="50"/>
      <c r="BW35" s="50"/>
      <c r="BX35" s="50"/>
      <c r="BY35" s="50"/>
      <c r="BZ35" s="50"/>
      <c r="CA35" s="50"/>
      <c r="CB35" s="50"/>
      <c r="CC35" s="50"/>
      <c r="CD35" s="50"/>
      <c r="CE35" s="50"/>
      <c r="CF35" s="50"/>
      <c r="CG35" s="50"/>
      <c r="CH35" s="50"/>
      <c r="CI35" s="50"/>
      <c r="CJ35" s="50"/>
      <c r="CK35" s="50"/>
      <c r="CL35" s="50"/>
      <c r="CM35" s="50"/>
      <c r="CN35" s="50"/>
      <c r="CO35" s="50"/>
      <c r="CP35" s="50"/>
      <c r="CQ35" s="50"/>
      <c r="CR35" s="50"/>
      <c r="CS35" s="50"/>
      <c r="CT35" s="50"/>
      <c r="CU35" s="50"/>
      <c r="CV35" s="50"/>
      <c r="CW35" s="50"/>
      <c r="CX35" s="50"/>
      <c r="CY35" s="50"/>
      <c r="CZ35" s="50"/>
    </row>
    <row r="36" spans="1:104" s="51" customFormat="1" ht="24.75" customHeight="1" x14ac:dyDescent="0.2">
      <c r="A36" s="50"/>
      <c r="B36" s="279" t="s">
        <v>157</v>
      </c>
      <c r="C36" s="50" t="s">
        <v>175</v>
      </c>
      <c r="D36" s="50"/>
      <c r="E36" s="50"/>
      <c r="F36" s="50"/>
      <c r="G36" s="50"/>
      <c r="H36" s="50"/>
      <c r="I36" s="50"/>
      <c r="J36" s="50"/>
      <c r="K36" s="50"/>
      <c r="L36" s="50"/>
      <c r="M36" s="50"/>
      <c r="N36" s="50"/>
      <c r="O36" s="50"/>
      <c r="P36" s="50"/>
      <c r="Q36" s="50"/>
      <c r="R36" s="50"/>
      <c r="S36" s="50"/>
      <c r="T36" s="50"/>
      <c r="U36" s="50"/>
      <c r="V36" s="50"/>
      <c r="W36" s="50"/>
      <c r="X36" s="50"/>
      <c r="Y36" s="50"/>
      <c r="Z36" s="50"/>
      <c r="AA36" s="50"/>
      <c r="AB36" s="50"/>
      <c r="AC36" s="50"/>
      <c r="AD36" s="50"/>
      <c r="AE36" s="50"/>
      <c r="AF36" s="50"/>
      <c r="AG36" s="50"/>
      <c r="AH36" s="50"/>
      <c r="AI36" s="50"/>
      <c r="AJ36" s="50"/>
      <c r="AK36" s="50"/>
      <c r="AL36" s="50"/>
      <c r="AM36" s="50"/>
      <c r="AN36" s="50"/>
      <c r="AO36" s="50"/>
      <c r="AP36" s="50"/>
      <c r="AQ36" s="50"/>
      <c r="AR36" s="50"/>
      <c r="AS36" s="50"/>
      <c r="AT36" s="50"/>
      <c r="AU36" s="50"/>
      <c r="AV36" s="50"/>
      <c r="AW36" s="50"/>
      <c r="AX36" s="50"/>
      <c r="AY36" s="50"/>
      <c r="AZ36" s="50"/>
      <c r="BA36" s="50"/>
      <c r="BB36" s="50"/>
      <c r="BC36" s="50"/>
      <c r="BD36" s="50"/>
      <c r="BE36" s="50"/>
      <c r="BF36" s="50"/>
      <c r="BG36" s="50"/>
      <c r="BH36" s="50"/>
      <c r="BI36" s="50"/>
      <c r="BJ36" s="50"/>
      <c r="BK36" s="50"/>
      <c r="BL36" s="50"/>
      <c r="BM36" s="50"/>
      <c r="BN36" s="50"/>
      <c r="BO36" s="50"/>
      <c r="BP36" s="50"/>
      <c r="BQ36" s="50"/>
      <c r="BR36" s="50"/>
      <c r="BS36" s="50"/>
      <c r="BT36" s="50"/>
      <c r="BU36" s="50"/>
      <c r="BV36" s="50"/>
      <c r="BW36" s="50"/>
      <c r="BX36" s="50"/>
      <c r="BY36" s="50"/>
      <c r="BZ36" s="50"/>
      <c r="CA36" s="50"/>
      <c r="CB36" s="50"/>
      <c r="CC36" s="50"/>
      <c r="CD36" s="50"/>
      <c r="CE36" s="50"/>
      <c r="CF36" s="50"/>
      <c r="CG36" s="50"/>
      <c r="CH36" s="50"/>
      <c r="CI36" s="50"/>
      <c r="CJ36" s="50"/>
      <c r="CK36" s="50"/>
      <c r="CL36" s="50"/>
      <c r="CM36" s="50"/>
      <c r="CN36" s="50"/>
      <c r="CO36" s="50"/>
      <c r="CP36" s="50"/>
      <c r="CQ36" s="50"/>
      <c r="CR36" s="50"/>
      <c r="CS36" s="50"/>
      <c r="CT36" s="50"/>
      <c r="CU36" s="50"/>
      <c r="CV36" s="50"/>
      <c r="CW36" s="50"/>
      <c r="CX36" s="50"/>
      <c r="CY36" s="50"/>
      <c r="CZ36" s="50"/>
    </row>
    <row r="37" spans="1:104" s="51" customFormat="1" ht="20" customHeight="1" x14ac:dyDescent="0.2">
      <c r="A37" s="50"/>
      <c r="B37" s="173" t="s">
        <v>158</v>
      </c>
      <c r="C37" s="50" t="s">
        <v>176</v>
      </c>
      <c r="D37" s="50"/>
      <c r="E37" s="50"/>
      <c r="F37" s="50"/>
      <c r="G37" s="50"/>
      <c r="H37" s="50"/>
      <c r="I37" s="50"/>
      <c r="J37" s="50"/>
      <c r="K37" s="50"/>
      <c r="L37" s="50"/>
      <c r="M37" s="50"/>
      <c r="N37" s="50"/>
      <c r="O37" s="50"/>
      <c r="P37" s="50"/>
      <c r="Q37" s="50"/>
      <c r="R37" s="50"/>
      <c r="S37" s="50"/>
      <c r="T37" s="50"/>
      <c r="U37" s="50"/>
      <c r="V37" s="50"/>
      <c r="W37" s="50"/>
      <c r="X37" s="50"/>
      <c r="Y37" s="50"/>
      <c r="Z37" s="50"/>
      <c r="AA37" s="50"/>
      <c r="AB37" s="50"/>
      <c r="AC37" s="50"/>
      <c r="AD37" s="50"/>
      <c r="AE37" s="50"/>
      <c r="AF37" s="50"/>
      <c r="AG37" s="50"/>
      <c r="AH37" s="50"/>
      <c r="AI37" s="50"/>
      <c r="AJ37" s="50"/>
      <c r="AK37" s="50"/>
      <c r="AL37" s="50"/>
      <c r="AM37" s="50"/>
      <c r="AN37" s="50"/>
      <c r="AO37" s="50"/>
      <c r="AP37" s="50"/>
      <c r="AQ37" s="50"/>
      <c r="AR37" s="50"/>
      <c r="AS37" s="50"/>
      <c r="AT37" s="50"/>
      <c r="AU37" s="50"/>
      <c r="AV37" s="50"/>
      <c r="AW37" s="50"/>
      <c r="AX37" s="50"/>
      <c r="AY37" s="50"/>
      <c r="AZ37" s="50"/>
      <c r="BA37" s="50"/>
      <c r="BB37" s="50"/>
      <c r="BC37" s="50"/>
      <c r="BD37" s="50"/>
      <c r="BE37" s="50"/>
      <c r="BF37" s="50"/>
      <c r="BG37" s="50"/>
      <c r="BH37" s="50"/>
      <c r="BI37" s="50"/>
      <c r="BJ37" s="50"/>
      <c r="BK37" s="50"/>
      <c r="BL37" s="50"/>
      <c r="BM37" s="50"/>
      <c r="BN37" s="50"/>
      <c r="BO37" s="50"/>
      <c r="BP37" s="50"/>
      <c r="BQ37" s="50"/>
      <c r="BR37" s="50"/>
      <c r="BS37" s="50"/>
      <c r="BT37" s="50"/>
      <c r="BU37" s="50"/>
      <c r="BV37" s="50"/>
      <c r="BW37" s="50"/>
      <c r="BX37" s="50"/>
      <c r="BY37" s="50"/>
      <c r="BZ37" s="50"/>
      <c r="CA37" s="50"/>
      <c r="CB37" s="50"/>
      <c r="CC37" s="50"/>
      <c r="CD37" s="50"/>
      <c r="CE37" s="50"/>
      <c r="CF37" s="50"/>
      <c r="CG37" s="50"/>
      <c r="CH37" s="50"/>
      <c r="CI37" s="50"/>
      <c r="CJ37" s="50"/>
      <c r="CK37" s="50"/>
      <c r="CL37" s="50"/>
      <c r="CM37" s="50"/>
      <c r="CN37" s="50"/>
      <c r="CO37" s="50"/>
      <c r="CP37" s="50"/>
      <c r="CQ37" s="50"/>
      <c r="CR37" s="50"/>
      <c r="CS37" s="50"/>
      <c r="CT37" s="50"/>
      <c r="CU37" s="50"/>
      <c r="CV37" s="50"/>
      <c r="CW37" s="50"/>
      <c r="CX37" s="50"/>
      <c r="CY37" s="50"/>
      <c r="CZ37" s="50"/>
    </row>
    <row r="38" spans="1:104" s="51" customFormat="1" ht="20" customHeight="1" x14ac:dyDescent="0.2">
      <c r="A38" s="50"/>
      <c r="B38" s="173" t="s">
        <v>159</v>
      </c>
      <c r="C38" s="50" t="s">
        <v>176</v>
      </c>
      <c r="D38" s="50"/>
      <c r="E38" s="50"/>
      <c r="F38" s="50"/>
      <c r="G38" s="50"/>
      <c r="H38" s="50"/>
      <c r="I38" s="50"/>
      <c r="J38" s="50"/>
      <c r="K38" s="50"/>
      <c r="L38" s="50"/>
      <c r="M38" s="50"/>
      <c r="N38" s="50"/>
      <c r="O38" s="50"/>
      <c r="P38" s="50"/>
      <c r="Q38" s="50"/>
      <c r="R38" s="50"/>
      <c r="S38" s="50"/>
      <c r="T38" s="50"/>
      <c r="U38" s="50"/>
      <c r="V38" s="50"/>
      <c r="W38" s="50"/>
      <c r="X38" s="50"/>
      <c r="Y38" s="50"/>
      <c r="Z38" s="50"/>
      <c r="AA38" s="50"/>
      <c r="AB38" s="50"/>
      <c r="AC38" s="50"/>
      <c r="AD38" s="50"/>
      <c r="AE38" s="50"/>
      <c r="AF38" s="50"/>
      <c r="AG38" s="50"/>
      <c r="AH38" s="50"/>
      <c r="AI38" s="50"/>
      <c r="AJ38" s="50"/>
      <c r="AK38" s="50"/>
      <c r="AL38" s="50"/>
      <c r="AM38" s="50"/>
      <c r="AN38" s="50"/>
      <c r="AO38" s="50"/>
      <c r="AP38" s="50"/>
      <c r="AQ38" s="50"/>
      <c r="AR38" s="50"/>
      <c r="AS38" s="50"/>
      <c r="AT38" s="50"/>
      <c r="AU38" s="50"/>
      <c r="AV38" s="50"/>
      <c r="AW38" s="50"/>
      <c r="AX38" s="50"/>
      <c r="AY38" s="50"/>
      <c r="AZ38" s="50"/>
      <c r="BA38" s="50"/>
      <c r="BB38" s="50"/>
      <c r="BC38" s="50"/>
      <c r="BD38" s="50"/>
      <c r="BE38" s="50"/>
      <c r="BF38" s="50"/>
      <c r="BG38" s="50"/>
      <c r="BH38" s="50"/>
      <c r="BI38" s="50"/>
      <c r="BJ38" s="50"/>
      <c r="BK38" s="50"/>
      <c r="BL38" s="50"/>
      <c r="BM38" s="50"/>
      <c r="BN38" s="50"/>
      <c r="BO38" s="50"/>
      <c r="BP38" s="50"/>
      <c r="BQ38" s="50"/>
      <c r="BR38" s="50"/>
      <c r="BS38" s="50"/>
      <c r="BT38" s="50"/>
      <c r="BU38" s="50"/>
      <c r="BV38" s="50"/>
      <c r="BW38" s="50"/>
      <c r="BX38" s="50"/>
      <c r="BY38" s="50"/>
      <c r="BZ38" s="50"/>
      <c r="CA38" s="50"/>
      <c r="CB38" s="50"/>
      <c r="CC38" s="50"/>
      <c r="CD38" s="50"/>
      <c r="CE38" s="50"/>
      <c r="CF38" s="50"/>
      <c r="CG38" s="50"/>
      <c r="CH38" s="50"/>
      <c r="CI38" s="50"/>
      <c r="CJ38" s="50"/>
      <c r="CK38" s="50"/>
      <c r="CL38" s="50"/>
      <c r="CM38" s="50"/>
      <c r="CN38" s="50"/>
      <c r="CO38" s="50"/>
      <c r="CP38" s="50"/>
      <c r="CQ38" s="50"/>
      <c r="CR38" s="50"/>
      <c r="CS38" s="50"/>
      <c r="CT38" s="50"/>
      <c r="CU38" s="50"/>
      <c r="CV38" s="50"/>
      <c r="CW38" s="50"/>
      <c r="CX38" s="50"/>
      <c r="CY38" s="50"/>
      <c r="CZ38" s="50"/>
    </row>
    <row r="39" spans="1:104" s="51" customFormat="1" ht="20" customHeight="1" x14ac:dyDescent="0.2">
      <c r="A39" s="50"/>
      <c r="B39" s="174" t="s">
        <v>160</v>
      </c>
      <c r="C39" s="50" t="s">
        <v>177</v>
      </c>
      <c r="D39" s="50"/>
      <c r="E39" s="50"/>
      <c r="F39" s="50"/>
      <c r="G39" s="50"/>
      <c r="H39" s="50"/>
      <c r="I39" s="50"/>
      <c r="J39" s="50"/>
      <c r="K39" s="50"/>
      <c r="L39" s="50"/>
      <c r="M39" s="50"/>
      <c r="N39" s="50"/>
      <c r="O39" s="50"/>
      <c r="P39" s="50"/>
      <c r="Q39" s="50"/>
      <c r="R39" s="50"/>
      <c r="S39" s="50"/>
      <c r="T39" s="50"/>
      <c r="U39" s="50"/>
      <c r="V39" s="50"/>
      <c r="W39" s="50"/>
      <c r="X39" s="50"/>
      <c r="Y39" s="50"/>
      <c r="Z39" s="50"/>
      <c r="AA39" s="50"/>
      <c r="AB39" s="50"/>
      <c r="AC39" s="50"/>
      <c r="AD39" s="50"/>
      <c r="AE39" s="50"/>
      <c r="AF39" s="50"/>
      <c r="AG39" s="50"/>
      <c r="AH39" s="50"/>
      <c r="AI39" s="50"/>
      <c r="AJ39" s="50"/>
      <c r="AK39" s="50"/>
      <c r="AL39" s="50"/>
      <c r="AM39" s="50"/>
      <c r="AN39" s="50"/>
      <c r="AO39" s="50"/>
      <c r="AP39" s="50"/>
      <c r="AQ39" s="50"/>
      <c r="AR39" s="50"/>
      <c r="AS39" s="50"/>
      <c r="AT39" s="50"/>
      <c r="AU39" s="50"/>
      <c r="AV39" s="50"/>
      <c r="AW39" s="50"/>
      <c r="AX39" s="50"/>
      <c r="AY39" s="50"/>
      <c r="AZ39" s="50"/>
      <c r="BA39" s="50"/>
      <c r="BB39" s="50"/>
      <c r="BC39" s="50"/>
      <c r="BD39" s="50"/>
      <c r="BE39" s="50"/>
      <c r="BF39" s="50"/>
      <c r="BG39" s="50"/>
      <c r="BH39" s="50"/>
      <c r="BI39" s="50"/>
      <c r="BJ39" s="50"/>
      <c r="BK39" s="50"/>
      <c r="BL39" s="50"/>
      <c r="BM39" s="50"/>
      <c r="BN39" s="50"/>
      <c r="BO39" s="50"/>
      <c r="BP39" s="50"/>
      <c r="BQ39" s="50"/>
      <c r="BR39" s="50"/>
      <c r="BS39" s="50"/>
      <c r="BT39" s="50"/>
      <c r="BU39" s="50"/>
      <c r="BV39" s="50"/>
      <c r="BW39" s="50"/>
      <c r="BX39" s="50"/>
      <c r="BY39" s="50"/>
      <c r="BZ39" s="50"/>
      <c r="CA39" s="50"/>
      <c r="CB39" s="50"/>
      <c r="CC39" s="50"/>
      <c r="CD39" s="50"/>
      <c r="CE39" s="50"/>
      <c r="CF39" s="50"/>
      <c r="CG39" s="50"/>
      <c r="CH39" s="50"/>
      <c r="CI39" s="50"/>
      <c r="CJ39" s="50"/>
      <c r="CK39" s="50"/>
      <c r="CL39" s="50"/>
      <c r="CM39" s="50"/>
      <c r="CN39" s="50"/>
      <c r="CO39" s="50"/>
      <c r="CP39" s="50"/>
      <c r="CQ39" s="50"/>
      <c r="CR39" s="50"/>
      <c r="CS39" s="50"/>
      <c r="CT39" s="50"/>
      <c r="CU39" s="50"/>
      <c r="CV39" s="50"/>
      <c r="CW39" s="50"/>
      <c r="CX39" s="50"/>
      <c r="CY39" s="50"/>
      <c r="CZ39" s="50"/>
    </row>
    <row r="40" spans="1:104" s="51" customFormat="1" ht="20" customHeight="1" x14ac:dyDescent="0.2">
      <c r="A40" s="50"/>
      <c r="B40" s="174" t="s">
        <v>161</v>
      </c>
      <c r="C40" s="50" t="s">
        <v>177</v>
      </c>
      <c r="D40" s="50"/>
      <c r="E40" s="50"/>
      <c r="F40" s="50"/>
      <c r="G40" s="50"/>
      <c r="H40" s="50"/>
      <c r="I40" s="50"/>
      <c r="J40" s="50"/>
      <c r="K40" s="50"/>
      <c r="L40" s="50"/>
      <c r="M40" s="50"/>
      <c r="N40" s="50"/>
      <c r="O40" s="50"/>
      <c r="P40" s="50"/>
      <c r="Q40" s="50"/>
      <c r="R40" s="50"/>
      <c r="S40" s="50"/>
      <c r="T40" s="50"/>
      <c r="U40" s="50"/>
      <c r="V40" s="50"/>
      <c r="W40" s="50"/>
      <c r="X40" s="50"/>
      <c r="Y40" s="50"/>
      <c r="Z40" s="50"/>
      <c r="AA40" s="50"/>
      <c r="AB40" s="50"/>
      <c r="AC40" s="50"/>
      <c r="AD40" s="50"/>
      <c r="AE40" s="50"/>
      <c r="AF40" s="50"/>
      <c r="AG40" s="50"/>
      <c r="AH40" s="50"/>
      <c r="AI40" s="50"/>
      <c r="AJ40" s="50"/>
      <c r="AK40" s="50"/>
      <c r="AL40" s="50"/>
      <c r="AM40" s="50"/>
      <c r="AN40" s="50"/>
      <c r="AO40" s="50"/>
      <c r="AP40" s="50"/>
      <c r="AQ40" s="50"/>
      <c r="AR40" s="50"/>
      <c r="AS40" s="50"/>
      <c r="AT40" s="50"/>
      <c r="AU40" s="50"/>
      <c r="AV40" s="50"/>
      <c r="AW40" s="50"/>
      <c r="AX40" s="50"/>
      <c r="AY40" s="50"/>
      <c r="AZ40" s="50"/>
      <c r="BA40" s="50"/>
      <c r="BB40" s="50"/>
      <c r="BC40" s="50"/>
      <c r="BD40" s="50"/>
      <c r="BE40" s="50"/>
      <c r="BF40" s="50"/>
      <c r="BG40" s="50"/>
      <c r="BH40" s="50"/>
      <c r="BI40" s="50"/>
      <c r="BJ40" s="50"/>
      <c r="BK40" s="50"/>
      <c r="BL40" s="50"/>
      <c r="BM40" s="50"/>
      <c r="BN40" s="50"/>
      <c r="BO40" s="50"/>
      <c r="BP40" s="50"/>
      <c r="BQ40" s="50"/>
      <c r="BR40" s="50"/>
      <c r="BS40" s="50"/>
      <c r="BT40" s="50"/>
      <c r="BU40" s="50"/>
      <c r="BV40" s="50"/>
      <c r="BW40" s="50"/>
      <c r="BX40" s="50"/>
      <c r="BY40" s="50"/>
      <c r="BZ40" s="50"/>
      <c r="CA40" s="50"/>
      <c r="CB40" s="50"/>
      <c r="CC40" s="50"/>
      <c r="CD40" s="50"/>
      <c r="CE40" s="50"/>
      <c r="CF40" s="50"/>
      <c r="CG40" s="50"/>
      <c r="CH40" s="50"/>
      <c r="CI40" s="50"/>
      <c r="CJ40" s="50"/>
      <c r="CK40" s="50"/>
      <c r="CL40" s="50"/>
      <c r="CM40" s="50"/>
      <c r="CN40" s="50"/>
      <c r="CO40" s="50"/>
      <c r="CP40" s="50"/>
      <c r="CQ40" s="50"/>
      <c r="CR40" s="50"/>
      <c r="CS40" s="50"/>
      <c r="CT40" s="50"/>
      <c r="CU40" s="50"/>
      <c r="CV40" s="50"/>
      <c r="CW40" s="50"/>
      <c r="CX40" s="50"/>
      <c r="CY40" s="50"/>
      <c r="CZ40" s="50"/>
    </row>
    <row r="41" spans="1:104" s="51" customFormat="1" ht="20" customHeight="1" x14ac:dyDescent="0.2">
      <c r="A41" s="50"/>
      <c r="B41" s="171" t="s">
        <v>162</v>
      </c>
      <c r="C41" s="50" t="s">
        <v>178</v>
      </c>
      <c r="D41" s="50"/>
      <c r="E41" s="50"/>
      <c r="F41" s="50"/>
      <c r="G41" s="50"/>
      <c r="H41" s="50"/>
      <c r="I41" s="50"/>
      <c r="J41" s="50"/>
      <c r="K41" s="50"/>
      <c r="L41" s="50"/>
      <c r="M41" s="50"/>
      <c r="N41" s="50"/>
      <c r="O41" s="50"/>
      <c r="P41" s="50"/>
      <c r="Q41" s="50"/>
      <c r="R41" s="50"/>
      <c r="S41" s="50"/>
      <c r="T41" s="50"/>
      <c r="U41" s="50"/>
      <c r="V41" s="50"/>
      <c r="W41" s="50"/>
      <c r="X41" s="50"/>
      <c r="Y41" s="50"/>
      <c r="Z41" s="50"/>
      <c r="AA41" s="50"/>
      <c r="AB41" s="50"/>
      <c r="AC41" s="50"/>
      <c r="AD41" s="50"/>
      <c r="AE41" s="50"/>
      <c r="AF41" s="50"/>
      <c r="AG41" s="50"/>
      <c r="AH41" s="50"/>
      <c r="AI41" s="50"/>
      <c r="AJ41" s="50"/>
      <c r="AK41" s="50"/>
      <c r="AL41" s="50"/>
      <c r="AM41" s="50"/>
      <c r="AN41" s="50"/>
      <c r="AO41" s="50"/>
      <c r="AP41" s="50"/>
      <c r="AQ41" s="50"/>
      <c r="AR41" s="50"/>
      <c r="AS41" s="50"/>
      <c r="AT41" s="50"/>
      <c r="AU41" s="50"/>
      <c r="AV41" s="50"/>
      <c r="AW41" s="50"/>
      <c r="AX41" s="50"/>
      <c r="AY41" s="50"/>
      <c r="AZ41" s="50"/>
      <c r="BA41" s="50"/>
      <c r="BB41" s="50"/>
      <c r="BC41" s="50"/>
      <c r="BD41" s="50"/>
      <c r="BE41" s="50"/>
      <c r="BF41" s="50"/>
      <c r="BG41" s="50"/>
      <c r="BH41" s="50"/>
      <c r="BI41" s="50"/>
      <c r="BJ41" s="50"/>
      <c r="BK41" s="50"/>
      <c r="BL41" s="50"/>
      <c r="BM41" s="50"/>
      <c r="BN41" s="50"/>
      <c r="BO41" s="50"/>
      <c r="BP41" s="50"/>
      <c r="BQ41" s="50"/>
      <c r="BR41" s="50"/>
      <c r="BS41" s="50"/>
      <c r="BT41" s="50"/>
      <c r="BU41" s="50"/>
      <c r="BV41" s="50"/>
      <c r="BW41" s="50"/>
      <c r="BX41" s="50"/>
      <c r="BY41" s="50"/>
      <c r="BZ41" s="50"/>
      <c r="CA41" s="50"/>
      <c r="CB41" s="50"/>
      <c r="CC41" s="50"/>
      <c r="CD41" s="50"/>
      <c r="CE41" s="50"/>
      <c r="CF41" s="50"/>
      <c r="CG41" s="50"/>
      <c r="CH41" s="50"/>
      <c r="CI41" s="50"/>
      <c r="CJ41" s="50"/>
      <c r="CK41" s="50"/>
      <c r="CL41" s="50"/>
      <c r="CM41" s="50"/>
      <c r="CN41" s="50"/>
      <c r="CO41" s="50"/>
      <c r="CP41" s="50"/>
      <c r="CQ41" s="50"/>
      <c r="CR41" s="50"/>
      <c r="CS41" s="50"/>
      <c r="CT41" s="50"/>
      <c r="CU41" s="50"/>
      <c r="CV41" s="50"/>
      <c r="CW41" s="50"/>
      <c r="CX41" s="50"/>
      <c r="CY41" s="50"/>
      <c r="CZ41" s="50"/>
    </row>
    <row r="42" spans="1:104" s="51" customFormat="1" ht="20" customHeight="1" x14ac:dyDescent="0.2">
      <c r="A42" s="50"/>
      <c r="B42" s="279" t="s">
        <v>163</v>
      </c>
      <c r="C42" s="50" t="s">
        <v>179</v>
      </c>
      <c r="D42" s="50"/>
      <c r="E42" s="50"/>
      <c r="F42" s="50"/>
      <c r="G42" s="50"/>
      <c r="H42" s="50"/>
      <c r="I42" s="50"/>
      <c r="J42" s="50"/>
      <c r="K42" s="50"/>
      <c r="L42" s="50"/>
      <c r="M42" s="50"/>
      <c r="N42" s="50"/>
      <c r="O42" s="50"/>
      <c r="P42" s="50"/>
      <c r="Q42" s="50"/>
      <c r="R42" s="50"/>
      <c r="S42" s="50"/>
      <c r="T42" s="50"/>
      <c r="U42" s="50"/>
      <c r="V42" s="50"/>
      <c r="W42" s="50"/>
      <c r="X42" s="50"/>
      <c r="Y42" s="50"/>
      <c r="Z42" s="50"/>
      <c r="AA42" s="50"/>
      <c r="AB42" s="50"/>
      <c r="AC42" s="50"/>
      <c r="AD42" s="50"/>
      <c r="AE42" s="50"/>
      <c r="AF42" s="50"/>
      <c r="AG42" s="50"/>
      <c r="AH42" s="50"/>
      <c r="AI42" s="50"/>
      <c r="AJ42" s="50"/>
      <c r="AK42" s="50"/>
      <c r="AL42" s="50"/>
      <c r="AM42" s="50"/>
      <c r="AN42" s="50"/>
      <c r="AO42" s="50"/>
      <c r="AP42" s="50"/>
      <c r="AQ42" s="50"/>
      <c r="AR42" s="50"/>
      <c r="AS42" s="50"/>
      <c r="AT42" s="50"/>
      <c r="AU42" s="50"/>
      <c r="AV42" s="50"/>
      <c r="AW42" s="50"/>
      <c r="AX42" s="50"/>
      <c r="AY42" s="50"/>
      <c r="AZ42" s="50"/>
      <c r="BA42" s="50"/>
      <c r="BB42" s="50"/>
      <c r="BC42" s="50"/>
      <c r="BD42" s="50"/>
      <c r="BE42" s="50"/>
      <c r="BF42" s="50"/>
      <c r="BG42" s="50"/>
      <c r="BH42" s="50"/>
      <c r="BI42" s="50"/>
      <c r="BJ42" s="50"/>
      <c r="BK42" s="50"/>
      <c r="BL42" s="50"/>
      <c r="BM42" s="50"/>
      <c r="BN42" s="50"/>
      <c r="BO42" s="50"/>
      <c r="BP42" s="50"/>
      <c r="BQ42" s="50"/>
      <c r="BR42" s="50"/>
      <c r="BS42" s="50"/>
      <c r="BT42" s="50"/>
      <c r="BU42" s="50"/>
      <c r="BV42" s="50"/>
      <c r="BW42" s="50"/>
      <c r="BX42" s="50"/>
      <c r="BY42" s="50"/>
      <c r="BZ42" s="50"/>
      <c r="CA42" s="50"/>
      <c r="CB42" s="50"/>
      <c r="CC42" s="50"/>
      <c r="CD42" s="50"/>
      <c r="CE42" s="50"/>
      <c r="CF42" s="50"/>
      <c r="CG42" s="50"/>
      <c r="CH42" s="50"/>
      <c r="CI42" s="50"/>
      <c r="CJ42" s="50"/>
      <c r="CK42" s="50"/>
      <c r="CL42" s="50"/>
      <c r="CM42" s="50"/>
      <c r="CN42" s="50"/>
      <c r="CO42" s="50"/>
      <c r="CP42" s="50"/>
      <c r="CQ42" s="50"/>
      <c r="CR42" s="50"/>
      <c r="CS42" s="50"/>
      <c r="CT42" s="50"/>
      <c r="CU42" s="50"/>
      <c r="CV42" s="50"/>
      <c r="CW42" s="50"/>
      <c r="CX42" s="50"/>
      <c r="CY42" s="50"/>
      <c r="CZ42" s="50"/>
    </row>
    <row r="43" spans="1:104" s="51" customFormat="1" ht="20" customHeight="1" x14ac:dyDescent="0.2">
      <c r="A43" s="50"/>
      <c r="B43" s="279" t="s">
        <v>258</v>
      </c>
      <c r="C43" s="50" t="s">
        <v>260</v>
      </c>
      <c r="D43" s="50"/>
      <c r="E43" s="50"/>
      <c r="F43" s="50"/>
      <c r="G43" s="50"/>
      <c r="H43" s="50"/>
      <c r="I43" s="50"/>
      <c r="J43" s="50"/>
      <c r="K43" s="50"/>
      <c r="L43" s="50"/>
      <c r="M43" s="50"/>
      <c r="N43" s="50"/>
      <c r="O43" s="50"/>
      <c r="P43" s="50"/>
      <c r="Q43" s="50"/>
      <c r="R43" s="50"/>
      <c r="S43" s="50"/>
      <c r="T43" s="50"/>
      <c r="U43" s="50"/>
      <c r="V43" s="50"/>
      <c r="W43" s="50"/>
      <c r="X43" s="50"/>
      <c r="Y43" s="50"/>
      <c r="Z43" s="50"/>
      <c r="AA43" s="50"/>
      <c r="AB43" s="50"/>
      <c r="AC43" s="50"/>
      <c r="AD43" s="50"/>
      <c r="AE43" s="50"/>
      <c r="AF43" s="50"/>
      <c r="AG43" s="50"/>
      <c r="AH43" s="50"/>
      <c r="AI43" s="50"/>
      <c r="AJ43" s="50"/>
      <c r="AK43" s="50"/>
      <c r="AL43" s="50"/>
      <c r="AM43" s="50"/>
      <c r="AN43" s="50"/>
      <c r="AO43" s="50"/>
      <c r="AP43" s="50"/>
      <c r="AQ43" s="50"/>
      <c r="AR43" s="50"/>
      <c r="AS43" s="50"/>
      <c r="AT43" s="50"/>
      <c r="AU43" s="50"/>
      <c r="AV43" s="50"/>
      <c r="AW43" s="50"/>
      <c r="AX43" s="50"/>
      <c r="AY43" s="50"/>
      <c r="AZ43" s="50"/>
      <c r="BA43" s="50"/>
      <c r="BB43" s="50"/>
      <c r="BC43" s="50"/>
      <c r="BD43" s="50"/>
      <c r="BE43" s="50"/>
      <c r="BF43" s="50"/>
      <c r="BG43" s="50"/>
      <c r="BH43" s="50"/>
      <c r="BI43" s="50"/>
      <c r="BJ43" s="50"/>
      <c r="BK43" s="50"/>
      <c r="BL43" s="50"/>
      <c r="BM43" s="50"/>
      <c r="BN43" s="50"/>
      <c r="BO43" s="50"/>
      <c r="BP43" s="50"/>
      <c r="BQ43" s="50"/>
      <c r="BR43" s="50"/>
      <c r="BS43" s="50"/>
      <c r="BT43" s="50"/>
      <c r="BU43" s="50"/>
      <c r="BV43" s="50"/>
      <c r="BW43" s="50"/>
      <c r="BX43" s="50"/>
      <c r="BY43" s="50"/>
      <c r="BZ43" s="50"/>
      <c r="CA43" s="50"/>
      <c r="CB43" s="50"/>
      <c r="CC43" s="50"/>
      <c r="CD43" s="50"/>
      <c r="CE43" s="50"/>
      <c r="CF43" s="50"/>
      <c r="CG43" s="50"/>
      <c r="CH43" s="50"/>
      <c r="CI43" s="50"/>
      <c r="CJ43" s="50"/>
      <c r="CK43" s="50"/>
      <c r="CL43" s="50"/>
      <c r="CM43" s="50"/>
      <c r="CN43" s="50"/>
      <c r="CO43" s="50"/>
      <c r="CP43" s="50"/>
      <c r="CQ43" s="50"/>
      <c r="CR43" s="50"/>
      <c r="CS43" s="50"/>
      <c r="CT43" s="50"/>
      <c r="CU43" s="50"/>
      <c r="CV43" s="50"/>
      <c r="CW43" s="50"/>
      <c r="CX43" s="50"/>
      <c r="CY43" s="50"/>
      <c r="CZ43" s="50"/>
    </row>
    <row r="44" spans="1:104" s="51" customFormat="1" ht="20" customHeight="1" x14ac:dyDescent="0.2">
      <c r="A44" s="50"/>
      <c r="B44" s="279" t="s">
        <v>259</v>
      </c>
      <c r="C44" s="50" t="s">
        <v>261</v>
      </c>
      <c r="D44" s="50"/>
      <c r="E44" s="50"/>
      <c r="F44" s="50"/>
      <c r="G44" s="50"/>
      <c r="H44" s="50"/>
      <c r="I44" s="50"/>
      <c r="J44" s="50"/>
      <c r="K44" s="50"/>
      <c r="L44" s="50"/>
      <c r="M44" s="50"/>
      <c r="N44" s="50"/>
      <c r="O44" s="50"/>
      <c r="P44" s="50"/>
      <c r="Q44" s="50"/>
      <c r="R44" s="50"/>
      <c r="S44" s="50"/>
      <c r="T44" s="50"/>
      <c r="U44" s="50"/>
      <c r="V44" s="50"/>
      <c r="W44" s="50"/>
      <c r="X44" s="50"/>
      <c r="Y44" s="50"/>
      <c r="Z44" s="50"/>
      <c r="AA44" s="50"/>
      <c r="AB44" s="50"/>
      <c r="AC44" s="50"/>
      <c r="AD44" s="50"/>
      <c r="AE44" s="50"/>
      <c r="AF44" s="50"/>
      <c r="AG44" s="50"/>
      <c r="AH44" s="50"/>
      <c r="AI44" s="50"/>
      <c r="AJ44" s="50"/>
      <c r="AK44" s="50"/>
      <c r="AL44" s="50"/>
      <c r="AM44" s="50"/>
      <c r="AN44" s="50"/>
      <c r="AO44" s="50"/>
      <c r="AP44" s="50"/>
      <c r="AQ44" s="50"/>
      <c r="AR44" s="50"/>
      <c r="AS44" s="50"/>
      <c r="AT44" s="50"/>
      <c r="AU44" s="50"/>
      <c r="AV44" s="50"/>
      <c r="AW44" s="50"/>
      <c r="AX44" s="50"/>
      <c r="AY44" s="50"/>
      <c r="AZ44" s="50"/>
      <c r="BA44" s="50"/>
      <c r="BB44" s="50"/>
      <c r="BC44" s="50"/>
      <c r="BD44" s="50"/>
      <c r="BE44" s="50"/>
      <c r="BF44" s="50"/>
      <c r="BG44" s="50"/>
      <c r="BH44" s="50"/>
      <c r="BI44" s="50"/>
      <c r="BJ44" s="50"/>
      <c r="BK44" s="50"/>
      <c r="BL44" s="50"/>
      <c r="BM44" s="50"/>
      <c r="BN44" s="50"/>
      <c r="BO44" s="50"/>
      <c r="BP44" s="50"/>
      <c r="BQ44" s="50"/>
      <c r="BR44" s="50"/>
      <c r="BS44" s="50"/>
      <c r="BT44" s="50"/>
      <c r="BU44" s="50"/>
      <c r="BV44" s="50"/>
      <c r="BW44" s="50"/>
      <c r="BX44" s="50"/>
      <c r="BY44" s="50"/>
      <c r="BZ44" s="50"/>
      <c r="CA44" s="50"/>
      <c r="CB44" s="50"/>
      <c r="CC44" s="50"/>
      <c r="CD44" s="50"/>
      <c r="CE44" s="50"/>
      <c r="CF44" s="50"/>
      <c r="CG44" s="50"/>
      <c r="CH44" s="50"/>
      <c r="CI44" s="50"/>
      <c r="CJ44" s="50"/>
      <c r="CK44" s="50"/>
      <c r="CL44" s="50"/>
      <c r="CM44" s="50"/>
      <c r="CN44" s="50"/>
      <c r="CO44" s="50"/>
      <c r="CP44" s="50"/>
      <c r="CQ44" s="50"/>
      <c r="CR44" s="50"/>
      <c r="CS44" s="50"/>
      <c r="CT44" s="50"/>
      <c r="CU44" s="50"/>
      <c r="CV44" s="50"/>
      <c r="CW44" s="50"/>
      <c r="CX44" s="50"/>
      <c r="CY44" s="50"/>
      <c r="CZ44" s="50"/>
    </row>
    <row r="45" spans="1:104" s="51" customFormat="1" ht="20" customHeight="1" x14ac:dyDescent="0.2">
      <c r="A45" s="50"/>
      <c r="B45" s="207" t="s">
        <v>262</v>
      </c>
      <c r="C45" s="50" t="s">
        <v>263</v>
      </c>
      <c r="D45" s="50"/>
      <c r="E45" s="50"/>
      <c r="F45" s="50"/>
      <c r="G45" s="50"/>
      <c r="H45" s="50"/>
      <c r="I45" s="50"/>
      <c r="J45" s="50"/>
      <c r="K45" s="50"/>
      <c r="L45" s="50"/>
      <c r="M45" s="50"/>
      <c r="N45" s="50"/>
      <c r="O45" s="50"/>
      <c r="P45" s="50"/>
      <c r="Q45" s="50"/>
      <c r="R45" s="50"/>
      <c r="S45" s="50"/>
      <c r="T45" s="50"/>
      <c r="U45" s="50"/>
      <c r="V45" s="50"/>
      <c r="W45" s="50"/>
      <c r="X45" s="50"/>
      <c r="Y45" s="50"/>
      <c r="Z45" s="50"/>
      <c r="AA45" s="50"/>
      <c r="AB45" s="50"/>
      <c r="AC45" s="50"/>
      <c r="AD45" s="50"/>
      <c r="AE45" s="50"/>
      <c r="AF45" s="50"/>
      <c r="AG45" s="50"/>
      <c r="AH45" s="50"/>
      <c r="AI45" s="50"/>
      <c r="AJ45" s="50"/>
      <c r="AK45" s="50"/>
      <c r="AL45" s="50"/>
      <c r="AM45" s="50"/>
      <c r="AN45" s="50"/>
      <c r="AO45" s="50"/>
      <c r="AP45" s="50"/>
      <c r="AQ45" s="50"/>
      <c r="AR45" s="50"/>
      <c r="AS45" s="50"/>
      <c r="AT45" s="50"/>
      <c r="AU45" s="50"/>
      <c r="AV45" s="50"/>
      <c r="AW45" s="50"/>
      <c r="AX45" s="50"/>
      <c r="AY45" s="50"/>
      <c r="AZ45" s="50"/>
      <c r="BA45" s="50"/>
      <c r="BB45" s="50"/>
      <c r="BC45" s="50"/>
      <c r="BD45" s="50"/>
      <c r="BE45" s="50"/>
      <c r="BF45" s="50"/>
      <c r="BG45" s="50"/>
      <c r="BH45" s="50"/>
      <c r="BI45" s="50"/>
      <c r="BJ45" s="50"/>
      <c r="BK45" s="50"/>
      <c r="BL45" s="50"/>
      <c r="BM45" s="50"/>
      <c r="BN45" s="50"/>
      <c r="BO45" s="50"/>
      <c r="BP45" s="50"/>
      <c r="BQ45" s="50"/>
      <c r="BR45" s="50"/>
      <c r="BS45" s="50"/>
      <c r="BT45" s="50"/>
      <c r="BU45" s="50"/>
      <c r="BV45" s="50"/>
      <c r="BW45" s="50"/>
      <c r="BX45" s="50"/>
      <c r="BY45" s="50"/>
      <c r="BZ45" s="50"/>
      <c r="CA45" s="50"/>
      <c r="CB45" s="50"/>
      <c r="CC45" s="50"/>
      <c r="CD45" s="50"/>
      <c r="CE45" s="50"/>
      <c r="CF45" s="50"/>
      <c r="CG45" s="50"/>
      <c r="CH45" s="50"/>
      <c r="CI45" s="50"/>
      <c r="CJ45" s="50"/>
      <c r="CK45" s="50"/>
      <c r="CL45" s="50"/>
      <c r="CM45" s="50"/>
      <c r="CN45" s="50"/>
      <c r="CO45" s="50"/>
      <c r="CP45" s="50"/>
      <c r="CQ45" s="50"/>
      <c r="CR45" s="50"/>
      <c r="CS45" s="50"/>
      <c r="CT45" s="50"/>
      <c r="CU45" s="50"/>
      <c r="CV45" s="50"/>
      <c r="CW45" s="50"/>
      <c r="CX45" s="50"/>
      <c r="CY45" s="50"/>
      <c r="CZ45" s="50"/>
    </row>
    <row r="46" spans="1:104" s="50" customFormat="1" ht="20" customHeight="1" x14ac:dyDescent="0.2">
      <c r="B46" s="207" t="s">
        <v>411</v>
      </c>
      <c r="C46" s="50" t="s">
        <v>412</v>
      </c>
    </row>
    <row r="47" spans="1:104" s="50" customFormat="1" ht="20" customHeight="1" x14ac:dyDescent="0.2">
      <c r="B47" s="53" t="s">
        <v>164</v>
      </c>
      <c r="C47" s="50" t="s">
        <v>180</v>
      </c>
    </row>
    <row r="48" spans="1:104" s="50" customFormat="1" ht="20" customHeight="1" x14ac:dyDescent="0.2">
      <c r="B48" s="53" t="s">
        <v>165</v>
      </c>
      <c r="C48" s="50" t="s">
        <v>181</v>
      </c>
    </row>
    <row r="49" spans="1:104" s="49" customFormat="1" ht="15" customHeight="1" x14ac:dyDescent="0.15">
      <c r="A49" s="50"/>
      <c r="B49" s="53" t="s">
        <v>413</v>
      </c>
      <c r="C49" s="50" t="s">
        <v>414</v>
      </c>
      <c r="D49" s="50"/>
      <c r="E49" s="50"/>
      <c r="F49" s="50"/>
      <c r="G49" s="50"/>
      <c r="H49" s="50"/>
      <c r="I49" s="50"/>
      <c r="J49" s="50"/>
      <c r="K49" s="50"/>
      <c r="L49" s="50"/>
      <c r="M49" s="50"/>
      <c r="N49" s="50"/>
      <c r="O49" s="50"/>
      <c r="P49" s="50"/>
      <c r="Q49" s="50"/>
      <c r="R49" s="50"/>
      <c r="S49" s="50"/>
      <c r="T49" s="50"/>
      <c r="U49" s="50"/>
      <c r="V49" s="50"/>
      <c r="W49" s="50"/>
      <c r="X49" s="50"/>
      <c r="Y49" s="50"/>
      <c r="Z49" s="50"/>
      <c r="AA49" s="50"/>
      <c r="AB49" s="50"/>
      <c r="AC49" s="50"/>
      <c r="AD49" s="50"/>
      <c r="AE49" s="50"/>
      <c r="AF49" s="50"/>
      <c r="AG49" s="50"/>
      <c r="AH49" s="50"/>
      <c r="AI49" s="50"/>
      <c r="AJ49" s="50"/>
      <c r="AK49" s="50"/>
      <c r="AL49" s="50"/>
      <c r="AM49" s="50"/>
      <c r="AN49" s="50"/>
      <c r="AO49" s="50"/>
      <c r="AP49" s="50"/>
      <c r="AQ49" s="50"/>
      <c r="AR49" s="50"/>
      <c r="AS49" s="50"/>
      <c r="AT49" s="50"/>
      <c r="AU49" s="50"/>
      <c r="AV49" s="50"/>
      <c r="AW49" s="50"/>
      <c r="AX49" s="50"/>
      <c r="AY49" s="50"/>
      <c r="AZ49" s="50"/>
      <c r="BA49" s="50"/>
      <c r="BB49" s="50"/>
      <c r="BC49" s="50"/>
      <c r="BD49" s="50"/>
      <c r="BE49" s="50"/>
      <c r="BF49" s="50"/>
      <c r="BG49" s="50"/>
      <c r="BH49" s="50"/>
      <c r="BI49" s="50"/>
      <c r="BJ49" s="50"/>
      <c r="BK49" s="50"/>
      <c r="BL49" s="50"/>
      <c r="BM49" s="50"/>
      <c r="BN49" s="50"/>
      <c r="BO49" s="50"/>
      <c r="BP49" s="50"/>
      <c r="BQ49" s="50"/>
      <c r="BR49" s="50"/>
      <c r="BS49" s="50"/>
      <c r="BT49" s="50"/>
      <c r="BU49" s="50"/>
      <c r="BV49" s="50"/>
      <c r="BW49" s="50"/>
      <c r="BX49" s="50"/>
      <c r="BY49" s="50"/>
      <c r="BZ49" s="50"/>
      <c r="CA49" s="50"/>
      <c r="CB49" s="50"/>
      <c r="CC49" s="50"/>
      <c r="CD49" s="50"/>
      <c r="CE49" s="50"/>
      <c r="CF49" s="50"/>
      <c r="CG49" s="50"/>
      <c r="CH49" s="50"/>
      <c r="CI49" s="50"/>
      <c r="CJ49" s="50"/>
      <c r="CK49" s="50"/>
      <c r="CL49" s="50"/>
      <c r="CM49" s="50"/>
      <c r="CN49" s="50"/>
      <c r="CO49" s="50"/>
      <c r="CP49" s="50"/>
      <c r="CQ49" s="50"/>
      <c r="CR49" s="50"/>
      <c r="CS49" s="50"/>
      <c r="CT49" s="50"/>
      <c r="CU49" s="50"/>
      <c r="CV49" s="50"/>
      <c r="CW49" s="50"/>
      <c r="CX49" s="50"/>
      <c r="CY49" s="50"/>
      <c r="CZ49" s="50"/>
    </row>
    <row r="50" spans="1:104" s="49" customFormat="1" ht="15" customHeight="1" x14ac:dyDescent="0.15">
      <c r="A50" s="50"/>
      <c r="B50" s="50" t="s">
        <v>415</v>
      </c>
      <c r="C50" s="50" t="s">
        <v>182</v>
      </c>
      <c r="D50" s="50"/>
      <c r="E50" s="50"/>
      <c r="F50" s="50"/>
      <c r="G50" s="50"/>
      <c r="H50" s="50"/>
      <c r="I50" s="50"/>
      <c r="J50" s="50"/>
      <c r="K50" s="50"/>
      <c r="L50" s="50"/>
      <c r="M50" s="50"/>
      <c r="N50" s="50"/>
      <c r="O50" s="50"/>
      <c r="P50" s="50"/>
      <c r="Q50" s="50"/>
      <c r="R50" s="50"/>
      <c r="S50" s="50"/>
      <c r="T50" s="50"/>
      <c r="U50" s="50"/>
      <c r="V50" s="50"/>
      <c r="W50" s="50"/>
      <c r="X50" s="50"/>
      <c r="Y50" s="50"/>
      <c r="Z50" s="50"/>
      <c r="AA50" s="50"/>
      <c r="AB50" s="50"/>
      <c r="AC50" s="50"/>
      <c r="AD50" s="50"/>
      <c r="AE50" s="50"/>
      <c r="AF50" s="50"/>
      <c r="AG50" s="50"/>
      <c r="AH50" s="50"/>
      <c r="AI50" s="50"/>
      <c r="AJ50" s="50"/>
      <c r="AK50" s="50"/>
      <c r="AL50" s="50"/>
      <c r="AM50" s="50"/>
      <c r="AN50" s="50"/>
      <c r="AO50" s="50"/>
      <c r="AP50" s="50"/>
      <c r="AQ50" s="50"/>
      <c r="AR50" s="50"/>
      <c r="AS50" s="50"/>
      <c r="AT50" s="50"/>
      <c r="AU50" s="50"/>
      <c r="AV50" s="50"/>
      <c r="AW50" s="50"/>
      <c r="AX50" s="50"/>
      <c r="AY50" s="50"/>
      <c r="AZ50" s="50"/>
      <c r="BA50" s="50"/>
      <c r="BB50" s="50"/>
      <c r="BC50" s="50"/>
      <c r="BD50" s="50"/>
      <c r="BE50" s="50"/>
      <c r="BF50" s="50"/>
      <c r="BG50" s="50"/>
      <c r="BH50" s="50"/>
      <c r="BI50" s="50"/>
      <c r="BJ50" s="50"/>
      <c r="BK50" s="50"/>
      <c r="BL50" s="50"/>
      <c r="BM50" s="50"/>
      <c r="BN50" s="50"/>
      <c r="BO50" s="50"/>
      <c r="BP50" s="50"/>
      <c r="BQ50" s="50"/>
      <c r="BR50" s="50"/>
      <c r="BS50" s="50"/>
      <c r="BT50" s="50"/>
      <c r="BU50" s="50"/>
      <c r="BV50" s="50"/>
      <c r="BW50" s="50"/>
      <c r="BX50" s="50"/>
      <c r="BY50" s="50"/>
      <c r="BZ50" s="50"/>
      <c r="CA50" s="50"/>
      <c r="CB50" s="50"/>
      <c r="CC50" s="50"/>
      <c r="CD50" s="50"/>
      <c r="CE50" s="50"/>
      <c r="CF50" s="50"/>
      <c r="CG50" s="50"/>
      <c r="CH50" s="50"/>
      <c r="CI50" s="50"/>
      <c r="CJ50" s="50"/>
      <c r="CK50" s="50"/>
      <c r="CL50" s="50"/>
      <c r="CM50" s="50"/>
      <c r="CN50" s="50"/>
      <c r="CO50" s="50"/>
      <c r="CP50" s="50"/>
      <c r="CQ50" s="50"/>
      <c r="CR50" s="50"/>
      <c r="CS50" s="50"/>
      <c r="CT50" s="50"/>
      <c r="CU50" s="50"/>
      <c r="CV50" s="50"/>
      <c r="CW50" s="50"/>
      <c r="CX50" s="50"/>
      <c r="CY50" s="50"/>
      <c r="CZ50" s="50"/>
    </row>
    <row r="51" spans="1:104" s="49" customFormat="1" ht="15" customHeight="1" x14ac:dyDescent="0.15">
      <c r="A51" s="50"/>
      <c r="B51" s="50" t="s">
        <v>166</v>
      </c>
      <c r="C51" s="50" t="s">
        <v>183</v>
      </c>
      <c r="D51" s="50"/>
      <c r="E51" s="50"/>
      <c r="F51" s="50"/>
      <c r="G51" s="50"/>
      <c r="H51" s="50"/>
      <c r="I51" s="50"/>
      <c r="J51" s="50"/>
      <c r="K51" s="50"/>
      <c r="L51" s="50"/>
      <c r="M51" s="50"/>
      <c r="N51" s="50"/>
      <c r="O51" s="50"/>
      <c r="P51" s="50"/>
      <c r="Q51" s="50"/>
      <c r="R51" s="50"/>
      <c r="S51" s="50"/>
      <c r="T51" s="50"/>
      <c r="U51" s="50"/>
      <c r="V51" s="50"/>
      <c r="W51" s="50"/>
      <c r="X51" s="50"/>
      <c r="Y51" s="50"/>
      <c r="Z51" s="50"/>
      <c r="AA51" s="50"/>
      <c r="AB51" s="50"/>
      <c r="AC51" s="50"/>
      <c r="AD51" s="50"/>
      <c r="AE51" s="50"/>
      <c r="AF51" s="50"/>
      <c r="AG51" s="50"/>
      <c r="AH51" s="50"/>
      <c r="AI51" s="50"/>
      <c r="AJ51" s="50"/>
      <c r="AK51" s="50"/>
      <c r="AL51" s="50"/>
      <c r="AM51" s="50"/>
      <c r="AN51" s="50"/>
      <c r="AO51" s="50"/>
      <c r="AP51" s="50"/>
      <c r="AQ51" s="50"/>
      <c r="AR51" s="50"/>
      <c r="AS51" s="50"/>
      <c r="AT51" s="50"/>
      <c r="AU51" s="50"/>
      <c r="AV51" s="50"/>
      <c r="AW51" s="50"/>
      <c r="AX51" s="50"/>
      <c r="AY51" s="50"/>
      <c r="AZ51" s="50"/>
      <c r="BA51" s="50"/>
      <c r="BB51" s="50"/>
      <c r="BC51" s="50"/>
      <c r="BD51" s="50"/>
      <c r="BE51" s="50"/>
      <c r="BF51" s="50"/>
      <c r="BG51" s="50"/>
      <c r="BH51" s="50"/>
      <c r="BI51" s="50"/>
      <c r="BJ51" s="50"/>
      <c r="BK51" s="50"/>
      <c r="BL51" s="50"/>
      <c r="BM51" s="50"/>
      <c r="BN51" s="50"/>
      <c r="BO51" s="50"/>
      <c r="BP51" s="50"/>
      <c r="BQ51" s="50"/>
      <c r="BR51" s="50"/>
      <c r="BS51" s="50"/>
      <c r="BT51" s="50"/>
      <c r="BU51" s="50"/>
      <c r="BV51" s="50"/>
      <c r="BW51" s="50"/>
      <c r="BX51" s="50"/>
      <c r="BY51" s="50"/>
      <c r="BZ51" s="50"/>
      <c r="CA51" s="50"/>
      <c r="CB51" s="50"/>
      <c r="CC51" s="50"/>
      <c r="CD51" s="50"/>
      <c r="CE51" s="50"/>
      <c r="CF51" s="50"/>
      <c r="CG51" s="50"/>
      <c r="CH51" s="50"/>
      <c r="CI51" s="50"/>
      <c r="CJ51" s="50"/>
      <c r="CK51" s="50"/>
      <c r="CL51" s="50"/>
      <c r="CM51" s="50"/>
      <c r="CN51" s="50"/>
      <c r="CO51" s="50"/>
      <c r="CP51" s="50"/>
      <c r="CQ51" s="50"/>
      <c r="CR51" s="50"/>
      <c r="CS51" s="50"/>
      <c r="CT51" s="50"/>
      <c r="CU51" s="50"/>
      <c r="CV51" s="50"/>
      <c r="CW51" s="50"/>
      <c r="CX51" s="50"/>
      <c r="CY51" s="50"/>
      <c r="CZ51" s="50"/>
    </row>
    <row r="52" spans="1:104" s="49" customFormat="1" ht="15" customHeight="1" x14ac:dyDescent="0.15">
      <c r="A52" s="50"/>
      <c r="B52" s="168" t="s">
        <v>167</v>
      </c>
      <c r="C52" s="50" t="s">
        <v>184</v>
      </c>
      <c r="D52" s="50"/>
      <c r="E52" s="50"/>
      <c r="F52" s="50"/>
      <c r="G52" s="50"/>
      <c r="H52" s="50"/>
      <c r="I52" s="50"/>
      <c r="J52" s="50"/>
      <c r="K52" s="50"/>
      <c r="L52" s="50"/>
      <c r="M52" s="50"/>
      <c r="N52" s="50"/>
      <c r="O52" s="50"/>
      <c r="P52" s="50"/>
      <c r="Q52" s="50"/>
      <c r="R52" s="50"/>
      <c r="S52" s="50"/>
      <c r="T52" s="50"/>
      <c r="U52" s="50"/>
      <c r="V52" s="50"/>
      <c r="W52" s="50"/>
      <c r="X52" s="50"/>
      <c r="Y52" s="50"/>
      <c r="Z52" s="50"/>
      <c r="AA52" s="50"/>
      <c r="AB52" s="50"/>
      <c r="AC52" s="50"/>
      <c r="AD52" s="50"/>
      <c r="AE52" s="50"/>
      <c r="AF52" s="50"/>
      <c r="AG52" s="50"/>
      <c r="AH52" s="50"/>
      <c r="AI52" s="50"/>
      <c r="AJ52" s="50"/>
      <c r="AK52" s="50"/>
      <c r="AL52" s="50"/>
      <c r="AM52" s="50"/>
      <c r="AN52" s="50"/>
      <c r="AO52" s="50"/>
      <c r="AP52" s="50"/>
      <c r="AQ52" s="50"/>
      <c r="AR52" s="50"/>
      <c r="AS52" s="50"/>
      <c r="AT52" s="50"/>
      <c r="AU52" s="50"/>
      <c r="AV52" s="50"/>
      <c r="AW52" s="50"/>
      <c r="AX52" s="50"/>
      <c r="AY52" s="50"/>
      <c r="AZ52" s="50"/>
      <c r="BA52" s="50"/>
      <c r="BB52" s="50"/>
      <c r="BC52" s="50"/>
      <c r="BD52" s="50"/>
      <c r="BE52" s="50"/>
      <c r="BF52" s="50"/>
      <c r="BG52" s="50"/>
      <c r="BH52" s="50"/>
      <c r="BI52" s="50"/>
      <c r="BJ52" s="50"/>
      <c r="BK52" s="50"/>
      <c r="BL52" s="50"/>
      <c r="BM52" s="50"/>
      <c r="BN52" s="50"/>
      <c r="BO52" s="50"/>
      <c r="BP52" s="50"/>
      <c r="BQ52" s="50"/>
      <c r="BR52" s="50"/>
      <c r="BS52" s="50"/>
      <c r="BT52" s="50"/>
      <c r="BU52" s="50"/>
      <c r="BV52" s="50"/>
      <c r="BW52" s="50"/>
      <c r="BX52" s="50"/>
      <c r="BY52" s="50"/>
      <c r="BZ52" s="50"/>
      <c r="CA52" s="50"/>
      <c r="CB52" s="50"/>
      <c r="CC52" s="50"/>
      <c r="CD52" s="50"/>
      <c r="CE52" s="50"/>
      <c r="CF52" s="50"/>
      <c r="CG52" s="50"/>
      <c r="CH52" s="50"/>
      <c r="CI52" s="50"/>
      <c r="CJ52" s="50"/>
      <c r="CK52" s="50"/>
      <c r="CL52" s="50"/>
      <c r="CM52" s="50"/>
      <c r="CN52" s="50"/>
      <c r="CO52" s="50"/>
      <c r="CP52" s="50"/>
      <c r="CQ52" s="50"/>
      <c r="CR52" s="50"/>
      <c r="CS52" s="50"/>
      <c r="CT52" s="50"/>
      <c r="CU52" s="50"/>
      <c r="CV52" s="50"/>
      <c r="CW52" s="50"/>
      <c r="CX52" s="50"/>
      <c r="CY52" s="50"/>
      <c r="CZ52" s="50"/>
    </row>
    <row r="53" spans="1:104" s="49" customFormat="1" ht="14" x14ac:dyDescent="0.15">
      <c r="A53" s="50"/>
      <c r="D53" s="50"/>
      <c r="E53" s="50"/>
      <c r="F53" s="50"/>
      <c r="G53" s="50"/>
      <c r="H53" s="50"/>
      <c r="I53" s="50"/>
      <c r="J53" s="50"/>
      <c r="K53" s="50"/>
      <c r="L53" s="50"/>
      <c r="M53" s="50"/>
      <c r="N53" s="50"/>
      <c r="O53" s="50"/>
      <c r="P53" s="50"/>
      <c r="Q53" s="50"/>
      <c r="R53" s="50"/>
      <c r="S53" s="50"/>
      <c r="T53" s="50"/>
      <c r="U53" s="50"/>
      <c r="V53" s="50"/>
      <c r="W53" s="50"/>
      <c r="X53" s="50"/>
      <c r="Y53" s="50"/>
      <c r="Z53" s="50"/>
      <c r="AA53" s="50"/>
      <c r="AB53" s="50"/>
      <c r="AC53" s="50"/>
      <c r="AD53" s="50"/>
      <c r="AE53" s="50"/>
      <c r="AF53" s="50"/>
      <c r="AG53" s="50"/>
      <c r="AH53" s="50"/>
      <c r="AI53" s="50"/>
      <c r="AJ53" s="50"/>
      <c r="AK53" s="50"/>
      <c r="AL53" s="50"/>
      <c r="AM53" s="50"/>
      <c r="AN53" s="50"/>
      <c r="AO53" s="50"/>
      <c r="AP53" s="50"/>
      <c r="AQ53" s="50"/>
      <c r="AR53" s="50"/>
      <c r="AS53" s="50"/>
      <c r="AT53" s="50"/>
      <c r="AU53" s="50"/>
      <c r="AV53" s="50"/>
      <c r="AW53" s="50"/>
      <c r="AX53" s="50"/>
      <c r="AY53" s="50"/>
      <c r="AZ53" s="50"/>
      <c r="BA53" s="50"/>
      <c r="BB53" s="50"/>
      <c r="BC53" s="50"/>
      <c r="BD53" s="50"/>
      <c r="BE53" s="50"/>
      <c r="BF53" s="50"/>
      <c r="BG53" s="50"/>
      <c r="BH53" s="50"/>
      <c r="BI53" s="50"/>
      <c r="BJ53" s="50"/>
      <c r="BK53" s="50"/>
      <c r="BL53" s="50"/>
      <c r="BM53" s="50"/>
      <c r="BN53" s="50"/>
      <c r="BO53" s="50"/>
      <c r="BP53" s="50"/>
      <c r="BQ53" s="50"/>
      <c r="BR53" s="50"/>
      <c r="BS53" s="50"/>
      <c r="BT53" s="50"/>
      <c r="BU53" s="50"/>
      <c r="BV53" s="50"/>
      <c r="BW53" s="50"/>
      <c r="BX53" s="50"/>
      <c r="BY53" s="50"/>
      <c r="BZ53" s="50"/>
      <c r="CA53" s="50"/>
      <c r="CB53" s="50"/>
      <c r="CC53" s="50"/>
      <c r="CD53" s="50"/>
      <c r="CE53" s="50"/>
      <c r="CF53" s="50"/>
      <c r="CG53" s="50"/>
      <c r="CH53" s="50"/>
      <c r="CI53" s="50"/>
      <c r="CJ53" s="50"/>
      <c r="CK53" s="50"/>
      <c r="CL53" s="50"/>
      <c r="CM53" s="50"/>
      <c r="CN53" s="50"/>
      <c r="CO53" s="50"/>
      <c r="CP53" s="50"/>
      <c r="CQ53" s="50"/>
      <c r="CR53" s="50"/>
      <c r="CS53" s="50"/>
      <c r="CT53" s="50"/>
      <c r="CU53" s="50"/>
      <c r="CV53" s="50"/>
      <c r="CW53" s="50"/>
      <c r="CX53" s="50"/>
      <c r="CY53" s="50"/>
      <c r="CZ53" s="50"/>
    </row>
    <row r="54" spans="1:104" s="49" customFormat="1" ht="14" x14ac:dyDescent="0.15">
      <c r="A54" s="50"/>
      <c r="F54" s="50"/>
      <c r="G54" s="50"/>
      <c r="H54" s="50"/>
      <c r="I54" s="50"/>
      <c r="J54" s="50"/>
      <c r="K54" s="50"/>
      <c r="L54" s="50"/>
      <c r="M54" s="50"/>
      <c r="N54" s="50"/>
      <c r="O54" s="50"/>
      <c r="P54" s="50"/>
      <c r="Q54" s="50"/>
      <c r="R54" s="50"/>
      <c r="S54" s="50"/>
      <c r="T54" s="50"/>
      <c r="U54" s="50"/>
      <c r="V54" s="50"/>
      <c r="W54" s="50"/>
      <c r="X54" s="50"/>
      <c r="Y54" s="50"/>
      <c r="Z54" s="50"/>
      <c r="AA54" s="50"/>
      <c r="AB54" s="50"/>
      <c r="AC54" s="50"/>
      <c r="AD54" s="50"/>
      <c r="AE54" s="50"/>
      <c r="AF54" s="50"/>
      <c r="AG54" s="50"/>
      <c r="AH54" s="50"/>
      <c r="AI54" s="50"/>
      <c r="AJ54" s="50"/>
      <c r="AK54" s="50"/>
      <c r="AL54" s="50"/>
      <c r="AM54" s="50"/>
      <c r="AN54" s="50"/>
      <c r="AO54" s="50"/>
      <c r="AP54" s="50"/>
      <c r="AQ54" s="50"/>
      <c r="AR54" s="50"/>
      <c r="AS54" s="50"/>
      <c r="AT54" s="50"/>
      <c r="AU54" s="50"/>
      <c r="AV54" s="50"/>
      <c r="AW54" s="50"/>
      <c r="AX54" s="50"/>
      <c r="AY54" s="50"/>
      <c r="AZ54" s="50"/>
      <c r="BA54" s="50"/>
      <c r="BB54" s="50"/>
      <c r="BC54" s="50"/>
      <c r="BD54" s="50"/>
      <c r="BE54" s="50"/>
      <c r="BF54" s="50"/>
      <c r="BG54" s="50"/>
      <c r="BH54" s="50"/>
      <c r="BI54" s="50"/>
      <c r="BJ54" s="50"/>
      <c r="BK54" s="50"/>
      <c r="BL54" s="50"/>
      <c r="BM54" s="50"/>
      <c r="BN54" s="50"/>
      <c r="BO54" s="50"/>
      <c r="BP54" s="50"/>
      <c r="BQ54" s="50"/>
      <c r="BR54" s="50"/>
      <c r="BS54" s="50"/>
      <c r="BT54" s="50"/>
      <c r="BU54" s="50"/>
      <c r="BV54" s="50"/>
      <c r="BW54" s="50"/>
      <c r="BX54" s="50"/>
      <c r="BY54" s="50"/>
      <c r="BZ54" s="50"/>
      <c r="CA54" s="50"/>
      <c r="CB54" s="50"/>
      <c r="CC54" s="50"/>
      <c r="CD54" s="50"/>
      <c r="CE54" s="50"/>
      <c r="CF54" s="50"/>
      <c r="CG54" s="50"/>
      <c r="CH54" s="50"/>
      <c r="CI54" s="50"/>
      <c r="CJ54" s="50"/>
      <c r="CK54" s="50"/>
      <c r="CL54" s="50"/>
      <c r="CM54" s="50"/>
      <c r="CN54" s="50"/>
      <c r="CO54" s="50"/>
      <c r="CP54" s="50"/>
      <c r="CQ54" s="50"/>
      <c r="CR54" s="50"/>
      <c r="CS54" s="50"/>
      <c r="CT54" s="50"/>
      <c r="CU54" s="50"/>
      <c r="CV54" s="50"/>
      <c r="CW54" s="50"/>
      <c r="CX54" s="50"/>
      <c r="CY54" s="50"/>
      <c r="CZ54" s="50"/>
    </row>
    <row r="55" spans="1:104" s="49" customFormat="1" ht="16" customHeight="1" x14ac:dyDescent="0.2">
      <c r="A55" s="50"/>
      <c r="B55" s="280" t="s">
        <v>416</v>
      </c>
      <c r="C55" s="296" t="s">
        <v>418</v>
      </c>
      <c r="F55" s="50"/>
      <c r="G55" s="50"/>
      <c r="H55" s="50"/>
      <c r="I55" s="50"/>
      <c r="J55" s="50"/>
      <c r="K55" s="50"/>
      <c r="L55" s="50"/>
      <c r="M55" s="50"/>
      <c r="N55" s="50"/>
      <c r="O55" s="50"/>
      <c r="P55" s="50"/>
      <c r="Q55" s="50"/>
      <c r="R55" s="50"/>
      <c r="S55" s="50"/>
      <c r="T55" s="50"/>
      <c r="U55" s="50"/>
      <c r="V55" s="50"/>
      <c r="W55" s="50"/>
      <c r="X55" s="50"/>
      <c r="Y55" s="50"/>
      <c r="Z55" s="50"/>
      <c r="AA55" s="50"/>
      <c r="AB55" s="50"/>
      <c r="AC55" s="50"/>
      <c r="AD55" s="50"/>
      <c r="AE55" s="50"/>
      <c r="AF55" s="50"/>
      <c r="AG55" s="50"/>
      <c r="AH55" s="50"/>
      <c r="AI55" s="50"/>
      <c r="AJ55" s="50"/>
      <c r="AK55" s="50"/>
      <c r="AL55" s="50"/>
      <c r="AM55" s="50"/>
      <c r="AN55" s="50"/>
      <c r="AO55" s="50"/>
      <c r="AP55" s="50"/>
      <c r="AQ55" s="50"/>
      <c r="AR55" s="50"/>
      <c r="AS55" s="50"/>
      <c r="AT55" s="50"/>
      <c r="AU55" s="50"/>
      <c r="AV55" s="50"/>
      <c r="AW55" s="50"/>
      <c r="AX55" s="50"/>
      <c r="AY55" s="50"/>
      <c r="AZ55" s="50"/>
      <c r="BA55" s="50"/>
      <c r="BB55" s="50"/>
      <c r="BC55" s="50"/>
      <c r="BD55" s="50"/>
      <c r="BE55" s="50"/>
      <c r="BF55" s="50"/>
      <c r="BG55" s="50"/>
      <c r="BH55" s="50"/>
      <c r="BI55" s="50"/>
      <c r="BJ55" s="50"/>
      <c r="BK55" s="50"/>
      <c r="BL55" s="50"/>
      <c r="BM55" s="50"/>
      <c r="BN55" s="50"/>
      <c r="BO55" s="50"/>
      <c r="BP55" s="50"/>
      <c r="BQ55" s="50"/>
      <c r="BR55" s="50"/>
      <c r="BS55" s="50"/>
      <c r="BT55" s="50"/>
      <c r="BU55" s="50"/>
      <c r="BV55" s="50"/>
      <c r="BW55" s="50"/>
      <c r="BX55" s="50"/>
      <c r="BY55" s="50"/>
      <c r="BZ55" s="50"/>
      <c r="CA55" s="50"/>
      <c r="CB55" s="50"/>
      <c r="CC55" s="50"/>
      <c r="CD55" s="50"/>
      <c r="CE55" s="50"/>
      <c r="CF55" s="50"/>
      <c r="CG55" s="50"/>
      <c r="CH55" s="50"/>
      <c r="CI55" s="50"/>
      <c r="CJ55" s="50"/>
      <c r="CK55" s="50"/>
      <c r="CL55" s="50"/>
      <c r="CM55" s="50"/>
      <c r="CN55" s="50"/>
      <c r="CO55" s="50"/>
      <c r="CP55" s="50"/>
      <c r="CQ55" s="50"/>
      <c r="CR55" s="50"/>
      <c r="CS55" s="50"/>
      <c r="CT55" s="50"/>
      <c r="CU55" s="50"/>
      <c r="CV55" s="50"/>
      <c r="CW55" s="50"/>
      <c r="CX55" s="50"/>
      <c r="CY55" s="50"/>
      <c r="CZ55" s="50"/>
    </row>
    <row r="56" spans="1:104" s="49" customFormat="1" ht="24.75" customHeight="1" x14ac:dyDescent="0.2">
      <c r="A56" s="50"/>
      <c r="B56" s="148" t="s">
        <v>417</v>
      </c>
      <c r="C56" s="297"/>
      <c r="F56" s="50"/>
      <c r="G56" s="50"/>
      <c r="H56" s="50"/>
      <c r="I56" s="50"/>
      <c r="J56" s="50"/>
      <c r="K56" s="50"/>
      <c r="L56" s="50"/>
      <c r="M56" s="50"/>
      <c r="N56" s="50"/>
      <c r="O56" s="50"/>
      <c r="P56" s="50"/>
      <c r="Q56" s="50"/>
      <c r="R56" s="50"/>
      <c r="S56" s="50"/>
      <c r="T56" s="50"/>
      <c r="U56" s="50"/>
      <c r="V56" s="50"/>
      <c r="W56" s="50"/>
      <c r="X56" s="50"/>
      <c r="Y56" s="50"/>
      <c r="Z56" s="50"/>
      <c r="AA56" s="50"/>
      <c r="AB56" s="50"/>
      <c r="AC56" s="50"/>
      <c r="AD56" s="50"/>
      <c r="AE56" s="50"/>
      <c r="AF56" s="50"/>
      <c r="AG56" s="50"/>
      <c r="AH56" s="50"/>
      <c r="AI56" s="50"/>
      <c r="AJ56" s="50"/>
      <c r="AK56" s="50"/>
      <c r="AL56" s="50"/>
      <c r="AM56" s="50"/>
      <c r="AN56" s="50"/>
      <c r="AO56" s="50"/>
      <c r="AP56" s="50"/>
      <c r="AQ56" s="50"/>
      <c r="AR56" s="50"/>
      <c r="AS56" s="50"/>
      <c r="AT56" s="50"/>
      <c r="AU56" s="50"/>
      <c r="AV56" s="50"/>
      <c r="AW56" s="50"/>
      <c r="AX56" s="50"/>
      <c r="AY56" s="50"/>
      <c r="AZ56" s="50"/>
      <c r="BA56" s="50"/>
      <c r="BB56" s="50"/>
      <c r="BC56" s="50"/>
      <c r="BD56" s="50"/>
      <c r="BE56" s="50"/>
      <c r="BF56" s="50"/>
      <c r="BG56" s="50"/>
      <c r="BH56" s="50"/>
      <c r="BI56" s="50"/>
      <c r="BJ56" s="50"/>
      <c r="BK56" s="50"/>
      <c r="BL56" s="50"/>
      <c r="BM56" s="50"/>
      <c r="BN56" s="50"/>
      <c r="BO56" s="50"/>
      <c r="BP56" s="50"/>
      <c r="BQ56" s="50"/>
      <c r="BR56" s="50"/>
      <c r="BS56" s="50"/>
      <c r="BT56" s="50"/>
      <c r="BU56" s="50"/>
      <c r="BV56" s="50"/>
      <c r="BW56" s="50"/>
      <c r="BX56" s="50"/>
      <c r="BY56" s="50"/>
      <c r="BZ56" s="50"/>
      <c r="CA56" s="50"/>
      <c r="CB56" s="50"/>
      <c r="CC56" s="50"/>
      <c r="CD56" s="50"/>
      <c r="CE56" s="50"/>
      <c r="CF56" s="50"/>
      <c r="CG56" s="50"/>
      <c r="CH56" s="50"/>
      <c r="CI56" s="50"/>
      <c r="CJ56" s="50"/>
      <c r="CK56" s="50"/>
      <c r="CL56" s="50"/>
      <c r="CM56" s="50"/>
      <c r="CN56" s="50"/>
      <c r="CO56" s="50"/>
      <c r="CP56" s="50"/>
      <c r="CQ56" s="50"/>
      <c r="CR56" s="50"/>
      <c r="CS56" s="50"/>
      <c r="CT56" s="50"/>
      <c r="CU56" s="50"/>
      <c r="CV56" s="50"/>
      <c r="CW56" s="50"/>
      <c r="CX56" s="50"/>
      <c r="CY56" s="50"/>
      <c r="CZ56" s="50"/>
    </row>
    <row r="57" spans="1:104" s="49" customFormat="1" ht="15" customHeight="1" x14ac:dyDescent="0.15"/>
    <row r="58" spans="1:104" s="49" customFormat="1" ht="113.25" customHeight="1" x14ac:dyDescent="0.15"/>
    <row r="59" spans="1:104" s="49" customFormat="1" ht="11.25" customHeight="1" x14ac:dyDescent="0.15"/>
    <row r="60" spans="1:104" s="49" customFormat="1" ht="14" customHeight="1" x14ac:dyDescent="0.15"/>
    <row r="61" spans="1:104" s="49" customFormat="1" ht="14" customHeight="1" x14ac:dyDescent="0.15"/>
    <row r="62" spans="1:104" s="49" customFormat="1" ht="14" customHeight="1" x14ac:dyDescent="0.15"/>
    <row r="63" spans="1:104" s="49" customFormat="1" ht="14" customHeight="1" x14ac:dyDescent="0.15"/>
    <row r="64" spans="1:104" s="49" customFormat="1" ht="14" customHeight="1" x14ac:dyDescent="0.15"/>
    <row r="65" spans="1:104" s="49" customFormat="1" ht="14" customHeight="1" x14ac:dyDescent="0.15"/>
    <row r="66" spans="1:104" s="49" customFormat="1" ht="14" customHeight="1" x14ac:dyDescent="0.15"/>
    <row r="67" spans="1:104" s="49" customFormat="1" ht="14" customHeight="1" x14ac:dyDescent="0.15"/>
    <row r="68" spans="1:104" s="49" customFormat="1" ht="14" customHeight="1" x14ac:dyDescent="0.15"/>
    <row r="69" spans="1:104" s="49" customFormat="1" ht="14" customHeight="1" x14ac:dyDescent="0.15"/>
    <row r="70" spans="1:104" s="49" customFormat="1" ht="6" customHeight="1" x14ac:dyDescent="0.15"/>
    <row r="71" spans="1:104" s="49" customFormat="1" ht="17" customHeight="1" x14ac:dyDescent="0.15"/>
    <row r="72" spans="1:104" s="49" customFormat="1" ht="17" customHeight="1" x14ac:dyDescent="0.15"/>
    <row r="73" spans="1:104" s="49" customFormat="1" ht="17" customHeight="1" x14ac:dyDescent="0.15"/>
    <row r="74" spans="1:104" s="49" customFormat="1" ht="8.25" customHeight="1" x14ac:dyDescent="0.15"/>
    <row r="75" spans="1:104" s="49" customFormat="1" ht="15" customHeight="1" x14ac:dyDescent="0.15"/>
    <row r="76" spans="1:104" s="49" customFormat="1" ht="142.5" customHeight="1" x14ac:dyDescent="0.15"/>
    <row r="77" spans="1:104" s="1" customFormat="1" ht="108" customHeight="1" x14ac:dyDescent="0.15">
      <c r="A77" s="49"/>
      <c r="B77" s="49"/>
      <c r="C77" s="49"/>
      <c r="D77" s="49"/>
      <c r="E77" s="49"/>
      <c r="F77" s="49"/>
      <c r="G77" s="49"/>
      <c r="H77" s="49"/>
      <c r="I77" s="49"/>
      <c r="J77" s="49"/>
      <c r="K77" s="49"/>
      <c r="L77" s="49"/>
      <c r="M77" s="49"/>
      <c r="N77" s="49"/>
      <c r="O77" s="49"/>
      <c r="P77" s="49"/>
      <c r="Q77" s="49"/>
      <c r="R77" s="49"/>
      <c r="S77" s="49"/>
      <c r="T77" s="49"/>
      <c r="U77" s="49"/>
      <c r="V77" s="49"/>
      <c r="W77" s="49"/>
      <c r="X77" s="49"/>
      <c r="Y77" s="49"/>
      <c r="Z77" s="49"/>
      <c r="AA77" s="49"/>
      <c r="AB77" s="49"/>
      <c r="AC77" s="49"/>
      <c r="AD77" s="49"/>
      <c r="AE77" s="49"/>
      <c r="AF77" s="49"/>
      <c r="AG77" s="49"/>
      <c r="AH77" s="49"/>
      <c r="AI77" s="49"/>
      <c r="AJ77" s="49"/>
      <c r="AK77" s="49"/>
      <c r="AL77" s="49"/>
      <c r="AM77" s="49"/>
      <c r="AN77" s="49"/>
      <c r="AO77" s="49"/>
      <c r="AP77" s="49"/>
      <c r="AQ77" s="49"/>
      <c r="AR77" s="49"/>
      <c r="AS77" s="49"/>
      <c r="AT77" s="49"/>
      <c r="AU77" s="49"/>
      <c r="AV77" s="49"/>
      <c r="AW77" s="49"/>
      <c r="AX77" s="49"/>
      <c r="AY77" s="49"/>
      <c r="AZ77" s="49"/>
      <c r="BA77" s="49"/>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c r="CD77" s="49"/>
      <c r="CE77" s="49"/>
      <c r="CF77" s="49"/>
      <c r="CG77" s="49"/>
      <c r="CH77" s="49"/>
      <c r="CI77" s="49"/>
      <c r="CJ77" s="49"/>
      <c r="CK77" s="49"/>
      <c r="CL77" s="49"/>
      <c r="CM77" s="49"/>
      <c r="CN77" s="49"/>
      <c r="CO77" s="49"/>
      <c r="CP77" s="49"/>
      <c r="CQ77" s="49"/>
      <c r="CR77" s="49"/>
      <c r="CS77" s="49"/>
      <c r="CT77" s="49"/>
      <c r="CU77" s="49"/>
      <c r="CV77" s="49"/>
      <c r="CW77" s="49"/>
      <c r="CX77" s="49"/>
      <c r="CY77" s="49"/>
      <c r="CZ77" s="49"/>
    </row>
    <row r="78" spans="1:104" s="1" customFormat="1" ht="110.25" customHeight="1" x14ac:dyDescent="0.15">
      <c r="A78" s="49"/>
      <c r="B78" s="49"/>
      <c r="C78" s="49"/>
      <c r="D78" s="49"/>
      <c r="E78" s="49"/>
      <c r="F78" s="49"/>
      <c r="G78" s="49"/>
      <c r="H78" s="49"/>
      <c r="I78" s="49"/>
      <c r="J78" s="49"/>
      <c r="K78" s="49"/>
      <c r="L78" s="49"/>
      <c r="M78" s="49"/>
      <c r="N78" s="49"/>
      <c r="O78" s="49"/>
      <c r="P78" s="49"/>
      <c r="Q78" s="49"/>
      <c r="R78" s="49"/>
      <c r="S78" s="49"/>
      <c r="T78" s="49"/>
      <c r="U78" s="49"/>
      <c r="V78" s="49"/>
      <c r="W78" s="49"/>
      <c r="X78" s="49"/>
      <c r="Y78" s="49"/>
      <c r="Z78" s="49"/>
      <c r="AA78" s="49"/>
      <c r="AB78" s="49"/>
      <c r="AC78" s="49"/>
      <c r="AD78" s="49"/>
      <c r="AE78" s="49"/>
      <c r="AF78" s="49"/>
      <c r="AG78" s="49"/>
      <c r="AH78" s="49"/>
      <c r="AI78" s="49"/>
      <c r="AJ78" s="49"/>
      <c r="AK78" s="49"/>
      <c r="AL78" s="49"/>
      <c r="AM78" s="49"/>
      <c r="AN78" s="49"/>
      <c r="AO78" s="49"/>
      <c r="AP78" s="49"/>
      <c r="AQ78" s="49"/>
      <c r="AR78" s="49"/>
      <c r="AS78" s="49"/>
      <c r="AT78" s="49"/>
      <c r="AU78" s="49"/>
      <c r="AV78" s="49"/>
      <c r="AW78" s="49"/>
      <c r="AX78" s="49"/>
      <c r="AY78" s="49"/>
      <c r="AZ78" s="49"/>
      <c r="BA78" s="49"/>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c r="CD78" s="49"/>
      <c r="CE78" s="49"/>
      <c r="CF78" s="49"/>
      <c r="CG78" s="49"/>
      <c r="CH78" s="49"/>
      <c r="CI78" s="49"/>
      <c r="CJ78" s="49"/>
      <c r="CK78" s="49"/>
      <c r="CL78" s="49"/>
      <c r="CM78" s="49"/>
      <c r="CN78" s="49"/>
      <c r="CO78" s="49"/>
      <c r="CP78" s="49"/>
      <c r="CQ78" s="49"/>
      <c r="CR78" s="49"/>
      <c r="CS78" s="49"/>
      <c r="CT78" s="49"/>
      <c r="CU78" s="49"/>
      <c r="CV78" s="49"/>
      <c r="CW78" s="49"/>
      <c r="CX78" s="49"/>
      <c r="CY78" s="49"/>
      <c r="CZ78" s="49"/>
    </row>
    <row r="79" spans="1:104" s="1" customFormat="1" ht="148.5" customHeight="1" x14ac:dyDescent="0.15">
      <c r="A79" s="49"/>
      <c r="B79" s="49"/>
      <c r="C79" s="49"/>
      <c r="D79" s="49"/>
      <c r="E79" s="49"/>
      <c r="F79" s="49"/>
      <c r="G79" s="49"/>
      <c r="H79" s="49"/>
      <c r="I79" s="49"/>
      <c r="J79" s="49"/>
      <c r="K79" s="49"/>
      <c r="L79" s="49"/>
      <c r="M79" s="49"/>
      <c r="N79" s="49"/>
      <c r="O79" s="49"/>
      <c r="P79" s="49"/>
      <c r="Q79" s="49"/>
      <c r="R79" s="49"/>
      <c r="S79" s="49"/>
      <c r="T79" s="49"/>
      <c r="U79" s="49"/>
      <c r="V79" s="49"/>
      <c r="W79" s="49"/>
      <c r="X79" s="49"/>
      <c r="Y79" s="49"/>
      <c r="Z79" s="49"/>
      <c r="AA79" s="49"/>
      <c r="AB79" s="49"/>
      <c r="AC79" s="49"/>
      <c r="AD79" s="49"/>
      <c r="AE79" s="49"/>
      <c r="AF79" s="49"/>
      <c r="AG79" s="49"/>
      <c r="AH79" s="49"/>
      <c r="AI79" s="49"/>
      <c r="AJ79" s="49"/>
      <c r="AK79" s="49"/>
      <c r="AL79" s="49"/>
      <c r="AM79" s="49"/>
      <c r="AN79" s="49"/>
      <c r="AO79" s="49"/>
      <c r="AP79" s="49"/>
      <c r="AQ79" s="49"/>
      <c r="AR79" s="49"/>
      <c r="AS79" s="49"/>
      <c r="AT79" s="49"/>
      <c r="AU79" s="49"/>
      <c r="AV79" s="49"/>
      <c r="AW79" s="49"/>
      <c r="AX79" s="49"/>
      <c r="AY79" s="49"/>
      <c r="AZ79" s="49"/>
      <c r="BA79" s="49"/>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c r="CD79" s="49"/>
      <c r="CE79" s="49"/>
      <c r="CF79" s="49"/>
      <c r="CG79" s="49"/>
      <c r="CH79" s="49"/>
      <c r="CI79" s="49"/>
      <c r="CJ79" s="49"/>
      <c r="CK79" s="49"/>
      <c r="CL79" s="49"/>
      <c r="CM79" s="49"/>
      <c r="CN79" s="49"/>
      <c r="CO79" s="49"/>
      <c r="CP79" s="49"/>
      <c r="CQ79" s="49"/>
      <c r="CR79" s="49"/>
      <c r="CS79" s="49"/>
      <c r="CT79" s="49"/>
      <c r="CU79" s="49"/>
      <c r="CV79" s="49"/>
      <c r="CW79" s="49"/>
      <c r="CX79" s="49"/>
      <c r="CY79" s="49"/>
      <c r="CZ79" s="49"/>
    </row>
    <row r="80" spans="1:104" s="1" customFormat="1" ht="81.75" customHeight="1" x14ac:dyDescent="0.15">
      <c r="A80" s="49"/>
      <c r="B80" s="49"/>
      <c r="C80" s="49"/>
      <c r="D80" s="49"/>
      <c r="E80" s="49"/>
      <c r="F80" s="49"/>
      <c r="G80" s="49"/>
      <c r="H80" s="49"/>
      <c r="I80" s="49"/>
      <c r="J80" s="49"/>
      <c r="K80" s="49"/>
      <c r="L80" s="49"/>
      <c r="M80" s="49"/>
      <c r="N80" s="49"/>
      <c r="O80" s="49"/>
      <c r="P80" s="49"/>
      <c r="Q80" s="49"/>
      <c r="R80" s="49"/>
      <c r="S80" s="49"/>
      <c r="T80" s="49"/>
      <c r="U80" s="49"/>
      <c r="V80" s="49"/>
      <c r="W80" s="49"/>
      <c r="X80" s="49"/>
      <c r="Y80" s="49"/>
      <c r="Z80" s="49"/>
      <c r="AA80" s="49"/>
      <c r="AB80" s="49"/>
      <c r="AC80" s="49"/>
      <c r="AD80" s="49"/>
      <c r="AE80" s="49"/>
      <c r="AF80" s="49"/>
      <c r="AG80" s="49"/>
      <c r="AH80" s="49"/>
      <c r="AI80" s="49"/>
      <c r="AJ80" s="49"/>
      <c r="AK80" s="49"/>
      <c r="AL80" s="49"/>
      <c r="AM80" s="49"/>
      <c r="AN80" s="49"/>
      <c r="AO80" s="49"/>
      <c r="AP80" s="49"/>
      <c r="AQ80" s="49"/>
      <c r="AR80" s="49"/>
      <c r="AS80" s="49"/>
      <c r="AT80" s="49"/>
      <c r="AU80" s="49"/>
      <c r="AV80" s="49"/>
      <c r="AW80" s="49"/>
      <c r="AX80" s="49"/>
      <c r="AY80" s="49"/>
      <c r="AZ80" s="49"/>
      <c r="BA80" s="49"/>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c r="CD80" s="49"/>
      <c r="CE80" s="49"/>
      <c r="CF80" s="49"/>
      <c r="CG80" s="49"/>
      <c r="CH80" s="49"/>
      <c r="CI80" s="49"/>
      <c r="CJ80" s="49"/>
      <c r="CK80" s="49"/>
      <c r="CL80" s="49"/>
      <c r="CM80" s="49"/>
      <c r="CN80" s="49"/>
      <c r="CO80" s="49"/>
      <c r="CP80" s="49"/>
      <c r="CQ80" s="49"/>
      <c r="CR80" s="49"/>
      <c r="CS80" s="49"/>
      <c r="CT80" s="49"/>
      <c r="CU80" s="49"/>
      <c r="CV80" s="49"/>
      <c r="CW80" s="49"/>
      <c r="CX80" s="49"/>
      <c r="CY80" s="49"/>
      <c r="CZ80" s="49"/>
    </row>
    <row r="81" spans="1:104" s="1" customFormat="1" ht="180" customHeight="1" x14ac:dyDescent="0.15">
      <c r="A81" s="49"/>
      <c r="D81" s="49"/>
      <c r="E81" s="49"/>
      <c r="F81" s="49"/>
      <c r="G81" s="49"/>
      <c r="H81" s="49"/>
      <c r="I81" s="49"/>
      <c r="J81" s="49"/>
      <c r="K81" s="49"/>
      <c r="L81" s="49"/>
      <c r="M81" s="49"/>
      <c r="N81" s="49"/>
      <c r="O81" s="49"/>
      <c r="P81" s="49"/>
      <c r="Q81" s="49"/>
      <c r="R81" s="49"/>
      <c r="S81" s="49"/>
      <c r="T81" s="49"/>
      <c r="U81" s="49"/>
      <c r="V81" s="49"/>
      <c r="W81" s="49"/>
      <c r="X81" s="49"/>
      <c r="Y81" s="49"/>
      <c r="Z81" s="49"/>
      <c r="AA81" s="49"/>
      <c r="AB81" s="49"/>
      <c r="AC81" s="49"/>
      <c r="AD81" s="49"/>
      <c r="AE81" s="49"/>
      <c r="AF81" s="49"/>
      <c r="AG81" s="49"/>
      <c r="AH81" s="49"/>
      <c r="AI81" s="49"/>
      <c r="AJ81" s="49"/>
      <c r="AK81" s="49"/>
      <c r="AL81" s="49"/>
      <c r="AM81" s="49"/>
      <c r="AN81" s="49"/>
      <c r="AO81" s="49"/>
      <c r="AP81" s="49"/>
      <c r="AQ81" s="49"/>
      <c r="AR81" s="49"/>
      <c r="AS81" s="49"/>
      <c r="AT81" s="49"/>
      <c r="AU81" s="49"/>
      <c r="AV81" s="49"/>
      <c r="AW81" s="49"/>
      <c r="AX81" s="49"/>
      <c r="AY81" s="49"/>
      <c r="AZ81" s="49"/>
      <c r="BA81" s="49"/>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c r="CD81" s="49"/>
      <c r="CE81" s="49"/>
      <c r="CF81" s="49"/>
      <c r="CG81" s="49"/>
      <c r="CH81" s="49"/>
      <c r="CI81" s="49"/>
      <c r="CJ81" s="49"/>
      <c r="CK81" s="49"/>
      <c r="CL81" s="49"/>
      <c r="CM81" s="49"/>
      <c r="CN81" s="49"/>
      <c r="CO81" s="49"/>
      <c r="CP81" s="49"/>
      <c r="CQ81" s="49"/>
      <c r="CR81" s="49"/>
      <c r="CS81" s="49"/>
      <c r="CT81" s="49"/>
      <c r="CU81" s="49"/>
      <c r="CV81" s="49"/>
      <c r="CW81" s="49"/>
      <c r="CX81" s="49"/>
      <c r="CY81" s="49"/>
      <c r="CZ81" s="49"/>
    </row>
    <row r="82" spans="1:104" s="1" customFormat="1" ht="18.75" customHeight="1" x14ac:dyDescent="0.15">
      <c r="A82" s="49"/>
      <c r="F82" s="49"/>
      <c r="G82" s="49"/>
      <c r="H82" s="49"/>
      <c r="I82" s="49"/>
      <c r="J82" s="49"/>
      <c r="K82" s="49"/>
      <c r="L82" s="49"/>
      <c r="M82" s="49"/>
      <c r="N82" s="49"/>
      <c r="O82" s="49"/>
      <c r="P82" s="49"/>
      <c r="Q82" s="49"/>
      <c r="R82" s="49"/>
      <c r="S82" s="49"/>
      <c r="T82" s="49"/>
      <c r="U82" s="49"/>
      <c r="V82" s="49"/>
      <c r="W82" s="49"/>
      <c r="X82" s="49"/>
      <c r="Y82" s="49"/>
      <c r="Z82" s="49"/>
      <c r="AA82" s="49"/>
      <c r="AB82" s="49"/>
      <c r="AC82" s="49"/>
      <c r="AD82" s="49"/>
      <c r="AE82" s="49"/>
      <c r="AF82" s="49"/>
      <c r="AG82" s="49"/>
      <c r="AH82" s="49"/>
      <c r="AI82" s="49"/>
      <c r="AJ82" s="49"/>
      <c r="AK82" s="49"/>
      <c r="AL82" s="49"/>
      <c r="AM82" s="49"/>
      <c r="AN82" s="49"/>
      <c r="AO82" s="49"/>
      <c r="AP82" s="49"/>
      <c r="AQ82" s="49"/>
      <c r="AR82" s="49"/>
      <c r="AS82" s="49"/>
      <c r="AT82" s="49"/>
      <c r="AU82" s="49"/>
      <c r="AV82" s="49"/>
      <c r="AW82" s="49"/>
      <c r="AX82" s="49"/>
      <c r="AY82" s="49"/>
      <c r="AZ82" s="49"/>
      <c r="BA82" s="49"/>
      <c r="BB82" s="49"/>
      <c r="BC82" s="49"/>
      <c r="BD82" s="49"/>
      <c r="BE82" s="49"/>
      <c r="BF82" s="49"/>
      <c r="BG82" s="49"/>
      <c r="BH82" s="49"/>
      <c r="BI82" s="49"/>
      <c r="BJ82" s="49"/>
      <c r="BK82" s="49"/>
      <c r="BL82" s="49"/>
      <c r="BM82" s="49"/>
      <c r="BN82" s="49"/>
      <c r="BO82" s="49"/>
      <c r="BP82" s="49"/>
      <c r="BQ82" s="49"/>
      <c r="BR82" s="49"/>
      <c r="BS82" s="49"/>
      <c r="BT82" s="49"/>
      <c r="BU82" s="49"/>
      <c r="BV82" s="49"/>
      <c r="BW82" s="49"/>
      <c r="BX82" s="49"/>
      <c r="BY82" s="49"/>
      <c r="BZ82" s="49"/>
      <c r="CA82" s="49"/>
      <c r="CB82" s="49"/>
      <c r="CC82" s="49"/>
      <c r="CD82" s="49"/>
      <c r="CE82" s="49"/>
      <c r="CF82" s="49"/>
      <c r="CG82" s="49"/>
      <c r="CH82" s="49"/>
      <c r="CI82" s="49"/>
      <c r="CJ82" s="49"/>
      <c r="CK82" s="49"/>
      <c r="CL82" s="49"/>
      <c r="CM82" s="49"/>
      <c r="CN82" s="49"/>
      <c r="CO82" s="49"/>
      <c r="CP82" s="49"/>
      <c r="CQ82" s="49"/>
      <c r="CR82" s="49"/>
      <c r="CS82" s="49"/>
      <c r="CT82" s="49"/>
      <c r="CU82" s="49"/>
      <c r="CV82" s="49"/>
      <c r="CW82" s="49"/>
      <c r="CX82" s="49"/>
      <c r="CY82" s="49"/>
      <c r="CZ82" s="49"/>
    </row>
    <row r="83" spans="1:104" s="1" customFormat="1" ht="39" customHeight="1" x14ac:dyDescent="0.15">
      <c r="A83" s="49"/>
      <c r="F83" s="49"/>
      <c r="G83" s="49"/>
      <c r="H83" s="49"/>
      <c r="I83" s="49"/>
      <c r="J83" s="49"/>
      <c r="K83" s="49"/>
      <c r="L83" s="49"/>
      <c r="M83" s="49"/>
      <c r="N83" s="49"/>
      <c r="O83" s="49"/>
      <c r="P83" s="49"/>
      <c r="Q83" s="49"/>
      <c r="R83" s="49"/>
      <c r="S83" s="49"/>
      <c r="T83" s="49"/>
      <c r="U83" s="49"/>
      <c r="V83" s="49"/>
      <c r="W83" s="49"/>
      <c r="X83" s="49"/>
      <c r="Y83" s="49"/>
      <c r="Z83" s="49"/>
      <c r="AA83" s="49"/>
      <c r="AB83" s="49"/>
      <c r="AC83" s="49"/>
      <c r="AD83" s="49"/>
      <c r="AE83" s="49"/>
      <c r="AF83" s="49"/>
      <c r="AG83" s="49"/>
      <c r="AH83" s="49"/>
      <c r="AI83" s="49"/>
      <c r="AJ83" s="49"/>
      <c r="AK83" s="49"/>
      <c r="AL83" s="49"/>
      <c r="AM83" s="49"/>
      <c r="AN83" s="49"/>
      <c r="AO83" s="49"/>
      <c r="AP83" s="49"/>
      <c r="AQ83" s="49"/>
      <c r="AR83" s="49"/>
      <c r="AS83" s="49"/>
      <c r="AT83" s="49"/>
      <c r="AU83" s="49"/>
      <c r="AV83" s="49"/>
      <c r="AW83" s="49"/>
      <c r="AX83" s="49"/>
      <c r="AY83" s="49"/>
      <c r="AZ83" s="49"/>
      <c r="BA83" s="49"/>
      <c r="BB83" s="49"/>
      <c r="BC83" s="49"/>
      <c r="BD83" s="49"/>
      <c r="BE83" s="49"/>
      <c r="BF83" s="49"/>
      <c r="BG83" s="49"/>
      <c r="BH83" s="49"/>
      <c r="BI83" s="49"/>
      <c r="BJ83" s="49"/>
      <c r="BK83" s="49"/>
      <c r="BL83" s="49"/>
      <c r="BM83" s="49"/>
      <c r="BN83" s="49"/>
      <c r="BO83" s="49"/>
      <c r="BP83" s="49"/>
      <c r="BQ83" s="49"/>
      <c r="BR83" s="49"/>
      <c r="BS83" s="49"/>
      <c r="BT83" s="49"/>
      <c r="BU83" s="49"/>
      <c r="BV83" s="49"/>
      <c r="BW83" s="49"/>
      <c r="BX83" s="49"/>
      <c r="BY83" s="49"/>
      <c r="BZ83" s="49"/>
      <c r="CA83" s="49"/>
      <c r="CB83" s="49"/>
      <c r="CC83" s="49"/>
      <c r="CD83" s="49"/>
      <c r="CE83" s="49"/>
      <c r="CF83" s="49"/>
      <c r="CG83" s="49"/>
      <c r="CH83" s="49"/>
      <c r="CI83" s="49"/>
      <c r="CJ83" s="49"/>
      <c r="CK83" s="49"/>
      <c r="CL83" s="49"/>
      <c r="CM83" s="49"/>
      <c r="CN83" s="49"/>
      <c r="CO83" s="49"/>
      <c r="CP83" s="49"/>
      <c r="CQ83" s="49"/>
      <c r="CR83" s="49"/>
      <c r="CS83" s="49"/>
      <c r="CT83" s="49"/>
      <c r="CU83" s="49"/>
      <c r="CV83" s="49"/>
      <c r="CW83" s="49"/>
      <c r="CX83" s="49"/>
      <c r="CY83" s="49"/>
      <c r="CZ83" s="49"/>
    </row>
    <row r="84" spans="1:104" s="1" customFormat="1" ht="25.5" customHeight="1" x14ac:dyDescent="0.15">
      <c r="A84" s="49"/>
      <c r="F84" s="49"/>
      <c r="G84" s="49"/>
      <c r="H84" s="49"/>
      <c r="I84" s="49"/>
      <c r="J84" s="49"/>
      <c r="K84" s="49"/>
      <c r="L84" s="49"/>
      <c r="M84" s="49"/>
      <c r="N84" s="49"/>
      <c r="O84" s="49"/>
      <c r="P84" s="49"/>
      <c r="Q84" s="49"/>
      <c r="R84" s="49"/>
      <c r="S84" s="49"/>
      <c r="T84" s="49"/>
      <c r="U84" s="49"/>
      <c r="V84" s="49"/>
      <c r="W84" s="49"/>
      <c r="X84" s="49"/>
      <c r="Y84" s="49"/>
      <c r="Z84" s="49"/>
      <c r="AA84" s="49"/>
      <c r="AB84" s="49"/>
      <c r="AC84" s="49"/>
      <c r="AD84" s="49"/>
      <c r="AE84" s="49"/>
      <c r="AF84" s="49"/>
      <c r="AG84" s="49"/>
      <c r="AH84" s="49"/>
      <c r="AI84" s="49"/>
      <c r="AJ84" s="49"/>
      <c r="AK84" s="49"/>
      <c r="AL84" s="49"/>
      <c r="AM84" s="49"/>
      <c r="AN84" s="49"/>
      <c r="AO84" s="49"/>
      <c r="AP84" s="49"/>
      <c r="AQ84" s="49"/>
      <c r="AR84" s="49"/>
      <c r="AS84" s="49"/>
      <c r="AT84" s="49"/>
      <c r="AU84" s="49"/>
      <c r="AV84" s="49"/>
      <c r="AW84" s="49"/>
      <c r="AX84" s="49"/>
      <c r="AY84" s="49"/>
      <c r="AZ84" s="49"/>
      <c r="BA84" s="49"/>
      <c r="BB84" s="49"/>
      <c r="BC84" s="49"/>
      <c r="BD84" s="49"/>
      <c r="BE84" s="49"/>
      <c r="BF84" s="49"/>
      <c r="BG84" s="49"/>
      <c r="BH84" s="49"/>
      <c r="BI84" s="49"/>
      <c r="BJ84" s="49"/>
      <c r="BK84" s="49"/>
      <c r="BL84" s="49"/>
      <c r="BM84" s="49"/>
      <c r="BN84" s="49"/>
      <c r="BO84" s="49"/>
      <c r="BP84" s="49"/>
      <c r="BQ84" s="49"/>
      <c r="BR84" s="49"/>
      <c r="BS84" s="49"/>
      <c r="BT84" s="49"/>
      <c r="BU84" s="49"/>
      <c r="BV84" s="49"/>
      <c r="BW84" s="49"/>
      <c r="BX84" s="49"/>
      <c r="BY84" s="49"/>
      <c r="BZ84" s="49"/>
      <c r="CA84" s="49"/>
      <c r="CB84" s="49"/>
      <c r="CC84" s="49"/>
      <c r="CD84" s="49"/>
      <c r="CE84" s="49"/>
      <c r="CF84" s="49"/>
      <c r="CG84" s="49"/>
      <c r="CH84" s="49"/>
      <c r="CI84" s="49"/>
      <c r="CJ84" s="49"/>
      <c r="CK84" s="49"/>
      <c r="CL84" s="49"/>
      <c r="CM84" s="49"/>
      <c r="CN84" s="49"/>
      <c r="CO84" s="49"/>
      <c r="CP84" s="49"/>
      <c r="CQ84" s="49"/>
      <c r="CR84" s="49"/>
      <c r="CS84" s="49"/>
      <c r="CT84" s="49"/>
      <c r="CU84" s="49"/>
      <c r="CV84" s="49"/>
      <c r="CW84" s="49"/>
      <c r="CX84" s="49"/>
      <c r="CY84" s="49"/>
      <c r="CZ84" s="49"/>
    </row>
    <row r="85" spans="1:104" s="1" customFormat="1" ht="66" customHeight="1" x14ac:dyDescent="0.15"/>
    <row r="86" spans="1:104" s="1" customFormat="1" ht="31.5" customHeight="1" x14ac:dyDescent="0.15"/>
    <row r="87" spans="1:104" s="1" customFormat="1" ht="66" customHeight="1" x14ac:dyDescent="0.15"/>
    <row r="88" spans="1:104" s="1" customFormat="1" ht="140.25" customHeight="1" x14ac:dyDescent="0.15"/>
    <row r="89" spans="1:104" s="1" customFormat="1" x14ac:dyDescent="0.15"/>
    <row r="90" spans="1:104" s="1" customFormat="1" x14ac:dyDescent="0.15"/>
    <row r="91" spans="1:104" s="1" customFormat="1" x14ac:dyDescent="0.15"/>
    <row r="92" spans="1:104" x14ac:dyDescent="0.1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row>
    <row r="93" spans="1:104" x14ac:dyDescent="0.1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row>
    <row r="94" spans="1:104" x14ac:dyDescent="0.1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row>
    <row r="95" spans="1:104" x14ac:dyDescent="0.1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row>
    <row r="96" spans="1:104" x14ac:dyDescent="0.15">
      <c r="A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row>
    <row r="97" spans="1:104" x14ac:dyDescent="0.15">
      <c r="A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row>
    <row r="98" spans="1:104" x14ac:dyDescent="0.15">
      <c r="A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row>
    <row r="99" spans="1:104" x14ac:dyDescent="0.15">
      <c r="A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row>
  </sheetData>
  <mergeCells count="1">
    <mergeCell ref="C55:C56"/>
  </mergeCells>
  <pageMargins left="1.6" right="1.6" top="1" bottom="1" header="0.5" footer="0.5"/>
  <pageSetup orientation="portrait" horizontalDpi="1200" verticalDpi="1200"/>
  <rowBreaks count="2" manualBreakCount="2">
    <brk id="74" max="16383" man="1"/>
    <brk id="87" max="8"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EBE3F6-30E7-3C47-81C6-5DA99BCB699C}">
  <sheetPr codeName="Sheet28"/>
  <dimension ref="A1:V35"/>
  <sheetViews>
    <sheetView topLeftCell="R11" workbookViewId="0">
      <selection activeCell="V31" sqref="V31"/>
    </sheetView>
  </sheetViews>
  <sheetFormatPr baseColWidth="10" defaultColWidth="34.1640625" defaultRowHeight="16" x14ac:dyDescent="0.2"/>
  <cols>
    <col min="4" max="4" width="52.6640625" customWidth="1"/>
  </cols>
  <sheetData>
    <row r="1" spans="1:22" x14ac:dyDescent="0.2">
      <c r="A1" t="s">
        <v>286</v>
      </c>
      <c r="B1" t="s">
        <v>287</v>
      </c>
      <c r="C1" t="s">
        <v>288</v>
      </c>
      <c r="D1" t="s">
        <v>289</v>
      </c>
      <c r="E1" t="s">
        <v>290</v>
      </c>
      <c r="F1" t="s">
        <v>294</v>
      </c>
      <c r="G1" t="s">
        <v>295</v>
      </c>
      <c r="H1">
        <v>2005</v>
      </c>
      <c r="I1">
        <v>2010</v>
      </c>
      <c r="J1">
        <v>2015</v>
      </c>
      <c r="K1">
        <v>2020</v>
      </c>
      <c r="L1">
        <v>2025</v>
      </c>
      <c r="M1">
        <v>2030</v>
      </c>
      <c r="N1">
        <v>2035</v>
      </c>
      <c r="O1">
        <v>2040</v>
      </c>
      <c r="P1">
        <v>2045</v>
      </c>
      <c r="Q1">
        <v>2050</v>
      </c>
      <c r="R1">
        <v>2060</v>
      </c>
      <c r="S1">
        <v>2070</v>
      </c>
      <c r="T1">
        <v>2080</v>
      </c>
      <c r="U1">
        <v>2090</v>
      </c>
      <c r="V1">
        <v>2100</v>
      </c>
    </row>
    <row r="2" spans="1:22" x14ac:dyDescent="0.2">
      <c r="A2" t="s">
        <v>444</v>
      </c>
      <c r="B2" t="s">
        <v>303</v>
      </c>
      <c r="C2" t="s">
        <v>1</v>
      </c>
      <c r="D2" t="s">
        <v>26</v>
      </c>
      <c r="E2" t="s">
        <v>25</v>
      </c>
      <c r="H2">
        <v>318.3790894</v>
      </c>
      <c r="I2">
        <v>348.29449460000001</v>
      </c>
      <c r="K2">
        <v>395.82830810000002</v>
      </c>
      <c r="M2">
        <v>431.79019169999998</v>
      </c>
      <c r="O2">
        <v>451.22421259999999</v>
      </c>
      <c r="Q2">
        <v>462.93130489999999</v>
      </c>
      <c r="R2">
        <v>457.3291016</v>
      </c>
      <c r="S2">
        <v>458.21810909999999</v>
      </c>
      <c r="T2">
        <v>461.65969849999999</v>
      </c>
      <c r="U2">
        <v>464.66390990000002</v>
      </c>
      <c r="V2">
        <v>484.3487854</v>
      </c>
    </row>
    <row r="3" spans="1:22" x14ac:dyDescent="0.2">
      <c r="A3" t="s">
        <v>444</v>
      </c>
      <c r="B3" t="s">
        <v>303</v>
      </c>
      <c r="C3" t="s">
        <v>1</v>
      </c>
      <c r="D3" t="s">
        <v>297</v>
      </c>
      <c r="E3" t="s">
        <v>24</v>
      </c>
      <c r="H3">
        <v>33182.728190000002</v>
      </c>
      <c r="I3">
        <v>35612.614589999997</v>
      </c>
      <c r="K3">
        <v>43478.012049999998</v>
      </c>
      <c r="M3">
        <v>49474.444340000002</v>
      </c>
      <c r="O3">
        <v>52913.738290000001</v>
      </c>
      <c r="Q3">
        <v>55991.099289999998</v>
      </c>
      <c r="R3">
        <v>57621.59506</v>
      </c>
      <c r="S3">
        <v>60866.666669999999</v>
      </c>
      <c r="T3">
        <v>64443.063159999998</v>
      </c>
      <c r="U3">
        <v>67837.071620000002</v>
      </c>
      <c r="V3">
        <v>72492.606780000002</v>
      </c>
    </row>
    <row r="4" spans="1:22" x14ac:dyDescent="0.2">
      <c r="A4" s="215" t="s">
        <v>301</v>
      </c>
      <c r="B4" t="s">
        <v>302</v>
      </c>
      <c r="C4" t="s">
        <v>1</v>
      </c>
      <c r="D4" t="s">
        <v>299</v>
      </c>
      <c r="E4" t="s">
        <v>24</v>
      </c>
      <c r="H4">
        <v>28132.724285125732</v>
      </c>
      <c r="I4">
        <v>30490.629196166992</v>
      </c>
      <c r="K4">
        <v>36419.173240661621</v>
      </c>
      <c r="M4">
        <v>41178.647677103676</v>
      </c>
      <c r="O4">
        <v>44638.25798034668</v>
      </c>
      <c r="Q4">
        <v>48651.535034179688</v>
      </c>
      <c r="R4">
        <v>53651.107152303055</v>
      </c>
      <c r="S4">
        <v>57505.031267801918</v>
      </c>
      <c r="T4">
        <v>60643.732706705727</v>
      </c>
      <c r="U4">
        <v>64628.26601664225</v>
      </c>
      <c r="V4">
        <v>69304.621378580719</v>
      </c>
    </row>
    <row r="5" spans="1:22" x14ac:dyDescent="0.2">
      <c r="A5" s="215" t="s">
        <v>301</v>
      </c>
      <c r="B5" t="s">
        <v>302</v>
      </c>
      <c r="C5" t="s">
        <v>1</v>
      </c>
      <c r="D5" t="s">
        <v>7</v>
      </c>
      <c r="E5" t="s">
        <v>24</v>
      </c>
      <c r="H5">
        <v>1260.6443961461384</v>
      </c>
      <c r="I5">
        <v>1619.6451683839161</v>
      </c>
      <c r="K5">
        <v>1846.3895320892334</v>
      </c>
      <c r="M5">
        <v>2014.8549278577168</v>
      </c>
      <c r="O5">
        <v>2097.1979300181069</v>
      </c>
      <c r="Q5">
        <v>2292.7681605021157</v>
      </c>
      <c r="R5">
        <v>2535.1934035619097</v>
      </c>
      <c r="S5">
        <v>2635.3624661763506</v>
      </c>
      <c r="T5">
        <v>2885.1141730944314</v>
      </c>
      <c r="U5">
        <v>3324.2319027582803</v>
      </c>
      <c r="V5">
        <v>3714.6559556325274</v>
      </c>
    </row>
    <row r="6" spans="1:22" x14ac:dyDescent="0.2">
      <c r="A6" t="s">
        <v>444</v>
      </c>
      <c r="B6" t="s">
        <v>303</v>
      </c>
      <c r="C6" t="s">
        <v>1</v>
      </c>
      <c r="D6" t="s">
        <v>23</v>
      </c>
      <c r="E6" t="s">
        <v>22</v>
      </c>
      <c r="H6">
        <v>672.65832499999999</v>
      </c>
      <c r="I6">
        <v>877.77581799999996</v>
      </c>
      <c r="K6">
        <v>1734.1839600000001</v>
      </c>
      <c r="M6">
        <v>2202.7680700000001</v>
      </c>
      <c r="O6">
        <v>2689.5119599999998</v>
      </c>
      <c r="Q6">
        <v>3184.7670899999998</v>
      </c>
      <c r="R6">
        <v>3659.2160600000002</v>
      </c>
      <c r="S6">
        <v>4187.9101600000004</v>
      </c>
      <c r="T6">
        <v>4581.3872099999999</v>
      </c>
      <c r="U6">
        <v>5028.0752000000002</v>
      </c>
      <c r="V6">
        <v>5575.5541999999996</v>
      </c>
    </row>
    <row r="7" spans="1:22" x14ac:dyDescent="0.2">
      <c r="A7" t="s">
        <v>444</v>
      </c>
      <c r="B7" t="s">
        <v>303</v>
      </c>
      <c r="C7" t="s">
        <v>1</v>
      </c>
      <c r="D7" t="s">
        <v>21</v>
      </c>
      <c r="E7" t="s">
        <v>20</v>
      </c>
      <c r="H7">
        <v>9158.4775370000007</v>
      </c>
      <c r="I7">
        <v>9835.0657759999995</v>
      </c>
      <c r="K7">
        <v>11182.576520000001</v>
      </c>
      <c r="M7">
        <v>12487.891180000001</v>
      </c>
      <c r="O7">
        <v>13332.03376</v>
      </c>
      <c r="Q7">
        <v>13865.35421</v>
      </c>
      <c r="R7">
        <v>13554.599609999999</v>
      </c>
      <c r="S7">
        <v>13531.40415</v>
      </c>
      <c r="T7">
        <v>13744.41252</v>
      </c>
      <c r="U7">
        <v>13744.094859999999</v>
      </c>
      <c r="V7">
        <v>13789.851979999999</v>
      </c>
    </row>
    <row r="8" spans="1:22" x14ac:dyDescent="0.2">
      <c r="A8" t="s">
        <v>444</v>
      </c>
      <c r="B8" t="s">
        <v>303</v>
      </c>
      <c r="C8" t="s">
        <v>1</v>
      </c>
      <c r="D8" t="s">
        <v>8</v>
      </c>
      <c r="E8" t="s">
        <v>18</v>
      </c>
      <c r="H8">
        <v>341.0729063</v>
      </c>
      <c r="I8">
        <v>368.1208125</v>
      </c>
      <c r="K8">
        <v>423.03090630000003</v>
      </c>
      <c r="M8">
        <v>479.42259380000002</v>
      </c>
      <c r="O8">
        <v>541.945875</v>
      </c>
      <c r="Q8">
        <v>601.97268750000001</v>
      </c>
      <c r="R8">
        <v>664.53981250000004</v>
      </c>
      <c r="S8">
        <v>719.05137500000001</v>
      </c>
      <c r="T8">
        <v>765.49487499999998</v>
      </c>
      <c r="U8">
        <v>800.99437499999999</v>
      </c>
      <c r="V8">
        <v>831.80218749999995</v>
      </c>
    </row>
    <row r="9" spans="1:22" x14ac:dyDescent="0.2">
      <c r="A9" s="215" t="s">
        <v>301</v>
      </c>
      <c r="B9" t="s">
        <v>302</v>
      </c>
      <c r="C9" t="s">
        <v>1</v>
      </c>
      <c r="D9" t="s">
        <v>17</v>
      </c>
      <c r="E9" t="s">
        <v>312</v>
      </c>
      <c r="H9">
        <f t="shared" ref="H9:V9" si="0">H10*$E$35</f>
        <v>49593.37808000001</v>
      </c>
      <c r="I9">
        <f t="shared" si="0"/>
        <v>55776.193800000001</v>
      </c>
      <c r="J9">
        <f t="shared" si="0"/>
        <v>0</v>
      </c>
      <c r="K9">
        <f t="shared" si="0"/>
        <v>78494.021760000003</v>
      </c>
      <c r="L9">
        <f t="shared" si="0"/>
        <v>0</v>
      </c>
      <c r="M9">
        <f t="shared" si="0"/>
        <v>109940.23400000001</v>
      </c>
      <c r="N9">
        <f t="shared" si="0"/>
        <v>0</v>
      </c>
      <c r="O9">
        <f t="shared" si="0"/>
        <v>143359.74736000001</v>
      </c>
      <c r="P9">
        <f t="shared" si="0"/>
        <v>0</v>
      </c>
      <c r="Q9">
        <f t="shared" si="0"/>
        <v>180095.57264000003</v>
      </c>
      <c r="R9">
        <f t="shared" si="0"/>
        <v>221675.58464000002</v>
      </c>
      <c r="S9">
        <f t="shared" si="0"/>
        <v>271512.12864000001</v>
      </c>
      <c r="T9">
        <f t="shared" si="0"/>
        <v>329316.13664000004</v>
      </c>
      <c r="U9">
        <f t="shared" si="0"/>
        <v>396375.65728000004</v>
      </c>
      <c r="V9">
        <f t="shared" si="0"/>
        <v>473895.06208000006</v>
      </c>
    </row>
    <row r="10" spans="1:22" x14ac:dyDescent="0.2">
      <c r="A10" s="215"/>
      <c r="E10" t="s">
        <v>16</v>
      </c>
      <c r="H10">
        <v>45498.512000000002</v>
      </c>
      <c r="I10">
        <v>51170.82</v>
      </c>
      <c r="K10">
        <v>72012.864000000001</v>
      </c>
      <c r="M10">
        <v>100862.6</v>
      </c>
      <c r="O10">
        <v>131522.704</v>
      </c>
      <c r="Q10">
        <v>165225.296</v>
      </c>
      <c r="R10">
        <v>203372.09599999999</v>
      </c>
      <c r="S10">
        <v>249093.696</v>
      </c>
      <c r="T10">
        <v>302124.89600000001</v>
      </c>
      <c r="U10">
        <v>363647.39199999999</v>
      </c>
      <c r="V10">
        <v>434766.11200000002</v>
      </c>
    </row>
    <row r="11" spans="1:22" x14ac:dyDescent="0.2">
      <c r="A11" t="s">
        <v>444</v>
      </c>
      <c r="B11" t="s">
        <v>303</v>
      </c>
      <c r="C11" t="s">
        <v>1</v>
      </c>
      <c r="D11" t="s">
        <v>0</v>
      </c>
      <c r="E11" t="s">
        <v>312</v>
      </c>
      <c r="H11">
        <v>63148.666799999999</v>
      </c>
      <c r="I11">
        <v>75308.071089999998</v>
      </c>
      <c r="K11">
        <v>111762.4234</v>
      </c>
      <c r="M11">
        <v>159294.19690000001</v>
      </c>
      <c r="O11">
        <v>207346.2531</v>
      </c>
      <c r="Q11">
        <v>257634.7469</v>
      </c>
      <c r="R11">
        <v>311575.6531</v>
      </c>
      <c r="S11">
        <v>372792.75</v>
      </c>
      <c r="T11">
        <v>439657.45309999998</v>
      </c>
      <c r="U11">
        <v>512617.39380000002</v>
      </c>
      <c r="V11">
        <v>592070.46250000002</v>
      </c>
    </row>
    <row r="13" spans="1:22" x14ac:dyDescent="0.2">
      <c r="A13" t="s">
        <v>444</v>
      </c>
      <c r="B13" t="s">
        <v>303</v>
      </c>
      <c r="C13" t="s">
        <v>1</v>
      </c>
      <c r="D13" t="s">
        <v>2</v>
      </c>
      <c r="E13" t="s">
        <v>19</v>
      </c>
      <c r="H13">
        <v>6530.5478519999997</v>
      </c>
      <c r="I13">
        <v>6921.7978519999997</v>
      </c>
      <c r="K13">
        <v>7671.501953</v>
      </c>
      <c r="M13">
        <v>8327.6826170000004</v>
      </c>
      <c r="O13">
        <v>8857.1757809999999</v>
      </c>
      <c r="Q13">
        <v>9242.5429690000001</v>
      </c>
      <c r="R13">
        <v>9459.9677730000003</v>
      </c>
      <c r="S13">
        <v>9531.0947269999997</v>
      </c>
      <c r="T13">
        <v>9480.2275389999995</v>
      </c>
      <c r="U13">
        <v>9325.7070309999999</v>
      </c>
      <c r="V13">
        <v>9103.234375</v>
      </c>
    </row>
    <row r="14" spans="1:22" x14ac:dyDescent="0.2">
      <c r="A14" t="s">
        <v>444</v>
      </c>
      <c r="B14" t="s">
        <v>303</v>
      </c>
      <c r="C14" t="s">
        <v>1</v>
      </c>
      <c r="D14" t="s">
        <v>9</v>
      </c>
      <c r="E14" t="s">
        <v>18</v>
      </c>
      <c r="H14">
        <v>459.0075938</v>
      </c>
      <c r="I14">
        <v>506.23181249999999</v>
      </c>
      <c r="K14">
        <v>594.26031250000005</v>
      </c>
      <c r="M14">
        <v>676.61637499999995</v>
      </c>
      <c r="O14">
        <v>755.57987500000002</v>
      </c>
      <c r="Q14">
        <v>832.27637500000003</v>
      </c>
      <c r="R14">
        <v>910.11768749999999</v>
      </c>
      <c r="S14">
        <v>976.86431249999998</v>
      </c>
      <c r="T14">
        <v>1037.7739999999999</v>
      </c>
      <c r="U14">
        <v>1095.373</v>
      </c>
      <c r="V14">
        <v>1151.866</v>
      </c>
    </row>
    <row r="15" spans="1:22" x14ac:dyDescent="0.2">
      <c r="A15" t="s">
        <v>444</v>
      </c>
      <c r="B15" t="s">
        <v>303</v>
      </c>
      <c r="C15" t="s">
        <v>1</v>
      </c>
      <c r="D15" t="s">
        <v>11</v>
      </c>
      <c r="E15" t="s">
        <v>18</v>
      </c>
      <c r="H15">
        <v>117.48179690000001</v>
      </c>
      <c r="I15">
        <v>145.98440629999999</v>
      </c>
      <c r="K15">
        <v>172.32499999999999</v>
      </c>
      <c r="M15">
        <v>211.99509380000001</v>
      </c>
      <c r="O15">
        <v>240.01190629999999</v>
      </c>
      <c r="Q15">
        <v>263.81950000000001</v>
      </c>
      <c r="R15">
        <v>289.18609379999998</v>
      </c>
      <c r="S15">
        <v>321.66659379999999</v>
      </c>
      <c r="T15">
        <v>366.5186875</v>
      </c>
      <c r="U15">
        <v>432.56718749999999</v>
      </c>
      <c r="V15">
        <v>510.43531250000001</v>
      </c>
    </row>
    <row r="16" spans="1:22" x14ac:dyDescent="0.2">
      <c r="A16" t="s">
        <v>444</v>
      </c>
      <c r="B16" t="s">
        <v>303</v>
      </c>
      <c r="C16" t="s">
        <v>1</v>
      </c>
      <c r="D16" t="s">
        <v>10</v>
      </c>
      <c r="E16" t="s">
        <v>18</v>
      </c>
      <c r="H16">
        <v>101.93460159999999</v>
      </c>
      <c r="I16">
        <v>112.7463984</v>
      </c>
      <c r="K16">
        <v>152.18899999999999</v>
      </c>
      <c r="M16">
        <v>187.71890629999999</v>
      </c>
      <c r="O16">
        <v>217.0180938</v>
      </c>
      <c r="Q16">
        <v>236.3882969</v>
      </c>
      <c r="R16">
        <v>260.61790630000002</v>
      </c>
      <c r="S16">
        <v>270.75331249999999</v>
      </c>
      <c r="T16">
        <v>269.83550000000002</v>
      </c>
      <c r="U16">
        <v>245.80199999999999</v>
      </c>
      <c r="V16">
        <v>215.65909379999999</v>
      </c>
    </row>
    <row r="17" spans="1:22" x14ac:dyDescent="0.2">
      <c r="A17" t="s">
        <v>444</v>
      </c>
      <c r="B17" t="s">
        <v>303</v>
      </c>
      <c r="C17" t="s">
        <v>1</v>
      </c>
      <c r="D17" t="s">
        <v>12</v>
      </c>
      <c r="E17" t="s">
        <v>18</v>
      </c>
      <c r="H17">
        <v>174.8014063</v>
      </c>
      <c r="I17">
        <v>171.87170309999999</v>
      </c>
      <c r="K17">
        <v>176.6505938</v>
      </c>
      <c r="M17">
        <v>165.22149999999999</v>
      </c>
      <c r="O17">
        <v>158.09770309999999</v>
      </c>
      <c r="Q17">
        <v>173.017</v>
      </c>
      <c r="R17">
        <v>198.71950000000001</v>
      </c>
      <c r="S17">
        <v>201.8860938</v>
      </c>
      <c r="T17">
        <v>191.60340629999999</v>
      </c>
      <c r="U17">
        <v>187.4747969</v>
      </c>
      <c r="V17">
        <v>180.62559379999999</v>
      </c>
    </row>
    <row r="18" spans="1:22" x14ac:dyDescent="0.2">
      <c r="A18" t="s">
        <v>444</v>
      </c>
      <c r="B18" t="s">
        <v>303</v>
      </c>
      <c r="C18" t="s">
        <v>1</v>
      </c>
      <c r="D18" t="s">
        <v>298</v>
      </c>
      <c r="E18" t="s">
        <v>24</v>
      </c>
      <c r="H18">
        <v>3789.3628800000001</v>
      </c>
      <c r="I18">
        <v>3502.3383199999998</v>
      </c>
      <c r="K18">
        <v>5212.4559639999998</v>
      </c>
      <c r="M18">
        <v>6280.9146549999996</v>
      </c>
      <c r="O18">
        <v>6178.3188639999998</v>
      </c>
      <c r="Q18">
        <v>5046.7978469999998</v>
      </c>
      <c r="R18">
        <v>1435.313699</v>
      </c>
      <c r="S18">
        <v>726.26427820000004</v>
      </c>
      <c r="T18">
        <v>914.21360279999999</v>
      </c>
      <c r="U18">
        <v>-115.4519071</v>
      </c>
      <c r="V18">
        <v>-526.66452530000004</v>
      </c>
    </row>
    <row r="19" spans="1:22" x14ac:dyDescent="0.2">
      <c r="D19" t="s">
        <v>224</v>
      </c>
      <c r="H19">
        <f>SUM(H4:H5)</f>
        <v>29393.36868127187</v>
      </c>
      <c r="I19">
        <f t="shared" ref="I19:V19" si="1">SUM(I4:I5)</f>
        <v>32110.274364550907</v>
      </c>
      <c r="J19">
        <f t="shared" si="1"/>
        <v>0</v>
      </c>
      <c r="K19">
        <f t="shared" si="1"/>
        <v>38265.562772750854</v>
      </c>
      <c r="L19">
        <f t="shared" si="1"/>
        <v>0</v>
      </c>
      <c r="M19">
        <f t="shared" si="1"/>
        <v>43193.502604961395</v>
      </c>
      <c r="N19">
        <f t="shared" si="1"/>
        <v>0</v>
      </c>
      <c r="O19">
        <f t="shared" si="1"/>
        <v>46735.455910364784</v>
      </c>
      <c r="P19">
        <f t="shared" si="1"/>
        <v>0</v>
      </c>
      <c r="Q19">
        <f t="shared" si="1"/>
        <v>50944.303194681801</v>
      </c>
      <c r="R19">
        <f t="shared" si="1"/>
        <v>56186.300555864967</v>
      </c>
      <c r="S19">
        <f t="shared" si="1"/>
        <v>60140.393733978271</v>
      </c>
      <c r="T19">
        <f t="shared" si="1"/>
        <v>63528.846879800156</v>
      </c>
      <c r="U19">
        <f t="shared" si="1"/>
        <v>67952.497919400528</v>
      </c>
      <c r="V19">
        <f t="shared" si="1"/>
        <v>73019.277334213242</v>
      </c>
    </row>
    <row r="20" spans="1:22" x14ac:dyDescent="0.2">
      <c r="A20" t="s">
        <v>475</v>
      </c>
      <c r="B20" t="s">
        <v>303</v>
      </c>
      <c r="C20" t="s">
        <v>1</v>
      </c>
      <c r="D20" t="s">
        <v>476</v>
      </c>
      <c r="E20" t="s">
        <v>477</v>
      </c>
      <c r="G20" t="s">
        <v>478</v>
      </c>
      <c r="H20">
        <v>13.7591</v>
      </c>
      <c r="I20">
        <v>34.598399999999998</v>
      </c>
      <c r="J20" t="s">
        <v>478</v>
      </c>
      <c r="K20">
        <v>135.36079305000001</v>
      </c>
      <c r="L20" t="s">
        <v>478</v>
      </c>
      <c r="M20">
        <v>211.30107000000001</v>
      </c>
      <c r="N20" t="s">
        <v>478</v>
      </c>
      <c r="O20">
        <v>286.80251844999998</v>
      </c>
      <c r="P20" t="s">
        <v>478</v>
      </c>
      <c r="Q20">
        <v>366.32170869999999</v>
      </c>
      <c r="R20">
        <v>457.79159019999997</v>
      </c>
      <c r="S20">
        <v>582.32852420000006</v>
      </c>
      <c r="T20">
        <v>718.53083520000007</v>
      </c>
      <c r="U20">
        <v>858.29232279999997</v>
      </c>
      <c r="V20">
        <v>998.8829042000001</v>
      </c>
    </row>
    <row r="21" spans="1:22" x14ac:dyDescent="0.2">
      <c r="A21" t="s">
        <v>475</v>
      </c>
      <c r="B21" t="s">
        <v>303</v>
      </c>
      <c r="C21" t="s">
        <v>1</v>
      </c>
      <c r="D21" t="s">
        <v>479</v>
      </c>
      <c r="E21" t="s">
        <v>477</v>
      </c>
      <c r="G21" t="s">
        <v>478</v>
      </c>
      <c r="H21">
        <v>120.93340000000001</v>
      </c>
      <c r="I21">
        <v>152.51320000000001</v>
      </c>
      <c r="J21" t="s">
        <v>478</v>
      </c>
      <c r="K21">
        <v>231.289201975</v>
      </c>
      <c r="L21" t="s">
        <v>478</v>
      </c>
      <c r="M21">
        <v>211.16660665000001</v>
      </c>
      <c r="N21" t="s">
        <v>478</v>
      </c>
      <c r="O21">
        <v>217.94627532499999</v>
      </c>
      <c r="P21" t="s">
        <v>478</v>
      </c>
      <c r="Q21">
        <v>236.63510719999996</v>
      </c>
      <c r="R21">
        <v>256.24338489999997</v>
      </c>
      <c r="S21">
        <v>278.20701309999998</v>
      </c>
      <c r="T21">
        <v>296.87494560000005</v>
      </c>
      <c r="U21">
        <v>313.88674120000002</v>
      </c>
      <c r="V21">
        <v>333.63116730000002</v>
      </c>
    </row>
    <row r="22" spans="1:22" x14ac:dyDescent="0.2">
      <c r="A22" t="s">
        <v>475</v>
      </c>
      <c r="B22" t="s">
        <v>303</v>
      </c>
      <c r="C22" t="s">
        <v>1</v>
      </c>
      <c r="D22" t="s">
        <v>480</v>
      </c>
      <c r="E22" t="s">
        <v>477</v>
      </c>
      <c r="G22" t="s">
        <v>478</v>
      </c>
      <c r="H22">
        <v>12.4483</v>
      </c>
      <c r="I22">
        <v>26.537299999999998</v>
      </c>
      <c r="J22" t="s">
        <v>478</v>
      </c>
      <c r="K22">
        <v>61.837528849999998</v>
      </c>
      <c r="L22" t="s">
        <v>478</v>
      </c>
      <c r="M22">
        <v>85.078818699999999</v>
      </c>
      <c r="N22" t="s">
        <v>478</v>
      </c>
      <c r="O22">
        <v>105.64440114999999</v>
      </c>
      <c r="P22" t="s">
        <v>478</v>
      </c>
      <c r="Q22">
        <v>121.6247389</v>
      </c>
      <c r="R22">
        <v>135.77562069999999</v>
      </c>
      <c r="S22">
        <v>150.2867622</v>
      </c>
      <c r="T22">
        <v>162.81120190000001</v>
      </c>
      <c r="U22">
        <v>173.7318181</v>
      </c>
      <c r="V22">
        <v>185.71711149999999</v>
      </c>
    </row>
    <row r="23" spans="1:22" x14ac:dyDescent="0.2">
      <c r="A23" t="s">
        <v>475</v>
      </c>
      <c r="B23" t="s">
        <v>303</v>
      </c>
      <c r="C23" t="s">
        <v>1</v>
      </c>
      <c r="D23" t="s">
        <v>481</v>
      </c>
      <c r="E23" t="s">
        <v>477</v>
      </c>
      <c r="G23" t="s">
        <v>478</v>
      </c>
      <c r="H23">
        <v>4.8899999999999997</v>
      </c>
      <c r="I23">
        <v>11.5413</v>
      </c>
      <c r="J23" t="s">
        <v>478</v>
      </c>
      <c r="K23">
        <v>11.097397099999998</v>
      </c>
      <c r="L23" t="s">
        <v>478</v>
      </c>
      <c r="M23">
        <v>9.1535335999999994</v>
      </c>
      <c r="N23" t="s">
        <v>478</v>
      </c>
      <c r="O23">
        <v>7.0010447000000005</v>
      </c>
      <c r="P23" t="s">
        <v>478</v>
      </c>
      <c r="Q23">
        <v>4.7107374999999996</v>
      </c>
      <c r="R23">
        <v>4.603688</v>
      </c>
      <c r="S23">
        <v>4.4205793</v>
      </c>
      <c r="T23">
        <v>4.2088312000000005</v>
      </c>
      <c r="U23">
        <v>3.9824976000000003</v>
      </c>
      <c r="V23">
        <v>3.7656320000000001</v>
      </c>
    </row>
    <row r="24" spans="1:22" x14ac:dyDescent="0.2">
      <c r="A24" t="s">
        <v>475</v>
      </c>
      <c r="B24" t="s">
        <v>303</v>
      </c>
      <c r="C24" t="s">
        <v>1</v>
      </c>
      <c r="D24" t="s">
        <v>482</v>
      </c>
      <c r="E24" t="s">
        <v>477</v>
      </c>
      <c r="G24" t="s">
        <v>478</v>
      </c>
      <c r="H24">
        <v>10.8117</v>
      </c>
      <c r="I24">
        <v>9.5221999999999998</v>
      </c>
      <c r="J24" t="s">
        <v>478</v>
      </c>
      <c r="K24">
        <v>2.3033918235706698</v>
      </c>
      <c r="L24" t="s">
        <v>478</v>
      </c>
      <c r="M24">
        <v>1.8679058414750001</v>
      </c>
      <c r="N24" t="s">
        <v>478</v>
      </c>
      <c r="O24">
        <v>1.2846374581293301</v>
      </c>
      <c r="P24" t="s">
        <v>478</v>
      </c>
      <c r="Q24">
        <v>0.97795499812999998</v>
      </c>
      <c r="R24">
        <v>0.57065622115333303</v>
      </c>
      <c r="S24">
        <v>0.32245806904740004</v>
      </c>
      <c r="T24">
        <v>0.18786997667899999</v>
      </c>
      <c r="U24">
        <v>0</v>
      </c>
      <c r="V24">
        <v>0</v>
      </c>
    </row>
    <row r="25" spans="1:22" x14ac:dyDescent="0.2">
      <c r="A25" t="s">
        <v>475</v>
      </c>
      <c r="B25" t="s">
        <v>303</v>
      </c>
      <c r="C25" t="s">
        <v>1</v>
      </c>
      <c r="D25" t="s">
        <v>483</v>
      </c>
      <c r="E25" t="s">
        <v>477</v>
      </c>
      <c r="G25" t="s">
        <v>478</v>
      </c>
      <c r="H25" t="s">
        <v>478</v>
      </c>
      <c r="I25">
        <v>49.707667500480007</v>
      </c>
      <c r="J25" t="s">
        <v>478</v>
      </c>
      <c r="K25">
        <v>59.325699737333295</v>
      </c>
      <c r="L25" t="s">
        <v>478</v>
      </c>
      <c r="M25">
        <v>7.9998198454459999</v>
      </c>
      <c r="N25" t="s">
        <v>478</v>
      </c>
      <c r="O25">
        <v>0</v>
      </c>
      <c r="P25" t="s">
        <v>478</v>
      </c>
      <c r="Q25">
        <v>0</v>
      </c>
      <c r="R25">
        <v>0</v>
      </c>
      <c r="S25">
        <v>0</v>
      </c>
      <c r="T25">
        <v>0</v>
      </c>
      <c r="U25">
        <v>0</v>
      </c>
      <c r="V25">
        <v>0</v>
      </c>
    </row>
    <row r="26" spans="1:22" x14ac:dyDescent="0.2">
      <c r="A26" t="s">
        <v>475</v>
      </c>
      <c r="B26" t="s">
        <v>303</v>
      </c>
      <c r="C26" t="s">
        <v>1</v>
      </c>
      <c r="D26" t="s">
        <v>484</v>
      </c>
      <c r="E26" t="s">
        <v>477</v>
      </c>
      <c r="G26" t="s">
        <v>478</v>
      </c>
      <c r="H26">
        <v>10.993399999999999</v>
      </c>
      <c r="I26">
        <v>17.9421</v>
      </c>
      <c r="J26" t="s">
        <v>478</v>
      </c>
      <c r="K26">
        <v>87.037716175</v>
      </c>
      <c r="L26" t="s">
        <v>478</v>
      </c>
      <c r="M26">
        <v>142.67983475</v>
      </c>
      <c r="N26" t="s">
        <v>478</v>
      </c>
      <c r="O26">
        <v>202.28310522500001</v>
      </c>
      <c r="P26" t="s">
        <v>478</v>
      </c>
      <c r="Q26">
        <v>269.39892329999998</v>
      </c>
      <c r="R26">
        <v>351.04567639999999</v>
      </c>
      <c r="S26">
        <v>465.60741339999998</v>
      </c>
      <c r="T26">
        <v>592.35596699999996</v>
      </c>
      <c r="U26">
        <v>723.01501389999999</v>
      </c>
      <c r="V26">
        <v>853.47627640000007</v>
      </c>
    </row>
    <row r="27" spans="1:22" x14ac:dyDescent="0.2">
      <c r="A27" t="s">
        <v>475</v>
      </c>
      <c r="B27" t="s">
        <v>303</v>
      </c>
      <c r="C27" t="s">
        <v>1</v>
      </c>
      <c r="D27" t="s">
        <v>485</v>
      </c>
      <c r="E27" t="s">
        <v>477</v>
      </c>
      <c r="G27" t="s">
        <v>478</v>
      </c>
      <c r="H27">
        <v>3.2351999999999999</v>
      </c>
      <c r="I27">
        <v>6.4866999999999999</v>
      </c>
      <c r="J27" t="s">
        <v>478</v>
      </c>
      <c r="K27">
        <v>5.194056775</v>
      </c>
      <c r="L27" t="s">
        <v>478</v>
      </c>
      <c r="M27">
        <v>3.8362123499999998</v>
      </c>
      <c r="N27" t="s">
        <v>478</v>
      </c>
      <c r="O27">
        <v>2.4702679249999999</v>
      </c>
      <c r="P27" t="s">
        <v>478</v>
      </c>
      <c r="Q27">
        <v>1.0950141000000002</v>
      </c>
      <c r="R27">
        <v>1.1341444999999999</v>
      </c>
      <c r="S27">
        <v>1.1659593000000001</v>
      </c>
      <c r="T27">
        <v>1.1864756000000001</v>
      </c>
      <c r="U27">
        <v>1.1939284999999999</v>
      </c>
      <c r="V27">
        <v>1.1893357</v>
      </c>
    </row>
    <row r="28" spans="1:22" x14ac:dyDescent="0.2">
      <c r="A28" t="s">
        <v>475</v>
      </c>
      <c r="B28" t="s">
        <v>303</v>
      </c>
      <c r="C28" t="s">
        <v>1</v>
      </c>
      <c r="D28" t="s">
        <v>486</v>
      </c>
      <c r="E28" t="s">
        <v>471</v>
      </c>
      <c r="G28" t="s">
        <v>478</v>
      </c>
      <c r="H28">
        <v>11.6059</v>
      </c>
      <c r="I28">
        <v>10.634399999999999</v>
      </c>
      <c r="J28" t="s">
        <v>478</v>
      </c>
      <c r="K28">
        <v>19.506877745703999</v>
      </c>
      <c r="L28" t="s">
        <v>478</v>
      </c>
      <c r="M28">
        <v>14.927779713031001</v>
      </c>
      <c r="N28" t="s">
        <v>478</v>
      </c>
      <c r="O28">
        <v>13.953570235428</v>
      </c>
      <c r="P28" t="s">
        <v>478</v>
      </c>
      <c r="Q28">
        <v>10.476380760890001</v>
      </c>
      <c r="R28">
        <v>9.0308705989479989</v>
      </c>
      <c r="S28">
        <v>9.442278565434</v>
      </c>
      <c r="T28">
        <v>7.2920800483300008</v>
      </c>
      <c r="U28">
        <v>7.2456740195840004</v>
      </c>
      <c r="V28">
        <v>8.2594182827859992</v>
      </c>
    </row>
    <row r="29" spans="1:22" x14ac:dyDescent="0.2">
      <c r="A29" t="s">
        <v>475</v>
      </c>
      <c r="B29" t="s">
        <v>303</v>
      </c>
      <c r="C29" t="s">
        <v>1</v>
      </c>
      <c r="D29" t="s">
        <v>487</v>
      </c>
      <c r="E29" t="s">
        <v>473</v>
      </c>
      <c r="G29" t="s">
        <v>478</v>
      </c>
      <c r="H29">
        <v>6.3407999999999998</v>
      </c>
      <c r="I29">
        <v>7.0442999999999998</v>
      </c>
      <c r="J29" t="s">
        <v>478</v>
      </c>
      <c r="K29">
        <v>8.3144401749999997</v>
      </c>
      <c r="L29" t="s">
        <v>478</v>
      </c>
      <c r="M29">
        <v>9.1811827499999996</v>
      </c>
      <c r="N29" t="s">
        <v>478</v>
      </c>
      <c r="O29">
        <v>9.3728692250000005</v>
      </c>
      <c r="P29" t="s">
        <v>478</v>
      </c>
      <c r="Q29">
        <v>9.553526699999999</v>
      </c>
      <c r="R29">
        <v>9.6091865999999992</v>
      </c>
      <c r="S29">
        <v>9.4042230999999994</v>
      </c>
      <c r="T29">
        <v>8.9117031999999998</v>
      </c>
      <c r="U29">
        <v>8.3400618000000009</v>
      </c>
      <c r="V29">
        <v>7.9056533</v>
      </c>
    </row>
    <row r="31" spans="1:22" x14ac:dyDescent="0.2">
      <c r="A31" t="s">
        <v>301</v>
      </c>
      <c r="B31" t="s">
        <v>494</v>
      </c>
      <c r="C31" t="s">
        <v>1</v>
      </c>
      <c r="D31" t="s">
        <v>468</v>
      </c>
      <c r="E31" t="s">
        <v>469</v>
      </c>
      <c r="H31" s="238">
        <v>290.04389364624024</v>
      </c>
      <c r="I31" s="238">
        <v>396.79837426757808</v>
      </c>
      <c r="J31" s="238">
        <v>616.70618902587887</v>
      </c>
      <c r="K31" s="238">
        <v>927.09073095703116</v>
      </c>
      <c r="L31" s="238">
        <v>1082.2190705566406</v>
      </c>
      <c r="M31" s="238">
        <v>1255.4633876953123</v>
      </c>
      <c r="N31" s="238">
        <v>1428.2100769042968</v>
      </c>
      <c r="O31" s="238">
        <v>1595.4535063476562</v>
      </c>
      <c r="P31" s="238">
        <v>1762.6515417480468</v>
      </c>
      <c r="Q31" s="238">
        <v>1929.9403652343749</v>
      </c>
      <c r="R31" s="238">
        <v>2248.7633781738282</v>
      </c>
      <c r="S31" s="238">
        <v>2598.1130317382813</v>
      </c>
      <c r="T31" s="238">
        <v>2998.5659677734375</v>
      </c>
      <c r="U31" s="238">
        <v>3362.2719140624999</v>
      </c>
      <c r="V31" s="238">
        <v>3605.5406381835937</v>
      </c>
    </row>
    <row r="32" spans="1:22" x14ac:dyDescent="0.2">
      <c r="A32" t="s">
        <v>301</v>
      </c>
      <c r="B32" t="s">
        <v>494</v>
      </c>
      <c r="C32" t="s">
        <v>1</v>
      </c>
      <c r="D32" t="s">
        <v>470</v>
      </c>
      <c r="E32" t="s">
        <v>474</v>
      </c>
      <c r="H32" s="238">
        <v>15.615990486145021</v>
      </c>
      <c r="I32" s="238">
        <v>21.531364974975588</v>
      </c>
      <c r="J32" s="238">
        <v>25.815995864868167</v>
      </c>
      <c r="K32" s="238">
        <v>32.175522537231444</v>
      </c>
      <c r="L32" s="238">
        <v>28.142166824340823</v>
      </c>
      <c r="M32" s="238">
        <v>24.915504913330079</v>
      </c>
      <c r="N32" s="238">
        <v>22.334169616699221</v>
      </c>
      <c r="O32" s="238">
        <v>20.269089431762698</v>
      </c>
      <c r="P32" s="238">
        <v>18.617040939331055</v>
      </c>
      <c r="Q32" s="238">
        <v>17.295389785766602</v>
      </c>
      <c r="R32" s="238">
        <v>15.392227821350099</v>
      </c>
      <c r="S32" s="238">
        <v>14.174203834533692</v>
      </c>
      <c r="T32" s="238">
        <v>13.394665145874024</v>
      </c>
      <c r="U32" s="238">
        <v>12.008823280334473</v>
      </c>
      <c r="V32" s="238">
        <v>12.008823280334473</v>
      </c>
    </row>
    <row r="33" spans="1:22" x14ac:dyDescent="0.2">
      <c r="A33" t="s">
        <v>301</v>
      </c>
      <c r="B33" t="s">
        <v>494</v>
      </c>
      <c r="C33" t="s">
        <v>1</v>
      </c>
      <c r="D33" t="s">
        <v>472</v>
      </c>
      <c r="E33" t="s">
        <v>473</v>
      </c>
      <c r="H33" s="25">
        <v>6.2299561500549316</v>
      </c>
      <c r="I33" s="25">
        <v>6.6060690879821777</v>
      </c>
      <c r="J33" s="25">
        <v>6.9869890213012695</v>
      </c>
      <c r="K33" s="25">
        <v>7.4358057975769043</v>
      </c>
      <c r="L33" s="25">
        <v>7.7266311645507812</v>
      </c>
      <c r="M33" s="25">
        <v>8.0686044692993164</v>
      </c>
      <c r="N33" s="25">
        <v>8.3809795379638672</v>
      </c>
      <c r="O33" s="25">
        <v>8.5434112548828125</v>
      </c>
      <c r="P33" s="25">
        <v>8.7527599334716797</v>
      </c>
      <c r="Q33" s="25">
        <v>8.9911794662475586</v>
      </c>
      <c r="R33" s="25">
        <v>9.748957633972168</v>
      </c>
      <c r="S33" s="238">
        <v>10.583069801330566</v>
      </c>
      <c r="T33" s="238">
        <v>11.013250350952148</v>
      </c>
      <c r="U33" s="238">
        <v>11.368109703063965</v>
      </c>
      <c r="V33" s="238">
        <v>11.777029991149902</v>
      </c>
    </row>
    <row r="35" spans="1:22" x14ac:dyDescent="0.2">
      <c r="D35" t="s">
        <v>313</v>
      </c>
      <c r="E35">
        <v>1.0900000000000001</v>
      </c>
    </row>
  </sheetData>
  <pageMargins left="0.75" right="0.75" top="1" bottom="1" header="0.5" footer="0.5"/>
  <pageSetup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4696BC-E00E-1740-B286-D8B87BA85BE7}">
  <sheetPr codeName="Sheet29"/>
  <dimension ref="A1:W28"/>
  <sheetViews>
    <sheetView topLeftCell="T7" workbookViewId="0">
      <selection activeCell="V24" sqref="V24"/>
    </sheetView>
  </sheetViews>
  <sheetFormatPr baseColWidth="10" defaultColWidth="35.33203125" defaultRowHeight="16" x14ac:dyDescent="0.2"/>
  <cols>
    <col min="3" max="3" width="53.33203125" customWidth="1"/>
  </cols>
  <sheetData>
    <row r="1" spans="1:22" x14ac:dyDescent="0.2">
      <c r="A1" t="s">
        <v>286</v>
      </c>
      <c r="B1" t="s">
        <v>287</v>
      </c>
      <c r="C1" t="s">
        <v>288</v>
      </c>
      <c r="D1" t="s">
        <v>289</v>
      </c>
      <c r="E1" t="s">
        <v>290</v>
      </c>
      <c r="F1" t="s">
        <v>294</v>
      </c>
      <c r="G1" t="s">
        <v>295</v>
      </c>
      <c r="H1">
        <v>2005</v>
      </c>
      <c r="I1">
        <v>2010</v>
      </c>
      <c r="J1">
        <v>2015</v>
      </c>
      <c r="K1">
        <v>2020</v>
      </c>
      <c r="L1">
        <v>2025</v>
      </c>
      <c r="M1">
        <v>2030</v>
      </c>
      <c r="N1">
        <v>2035</v>
      </c>
      <c r="O1">
        <v>2040</v>
      </c>
      <c r="P1">
        <v>2045</v>
      </c>
      <c r="Q1">
        <v>2050</v>
      </c>
      <c r="R1">
        <v>2060</v>
      </c>
      <c r="S1">
        <v>2070</v>
      </c>
      <c r="T1">
        <v>2080</v>
      </c>
      <c r="U1">
        <v>2090</v>
      </c>
      <c r="V1">
        <v>2100</v>
      </c>
    </row>
    <row r="2" spans="1:22" x14ac:dyDescent="0.2">
      <c r="A2" s="215" t="s">
        <v>301</v>
      </c>
      <c r="B2" t="s">
        <v>314</v>
      </c>
      <c r="C2" t="s">
        <v>1</v>
      </c>
      <c r="D2" t="s">
        <v>5</v>
      </c>
      <c r="E2" t="s">
        <v>24</v>
      </c>
      <c r="H2">
        <v>0</v>
      </c>
      <c r="I2">
        <v>0</v>
      </c>
      <c r="J2">
        <v>0</v>
      </c>
      <c r="K2">
        <v>4.8386068484041956E-15</v>
      </c>
      <c r="L2">
        <v>3.8776090284501745E-7</v>
      </c>
      <c r="M2">
        <v>2.0047783663339151E-6</v>
      </c>
      <c r="N2">
        <v>1.5097654024459569E-5</v>
      </c>
      <c r="O2">
        <v>4.5750844565087795E-5</v>
      </c>
      <c r="P2">
        <v>1.5289163666423031E-4</v>
      </c>
      <c r="Q2">
        <v>9.4639817689382691E-2</v>
      </c>
      <c r="R2">
        <v>8.8683626624213474E-2</v>
      </c>
      <c r="S2">
        <v>7.1516428154912617E-2</v>
      </c>
      <c r="T2">
        <v>5.4543651837472375E-2</v>
      </c>
      <c r="U2">
        <v>5.1858247085571442E-2</v>
      </c>
      <c r="V2">
        <v>0.33366896726268652</v>
      </c>
    </row>
    <row r="3" spans="1:22" x14ac:dyDescent="0.2">
      <c r="A3" s="215" t="s">
        <v>301</v>
      </c>
      <c r="B3" t="s">
        <v>314</v>
      </c>
      <c r="C3" t="s">
        <v>1</v>
      </c>
      <c r="D3" t="s">
        <v>3</v>
      </c>
      <c r="E3" t="s">
        <v>24</v>
      </c>
      <c r="H3">
        <v>0</v>
      </c>
      <c r="I3">
        <v>0</v>
      </c>
      <c r="J3">
        <v>0</v>
      </c>
      <c r="K3">
        <v>0</v>
      </c>
      <c r="L3">
        <v>0</v>
      </c>
      <c r="M3">
        <v>0</v>
      </c>
      <c r="N3">
        <v>0</v>
      </c>
      <c r="O3">
        <v>0</v>
      </c>
      <c r="P3">
        <v>0</v>
      </c>
      <c r="Q3">
        <v>0</v>
      </c>
      <c r="R3">
        <v>0</v>
      </c>
      <c r="S3">
        <v>0</v>
      </c>
      <c r="T3">
        <v>0</v>
      </c>
      <c r="U3">
        <v>0</v>
      </c>
      <c r="V3">
        <v>0</v>
      </c>
    </row>
    <row r="4" spans="1:22" x14ac:dyDescent="0.2">
      <c r="A4" s="215" t="s">
        <v>301</v>
      </c>
      <c r="B4" t="s">
        <v>314</v>
      </c>
      <c r="C4" t="s">
        <v>1</v>
      </c>
      <c r="D4" t="s">
        <v>6</v>
      </c>
      <c r="E4" t="s">
        <v>24</v>
      </c>
      <c r="H4">
        <v>0</v>
      </c>
      <c r="I4">
        <v>0</v>
      </c>
      <c r="J4">
        <v>0</v>
      </c>
      <c r="K4">
        <v>32.833179039359777</v>
      </c>
      <c r="L4">
        <v>445.81338742953665</v>
      </c>
      <c r="M4">
        <v>1243.4074892955798</v>
      </c>
      <c r="N4">
        <v>2112.6400843708066</v>
      </c>
      <c r="O4">
        <v>2455.3240402199017</v>
      </c>
      <c r="P4">
        <v>2857.3990871419724</v>
      </c>
      <c r="Q4">
        <v>3040.3081741973169</v>
      </c>
      <c r="R4">
        <v>4327.4815721368486</v>
      </c>
      <c r="S4">
        <v>6220.5216362810288</v>
      </c>
      <c r="T4">
        <v>6238.7408713609793</v>
      </c>
      <c r="U4">
        <v>5621.3702490604583</v>
      </c>
      <c r="V4">
        <v>5720.5057391948303</v>
      </c>
    </row>
    <row r="5" spans="1:22" x14ac:dyDescent="0.2">
      <c r="A5" s="215" t="s">
        <v>301</v>
      </c>
      <c r="B5" t="s">
        <v>314</v>
      </c>
      <c r="C5" t="s">
        <v>1</v>
      </c>
      <c r="D5" t="s">
        <v>4</v>
      </c>
      <c r="E5" t="s">
        <v>24</v>
      </c>
      <c r="H5">
        <v>0</v>
      </c>
      <c r="I5">
        <v>0</v>
      </c>
      <c r="J5">
        <v>0</v>
      </c>
      <c r="K5">
        <v>16.969379949538656</v>
      </c>
      <c r="L5">
        <v>263.11362519239384</v>
      </c>
      <c r="M5">
        <v>722.02643627921736</v>
      </c>
      <c r="N5">
        <v>1229.917246227463</v>
      </c>
      <c r="O5">
        <v>1417.5688984493413</v>
      </c>
      <c r="P5">
        <v>1500.8267319450774</v>
      </c>
      <c r="Q5">
        <v>1381.148077857991</v>
      </c>
      <c r="R5">
        <v>1231.7259939057597</v>
      </c>
      <c r="S5">
        <v>1436.496980239705</v>
      </c>
      <c r="T5">
        <v>1699.0205631882418</v>
      </c>
      <c r="U5">
        <v>1543.7318396094875</v>
      </c>
      <c r="V5">
        <v>1124.2450335800336</v>
      </c>
    </row>
    <row r="6" spans="1:22" x14ac:dyDescent="0.2">
      <c r="A6" s="215" t="s">
        <v>301</v>
      </c>
      <c r="B6" t="s">
        <v>314</v>
      </c>
      <c r="C6" t="s">
        <v>1</v>
      </c>
      <c r="D6" t="s">
        <v>26</v>
      </c>
      <c r="E6" t="s">
        <v>25</v>
      </c>
      <c r="H6">
        <v>319.04010009765625</v>
      </c>
      <c r="I6">
        <v>349.81478881835938</v>
      </c>
      <c r="J6">
        <v>350.87600708007812</v>
      </c>
      <c r="K6">
        <v>300.16949462890625</v>
      </c>
      <c r="L6">
        <v>240.45880126953125</v>
      </c>
      <c r="M6">
        <v>202.01809692382812</v>
      </c>
      <c r="N6">
        <v>174.30810546875</v>
      </c>
      <c r="O6">
        <v>141.506103515625</v>
      </c>
      <c r="P6">
        <v>120.69349670410156</v>
      </c>
      <c r="Q6">
        <v>106.77639770507812</v>
      </c>
      <c r="R6">
        <v>85.873992919921875</v>
      </c>
      <c r="S6">
        <v>68.705619812011719</v>
      </c>
      <c r="T6">
        <v>55.365360260009766</v>
      </c>
      <c r="U6">
        <v>43.851058959960938</v>
      </c>
      <c r="V6">
        <v>33.514209747314453</v>
      </c>
    </row>
    <row r="7" spans="1:22" x14ac:dyDescent="0.2">
      <c r="A7" s="215" t="s">
        <v>301</v>
      </c>
      <c r="B7" t="s">
        <v>314</v>
      </c>
      <c r="C7" t="s">
        <v>1</v>
      </c>
      <c r="D7" t="s">
        <v>297</v>
      </c>
      <c r="E7" t="s">
        <v>24</v>
      </c>
      <c r="H7">
        <v>33242.433271251204</v>
      </c>
      <c r="I7">
        <v>35828.364261069626</v>
      </c>
      <c r="J7">
        <v>37644.384769047218</v>
      </c>
      <c r="K7">
        <v>34189.113609878936</v>
      </c>
      <c r="L7">
        <v>26701.223472479465</v>
      </c>
      <c r="M7">
        <v>18303.797690466065</v>
      </c>
      <c r="N7">
        <v>10051.019043882479</v>
      </c>
      <c r="O7">
        <v>4910.1102299385611</v>
      </c>
      <c r="P7">
        <v>670.96223455806683</v>
      </c>
      <c r="Q7">
        <v>-2269.9450685657334</v>
      </c>
      <c r="R7">
        <v>-3294.2363691145802</v>
      </c>
      <c r="S7">
        <v>-3634.1234337613641</v>
      </c>
      <c r="T7">
        <v>-2094.0413006460967</v>
      </c>
      <c r="U7">
        <v>-157.85524242564605</v>
      </c>
      <c r="V7">
        <v>1516.9741212316567</v>
      </c>
    </row>
    <row r="8" spans="1:22" x14ac:dyDescent="0.2">
      <c r="A8" s="215" t="s">
        <v>301</v>
      </c>
      <c r="B8" t="s">
        <v>314</v>
      </c>
      <c r="C8" t="s">
        <v>1</v>
      </c>
      <c r="D8" t="s">
        <v>298</v>
      </c>
      <c r="E8" t="s">
        <v>24</v>
      </c>
      <c r="H8">
        <v>3852.1980084876445</v>
      </c>
      <c r="I8">
        <v>3611.4053332115086</v>
      </c>
      <c r="J8">
        <v>3241.2378666764621</v>
      </c>
      <c r="K8">
        <v>3462.7944730886693</v>
      </c>
      <c r="L8">
        <v>1309.6326789457075</v>
      </c>
      <c r="M8">
        <v>-1578.4253131791402</v>
      </c>
      <c r="N8">
        <v>-4002.4551504515339</v>
      </c>
      <c r="O8">
        <v>-4607.5004144724626</v>
      </c>
      <c r="P8">
        <v>-6736.6952244107815</v>
      </c>
      <c r="Q8">
        <v>-8181.2403954552437</v>
      </c>
      <c r="R8">
        <v>-7899.9466940491802</v>
      </c>
      <c r="S8">
        <v>-7527.3104962595698</v>
      </c>
      <c r="T8">
        <v>-5432.7489527535063</v>
      </c>
      <c r="U8">
        <v>-3288.1550295163252</v>
      </c>
      <c r="V8">
        <v>-1784.6532068285519</v>
      </c>
    </row>
    <row r="9" spans="1:22" x14ac:dyDescent="0.2">
      <c r="A9" s="215" t="s">
        <v>301</v>
      </c>
      <c r="B9" t="s">
        <v>314</v>
      </c>
      <c r="C9" t="s">
        <v>1</v>
      </c>
      <c r="D9" t="s">
        <v>299</v>
      </c>
      <c r="E9" t="s">
        <v>24</v>
      </c>
      <c r="H9">
        <v>28129.907608032227</v>
      </c>
      <c r="I9">
        <v>30597.844759623207</v>
      </c>
      <c r="J9">
        <v>32715.576807657875</v>
      </c>
      <c r="K9">
        <v>29128.967761993408</v>
      </c>
      <c r="L9">
        <v>24002.25003560384</v>
      </c>
      <c r="M9">
        <v>18847.594579060871</v>
      </c>
      <c r="N9">
        <v>13442.777633666992</v>
      </c>
      <c r="O9">
        <v>9137.6930077870675</v>
      </c>
      <c r="P9">
        <v>7104.5810381571446</v>
      </c>
      <c r="Q9">
        <v>5619.6615695953369</v>
      </c>
      <c r="R9">
        <v>4352.978626887003</v>
      </c>
      <c r="S9">
        <v>3627.9128789901733</v>
      </c>
      <c r="T9">
        <v>3051.8114964167276</v>
      </c>
      <c r="U9">
        <v>2846.0823893547058</v>
      </c>
      <c r="V9">
        <v>3012.8020048141479</v>
      </c>
    </row>
    <row r="10" spans="1:22" x14ac:dyDescent="0.2">
      <c r="A10" s="215" t="s">
        <v>301</v>
      </c>
      <c r="B10" t="s">
        <v>314</v>
      </c>
      <c r="C10" t="s">
        <v>1</v>
      </c>
      <c r="D10" t="s">
        <v>7</v>
      </c>
      <c r="E10" t="s">
        <v>24</v>
      </c>
      <c r="H10">
        <v>1260.32684246699</v>
      </c>
      <c r="I10">
        <v>1619.1182434558868</v>
      </c>
      <c r="J10">
        <v>1687.5561972459157</v>
      </c>
      <c r="K10">
        <v>1597.3499715328217</v>
      </c>
      <c r="L10">
        <v>1389.3402914206185</v>
      </c>
      <c r="M10">
        <v>1034.6255103747048</v>
      </c>
      <c r="N10">
        <v>610.69615681966138</v>
      </c>
      <c r="O10">
        <v>379.91800904273987</v>
      </c>
      <c r="P10">
        <v>303.07652056217194</v>
      </c>
      <c r="Q10">
        <v>291.63538167874015</v>
      </c>
      <c r="R10">
        <v>252.73287047942478</v>
      </c>
      <c r="S10">
        <v>265.27233421802521</v>
      </c>
      <c r="T10">
        <v>286.89598043759662</v>
      </c>
      <c r="U10">
        <v>284.21726326147711</v>
      </c>
      <c r="V10">
        <v>288.82528841495514</v>
      </c>
    </row>
    <row r="11" spans="1:22" x14ac:dyDescent="0.2">
      <c r="A11" s="215" t="s">
        <v>301</v>
      </c>
      <c r="B11" t="s">
        <v>314</v>
      </c>
      <c r="C11" t="s">
        <v>1</v>
      </c>
      <c r="D11" t="s">
        <v>23</v>
      </c>
      <c r="E11" t="s">
        <v>22</v>
      </c>
      <c r="H11">
        <v>672.6583251953125</v>
      </c>
      <c r="I11">
        <v>877.77581787109375</v>
      </c>
      <c r="J11">
        <v>1232.802001953125</v>
      </c>
      <c r="K11">
        <v>1378.137939453125</v>
      </c>
      <c r="L11">
        <v>1111.54296875</v>
      </c>
      <c r="M11">
        <v>763.29931640625</v>
      </c>
      <c r="N11">
        <v>323.23089599609375</v>
      </c>
      <c r="O11">
        <v>186.33340454101562</v>
      </c>
      <c r="P11">
        <v>171.44529724121094</v>
      </c>
      <c r="Q11">
        <v>170.23919677734375</v>
      </c>
      <c r="R11">
        <v>173.96270751953125</v>
      </c>
      <c r="S11">
        <v>187.34120178222656</v>
      </c>
      <c r="T11">
        <v>198.74659729003906</v>
      </c>
      <c r="U11">
        <v>199.39259338378906</v>
      </c>
      <c r="V11">
        <v>235.86860656738281</v>
      </c>
    </row>
    <row r="12" spans="1:22" x14ac:dyDescent="0.2">
      <c r="A12" s="215" t="s">
        <v>301</v>
      </c>
      <c r="B12" t="s">
        <v>314</v>
      </c>
      <c r="C12" t="s">
        <v>1</v>
      </c>
      <c r="D12" t="s">
        <v>21</v>
      </c>
      <c r="E12" t="s">
        <v>20</v>
      </c>
      <c r="H12">
        <v>9160.7464400239369</v>
      </c>
      <c r="I12">
        <v>9828.8537222077957</v>
      </c>
      <c r="J12">
        <v>9823.8655107136219</v>
      </c>
      <c r="K12">
        <v>8972.9845120617501</v>
      </c>
      <c r="L12">
        <v>7654.5214125329394</v>
      </c>
      <c r="M12">
        <v>7089.6381119057478</v>
      </c>
      <c r="N12">
        <v>6398.1028860898841</v>
      </c>
      <c r="O12">
        <v>5698.8187065930979</v>
      </c>
      <c r="P12">
        <v>5175.9557742580182</v>
      </c>
      <c r="Q12">
        <v>4790.5817160483884</v>
      </c>
      <c r="R12">
        <v>4378.3974597433917</v>
      </c>
      <c r="S12">
        <v>3928.0074626564037</v>
      </c>
      <c r="T12">
        <v>3566.658690433525</v>
      </c>
      <c r="U12">
        <v>3273.0390267301209</v>
      </c>
      <c r="V12">
        <v>3033.081768843555</v>
      </c>
    </row>
    <row r="13" spans="1:22" x14ac:dyDescent="0.2">
      <c r="A13" s="215" t="s">
        <v>301</v>
      </c>
      <c r="B13" t="s">
        <v>314</v>
      </c>
      <c r="C13" t="s">
        <v>1</v>
      </c>
      <c r="D13" t="s">
        <v>8</v>
      </c>
      <c r="E13" t="s">
        <v>18</v>
      </c>
      <c r="H13">
        <v>341.38299999999998</v>
      </c>
      <c r="I13">
        <v>367.96281249999998</v>
      </c>
      <c r="J13">
        <v>388.53000000000003</v>
      </c>
      <c r="K13">
        <v>365.50040625000003</v>
      </c>
      <c r="L13">
        <v>327.75609374999999</v>
      </c>
      <c r="M13">
        <v>300.06131249999999</v>
      </c>
      <c r="N13">
        <v>281.6663125</v>
      </c>
      <c r="O13">
        <v>271.31318750000003</v>
      </c>
      <c r="P13">
        <v>274.67281250000002</v>
      </c>
      <c r="Q13">
        <v>280.34949999999998</v>
      </c>
      <c r="R13">
        <v>300.25481250000001</v>
      </c>
      <c r="S13">
        <v>318.61040624999998</v>
      </c>
      <c r="T13">
        <v>334.66849999999999</v>
      </c>
      <c r="U13">
        <v>342.75731250000001</v>
      </c>
      <c r="V13">
        <v>346.15631250000001</v>
      </c>
    </row>
    <row r="14" spans="1:22" x14ac:dyDescent="0.2">
      <c r="A14" s="215" t="s">
        <v>301</v>
      </c>
      <c r="B14" t="s">
        <v>314</v>
      </c>
      <c r="C14" t="s">
        <v>1</v>
      </c>
      <c r="D14" t="s">
        <v>17</v>
      </c>
      <c r="E14" t="s">
        <v>300</v>
      </c>
      <c r="H14">
        <v>50400.521682880004</v>
      </c>
      <c r="I14">
        <v>56683.964146800005</v>
      </c>
      <c r="J14">
        <v>65667.837458880007</v>
      </c>
      <c r="K14">
        <v>79586.351287040001</v>
      </c>
      <c r="L14">
        <v>94911.411333759999</v>
      </c>
      <c r="M14">
        <v>110740.98048608001</v>
      </c>
      <c r="N14">
        <v>126635.50751200001</v>
      </c>
      <c r="O14">
        <v>143222.69992896001</v>
      </c>
      <c r="P14">
        <v>160381.80521504002</v>
      </c>
      <c r="Q14">
        <v>177695.88775808</v>
      </c>
      <c r="R14">
        <v>214796.31583808002</v>
      </c>
      <c r="S14">
        <v>256515.70068896003</v>
      </c>
      <c r="T14">
        <v>300686.29261184001</v>
      </c>
      <c r="U14">
        <v>345905.87000512</v>
      </c>
      <c r="V14">
        <v>390705.67597184004</v>
      </c>
    </row>
    <row r="15" spans="1:22" x14ac:dyDescent="0.2">
      <c r="A15" s="215" t="s">
        <v>301</v>
      </c>
      <c r="B15" t="s">
        <v>314</v>
      </c>
      <c r="C15" t="s">
        <v>1</v>
      </c>
      <c r="D15" t="s">
        <v>0</v>
      </c>
      <c r="E15" t="s">
        <v>300</v>
      </c>
      <c r="H15">
        <v>63593.003779609375</v>
      </c>
      <c r="I15">
        <v>75837.966066718742</v>
      </c>
      <c r="J15">
        <v>90343.051141249991</v>
      </c>
      <c r="K15">
        <v>111967.47734515625</v>
      </c>
      <c r="L15">
        <v>134957.95467031249</v>
      </c>
      <c r="M15">
        <v>157925.73197968749</v>
      </c>
      <c r="N15">
        <v>180332.64668031249</v>
      </c>
      <c r="O15">
        <v>203058.71166</v>
      </c>
      <c r="P15">
        <v>225868.73986999999</v>
      </c>
      <c r="Q15">
        <v>248126.66354062498</v>
      </c>
      <c r="R15">
        <v>293617.91056875</v>
      </c>
      <c r="S15">
        <v>341653.15174062498</v>
      </c>
      <c r="T15">
        <v>388873.89246062498</v>
      </c>
      <c r="U15">
        <v>433175.53057937499</v>
      </c>
      <c r="V15">
        <v>472345.87469999999</v>
      </c>
    </row>
    <row r="16" spans="1:22" x14ac:dyDescent="0.2">
      <c r="A16" s="215" t="s">
        <v>301</v>
      </c>
      <c r="B16" t="s">
        <v>314</v>
      </c>
      <c r="C16" t="s">
        <v>1</v>
      </c>
      <c r="D16" t="s">
        <v>2</v>
      </c>
      <c r="E16" t="s">
        <v>19</v>
      </c>
      <c r="H16">
        <v>6530.5478515625</v>
      </c>
      <c r="I16">
        <v>6921.7978515625</v>
      </c>
      <c r="J16">
        <v>7266.51806640625</v>
      </c>
      <c r="K16">
        <v>7576.10498046875</v>
      </c>
      <c r="L16">
        <v>7843.56591796875</v>
      </c>
      <c r="M16">
        <v>8061.93798828125</v>
      </c>
      <c r="N16">
        <v>8246.0166015625</v>
      </c>
      <c r="O16">
        <v>8388.7626953125</v>
      </c>
      <c r="P16">
        <v>8484.5087890625</v>
      </c>
      <c r="Q16">
        <v>8530.5</v>
      </c>
      <c r="R16">
        <v>8492.17578125</v>
      </c>
      <c r="S16">
        <v>8298.9501953125</v>
      </c>
      <c r="T16">
        <v>7967.38720703125</v>
      </c>
      <c r="U16">
        <v>7510.4541015625</v>
      </c>
      <c r="V16">
        <v>6957.98876953125</v>
      </c>
    </row>
    <row r="17" spans="1:23" x14ac:dyDescent="0.2">
      <c r="A17" s="215" t="s">
        <v>301</v>
      </c>
      <c r="B17" t="s">
        <v>314</v>
      </c>
      <c r="C17" t="s">
        <v>1</v>
      </c>
      <c r="D17" t="s">
        <v>9</v>
      </c>
      <c r="E17" t="s">
        <v>18</v>
      </c>
      <c r="H17">
        <v>459.77009375</v>
      </c>
      <c r="I17">
        <v>506.68</v>
      </c>
      <c r="J17">
        <v>544.18700000000001</v>
      </c>
      <c r="K17">
        <v>512.7355</v>
      </c>
      <c r="L17">
        <v>457.96131250000002</v>
      </c>
      <c r="M17">
        <v>403.00549999999998</v>
      </c>
      <c r="N17">
        <v>363.11618750000002</v>
      </c>
      <c r="O17">
        <v>330.416</v>
      </c>
      <c r="P17">
        <v>337.77390624999998</v>
      </c>
      <c r="Q17">
        <v>351.27159375000002</v>
      </c>
      <c r="R17">
        <v>383.64750000000004</v>
      </c>
      <c r="S17">
        <v>437.46431250000001</v>
      </c>
      <c r="T17">
        <v>470.06240625000004</v>
      </c>
      <c r="U17">
        <v>479.11359375000001</v>
      </c>
      <c r="V17">
        <v>493.05181249999998</v>
      </c>
    </row>
    <row r="18" spans="1:23" x14ac:dyDescent="0.2">
      <c r="A18" s="215" t="s">
        <v>301</v>
      </c>
      <c r="B18" t="s">
        <v>314</v>
      </c>
      <c r="C18" t="s">
        <v>1</v>
      </c>
      <c r="D18" t="s">
        <v>11</v>
      </c>
      <c r="E18" t="s">
        <v>18</v>
      </c>
      <c r="H18">
        <v>117.62070312500001</v>
      </c>
      <c r="I18">
        <v>146.19859375000001</v>
      </c>
      <c r="J18">
        <v>155.38829687500001</v>
      </c>
      <c r="K18">
        <v>125.483796875</v>
      </c>
      <c r="L18">
        <v>101.4178984375</v>
      </c>
      <c r="M18">
        <v>73.49790625</v>
      </c>
      <c r="N18">
        <v>39.896878906250002</v>
      </c>
      <c r="O18">
        <v>29.39501953125</v>
      </c>
      <c r="P18">
        <v>24.495369140625002</v>
      </c>
      <c r="Q18">
        <v>21.23305078125</v>
      </c>
      <c r="R18">
        <v>24.590289062500002</v>
      </c>
      <c r="S18">
        <v>28.702580078124999</v>
      </c>
      <c r="T18">
        <v>28.120359375</v>
      </c>
      <c r="U18">
        <v>29.275259765625002</v>
      </c>
      <c r="V18">
        <v>35.63494140625</v>
      </c>
    </row>
    <row r="19" spans="1:23" x14ac:dyDescent="0.2">
      <c r="A19" s="215" t="s">
        <v>301</v>
      </c>
      <c r="B19" t="s">
        <v>314</v>
      </c>
      <c r="C19" t="s">
        <v>1</v>
      </c>
      <c r="D19" t="s">
        <v>10</v>
      </c>
      <c r="E19" t="s">
        <v>18</v>
      </c>
      <c r="H19">
        <v>103.10389843750001</v>
      </c>
      <c r="I19">
        <v>115.0245</v>
      </c>
      <c r="J19">
        <v>127.3578984375</v>
      </c>
      <c r="K19">
        <v>130.5745</v>
      </c>
      <c r="L19">
        <v>121.55820312500001</v>
      </c>
      <c r="M19">
        <v>122.8896015625</v>
      </c>
      <c r="N19">
        <v>132.23250000000002</v>
      </c>
      <c r="O19">
        <v>110.6118984375</v>
      </c>
      <c r="P19">
        <v>111.46000000000001</v>
      </c>
      <c r="Q19">
        <v>106.8698984375</v>
      </c>
      <c r="R19">
        <v>112.979203125</v>
      </c>
      <c r="S19">
        <v>133.68299999999999</v>
      </c>
      <c r="T19">
        <v>129.22939843750001</v>
      </c>
      <c r="U19">
        <v>110.5868984375</v>
      </c>
      <c r="V19">
        <v>103.07579687500001</v>
      </c>
    </row>
    <row r="20" spans="1:23" x14ac:dyDescent="0.2">
      <c r="A20" s="215" t="s">
        <v>301</v>
      </c>
      <c r="B20" t="s">
        <v>314</v>
      </c>
      <c r="C20" t="s">
        <v>1</v>
      </c>
      <c r="D20" t="s">
        <v>12</v>
      </c>
      <c r="E20" t="s">
        <v>18</v>
      </c>
      <c r="H20">
        <v>173.72640625</v>
      </c>
      <c r="I20">
        <v>171.381</v>
      </c>
      <c r="J20">
        <v>175.49170312500002</v>
      </c>
      <c r="K20">
        <v>153.987703125</v>
      </c>
      <c r="L20">
        <v>125.889</v>
      </c>
      <c r="M20">
        <v>100.05220312500001</v>
      </c>
      <c r="N20">
        <v>73.945210937500008</v>
      </c>
      <c r="O20">
        <v>50.275019531250003</v>
      </c>
      <c r="P20">
        <v>35.470769531249999</v>
      </c>
      <c r="Q20">
        <v>27.937050781250001</v>
      </c>
      <c r="R20">
        <v>21.388119140625001</v>
      </c>
      <c r="S20">
        <v>17.311410156250002</v>
      </c>
      <c r="T20">
        <v>14.932349609375001</v>
      </c>
      <c r="U20">
        <v>15.9530400390625</v>
      </c>
      <c r="V20">
        <v>16.128769531250001</v>
      </c>
    </row>
    <row r="21" spans="1:23" x14ac:dyDescent="0.2">
      <c r="D21" t="s">
        <v>222</v>
      </c>
      <c r="H21">
        <f>SUM(H2:H5)</f>
        <v>0</v>
      </c>
      <c r="I21">
        <f t="shared" ref="I21:V21" si="0">SUM(I2:I5)</f>
        <v>0</v>
      </c>
      <c r="J21">
        <f t="shared" si="0"/>
        <v>0</v>
      </c>
      <c r="K21">
        <f t="shared" si="0"/>
        <v>49.80255898889844</v>
      </c>
      <c r="L21">
        <f t="shared" si="0"/>
        <v>708.92701300969134</v>
      </c>
      <c r="M21">
        <f t="shared" si="0"/>
        <v>1965.4339275795755</v>
      </c>
      <c r="N21">
        <f t="shared" si="0"/>
        <v>3342.5573456959237</v>
      </c>
      <c r="O21">
        <f t="shared" si="0"/>
        <v>3872.8929844200875</v>
      </c>
      <c r="P21">
        <f t="shared" si="0"/>
        <v>4358.2259719786871</v>
      </c>
      <c r="Q21">
        <f t="shared" si="0"/>
        <v>4421.5508918729975</v>
      </c>
      <c r="R21">
        <f t="shared" si="0"/>
        <v>5559.2962496692326</v>
      </c>
      <c r="S21">
        <f t="shared" si="0"/>
        <v>7657.0901329488879</v>
      </c>
      <c r="T21">
        <f t="shared" si="0"/>
        <v>7937.8159782010589</v>
      </c>
      <c r="U21">
        <f t="shared" si="0"/>
        <v>7165.1539469170311</v>
      </c>
      <c r="V21">
        <f t="shared" si="0"/>
        <v>6845.0844417421267</v>
      </c>
    </row>
    <row r="22" spans="1:23" x14ac:dyDescent="0.2">
      <c r="D22" t="s">
        <v>223</v>
      </c>
      <c r="H22">
        <f>SUM(H2:H3)</f>
        <v>0</v>
      </c>
      <c r="I22">
        <f t="shared" ref="I22:V22" si="1">SUM(I2:I3)</f>
        <v>0</v>
      </c>
      <c r="J22">
        <f t="shared" si="1"/>
        <v>0</v>
      </c>
      <c r="K22">
        <f t="shared" si="1"/>
        <v>4.8386068484041956E-15</v>
      </c>
      <c r="L22">
        <f t="shared" si="1"/>
        <v>3.8776090284501745E-7</v>
      </c>
      <c r="M22">
        <f t="shared" si="1"/>
        <v>2.0047783663339151E-6</v>
      </c>
      <c r="N22">
        <f t="shared" si="1"/>
        <v>1.5097654024459569E-5</v>
      </c>
      <c r="O22">
        <f t="shared" si="1"/>
        <v>4.5750844565087795E-5</v>
      </c>
      <c r="P22">
        <f t="shared" si="1"/>
        <v>1.5289163666423031E-4</v>
      </c>
      <c r="Q22">
        <f t="shared" si="1"/>
        <v>9.4639817689382691E-2</v>
      </c>
      <c r="R22">
        <f t="shared" si="1"/>
        <v>8.8683626624213474E-2</v>
      </c>
      <c r="S22">
        <f t="shared" si="1"/>
        <v>7.1516428154912617E-2</v>
      </c>
      <c r="T22">
        <f t="shared" si="1"/>
        <v>5.4543651837472375E-2</v>
      </c>
      <c r="U22">
        <f t="shared" si="1"/>
        <v>5.1858247085571442E-2</v>
      </c>
      <c r="V22">
        <f t="shared" si="1"/>
        <v>0.33366896726268652</v>
      </c>
    </row>
    <row r="23" spans="1:23" x14ac:dyDescent="0.2">
      <c r="D23" t="s">
        <v>224</v>
      </c>
      <c r="H23">
        <f>SUM(H9:H10)</f>
        <v>29390.234450499218</v>
      </c>
      <c r="I23">
        <f t="shared" ref="I23:V23" si="2">SUM(I9:I10)</f>
        <v>32216.963003079094</v>
      </c>
      <c r="J23">
        <f t="shared" si="2"/>
        <v>34403.133004903793</v>
      </c>
      <c r="K23">
        <f t="shared" si="2"/>
        <v>30726.31773352623</v>
      </c>
      <c r="L23">
        <f t="shared" si="2"/>
        <v>25391.59032702446</v>
      </c>
      <c r="M23">
        <f t="shared" si="2"/>
        <v>19882.220089435577</v>
      </c>
      <c r="N23">
        <f t="shared" si="2"/>
        <v>14053.473790486654</v>
      </c>
      <c r="O23">
        <f t="shared" si="2"/>
        <v>9517.6110168298073</v>
      </c>
      <c r="P23">
        <f t="shared" si="2"/>
        <v>7407.6575587193165</v>
      </c>
      <c r="Q23">
        <f t="shared" si="2"/>
        <v>5911.2969512740774</v>
      </c>
      <c r="R23">
        <f t="shared" si="2"/>
        <v>4605.7114973664275</v>
      </c>
      <c r="S23">
        <f t="shared" si="2"/>
        <v>3893.1852132081985</v>
      </c>
      <c r="T23">
        <f t="shared" si="2"/>
        <v>3338.7074768543243</v>
      </c>
      <c r="U23">
        <f t="shared" si="2"/>
        <v>3130.2996526161828</v>
      </c>
      <c r="V23">
        <f t="shared" si="2"/>
        <v>3301.6272932291031</v>
      </c>
    </row>
    <row r="24" spans="1:23" x14ac:dyDescent="0.2">
      <c r="A24" t="s">
        <v>444</v>
      </c>
      <c r="B24" t="s">
        <v>314</v>
      </c>
      <c r="C24" t="s">
        <v>1</v>
      </c>
      <c r="D24" t="s">
        <v>468</v>
      </c>
      <c r="E24" t="s">
        <v>469</v>
      </c>
      <c r="H24">
        <v>290.04389359999999</v>
      </c>
      <c r="I24">
        <v>396.79837429999998</v>
      </c>
      <c r="J24">
        <v>616.70618899999999</v>
      </c>
      <c r="K24">
        <v>683.75276389999999</v>
      </c>
      <c r="L24">
        <v>379.07886930000001</v>
      </c>
      <c r="M24">
        <v>124.937376</v>
      </c>
      <c r="N24">
        <v>55.590301230000001</v>
      </c>
      <c r="O24">
        <v>60.681841509999998</v>
      </c>
      <c r="P24">
        <v>65.933924809999993</v>
      </c>
      <c r="Q24">
        <v>71.076768040000005</v>
      </c>
      <c r="R24">
        <v>80.232269740000007</v>
      </c>
      <c r="S24">
        <v>89.804999859999995</v>
      </c>
      <c r="T24">
        <v>94.967953629999997</v>
      </c>
      <c r="U24">
        <v>99.826566790000001</v>
      </c>
      <c r="V24">
        <v>104.55012840000001</v>
      </c>
    </row>
    <row r="25" spans="1:23" x14ac:dyDescent="0.2">
      <c r="A25" t="s">
        <v>444</v>
      </c>
      <c r="B25" t="s">
        <v>314</v>
      </c>
      <c r="C25" t="s">
        <v>1</v>
      </c>
      <c r="D25" t="s">
        <v>470</v>
      </c>
      <c r="E25" t="s">
        <v>474</v>
      </c>
      <c r="H25">
        <v>15.61599049</v>
      </c>
      <c r="I25">
        <v>21.531364969999998</v>
      </c>
      <c r="J25">
        <v>25.815995860000001</v>
      </c>
      <c r="K25">
        <v>23.500637510000001</v>
      </c>
      <c r="L25">
        <v>10.42469296</v>
      </c>
      <c r="M25">
        <v>7.9309986879999999</v>
      </c>
      <c r="N25">
        <v>6.7562544820000001</v>
      </c>
      <c r="O25">
        <v>5.5999055100000001</v>
      </c>
      <c r="P25">
        <v>4.6219799999999998</v>
      </c>
      <c r="Q25">
        <v>3.7801835920000002</v>
      </c>
      <c r="R25">
        <v>2.8038905810000001</v>
      </c>
      <c r="S25">
        <v>2.2508874890000001</v>
      </c>
      <c r="T25">
        <v>1.835669303</v>
      </c>
      <c r="U25">
        <v>1.451285148</v>
      </c>
      <c r="V25">
        <v>1.1943981889999999</v>
      </c>
    </row>
    <row r="26" spans="1:23" x14ac:dyDescent="0.2">
      <c r="A26" t="s">
        <v>444</v>
      </c>
      <c r="B26" t="s">
        <v>314</v>
      </c>
      <c r="C26" t="s">
        <v>1</v>
      </c>
      <c r="D26" t="s">
        <v>472</v>
      </c>
      <c r="E26" t="s">
        <v>473</v>
      </c>
      <c r="H26">
        <v>6.2299561499999996</v>
      </c>
      <c r="I26">
        <v>6.6060690879999999</v>
      </c>
      <c r="J26">
        <v>6.9869890210000003</v>
      </c>
      <c r="K26">
        <v>3.7931110860000001</v>
      </c>
      <c r="L26">
        <v>2.1959800719999998</v>
      </c>
      <c r="M26">
        <v>2.198301077</v>
      </c>
      <c r="N26">
        <v>2.1164200310000001</v>
      </c>
      <c r="O26">
        <v>1.967334986</v>
      </c>
      <c r="P26">
        <v>1.8097499610000001</v>
      </c>
      <c r="Q26">
        <v>1.6373909710000001</v>
      </c>
      <c r="R26">
        <v>1.497998953</v>
      </c>
      <c r="S26">
        <v>1.4208110570000001</v>
      </c>
      <c r="T26">
        <v>1.2613890169999999</v>
      </c>
      <c r="U26">
        <v>1.077921033</v>
      </c>
      <c r="V26">
        <v>0.87001717099999998</v>
      </c>
    </row>
    <row r="27" spans="1:23" x14ac:dyDescent="0.2">
      <c r="V27">
        <f>Y7-Y8</f>
        <v>0</v>
      </c>
      <c r="W27" t="s">
        <v>304</v>
      </c>
    </row>
    <row r="28" spans="1:23" x14ac:dyDescent="0.2">
      <c r="V28">
        <f>Y10+Y9</f>
        <v>0</v>
      </c>
      <c r="W28" t="s">
        <v>304</v>
      </c>
    </row>
  </sheetData>
  <pageMargins left="0.75" right="0.75" top="1" bottom="1" header="0.5" footer="0.5"/>
  <pageSetup orientation="portrait" horizontalDpi="0"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4ACA68-C74D-F847-84B9-9A90A05BD7CC}">
  <sheetPr codeName="Sheet30">
    <tabColor rgb="FFFFFF00"/>
  </sheetPr>
  <dimension ref="A1:AF106"/>
  <sheetViews>
    <sheetView tabSelected="1" topLeftCell="A6" zoomScaleNormal="100" zoomScaleSheetLayoutView="90" workbookViewId="0">
      <selection activeCell="D37" sqref="D37:E39"/>
    </sheetView>
  </sheetViews>
  <sheetFormatPr baseColWidth="10" defaultRowHeight="13" x14ac:dyDescent="0.15"/>
  <cols>
    <col min="1" max="1" width="10.83203125" style="5"/>
    <col min="2" max="2" width="30.33203125" style="5" customWidth="1"/>
    <col min="3" max="3" width="17.6640625" style="5" customWidth="1"/>
    <col min="4" max="4" width="48.6640625" style="5" customWidth="1"/>
    <col min="5" max="5" width="20.33203125" style="5" customWidth="1"/>
    <col min="6" max="6" width="13.6640625" style="5" customWidth="1"/>
    <col min="7" max="33" width="10.83203125" style="5"/>
    <col min="34" max="34" width="10.83203125" style="5" customWidth="1"/>
    <col min="35" max="16384" width="10.83203125" style="5"/>
  </cols>
  <sheetData>
    <row r="1" spans="1:32" s="15" customFormat="1" ht="15" customHeight="1" x14ac:dyDescent="0.15">
      <c r="A1" s="16"/>
    </row>
    <row r="2" spans="1:32" s="15" customFormat="1" ht="15" customHeight="1" x14ac:dyDescent="0.15">
      <c r="A2" s="16" t="s">
        <v>35</v>
      </c>
      <c r="B2" s="17" t="s">
        <v>34</v>
      </c>
    </row>
    <row r="3" spans="1:32" s="15" customFormat="1" ht="15" customHeight="1" x14ac:dyDescent="0.15">
      <c r="A3" s="16" t="s">
        <v>113</v>
      </c>
    </row>
    <row r="4" spans="1:32" s="15" customFormat="1" ht="15" customHeight="1" x14ac:dyDescent="0.15"/>
    <row r="5" spans="1:32" s="15" customFormat="1" ht="15" customHeight="1" x14ac:dyDescent="0.15">
      <c r="B5" s="16"/>
    </row>
    <row r="6" spans="1:32" s="15" customFormat="1" ht="15" customHeight="1" x14ac:dyDescent="0.15">
      <c r="B6" s="16"/>
    </row>
    <row r="7" spans="1:32" s="11" customFormat="1" ht="17" customHeight="1" x14ac:dyDescent="0.2">
      <c r="A7" s="6" t="s">
        <v>33</v>
      </c>
    </row>
    <row r="8" spans="1:32" s="11" customFormat="1" ht="17" customHeight="1" x14ac:dyDescent="0.2">
      <c r="B8" s="14" t="s">
        <v>32</v>
      </c>
      <c r="E8" s="13" t="str">
        <f>Readme!C4</f>
        <v>SSP2-Baseline</v>
      </c>
      <c r="F8" s="13"/>
    </row>
    <row r="9" spans="1:32" s="11" customFormat="1" ht="17" customHeight="1" x14ac:dyDescent="0.2">
      <c r="B9" s="14" t="s">
        <v>31</v>
      </c>
      <c r="E9" s="13" t="str">
        <f>Readme!C5</f>
        <v>IMA15-TOT</v>
      </c>
      <c r="F9" s="13"/>
    </row>
    <row r="10" spans="1:32" s="11" customFormat="1" ht="17" customHeight="1" x14ac:dyDescent="0.2">
      <c r="B10" s="14" t="s">
        <v>30</v>
      </c>
      <c r="E10" s="13" t="str">
        <f>Readme!C6</f>
        <v>IMAGE 3.0.1</v>
      </c>
      <c r="F10" s="13"/>
    </row>
    <row r="11" spans="1:32" s="11" customFormat="1" ht="17" customHeight="1" x14ac:dyDescent="0.2">
      <c r="A11" s="12"/>
    </row>
    <row r="12" spans="1:32" s="11" customFormat="1" ht="17" customHeight="1" x14ac:dyDescent="0.2">
      <c r="A12" s="6" t="s">
        <v>29</v>
      </c>
    </row>
    <row r="13" spans="1:32" s="3" customFormat="1" x14ac:dyDescent="0.15">
      <c r="A13" s="10" t="s">
        <v>15</v>
      </c>
      <c r="B13" s="10" t="s">
        <v>14</v>
      </c>
      <c r="C13" s="10" t="s">
        <v>13</v>
      </c>
      <c r="D13" s="10" t="s">
        <v>28</v>
      </c>
      <c r="E13" s="10" t="s">
        <v>27</v>
      </c>
      <c r="F13" s="10">
        <v>2000</v>
      </c>
      <c r="G13" s="10">
        <v>2005</v>
      </c>
      <c r="H13" s="10">
        <v>2010</v>
      </c>
      <c r="I13" s="10">
        <f>2020</f>
        <v>2020</v>
      </c>
      <c r="J13" s="10">
        <v>2030</v>
      </c>
      <c r="K13" s="10">
        <v>2040</v>
      </c>
      <c r="L13" s="10">
        <v>2050</v>
      </c>
      <c r="M13" s="10">
        <v>2060</v>
      </c>
      <c r="N13" s="10">
        <v>2070</v>
      </c>
      <c r="O13" s="10">
        <v>2080</v>
      </c>
      <c r="P13" s="10">
        <v>2090</v>
      </c>
      <c r="Q13" s="10">
        <v>2100</v>
      </c>
      <c r="R13" s="10"/>
      <c r="S13" s="10"/>
      <c r="T13" s="10"/>
      <c r="U13" s="10"/>
      <c r="V13" s="10"/>
      <c r="W13" s="10"/>
      <c r="X13" s="10"/>
      <c r="Y13" s="10"/>
      <c r="Z13" s="10"/>
      <c r="AA13" s="10"/>
      <c r="AB13" s="10"/>
      <c r="AC13" s="10"/>
      <c r="AD13" s="10"/>
      <c r="AE13" s="10"/>
      <c r="AF13" s="10"/>
    </row>
    <row r="14" spans="1:32" s="3" customFormat="1" ht="16" x14ac:dyDescent="0.15">
      <c r="A14" s="4"/>
      <c r="B14" s="4"/>
      <c r="C14" s="4"/>
      <c r="D14" s="20" t="s">
        <v>26</v>
      </c>
      <c r="E14" s="20" t="s">
        <v>25</v>
      </c>
      <c r="F14" s="7"/>
      <c r="G14" s="7">
        <f ca="1">IF(G$13&gt;MAX([0]!yearsRef),NA(),_xlfn.IFNA(VLOOKUP($D14,refInput,MATCH(G$13,yearsRef,0)+2,FALSE),))</f>
        <v>318.3790894</v>
      </c>
      <c r="H14" s="7">
        <f ca="1">IF(H$13&gt;MAX([0]!yearsRef),NA(),_xlfn.IFNA(VLOOKUP($D14,refInput,MATCH(H$13,yearsRef,0)+2,FALSE),))</f>
        <v>348.29449460000001</v>
      </c>
      <c r="I14" s="7">
        <f ca="1">IF(I$13&gt;MAX([0]!yearsRef),NA(),_xlfn.IFNA(VLOOKUP($D14,refInput,MATCH(I$13,yearsRef,0)+2,FALSE),))</f>
        <v>395.82830810000002</v>
      </c>
      <c r="J14" s="7">
        <f ca="1">IF(J$13&gt;MAX([0]!yearsRef),NA(),_xlfn.IFNA(VLOOKUP($D14,refInput,MATCH(J$13,yearsRef,0)+2,FALSE),))</f>
        <v>431.79019169999998</v>
      </c>
      <c r="K14" s="7">
        <f ca="1">IF(K$13&gt;MAX([0]!yearsRef),NA(),_xlfn.IFNA(VLOOKUP($D14,refInput,MATCH(K$13,yearsRef,0)+2,FALSE),))</f>
        <v>451.22421259999999</v>
      </c>
      <c r="L14" s="7">
        <f ca="1">IF(L$13&gt;MAX([0]!yearsRef),NA(),_xlfn.IFNA(VLOOKUP($D14,refInput,MATCH(L$13,yearsRef,0)+2,FALSE),))</f>
        <v>462.93130489999999</v>
      </c>
      <c r="M14" s="7">
        <f ca="1">IF(M$13&gt;MAX([0]!yearsRef),NA(),_xlfn.IFNA(VLOOKUP($D14,refInput,MATCH(M$13,yearsRef,0)+2,FALSE),))</f>
        <v>457.3291016</v>
      </c>
      <c r="N14" s="7">
        <f ca="1">IF(N$13&gt;MAX([0]!yearsRef),NA(),_xlfn.IFNA(VLOOKUP($D14,refInput,MATCH(N$13,yearsRef,0)+2,FALSE),))</f>
        <v>458.21810909999999</v>
      </c>
      <c r="O14" s="7">
        <f ca="1">IF(O$13&gt;MAX([0]!yearsRef),NA(),_xlfn.IFNA(VLOOKUP($D14,refInput,MATCH(O$13,yearsRef,0)+2,FALSE),))</f>
        <v>461.65969849999999</v>
      </c>
      <c r="P14" s="7">
        <f ca="1">IF(P$13&gt;MAX([0]!yearsRef),NA(),_xlfn.IFNA(VLOOKUP($D14,refInput,MATCH(P$13,yearsRef,0)+2,FALSE),))</f>
        <v>464.66390990000002</v>
      </c>
      <c r="Q14" s="7">
        <f ca="1">IF(Q$13&gt;MAX([0]!yearsRef),NA(),_xlfn.IFNA(VLOOKUP($D14,refInput,MATCH(Q$13,yearsRef,0)+2,FALSE),))</f>
        <v>484.3487854</v>
      </c>
      <c r="R14" s="7"/>
      <c r="S14" s="7"/>
      <c r="T14" s="7"/>
      <c r="U14" s="7"/>
      <c r="V14" s="7"/>
      <c r="W14" s="7"/>
      <c r="X14" s="7"/>
      <c r="Y14" s="7"/>
      <c r="Z14" s="7"/>
    </row>
    <row r="15" spans="1:32" s="3" customFormat="1" ht="16" x14ac:dyDescent="0.2">
      <c r="A15" s="4"/>
      <c r="B15" s="4"/>
      <c r="C15" s="4"/>
      <c r="D15" t="s">
        <v>291</v>
      </c>
      <c r="E15" s="20" t="s">
        <v>24</v>
      </c>
      <c r="F15" s="7"/>
      <c r="G15" s="7">
        <f ca="1">IF(G$13&gt;MAX([0]!yearsRef),NA(),_xlfn.IFNA(VLOOKUP($D15,refInput,MATCH(G$13,yearsRef,0)+2,FALSE),))</f>
        <v>0</v>
      </c>
      <c r="H15" s="7">
        <f ca="1">IF(H$13&gt;MAX([0]!yearsRef),NA(),_xlfn.IFNA(VLOOKUP($D15,refInput,MATCH(H$13,yearsRef,0)+2,FALSE),))</f>
        <v>0</v>
      </c>
      <c r="I15" s="7">
        <f ca="1">IF(I$13&gt;MAX([0]!yearsRef),NA(),_xlfn.IFNA(VLOOKUP($D15,refInput,MATCH(I$13,yearsRef,0)+2,FALSE),))</f>
        <v>0</v>
      </c>
      <c r="J15" s="7">
        <f ca="1">IF(J$13&gt;MAX([0]!yearsRef),NA(),_xlfn.IFNA(VLOOKUP($D15,refInput,MATCH(J$13,yearsRef,0)+2,FALSE),))</f>
        <v>0</v>
      </c>
      <c r="K15" s="7">
        <f ca="1">IF(K$13&gt;MAX([0]!yearsRef),NA(),_xlfn.IFNA(VLOOKUP($D15,refInput,MATCH(K$13,yearsRef,0)+2,FALSE),))</f>
        <v>0</v>
      </c>
      <c r="L15" s="7">
        <f ca="1">IF(L$13&gt;MAX([0]!yearsRef),NA(),_xlfn.IFNA(VLOOKUP($D15,refInput,MATCH(L$13,yearsRef,0)+2,FALSE),))</f>
        <v>0</v>
      </c>
      <c r="M15" s="7">
        <f ca="1">IF(M$13&gt;MAX([0]!yearsRef),NA(),_xlfn.IFNA(VLOOKUP($D15,refInput,MATCH(M$13,yearsRef,0)+2,FALSE),))</f>
        <v>0</v>
      </c>
      <c r="N15" s="7">
        <f ca="1">IF(N$13&gt;MAX([0]!yearsRef),NA(),_xlfn.IFNA(VLOOKUP($D15,refInput,MATCH(N$13,yearsRef,0)+2,FALSE),))</f>
        <v>0</v>
      </c>
      <c r="O15" s="7">
        <f ca="1">IF(O$13&gt;MAX([0]!yearsRef),NA(),_xlfn.IFNA(VLOOKUP($D15,refInput,MATCH(O$13,yearsRef,0)+2,FALSE),))</f>
        <v>0</v>
      </c>
      <c r="P15" s="7">
        <f ca="1">IF(P$13&gt;MAX([0]!yearsRef),NA(),_xlfn.IFNA(VLOOKUP($D15,refInput,MATCH(P$13,yearsRef,0)+2,FALSE),))</f>
        <v>0</v>
      </c>
      <c r="Q15" s="7">
        <f ca="1">IF(Q$13&gt;MAX([0]!yearsRef),NA(),_xlfn.IFNA(VLOOKUP($D15,refInput,MATCH(Q$13,yearsRef,0)+2,FALSE),))</f>
        <v>0</v>
      </c>
      <c r="R15" s="7"/>
      <c r="S15" s="7"/>
      <c r="T15" s="7"/>
      <c r="U15" s="7"/>
      <c r="V15" s="7"/>
      <c r="W15" s="7"/>
      <c r="X15" s="7"/>
      <c r="Y15" s="7"/>
      <c r="Z15" s="7"/>
    </row>
    <row r="16" spans="1:32" s="3" customFormat="1" ht="16" x14ac:dyDescent="0.2">
      <c r="A16" s="4"/>
      <c r="B16" s="4"/>
      <c r="C16" s="4"/>
      <c r="D16" t="s">
        <v>292</v>
      </c>
      <c r="E16" s="20" t="s">
        <v>24</v>
      </c>
      <c r="F16" s="7"/>
      <c r="G16" s="7">
        <f ca="1">IF(G$13&gt;MAX([0]!yearsRef),NA(),_xlfn.IFNA(VLOOKUP($D16,refInput,MATCH(G$13,yearsRef,0)+2,FALSE),))</f>
        <v>0</v>
      </c>
      <c r="H16" s="7">
        <f ca="1">IF(H$13&gt;MAX([0]!yearsRef),NA(),_xlfn.IFNA(VLOOKUP($D16,refInput,MATCH(H$13,yearsRef,0)+2,FALSE),))</f>
        <v>0</v>
      </c>
      <c r="I16" s="7">
        <f ca="1">IF(I$13&gt;MAX([0]!yearsRef),NA(),_xlfn.IFNA(VLOOKUP($D16,refInput,MATCH(I$13,yearsRef,0)+2,FALSE),))</f>
        <v>0</v>
      </c>
      <c r="J16" s="7">
        <f ca="1">IF(J$13&gt;MAX([0]!yearsRef),NA(),_xlfn.IFNA(VLOOKUP($D16,refInput,MATCH(J$13,yearsRef,0)+2,FALSE),))</f>
        <v>0</v>
      </c>
      <c r="K16" s="7">
        <f ca="1">IF(K$13&gt;MAX([0]!yearsRef),NA(),_xlfn.IFNA(VLOOKUP($D16,refInput,MATCH(K$13,yearsRef,0)+2,FALSE),))</f>
        <v>0</v>
      </c>
      <c r="L16" s="7">
        <f ca="1">IF(L$13&gt;MAX([0]!yearsRef),NA(),_xlfn.IFNA(VLOOKUP($D16,refInput,MATCH(L$13,yearsRef,0)+2,FALSE),))</f>
        <v>0</v>
      </c>
      <c r="M16" s="7">
        <f ca="1">IF(M$13&gt;MAX([0]!yearsRef),NA(),_xlfn.IFNA(VLOOKUP($D16,refInput,MATCH(M$13,yearsRef,0)+2,FALSE),))</f>
        <v>0</v>
      </c>
      <c r="N16" s="7">
        <f ca="1">IF(N$13&gt;MAX([0]!yearsRef),NA(),_xlfn.IFNA(VLOOKUP($D16,refInput,MATCH(N$13,yearsRef,0)+2,FALSE),))</f>
        <v>0</v>
      </c>
      <c r="O16" s="7">
        <f ca="1">IF(O$13&gt;MAX([0]!yearsRef),NA(),_xlfn.IFNA(VLOOKUP($D16,refInput,MATCH(O$13,yearsRef,0)+2,FALSE),))</f>
        <v>0</v>
      </c>
      <c r="P16" s="7">
        <f ca="1">IF(P$13&gt;MAX([0]!yearsRef),NA(),_xlfn.IFNA(VLOOKUP($D16,refInput,MATCH(P$13,yearsRef,0)+2,FALSE),))</f>
        <v>0</v>
      </c>
      <c r="Q16" s="7">
        <f ca="1">IF(Q$13&gt;MAX([0]!yearsRef),NA(),_xlfn.IFNA(VLOOKUP($D16,refInput,MATCH(Q$13,yearsRef,0)+2,FALSE),))</f>
        <v>0</v>
      </c>
      <c r="R16" s="7"/>
      <c r="S16" s="7"/>
      <c r="T16" s="7"/>
      <c r="U16" s="7"/>
      <c r="V16" s="7"/>
      <c r="W16" s="7"/>
      <c r="X16" s="7"/>
      <c r="Y16" s="7"/>
      <c r="Z16" s="7"/>
    </row>
    <row r="17" spans="1:27" s="3" customFormat="1" ht="16" x14ac:dyDescent="0.2">
      <c r="A17" s="4"/>
      <c r="B17" s="4"/>
      <c r="C17" s="4"/>
      <c r="D17" t="s">
        <v>224</v>
      </c>
      <c r="E17" s="20" t="s">
        <v>24</v>
      </c>
      <c r="F17" s="7"/>
      <c r="G17" s="7">
        <f ca="1">IF(G$13&gt;MAX([0]!yearsRef),NA(),_xlfn.IFNA(VLOOKUP($D17,refInput,MATCH(G$13,yearsRef,0)+2,FALSE),))</f>
        <v>29393.36868127187</v>
      </c>
      <c r="H17" s="7">
        <f ca="1">IF(H$13&gt;MAX([0]!yearsRef),NA(),_xlfn.IFNA(VLOOKUP($D17,refInput,MATCH(H$13,yearsRef,0)+2,FALSE),))</f>
        <v>32110.274364550907</v>
      </c>
      <c r="I17" s="7">
        <f ca="1">IF(I$13&gt;MAX([0]!yearsRef),NA(),_xlfn.IFNA(VLOOKUP($D17,refInput,MATCH(I$13,yearsRef,0)+2,FALSE),))</f>
        <v>38265.562772750854</v>
      </c>
      <c r="J17" s="7">
        <f ca="1">IF(J$13&gt;MAX([0]!yearsRef),NA(),_xlfn.IFNA(VLOOKUP($D17,refInput,MATCH(J$13,yearsRef,0)+2,FALSE),))</f>
        <v>43193.502604961395</v>
      </c>
      <c r="K17" s="7">
        <f ca="1">IF(K$13&gt;MAX([0]!yearsRef),NA(),_xlfn.IFNA(VLOOKUP($D17,refInput,MATCH(K$13,yearsRef,0)+2,FALSE),))</f>
        <v>46735.455910364784</v>
      </c>
      <c r="L17" s="7">
        <f ca="1">IF(L$13&gt;MAX([0]!yearsRef),NA(),_xlfn.IFNA(VLOOKUP($D17,refInput,MATCH(L$13,yearsRef,0)+2,FALSE),))</f>
        <v>50944.303194681801</v>
      </c>
      <c r="M17" s="7">
        <f ca="1">IF(M$13&gt;MAX([0]!yearsRef),NA(),_xlfn.IFNA(VLOOKUP($D17,refInput,MATCH(M$13,yearsRef,0)+2,FALSE),))</f>
        <v>56186.300555864967</v>
      </c>
      <c r="N17" s="7">
        <f ca="1">IF(N$13&gt;MAX([0]!yearsRef),NA(),_xlfn.IFNA(VLOOKUP($D17,refInput,MATCH(N$13,yearsRef,0)+2,FALSE),))</f>
        <v>60140.393733978271</v>
      </c>
      <c r="O17" s="7">
        <f ca="1">IF(O$13&gt;MAX([0]!yearsRef),NA(),_xlfn.IFNA(VLOOKUP($D17,refInput,MATCH(O$13,yearsRef,0)+2,FALSE),))</f>
        <v>63528.846879800156</v>
      </c>
      <c r="P17" s="7">
        <f ca="1">IF(P$13&gt;MAX([0]!yearsRef),NA(),_xlfn.IFNA(VLOOKUP($D17,refInput,MATCH(P$13,yearsRef,0)+2,FALSE),))</f>
        <v>67952.497919400528</v>
      </c>
      <c r="Q17" s="7">
        <f ca="1">IF(Q$13&gt;MAX([0]!yearsRef),NA(),_xlfn.IFNA(VLOOKUP($D17,refInput,MATCH(Q$13,yearsRef,0)+2,FALSE),))</f>
        <v>73019.277334213242</v>
      </c>
      <c r="R17" s="7"/>
      <c r="S17" s="7"/>
      <c r="T17" s="7"/>
      <c r="U17" s="7"/>
      <c r="V17" s="7"/>
      <c r="W17" s="7"/>
      <c r="X17" s="7"/>
      <c r="Y17" s="7"/>
      <c r="Z17" s="7"/>
    </row>
    <row r="18" spans="1:27" s="3" customFormat="1" ht="16" x14ac:dyDescent="0.2">
      <c r="A18" s="4"/>
      <c r="B18" s="4"/>
      <c r="C18" s="4"/>
      <c r="D18" t="s">
        <v>298</v>
      </c>
      <c r="E18" s="20" t="s">
        <v>24</v>
      </c>
      <c r="F18" s="7"/>
      <c r="G18" s="7">
        <f ca="1">IF(G$13&gt;MAX([0]!yearsRef),NA(),_xlfn.IFNA(VLOOKUP($D18,refInput,MATCH(G$13,yearsRef,0)+2,FALSE),))</f>
        <v>3789.3628800000001</v>
      </c>
      <c r="H18" s="7">
        <f ca="1">IF(H$13&gt;MAX([0]!yearsRef),NA(),_xlfn.IFNA(VLOOKUP($D18,refInput,MATCH(H$13,yearsRef,0)+2,FALSE),))</f>
        <v>3502.3383199999998</v>
      </c>
      <c r="I18" s="7">
        <f ca="1">IF(I$13&gt;MAX([0]!yearsRef),NA(),_xlfn.IFNA(VLOOKUP($D18,refInput,MATCH(I$13,yearsRef,0)+2,FALSE),))</f>
        <v>5212.4559639999998</v>
      </c>
      <c r="J18" s="7">
        <f ca="1">IF(J$13&gt;MAX([0]!yearsRef),NA(),_xlfn.IFNA(VLOOKUP($D18,refInput,MATCH(J$13,yearsRef,0)+2,FALSE),))</f>
        <v>6280.9146549999996</v>
      </c>
      <c r="K18" s="7">
        <f ca="1">IF(K$13&gt;MAX([0]!yearsRef),NA(),_xlfn.IFNA(VLOOKUP($D18,refInput,MATCH(K$13,yearsRef,0)+2,FALSE),))</f>
        <v>6178.3188639999998</v>
      </c>
      <c r="L18" s="7">
        <f ca="1">IF(L$13&gt;MAX([0]!yearsRef),NA(),_xlfn.IFNA(VLOOKUP($D18,refInput,MATCH(L$13,yearsRef,0)+2,FALSE),))</f>
        <v>5046.7978469999998</v>
      </c>
      <c r="M18" s="7">
        <f ca="1">IF(M$13&gt;MAX([0]!yearsRef),NA(),_xlfn.IFNA(VLOOKUP($D18,refInput,MATCH(M$13,yearsRef,0)+2,FALSE),))</f>
        <v>1435.313699</v>
      </c>
      <c r="N18" s="7">
        <f ca="1">IF(N$13&gt;MAX([0]!yearsRef),NA(),_xlfn.IFNA(VLOOKUP($D18,refInput,MATCH(N$13,yearsRef,0)+2,FALSE),))</f>
        <v>726.26427820000004</v>
      </c>
      <c r="O18" s="7">
        <f ca="1">IF(O$13&gt;MAX([0]!yearsRef),NA(),_xlfn.IFNA(VLOOKUP($D18,refInput,MATCH(O$13,yearsRef,0)+2,FALSE),))</f>
        <v>914.21360279999999</v>
      </c>
      <c r="P18" s="7">
        <f ca="1">IF(P$13&gt;MAX([0]!yearsRef),NA(),_xlfn.IFNA(VLOOKUP($D18,refInput,MATCH(P$13,yearsRef,0)+2,FALSE),))</f>
        <v>-115.4519071</v>
      </c>
      <c r="Q18" s="7">
        <f ca="1">IF(Q$13&gt;MAX([0]!yearsRef),NA(),_xlfn.IFNA(VLOOKUP($D18,refInput,MATCH(Q$13,yearsRef,0)+2,FALSE),))</f>
        <v>-526.66452530000004</v>
      </c>
      <c r="R18" s="7"/>
      <c r="S18" s="7"/>
      <c r="T18" s="7"/>
      <c r="U18" s="7"/>
      <c r="V18" s="7"/>
      <c r="W18" s="7"/>
      <c r="X18" s="7"/>
      <c r="Y18" s="7"/>
      <c r="Z18" s="7"/>
    </row>
    <row r="19" spans="1:27" s="3" customFormat="1" ht="16" x14ac:dyDescent="0.15">
      <c r="A19" s="4"/>
      <c r="B19" s="4"/>
      <c r="C19" s="4"/>
      <c r="D19" s="20" t="s">
        <v>23</v>
      </c>
      <c r="E19" s="20" t="s">
        <v>22</v>
      </c>
      <c r="F19" s="7"/>
      <c r="G19" s="7">
        <f ca="1">IF(G$13&gt;MAX([0]!yearsRef),NA(),_xlfn.IFNA(VLOOKUP($D19,refInput,MATCH(G$13,yearsRef,0)+2,FALSE),))</f>
        <v>672.65832499999999</v>
      </c>
      <c r="H19" s="7">
        <f ca="1">IF(H$13&gt;MAX([0]!yearsRef),NA(),_xlfn.IFNA(VLOOKUP($D19,refInput,MATCH(H$13,yearsRef,0)+2,FALSE),))</f>
        <v>877.77581799999996</v>
      </c>
      <c r="I19" s="7">
        <f ca="1">IF(I$13&gt;MAX([0]!yearsRef),NA(),_xlfn.IFNA(VLOOKUP($D19,refInput,MATCH(I$13,yearsRef,0)+2,FALSE),))</f>
        <v>1734.1839600000001</v>
      </c>
      <c r="J19" s="7">
        <f ca="1">IF(J$13&gt;MAX([0]!yearsRef),NA(),_xlfn.IFNA(VLOOKUP($D19,refInput,MATCH(J$13,yearsRef,0)+2,FALSE),))</f>
        <v>2202.7680700000001</v>
      </c>
      <c r="K19" s="7">
        <f ca="1">IF(K$13&gt;MAX([0]!yearsRef),NA(),_xlfn.IFNA(VLOOKUP($D19,refInput,MATCH(K$13,yearsRef,0)+2,FALSE),))</f>
        <v>2689.5119599999998</v>
      </c>
      <c r="L19" s="7">
        <f ca="1">IF(L$13&gt;MAX([0]!yearsRef),NA(),_xlfn.IFNA(VLOOKUP($D19,refInput,MATCH(L$13,yearsRef,0)+2,FALSE),))</f>
        <v>3184.7670899999998</v>
      </c>
      <c r="M19" s="7">
        <f ca="1">IF(M$13&gt;MAX([0]!yearsRef),NA(),_xlfn.IFNA(VLOOKUP($D19,refInput,MATCH(M$13,yearsRef,0)+2,FALSE),))</f>
        <v>3659.2160600000002</v>
      </c>
      <c r="N19" s="7">
        <f ca="1">IF(N$13&gt;MAX([0]!yearsRef),NA(),_xlfn.IFNA(VLOOKUP($D19,refInput,MATCH(N$13,yearsRef,0)+2,FALSE),))</f>
        <v>4187.9101600000004</v>
      </c>
      <c r="O19" s="7">
        <f ca="1">IF(O$13&gt;MAX([0]!yearsRef),NA(),_xlfn.IFNA(VLOOKUP($D19,refInput,MATCH(O$13,yearsRef,0)+2,FALSE),))</f>
        <v>4581.3872099999999</v>
      </c>
      <c r="P19" s="7">
        <f ca="1">IF(P$13&gt;MAX([0]!yearsRef),NA(),_xlfn.IFNA(VLOOKUP($D19,refInput,MATCH(P$13,yearsRef,0)+2,FALSE),))</f>
        <v>5028.0752000000002</v>
      </c>
      <c r="Q19" s="7">
        <f ca="1">IF(Q$13&gt;MAX([0]!yearsRef),NA(),_xlfn.IFNA(VLOOKUP($D19,refInput,MATCH(Q$13,yearsRef,0)+2,FALSE),))</f>
        <v>5575.5541999999996</v>
      </c>
      <c r="R19" s="7"/>
      <c r="S19" s="7"/>
      <c r="T19" s="7"/>
      <c r="U19" s="7"/>
      <c r="V19" s="7"/>
      <c r="W19" s="7"/>
      <c r="X19" s="7"/>
      <c r="Y19" s="7"/>
      <c r="Z19" s="7"/>
    </row>
    <row r="20" spans="1:27" s="3" customFormat="1" ht="16" x14ac:dyDescent="0.15">
      <c r="A20" s="4"/>
      <c r="B20" s="4"/>
      <c r="C20" s="4"/>
      <c r="D20" s="20" t="s">
        <v>21</v>
      </c>
      <c r="E20" s="20" t="s">
        <v>20</v>
      </c>
      <c r="F20" s="7"/>
      <c r="G20" s="7">
        <f ca="1">IF(G$13&gt;MAX([0]!yearsRef),NA(),_xlfn.IFNA(VLOOKUP($D20,refInput,MATCH(G$13,yearsRef,0)+2,FALSE),))</f>
        <v>9158.4775370000007</v>
      </c>
      <c r="H20" s="7">
        <f ca="1">IF(H$13&gt;MAX([0]!yearsRef),NA(),_xlfn.IFNA(VLOOKUP($D20,refInput,MATCH(H$13,yearsRef,0)+2,FALSE),))</f>
        <v>9835.0657759999995</v>
      </c>
      <c r="I20" s="7">
        <f ca="1">IF(I$13&gt;MAX([0]!yearsRef),NA(),_xlfn.IFNA(VLOOKUP($D20,refInput,MATCH(I$13,yearsRef,0)+2,FALSE),))</f>
        <v>11182.576520000001</v>
      </c>
      <c r="J20" s="7">
        <f ca="1">IF(J$13&gt;MAX([0]!yearsRef),NA(),_xlfn.IFNA(VLOOKUP($D20,refInput,MATCH(J$13,yearsRef,0)+2,FALSE),))</f>
        <v>12487.891180000001</v>
      </c>
      <c r="K20" s="7">
        <f ca="1">IF(K$13&gt;MAX([0]!yearsRef),NA(),_xlfn.IFNA(VLOOKUP($D20,refInput,MATCH(K$13,yearsRef,0)+2,FALSE),))</f>
        <v>13332.03376</v>
      </c>
      <c r="L20" s="7">
        <f ca="1">IF(L$13&gt;MAX([0]!yearsRef),NA(),_xlfn.IFNA(VLOOKUP($D20,refInput,MATCH(L$13,yearsRef,0)+2,FALSE),))</f>
        <v>13865.35421</v>
      </c>
      <c r="M20" s="7">
        <f ca="1">IF(M$13&gt;MAX([0]!yearsRef),NA(),_xlfn.IFNA(VLOOKUP($D20,refInput,MATCH(M$13,yearsRef,0)+2,FALSE),))</f>
        <v>13554.599609999999</v>
      </c>
      <c r="N20" s="7">
        <f ca="1">IF(N$13&gt;MAX([0]!yearsRef),NA(),_xlfn.IFNA(VLOOKUP($D20,refInput,MATCH(N$13,yearsRef,0)+2,FALSE),))</f>
        <v>13531.40415</v>
      </c>
      <c r="O20" s="7">
        <f ca="1">IF(O$13&gt;MAX([0]!yearsRef),NA(),_xlfn.IFNA(VLOOKUP($D20,refInput,MATCH(O$13,yearsRef,0)+2,FALSE),))</f>
        <v>13744.41252</v>
      </c>
      <c r="P20" s="7">
        <f ca="1">IF(P$13&gt;MAX([0]!yearsRef),NA(),_xlfn.IFNA(VLOOKUP($D20,refInput,MATCH(P$13,yearsRef,0)+2,FALSE),))</f>
        <v>13744.094859999999</v>
      </c>
      <c r="Q20" s="7">
        <f ca="1">IF(Q$13&gt;MAX([0]!yearsRef),NA(),_xlfn.IFNA(VLOOKUP($D20,refInput,MATCH(Q$13,yearsRef,0)+2,FALSE),))</f>
        <v>13789.851979999999</v>
      </c>
      <c r="R20" s="7"/>
      <c r="S20" s="7"/>
      <c r="T20" s="7"/>
      <c r="U20" s="7"/>
      <c r="V20" s="7"/>
      <c r="W20" s="7"/>
      <c r="X20" s="7"/>
      <c r="Y20" s="7"/>
      <c r="Z20" s="7"/>
    </row>
    <row r="21" spans="1:27" s="3" customFormat="1" ht="16" x14ac:dyDescent="0.15">
      <c r="A21" s="4"/>
      <c r="B21" s="4"/>
      <c r="C21" s="4"/>
      <c r="D21" s="20" t="s">
        <v>8</v>
      </c>
      <c r="E21" s="20" t="s">
        <v>18</v>
      </c>
      <c r="F21" s="7"/>
      <c r="G21" s="7">
        <f ca="1">IF(G$13&gt;MAX([0]!yearsRef),NA(),_xlfn.IFNA(VLOOKUP($D21,refInput,MATCH(G$13,yearsRef,0)+2,FALSE),))</f>
        <v>341.0729063</v>
      </c>
      <c r="H21" s="7">
        <f ca="1">IF(H$13&gt;MAX([0]!yearsRef),NA(),_xlfn.IFNA(VLOOKUP($D21,refInput,MATCH(H$13,yearsRef,0)+2,FALSE),))</f>
        <v>368.1208125</v>
      </c>
      <c r="I21" s="7">
        <f ca="1">IF(I$13&gt;MAX([0]!yearsRef),NA(),_xlfn.IFNA(VLOOKUP($D21,refInput,MATCH(I$13,yearsRef,0)+2,FALSE),))</f>
        <v>423.03090630000003</v>
      </c>
      <c r="J21" s="7">
        <f ca="1">IF(J$13&gt;MAX([0]!yearsRef),NA(),_xlfn.IFNA(VLOOKUP($D21,refInput,MATCH(J$13,yearsRef,0)+2,FALSE),))</f>
        <v>479.42259380000002</v>
      </c>
      <c r="K21" s="7">
        <f ca="1">IF(K$13&gt;MAX([0]!yearsRef),NA(),_xlfn.IFNA(VLOOKUP($D21,refInput,MATCH(K$13,yearsRef,0)+2,FALSE),))</f>
        <v>541.945875</v>
      </c>
      <c r="L21" s="7">
        <f ca="1">IF(L$13&gt;MAX([0]!yearsRef),NA(),_xlfn.IFNA(VLOOKUP($D21,refInput,MATCH(L$13,yearsRef,0)+2,FALSE),))</f>
        <v>601.97268750000001</v>
      </c>
      <c r="M21" s="7">
        <f ca="1">IF(M$13&gt;MAX([0]!yearsRef),NA(),_xlfn.IFNA(VLOOKUP($D21,refInput,MATCH(M$13,yearsRef,0)+2,FALSE),))</f>
        <v>664.53981250000004</v>
      </c>
      <c r="N21" s="7">
        <f ca="1">IF(N$13&gt;MAX([0]!yearsRef),NA(),_xlfn.IFNA(VLOOKUP($D21,refInput,MATCH(N$13,yearsRef,0)+2,FALSE),))</f>
        <v>719.05137500000001</v>
      </c>
      <c r="O21" s="7">
        <f ca="1">IF(O$13&gt;MAX([0]!yearsRef),NA(),_xlfn.IFNA(VLOOKUP($D21,refInput,MATCH(O$13,yearsRef,0)+2,FALSE),))</f>
        <v>765.49487499999998</v>
      </c>
      <c r="P21" s="7">
        <f ca="1">IF(P$13&gt;MAX([0]!yearsRef),NA(),_xlfn.IFNA(VLOOKUP($D21,refInput,MATCH(P$13,yearsRef,0)+2,FALSE),))</f>
        <v>800.99437499999999</v>
      </c>
      <c r="Q21" s="7">
        <f ca="1">IF(Q$13&gt;MAX([0]!yearsRef),NA(),_xlfn.IFNA(VLOOKUP($D21,refInput,MATCH(Q$13,yearsRef,0)+2,FALSE),))</f>
        <v>831.80218749999995</v>
      </c>
      <c r="R21" s="7"/>
      <c r="S21" s="7"/>
      <c r="T21" s="7"/>
      <c r="U21" s="7"/>
      <c r="V21" s="7"/>
      <c r="W21" s="7"/>
      <c r="X21" s="7"/>
      <c r="Y21" s="7"/>
      <c r="Z21" s="7"/>
    </row>
    <row r="22" spans="1:27" s="3" customFormat="1" ht="16" x14ac:dyDescent="0.15">
      <c r="A22" s="4"/>
      <c r="B22" s="4"/>
      <c r="C22" s="4"/>
      <c r="D22" s="20" t="s">
        <v>0</v>
      </c>
      <c r="E22" s="20" t="s">
        <v>312</v>
      </c>
      <c r="F22" s="7"/>
      <c r="G22" s="7">
        <f ca="1">IF(G$13&gt;MAX([0]!yearsRef),NA(),_xlfn.IFNA(VLOOKUP($D22,refInput,MATCH(G$13,yearsRef,0)+2,FALSE),))</f>
        <v>63148.666799999999</v>
      </c>
      <c r="H22" s="7">
        <f ca="1">IF(H$13&gt;MAX([0]!yearsRef),NA(),_xlfn.IFNA(VLOOKUP($D22,refInput,MATCH(H$13,yearsRef,0)+2,FALSE),))</f>
        <v>75308.071089999998</v>
      </c>
      <c r="I22" s="7">
        <f ca="1">IF(I$13&gt;MAX([0]!yearsRef),NA(),_xlfn.IFNA(VLOOKUP($D22,refInput,MATCH(I$13,yearsRef,0)+2,FALSE),))</f>
        <v>111762.4234</v>
      </c>
      <c r="J22" s="7">
        <f ca="1">IF(J$13&gt;MAX([0]!yearsRef),NA(),_xlfn.IFNA(VLOOKUP($D22,refInput,MATCH(J$13,yearsRef,0)+2,FALSE),))</f>
        <v>159294.19690000001</v>
      </c>
      <c r="K22" s="7">
        <f ca="1">IF(K$13&gt;MAX([0]!yearsRef),NA(),_xlfn.IFNA(VLOOKUP($D22,refInput,MATCH(K$13,yearsRef,0)+2,FALSE),))</f>
        <v>207346.2531</v>
      </c>
      <c r="L22" s="7">
        <f ca="1">IF(L$13&gt;MAX([0]!yearsRef),NA(),_xlfn.IFNA(VLOOKUP($D22,refInput,MATCH(L$13,yearsRef,0)+2,FALSE),))</f>
        <v>257634.7469</v>
      </c>
      <c r="M22" s="7">
        <f ca="1">IF(M$13&gt;MAX([0]!yearsRef),NA(),_xlfn.IFNA(VLOOKUP($D22,refInput,MATCH(M$13,yearsRef,0)+2,FALSE),))</f>
        <v>311575.6531</v>
      </c>
      <c r="N22" s="7">
        <f ca="1">IF(N$13&gt;MAX([0]!yearsRef),NA(),_xlfn.IFNA(VLOOKUP($D22,refInput,MATCH(N$13,yearsRef,0)+2,FALSE),))</f>
        <v>372792.75</v>
      </c>
      <c r="O22" s="7">
        <f ca="1">IF(O$13&gt;MAX([0]!yearsRef),NA(),_xlfn.IFNA(VLOOKUP($D22,refInput,MATCH(O$13,yearsRef,0)+2,FALSE),))</f>
        <v>439657.45309999998</v>
      </c>
      <c r="P22" s="7">
        <f ca="1">IF(P$13&gt;MAX([0]!yearsRef),NA(),_xlfn.IFNA(VLOOKUP($D22,refInput,MATCH(P$13,yearsRef,0)+2,FALSE),))</f>
        <v>512617.39380000002</v>
      </c>
      <c r="Q22" s="7">
        <f ca="1">IF(Q$13&gt;MAX([0]!yearsRef),NA(),_xlfn.IFNA(VLOOKUP($D22,refInput,MATCH(Q$13,yearsRef,0)+2,FALSE),))</f>
        <v>592070.46250000002</v>
      </c>
      <c r="R22" s="7"/>
      <c r="S22" s="7"/>
      <c r="T22" s="7"/>
      <c r="U22" s="7"/>
      <c r="V22" s="7"/>
      <c r="W22" s="7"/>
      <c r="X22" s="7"/>
      <c r="Y22" s="7"/>
      <c r="Z22" s="7"/>
    </row>
    <row r="23" spans="1:27" s="3" customFormat="1" ht="16" x14ac:dyDescent="0.15">
      <c r="A23" s="4"/>
      <c r="B23" s="4"/>
      <c r="C23" s="4"/>
      <c r="D23" s="20" t="s">
        <v>2</v>
      </c>
      <c r="E23" s="20" t="s">
        <v>19</v>
      </c>
      <c r="F23" s="7"/>
      <c r="G23" s="7">
        <f ca="1">IF(G$13&gt;MAX([0]!yearsRef),NA(),_xlfn.IFNA(VLOOKUP($D23,refInput,MATCH(G$13,yearsRef,0)+2,FALSE),))</f>
        <v>6530.5478519999997</v>
      </c>
      <c r="H23" s="7">
        <f ca="1">IF(H$13&gt;MAX([0]!yearsRef),NA(),_xlfn.IFNA(VLOOKUP($D23,refInput,MATCH(H$13,yearsRef,0)+2,FALSE),))</f>
        <v>6921.7978519999997</v>
      </c>
      <c r="I23" s="7">
        <f ca="1">IF(I$13&gt;MAX([0]!yearsRef),NA(),_xlfn.IFNA(VLOOKUP($D23,refInput,MATCH(I$13,yearsRef,0)+2,FALSE),))</f>
        <v>7671.501953</v>
      </c>
      <c r="J23" s="7">
        <f ca="1">IF(J$13&gt;MAX([0]!yearsRef),NA(),_xlfn.IFNA(VLOOKUP($D23,refInput,MATCH(J$13,yearsRef,0)+2,FALSE),))</f>
        <v>8327.6826170000004</v>
      </c>
      <c r="K23" s="7">
        <f ca="1">IF(K$13&gt;MAX([0]!yearsRef),NA(),_xlfn.IFNA(VLOOKUP($D23,refInput,MATCH(K$13,yearsRef,0)+2,FALSE),))</f>
        <v>8857.1757809999999</v>
      </c>
      <c r="L23" s="7">
        <f ca="1">IF(L$13&gt;MAX([0]!yearsRef),NA(),_xlfn.IFNA(VLOOKUP($D23,refInput,MATCH(L$13,yearsRef,0)+2,FALSE),))</f>
        <v>9242.5429690000001</v>
      </c>
      <c r="M23" s="7">
        <f ca="1">IF(M$13&gt;MAX([0]!yearsRef),NA(),_xlfn.IFNA(VLOOKUP($D23,refInput,MATCH(M$13,yearsRef,0)+2,FALSE),))</f>
        <v>9459.9677730000003</v>
      </c>
      <c r="N23" s="7">
        <f ca="1">IF(N$13&gt;MAX([0]!yearsRef),NA(),_xlfn.IFNA(VLOOKUP($D23,refInput,MATCH(N$13,yearsRef,0)+2,FALSE),))</f>
        <v>9531.0947269999997</v>
      </c>
      <c r="O23" s="7">
        <f ca="1">IF(O$13&gt;MAX([0]!yearsRef),NA(),_xlfn.IFNA(VLOOKUP($D23,refInput,MATCH(O$13,yearsRef,0)+2,FALSE),))</f>
        <v>9480.2275389999995</v>
      </c>
      <c r="P23" s="7">
        <f ca="1">IF(P$13&gt;MAX([0]!yearsRef),NA(),_xlfn.IFNA(VLOOKUP($D23,refInput,MATCH(P$13,yearsRef,0)+2,FALSE),))</f>
        <v>9325.7070309999999</v>
      </c>
      <c r="Q23" s="7">
        <f ca="1">IF(Q$13&gt;MAX([0]!yearsRef),NA(),_xlfn.IFNA(VLOOKUP($D23,refInput,MATCH(Q$13,yearsRef,0)+2,FALSE),))</f>
        <v>9103.234375</v>
      </c>
      <c r="R23" s="7"/>
      <c r="S23" s="7"/>
      <c r="T23" s="7"/>
      <c r="U23" s="7"/>
      <c r="V23" s="7"/>
      <c r="W23" s="7"/>
      <c r="X23" s="7"/>
      <c r="Y23" s="7"/>
      <c r="Z23" s="7"/>
    </row>
    <row r="24" spans="1:27" s="3" customFormat="1" ht="16" x14ac:dyDescent="0.15">
      <c r="A24" s="4"/>
      <c r="B24" s="4"/>
      <c r="C24" s="4"/>
      <c r="D24" s="20" t="s">
        <v>9</v>
      </c>
      <c r="E24" s="20" t="s">
        <v>18</v>
      </c>
      <c r="F24" s="7"/>
      <c r="G24" s="7">
        <f ca="1">IF(G$13&gt;MAX([0]!yearsRef),NA(),_xlfn.IFNA(VLOOKUP($D24,refInput,MATCH(G$13,yearsRef,0)+2,FALSE),))</f>
        <v>459.0075938</v>
      </c>
      <c r="H24" s="7">
        <f ca="1">IF(H$13&gt;MAX([0]!yearsRef),NA(),_xlfn.IFNA(VLOOKUP($D24,refInput,MATCH(H$13,yearsRef,0)+2,FALSE),))</f>
        <v>506.23181249999999</v>
      </c>
      <c r="I24" s="7">
        <f ca="1">IF(I$13&gt;MAX([0]!yearsRef),NA(),_xlfn.IFNA(VLOOKUP($D24,refInput,MATCH(I$13,yearsRef,0)+2,FALSE),))</f>
        <v>594.26031250000005</v>
      </c>
      <c r="J24" s="7">
        <f ca="1">IF(J$13&gt;MAX([0]!yearsRef),NA(),_xlfn.IFNA(VLOOKUP($D24,refInput,MATCH(J$13,yearsRef,0)+2,FALSE),))</f>
        <v>676.61637499999995</v>
      </c>
      <c r="K24" s="7">
        <f ca="1">IF(K$13&gt;MAX([0]!yearsRef),NA(),_xlfn.IFNA(VLOOKUP($D24,refInput,MATCH(K$13,yearsRef,0)+2,FALSE),))</f>
        <v>755.57987500000002</v>
      </c>
      <c r="L24" s="7">
        <f ca="1">IF(L$13&gt;MAX([0]!yearsRef),NA(),_xlfn.IFNA(VLOOKUP($D24,refInput,MATCH(L$13,yearsRef,0)+2,FALSE),))</f>
        <v>832.27637500000003</v>
      </c>
      <c r="M24" s="7">
        <f ca="1">IF(M$13&gt;MAX([0]!yearsRef),NA(),_xlfn.IFNA(VLOOKUP($D24,refInput,MATCH(M$13,yearsRef,0)+2,FALSE),))</f>
        <v>910.11768749999999</v>
      </c>
      <c r="N24" s="7">
        <f ca="1">IF(N$13&gt;MAX([0]!yearsRef),NA(),_xlfn.IFNA(VLOOKUP($D24,refInput,MATCH(N$13,yearsRef,0)+2,FALSE),))</f>
        <v>976.86431249999998</v>
      </c>
      <c r="O24" s="7">
        <f ca="1">IF(O$13&gt;MAX([0]!yearsRef),NA(),_xlfn.IFNA(VLOOKUP($D24,refInput,MATCH(O$13,yearsRef,0)+2,FALSE),))</f>
        <v>1037.7739999999999</v>
      </c>
      <c r="P24" s="7">
        <f ca="1">IF(P$13&gt;MAX([0]!yearsRef),NA(),_xlfn.IFNA(VLOOKUP($D24,refInput,MATCH(P$13,yearsRef,0)+2,FALSE),))</f>
        <v>1095.373</v>
      </c>
      <c r="Q24" s="7">
        <f ca="1">IF(Q$13&gt;MAX([0]!yearsRef),NA(),_xlfn.IFNA(VLOOKUP($D24,refInput,MATCH(Q$13,yearsRef,0)+2,FALSE),))</f>
        <v>1151.866</v>
      </c>
      <c r="R24" s="7"/>
      <c r="S24" s="7"/>
      <c r="T24" s="7"/>
      <c r="U24" s="7"/>
      <c r="V24" s="7"/>
      <c r="W24" s="7"/>
      <c r="X24" s="7"/>
      <c r="Y24" s="7"/>
      <c r="Z24" s="7"/>
    </row>
    <row r="25" spans="1:27" s="3" customFormat="1" ht="16" x14ac:dyDescent="0.15">
      <c r="A25" s="4"/>
      <c r="B25" s="4"/>
      <c r="C25" s="4"/>
      <c r="D25" s="20" t="s">
        <v>11</v>
      </c>
      <c r="E25" s="20" t="s">
        <v>18</v>
      </c>
      <c r="F25" s="7"/>
      <c r="G25" s="7">
        <f ca="1">IF(G$13&gt;MAX([0]!yearsRef),NA(),_xlfn.IFNA(VLOOKUP($D25,refInput,MATCH(G$13,yearsRef,0)+2,FALSE),))</f>
        <v>117.48179690000001</v>
      </c>
      <c r="H25" s="7">
        <f ca="1">IF(H$13&gt;MAX([0]!yearsRef),NA(),_xlfn.IFNA(VLOOKUP($D25,refInput,MATCH(H$13,yearsRef,0)+2,FALSE),))</f>
        <v>145.98440629999999</v>
      </c>
      <c r="I25" s="7">
        <f ca="1">IF(I$13&gt;MAX([0]!yearsRef),NA(),_xlfn.IFNA(VLOOKUP($D25,refInput,MATCH(I$13,yearsRef,0)+2,FALSE),))</f>
        <v>172.32499999999999</v>
      </c>
      <c r="J25" s="7">
        <f ca="1">IF(J$13&gt;MAX([0]!yearsRef),NA(),_xlfn.IFNA(VLOOKUP($D25,refInput,MATCH(J$13,yearsRef,0)+2,FALSE),))</f>
        <v>211.99509380000001</v>
      </c>
      <c r="K25" s="7">
        <f ca="1">IF(K$13&gt;MAX([0]!yearsRef),NA(),_xlfn.IFNA(VLOOKUP($D25,refInput,MATCH(K$13,yearsRef,0)+2,FALSE),))</f>
        <v>240.01190629999999</v>
      </c>
      <c r="L25" s="7">
        <f ca="1">IF(L$13&gt;MAX([0]!yearsRef),NA(),_xlfn.IFNA(VLOOKUP($D25,refInput,MATCH(L$13,yearsRef,0)+2,FALSE),))</f>
        <v>263.81950000000001</v>
      </c>
      <c r="M25" s="7">
        <f ca="1">IF(M$13&gt;MAX([0]!yearsRef),NA(),_xlfn.IFNA(VLOOKUP($D25,refInput,MATCH(M$13,yearsRef,0)+2,FALSE),))</f>
        <v>289.18609379999998</v>
      </c>
      <c r="N25" s="7">
        <f ca="1">IF(N$13&gt;MAX([0]!yearsRef),NA(),_xlfn.IFNA(VLOOKUP($D25,refInput,MATCH(N$13,yearsRef,0)+2,FALSE),))</f>
        <v>321.66659379999999</v>
      </c>
      <c r="O25" s="7">
        <f ca="1">IF(O$13&gt;MAX([0]!yearsRef),NA(),_xlfn.IFNA(VLOOKUP($D25,refInput,MATCH(O$13,yearsRef,0)+2,FALSE),))</f>
        <v>366.5186875</v>
      </c>
      <c r="P25" s="7">
        <f ca="1">IF(P$13&gt;MAX([0]!yearsRef),NA(),_xlfn.IFNA(VLOOKUP($D25,refInput,MATCH(P$13,yearsRef,0)+2,FALSE),))</f>
        <v>432.56718749999999</v>
      </c>
      <c r="Q25" s="7">
        <f ca="1">IF(Q$13&gt;MAX([0]!yearsRef),NA(),_xlfn.IFNA(VLOOKUP($D25,refInput,MATCH(Q$13,yearsRef,0)+2,FALSE),))</f>
        <v>510.43531250000001</v>
      </c>
      <c r="R25" s="7"/>
      <c r="S25" s="7"/>
      <c r="T25" s="7"/>
      <c r="U25" s="7"/>
      <c r="V25" s="7"/>
      <c r="W25" s="7"/>
      <c r="X25" s="7"/>
      <c r="Y25" s="7"/>
      <c r="Z25" s="7"/>
    </row>
    <row r="26" spans="1:27" s="3" customFormat="1" ht="16" x14ac:dyDescent="0.15">
      <c r="A26" s="4"/>
      <c r="B26" s="4"/>
      <c r="C26" s="4"/>
      <c r="D26" s="20" t="s">
        <v>10</v>
      </c>
      <c r="E26" s="20" t="s">
        <v>18</v>
      </c>
      <c r="F26" s="7"/>
      <c r="G26" s="7">
        <f ca="1">IF(G$13&gt;MAX([0]!yearsRef),NA(),_xlfn.IFNA(VLOOKUP($D26,refInput,MATCH(G$13,yearsRef,0)+2,FALSE),))</f>
        <v>101.93460159999999</v>
      </c>
      <c r="H26" s="7">
        <f ca="1">IF(H$13&gt;MAX([0]!yearsRef),NA(),_xlfn.IFNA(VLOOKUP($D26,refInput,MATCH(H$13,yearsRef,0)+2,FALSE),))</f>
        <v>112.7463984</v>
      </c>
      <c r="I26" s="7">
        <f ca="1">IF(I$13&gt;MAX([0]!yearsRef),NA(),_xlfn.IFNA(VLOOKUP($D26,refInput,MATCH(I$13,yearsRef,0)+2,FALSE),))</f>
        <v>152.18899999999999</v>
      </c>
      <c r="J26" s="7">
        <f ca="1">IF(J$13&gt;MAX([0]!yearsRef),NA(),_xlfn.IFNA(VLOOKUP($D26,refInput,MATCH(J$13,yearsRef,0)+2,FALSE),))</f>
        <v>187.71890629999999</v>
      </c>
      <c r="K26" s="7">
        <f ca="1">IF(K$13&gt;MAX([0]!yearsRef),NA(),_xlfn.IFNA(VLOOKUP($D26,refInput,MATCH(K$13,yearsRef,0)+2,FALSE),))</f>
        <v>217.0180938</v>
      </c>
      <c r="L26" s="7">
        <f ca="1">IF(L$13&gt;MAX([0]!yearsRef),NA(),_xlfn.IFNA(VLOOKUP($D26,refInput,MATCH(L$13,yearsRef,0)+2,FALSE),))</f>
        <v>236.3882969</v>
      </c>
      <c r="M26" s="7">
        <f ca="1">IF(M$13&gt;MAX([0]!yearsRef),NA(),_xlfn.IFNA(VLOOKUP($D26,refInput,MATCH(M$13,yearsRef,0)+2,FALSE),))</f>
        <v>260.61790630000002</v>
      </c>
      <c r="N26" s="7">
        <f ca="1">IF(N$13&gt;MAX([0]!yearsRef),NA(),_xlfn.IFNA(VLOOKUP($D26,refInput,MATCH(N$13,yearsRef,0)+2,FALSE),))</f>
        <v>270.75331249999999</v>
      </c>
      <c r="O26" s="7">
        <f ca="1">IF(O$13&gt;MAX([0]!yearsRef),NA(),_xlfn.IFNA(VLOOKUP($D26,refInput,MATCH(O$13,yearsRef,0)+2,FALSE),))</f>
        <v>269.83550000000002</v>
      </c>
      <c r="P26" s="7">
        <f ca="1">IF(P$13&gt;MAX([0]!yearsRef),NA(),_xlfn.IFNA(VLOOKUP($D26,refInput,MATCH(P$13,yearsRef,0)+2,FALSE),))</f>
        <v>245.80199999999999</v>
      </c>
      <c r="Q26" s="7">
        <f ca="1">IF(Q$13&gt;MAX([0]!yearsRef),NA(),_xlfn.IFNA(VLOOKUP($D26,refInput,MATCH(Q$13,yearsRef,0)+2,FALSE),))</f>
        <v>215.65909379999999</v>
      </c>
      <c r="R26" s="7"/>
      <c r="S26" s="7"/>
      <c r="T26" s="7"/>
      <c r="U26" s="7"/>
      <c r="V26" s="7"/>
      <c r="W26" s="7"/>
      <c r="X26" s="7"/>
      <c r="Y26" s="7"/>
      <c r="Z26" s="7"/>
    </row>
    <row r="27" spans="1:27" s="3" customFormat="1" ht="16" x14ac:dyDescent="0.15">
      <c r="A27" s="4"/>
      <c r="B27" s="4"/>
      <c r="C27" s="4"/>
      <c r="D27" s="20" t="s">
        <v>12</v>
      </c>
      <c r="E27" s="20" t="s">
        <v>18</v>
      </c>
      <c r="F27" s="7"/>
      <c r="G27" s="7">
        <f ca="1">IF(G$13&gt;MAX([0]!yearsRef),NA(),_xlfn.IFNA(VLOOKUP($D27,refInput,MATCH(G$13,yearsRef,0)+2,FALSE),))</f>
        <v>174.8014063</v>
      </c>
      <c r="H27" s="7">
        <f ca="1">IF(H$13&gt;MAX([0]!yearsRef),NA(),_xlfn.IFNA(VLOOKUP($D27,refInput,MATCH(H$13,yearsRef,0)+2,FALSE),))</f>
        <v>171.87170309999999</v>
      </c>
      <c r="I27" s="7">
        <f ca="1">IF(I$13&gt;MAX([0]!yearsRef),NA(),_xlfn.IFNA(VLOOKUP($D27,refInput,MATCH(I$13,yearsRef,0)+2,FALSE),))</f>
        <v>176.6505938</v>
      </c>
      <c r="J27" s="7">
        <f ca="1">IF(J$13&gt;MAX([0]!yearsRef),NA(),_xlfn.IFNA(VLOOKUP($D27,refInput,MATCH(J$13,yearsRef,0)+2,FALSE),))</f>
        <v>165.22149999999999</v>
      </c>
      <c r="K27" s="7">
        <f ca="1">IF(K$13&gt;MAX([0]!yearsRef),NA(),_xlfn.IFNA(VLOOKUP($D27,refInput,MATCH(K$13,yearsRef,0)+2,FALSE),))</f>
        <v>158.09770309999999</v>
      </c>
      <c r="L27" s="7">
        <f ca="1">IF(L$13&gt;MAX([0]!yearsRef),NA(),_xlfn.IFNA(VLOOKUP($D27,refInput,MATCH(L$13,yearsRef,0)+2,FALSE),))</f>
        <v>173.017</v>
      </c>
      <c r="M27" s="7">
        <f ca="1">IF(M$13&gt;MAX([0]!yearsRef),NA(),_xlfn.IFNA(VLOOKUP($D27,refInput,MATCH(M$13,yearsRef,0)+2,FALSE),))</f>
        <v>198.71950000000001</v>
      </c>
      <c r="N27" s="7">
        <f ca="1">IF(N$13&gt;MAX([0]!yearsRef),NA(),_xlfn.IFNA(VLOOKUP($D27,refInput,MATCH(N$13,yearsRef,0)+2,FALSE),))</f>
        <v>201.8860938</v>
      </c>
      <c r="O27" s="7">
        <f ca="1">IF(O$13&gt;MAX([0]!yearsRef),NA(),_xlfn.IFNA(VLOOKUP($D27,refInput,MATCH(O$13,yearsRef,0)+2,FALSE),))</f>
        <v>191.60340629999999</v>
      </c>
      <c r="P27" s="7">
        <f ca="1">IF(P$13&gt;MAX([0]!yearsRef),NA(),_xlfn.IFNA(VLOOKUP($D27,refInput,MATCH(P$13,yearsRef,0)+2,FALSE),))</f>
        <v>187.4747969</v>
      </c>
      <c r="Q27" s="7">
        <f ca="1">IF(Q$13&gt;MAX([0]!yearsRef),NA(),_xlfn.IFNA(VLOOKUP($D27,refInput,MATCH(Q$13,yearsRef,0)+2,FALSE),))</f>
        <v>180.62559379999999</v>
      </c>
      <c r="R27" s="7"/>
      <c r="S27" s="7"/>
      <c r="T27" s="7"/>
      <c r="U27" s="7"/>
      <c r="V27" s="7"/>
      <c r="W27" s="7"/>
      <c r="X27" s="7"/>
      <c r="Y27" s="7"/>
      <c r="Z27" s="7"/>
    </row>
    <row r="28" spans="1:27" s="3" customFormat="1" ht="16" x14ac:dyDescent="0.15">
      <c r="A28" s="4"/>
      <c r="B28" s="4"/>
      <c r="C28" s="4"/>
      <c r="D28" s="20" t="s">
        <v>17</v>
      </c>
      <c r="E28" s="20" t="s">
        <v>312</v>
      </c>
      <c r="F28" s="7"/>
      <c r="G28" s="7">
        <f ca="1">IF(G$13&gt;MAX([0]!yearsRef),NA(),_xlfn.IFNA(VLOOKUP($D28,refInput,MATCH(G$13,yearsRef,0)+2,FALSE),))</f>
        <v>49593.37808000001</v>
      </c>
      <c r="H28" s="7">
        <f ca="1">IF(H$13&gt;MAX([0]!yearsRef),NA(),_xlfn.IFNA(VLOOKUP($D28,refInput,MATCH(H$13,yearsRef,0)+2,FALSE),))</f>
        <v>55776.193800000001</v>
      </c>
      <c r="I28" s="7">
        <f ca="1">IF(I$13&gt;MAX([0]!yearsRef),NA(),_xlfn.IFNA(VLOOKUP($D28,refInput,MATCH(I$13,yearsRef,0)+2,FALSE),))</f>
        <v>78494.021760000003</v>
      </c>
      <c r="J28" s="7">
        <f ca="1">IF(J$13&gt;MAX([0]!yearsRef),NA(),_xlfn.IFNA(VLOOKUP($D28,refInput,MATCH(J$13,yearsRef,0)+2,FALSE),))</f>
        <v>109940.23400000001</v>
      </c>
      <c r="K28" s="7">
        <f ca="1">IF(K$13&gt;MAX([0]!yearsRef),NA(),_xlfn.IFNA(VLOOKUP($D28,refInput,MATCH(K$13,yearsRef,0)+2,FALSE),))</f>
        <v>143359.74736000001</v>
      </c>
      <c r="L28" s="7">
        <f ca="1">IF(L$13&gt;MAX([0]!yearsRef),NA(),_xlfn.IFNA(VLOOKUP($D28,refInput,MATCH(L$13,yearsRef,0)+2,FALSE),))</f>
        <v>180095.57264000003</v>
      </c>
      <c r="M28" s="7">
        <f ca="1">IF(M$13&gt;MAX([0]!yearsRef),NA(),_xlfn.IFNA(VLOOKUP($D28,refInput,MATCH(M$13,yearsRef,0)+2,FALSE),))</f>
        <v>221675.58464000002</v>
      </c>
      <c r="N28" s="7">
        <f ca="1">IF(N$13&gt;MAX([0]!yearsRef),NA(),_xlfn.IFNA(VLOOKUP($D28,refInput,MATCH(N$13,yearsRef,0)+2,FALSE),))</f>
        <v>271512.12864000001</v>
      </c>
      <c r="O28" s="7">
        <f ca="1">IF(O$13&gt;MAX([0]!yearsRef),NA(),_xlfn.IFNA(VLOOKUP($D28,refInput,MATCH(O$13,yearsRef,0)+2,FALSE),))</f>
        <v>329316.13664000004</v>
      </c>
      <c r="P28" s="7">
        <f ca="1">IF(P$13&gt;MAX([0]!yearsRef),NA(),_xlfn.IFNA(VLOOKUP($D28,refInput,MATCH(P$13,yearsRef,0)+2,FALSE),))</f>
        <v>396375.65728000004</v>
      </c>
      <c r="Q28" s="7">
        <f ca="1">IF(Q$13&gt;MAX([0]!yearsRef),NA(),_xlfn.IFNA(VLOOKUP($D28,refInput,MATCH(Q$13,yearsRef,0)+2,FALSE),))</f>
        <v>473895.06208000006</v>
      </c>
      <c r="R28" s="7"/>
      <c r="S28" s="7"/>
      <c r="T28" s="7"/>
      <c r="U28" s="7"/>
      <c r="V28" s="7"/>
      <c r="W28" s="7"/>
      <c r="X28" s="7"/>
      <c r="Y28" s="7"/>
      <c r="Z28" s="7"/>
    </row>
    <row r="29" spans="1:27" s="3" customFormat="1" ht="32" customHeight="1" x14ac:dyDescent="0.15">
      <c r="A29" s="9"/>
      <c r="B29" s="8"/>
      <c r="C29" s="8"/>
      <c r="D29" s="1" t="s">
        <v>7</v>
      </c>
      <c r="E29" s="5"/>
      <c r="F29" s="7"/>
      <c r="G29" s="7">
        <f ca="1">IF(G$13&gt;MAX([0]!yearsRef),NA(),_xlfn.IFNA(VLOOKUP($D29,refInput,MATCH(G$13,yearsRef,0)+2,FALSE),))</f>
        <v>1260.6443961461384</v>
      </c>
      <c r="H29" s="7">
        <f ca="1">IF(H$13&gt;MAX([0]!yearsRef),NA(),_xlfn.IFNA(VLOOKUP($D29,refInput,MATCH(H$13,yearsRef,0)+2,FALSE),))</f>
        <v>1619.6451683839161</v>
      </c>
      <c r="I29" s="7">
        <f ca="1">IF(I$13&gt;MAX([0]!yearsRef),NA(),_xlfn.IFNA(VLOOKUP($D29,refInput,MATCH(I$13,yearsRef,0)+2,FALSE),))</f>
        <v>1846.3895320892334</v>
      </c>
      <c r="J29" s="7">
        <f ca="1">IF(J$13&gt;MAX([0]!yearsRef),NA(),_xlfn.IFNA(VLOOKUP($D29,refInput,MATCH(J$13,yearsRef,0)+2,FALSE),))</f>
        <v>2014.8549278577168</v>
      </c>
      <c r="K29" s="7">
        <f ca="1">IF(K$13&gt;MAX([0]!yearsRef),NA(),_xlfn.IFNA(VLOOKUP($D29,refInput,MATCH(K$13,yearsRef,0)+2,FALSE),))</f>
        <v>2097.1979300181069</v>
      </c>
      <c r="L29" s="7">
        <f ca="1">IF(L$13&gt;MAX([0]!yearsRef),NA(),_xlfn.IFNA(VLOOKUP($D29,refInput,MATCH(L$13,yearsRef,0)+2,FALSE),))</f>
        <v>2292.7681605021157</v>
      </c>
      <c r="M29" s="7">
        <f ca="1">IF(M$13&gt;MAX([0]!yearsRef),NA(),_xlfn.IFNA(VLOOKUP($D29,refInput,MATCH(M$13,yearsRef,0)+2,FALSE),))</f>
        <v>2535.1934035619097</v>
      </c>
      <c r="N29" s="7">
        <f ca="1">IF(N$13&gt;MAX([0]!yearsRef),NA(),_xlfn.IFNA(VLOOKUP($D29,refInput,MATCH(N$13,yearsRef,0)+2,FALSE),))</f>
        <v>2635.3624661763506</v>
      </c>
      <c r="O29" s="7">
        <f ca="1">IF(O$13&gt;MAX([0]!yearsRef),NA(),_xlfn.IFNA(VLOOKUP($D29,refInput,MATCH(O$13,yearsRef,0)+2,FALSE),))</f>
        <v>2885.1141730944314</v>
      </c>
      <c r="P29" s="7">
        <f ca="1">IF(P$13&gt;MAX([0]!yearsRef),NA(),_xlfn.IFNA(VLOOKUP($D29,refInput,MATCH(P$13,yearsRef,0)+2,FALSE),))</f>
        <v>3324.2319027582803</v>
      </c>
      <c r="Q29" s="7">
        <f ca="1">IF(Q$13&gt;MAX([0]!yearsRef),NA(),_xlfn.IFNA(VLOOKUP($D29,refInput,MATCH(Q$13,yearsRef,0)+2,FALSE),))</f>
        <v>3714.6559556325274</v>
      </c>
      <c r="R29" s="7"/>
      <c r="S29" s="7"/>
      <c r="T29" s="7"/>
      <c r="U29" s="7"/>
      <c r="V29" s="7"/>
      <c r="W29" s="7"/>
      <c r="X29" s="7"/>
      <c r="Y29" s="7"/>
      <c r="Z29" s="7"/>
      <c r="AA29" s="8"/>
    </row>
    <row r="30" spans="1:27" x14ac:dyDescent="0.15">
      <c r="D30" s="1" t="s">
        <v>4</v>
      </c>
      <c r="F30" s="7"/>
      <c r="G30" s="7">
        <f ca="1">IF(G$13&gt;MAX([0]!yearsRef),NA(),_xlfn.IFNA(VLOOKUP($D30,refInput,MATCH(G$13,yearsRef,0)+2,FALSE),))</f>
        <v>0</v>
      </c>
      <c r="H30" s="7">
        <f ca="1">IF(H$13&gt;MAX([0]!yearsRef),NA(),_xlfn.IFNA(VLOOKUP($D30,refInput,MATCH(H$13,yearsRef,0)+2,FALSE),))</f>
        <v>0</v>
      </c>
      <c r="I30" s="7">
        <f ca="1">IF(I$13&gt;MAX([0]!yearsRef),NA(),_xlfn.IFNA(VLOOKUP($D30,refInput,MATCH(I$13,yearsRef,0)+2,FALSE),))</f>
        <v>0</v>
      </c>
      <c r="J30" s="7">
        <f ca="1">IF(J$13&gt;MAX([0]!yearsRef),NA(),_xlfn.IFNA(VLOOKUP($D30,refInput,MATCH(J$13,yearsRef,0)+2,FALSE),))</f>
        <v>0</v>
      </c>
      <c r="K30" s="7">
        <f ca="1">IF(K$13&gt;MAX([0]!yearsRef),NA(),_xlfn.IFNA(VLOOKUP($D30,refInput,MATCH(K$13,yearsRef,0)+2,FALSE),))</f>
        <v>0</v>
      </c>
      <c r="L30" s="7">
        <f ca="1">IF(L$13&gt;MAX([0]!yearsRef),NA(),_xlfn.IFNA(VLOOKUP($D30,refInput,MATCH(L$13,yearsRef,0)+2,FALSE),))</f>
        <v>0</v>
      </c>
      <c r="M30" s="7">
        <f ca="1">IF(M$13&gt;MAX([0]!yearsRef),NA(),_xlfn.IFNA(VLOOKUP($D30,refInput,MATCH(M$13,yearsRef,0)+2,FALSE),))</f>
        <v>0</v>
      </c>
      <c r="N30" s="7">
        <f ca="1">IF(N$13&gt;MAX([0]!yearsRef),NA(),_xlfn.IFNA(VLOOKUP($D30,refInput,MATCH(N$13,yearsRef,0)+2,FALSE),))</f>
        <v>0</v>
      </c>
      <c r="O30" s="7">
        <f ca="1">IF(O$13&gt;MAX([0]!yearsRef),NA(),_xlfn.IFNA(VLOOKUP($D30,refInput,MATCH(O$13,yearsRef,0)+2,FALSE),))</f>
        <v>0</v>
      </c>
      <c r="P30" s="7">
        <f ca="1">IF(P$13&gt;MAX([0]!yearsRef),NA(),_xlfn.IFNA(VLOOKUP($D30,refInput,MATCH(P$13,yearsRef,0)+2,FALSE),))</f>
        <v>0</v>
      </c>
      <c r="Q30" s="7">
        <f ca="1">IF(Q$13&gt;MAX([0]!yearsRef),NA(),_xlfn.IFNA(VLOOKUP($D30,refInput,MATCH(Q$13,yearsRef,0)+2,FALSE),))</f>
        <v>0</v>
      </c>
      <c r="R30" s="7"/>
      <c r="S30" s="7"/>
      <c r="T30" s="7"/>
      <c r="U30" s="7"/>
      <c r="V30" s="7"/>
      <c r="W30" s="7"/>
      <c r="X30" s="7"/>
      <c r="Y30" s="7"/>
      <c r="Z30" s="7"/>
    </row>
    <row r="31" spans="1:27" x14ac:dyDescent="0.15">
      <c r="D31" s="3" t="s">
        <v>6</v>
      </c>
      <c r="F31" s="7"/>
      <c r="G31" s="7">
        <f ca="1">IF(G$13&gt;MAX([0]!yearsRef),NA(),_xlfn.IFNA(VLOOKUP($D31,refInput,MATCH(G$13,yearsRef,0)+2,FALSE),))</f>
        <v>0</v>
      </c>
      <c r="H31" s="7">
        <f ca="1">IF(H$13&gt;MAX([0]!yearsRef),NA(),_xlfn.IFNA(VLOOKUP($D31,refInput,MATCH(H$13,yearsRef,0)+2,FALSE),))</f>
        <v>0</v>
      </c>
      <c r="I31" s="7">
        <f ca="1">IF(I$13&gt;MAX([0]!yearsRef),NA(),_xlfn.IFNA(VLOOKUP($D31,refInput,MATCH(I$13,yearsRef,0)+2,FALSE),))</f>
        <v>0</v>
      </c>
      <c r="J31" s="7">
        <f ca="1">IF(J$13&gt;MAX([0]!yearsRef),NA(),_xlfn.IFNA(VLOOKUP($D31,refInput,MATCH(J$13,yearsRef,0)+2,FALSE),))</f>
        <v>0</v>
      </c>
      <c r="K31" s="7">
        <f ca="1">IF(K$13&gt;MAX([0]!yearsRef),NA(),_xlfn.IFNA(VLOOKUP($D31,refInput,MATCH(K$13,yearsRef,0)+2,FALSE),))</f>
        <v>0</v>
      </c>
      <c r="L31" s="7">
        <f ca="1">IF(L$13&gt;MAX([0]!yearsRef),NA(),_xlfn.IFNA(VLOOKUP($D31,refInput,MATCH(L$13,yearsRef,0)+2,FALSE),))</f>
        <v>0</v>
      </c>
      <c r="M31" s="7">
        <f ca="1">IF(M$13&gt;MAX([0]!yearsRef),NA(),_xlfn.IFNA(VLOOKUP($D31,refInput,MATCH(M$13,yearsRef,0)+2,FALSE),))</f>
        <v>0</v>
      </c>
      <c r="N31" s="7">
        <f ca="1">IF(N$13&gt;MAX([0]!yearsRef),NA(),_xlfn.IFNA(VLOOKUP($D31,refInput,MATCH(N$13,yearsRef,0)+2,FALSE),))</f>
        <v>0</v>
      </c>
      <c r="O31" s="7">
        <f ca="1">IF(O$13&gt;MAX([0]!yearsRef),NA(),_xlfn.IFNA(VLOOKUP($D31,refInput,MATCH(O$13,yearsRef,0)+2,FALSE),))</f>
        <v>0</v>
      </c>
      <c r="P31" s="7">
        <f ca="1">IF(P$13&gt;MAX([0]!yearsRef),NA(),_xlfn.IFNA(VLOOKUP($D31,refInput,MATCH(P$13,yearsRef,0)+2,FALSE),))</f>
        <v>0</v>
      </c>
      <c r="Q31" s="7">
        <f ca="1">IF(Q$13&gt;MAX([0]!yearsRef),NA(),_xlfn.IFNA(VLOOKUP($D31,refInput,MATCH(Q$13,yearsRef,0)+2,FALSE),))</f>
        <v>0</v>
      </c>
      <c r="R31" s="7"/>
      <c r="S31" s="7"/>
      <c r="T31" s="7"/>
      <c r="U31" s="7"/>
      <c r="V31" s="7"/>
      <c r="W31" s="7"/>
      <c r="X31" s="7"/>
      <c r="Y31" s="7"/>
      <c r="Z31" s="7"/>
    </row>
    <row r="32" spans="1:27" x14ac:dyDescent="0.15">
      <c r="D32" s="1" t="s">
        <v>5</v>
      </c>
      <c r="F32" s="7"/>
      <c r="G32" s="7">
        <f ca="1">IF(G$13&gt;MAX([0]!yearsRef),NA(),_xlfn.IFNA(VLOOKUP($D32,refInput,MATCH(G$13,yearsRef,0)+2,FALSE),))</f>
        <v>0</v>
      </c>
      <c r="H32" s="7">
        <f ca="1">IF(H$13&gt;MAX([0]!yearsRef),NA(),_xlfn.IFNA(VLOOKUP($D32,refInput,MATCH(H$13,yearsRef,0)+2,FALSE),))</f>
        <v>0</v>
      </c>
      <c r="I32" s="7">
        <f ca="1">IF(I$13&gt;MAX([0]!yearsRef),NA(),_xlfn.IFNA(VLOOKUP($D32,refInput,MATCH(I$13,yearsRef,0)+2,FALSE),))</f>
        <v>0</v>
      </c>
      <c r="J32" s="7">
        <f ca="1">IF(J$13&gt;MAX([0]!yearsRef),NA(),_xlfn.IFNA(VLOOKUP($D32,refInput,MATCH(J$13,yearsRef,0)+2,FALSE),))</f>
        <v>0</v>
      </c>
      <c r="K32" s="7">
        <f ca="1">IF(K$13&gt;MAX([0]!yearsRef),NA(),_xlfn.IFNA(VLOOKUP($D32,refInput,MATCH(K$13,yearsRef,0)+2,FALSE),))</f>
        <v>0</v>
      </c>
      <c r="L32" s="7">
        <f ca="1">IF(L$13&gt;MAX([0]!yearsRef),NA(),_xlfn.IFNA(VLOOKUP($D32,refInput,MATCH(L$13,yearsRef,0)+2,FALSE),))</f>
        <v>0</v>
      </c>
      <c r="M32" s="7">
        <f ca="1">IF(M$13&gt;MAX([0]!yearsRef),NA(),_xlfn.IFNA(VLOOKUP($D32,refInput,MATCH(M$13,yearsRef,0)+2,FALSE),))</f>
        <v>0</v>
      </c>
      <c r="N32" s="7">
        <f ca="1">IF(N$13&gt;MAX([0]!yearsRef),NA(),_xlfn.IFNA(VLOOKUP($D32,refInput,MATCH(N$13,yearsRef,0)+2,FALSE),))</f>
        <v>0</v>
      </c>
      <c r="O32" s="7">
        <f ca="1">IF(O$13&gt;MAX([0]!yearsRef),NA(),_xlfn.IFNA(VLOOKUP($D32,refInput,MATCH(O$13,yearsRef,0)+2,FALSE),))</f>
        <v>0</v>
      </c>
      <c r="P32" s="7">
        <f ca="1">IF(P$13&gt;MAX([0]!yearsRef),NA(),_xlfn.IFNA(VLOOKUP($D32,refInput,MATCH(P$13,yearsRef,0)+2,FALSE),))</f>
        <v>0</v>
      </c>
      <c r="Q32" s="7">
        <f ca="1">IF(Q$13&gt;MAX([0]!yearsRef),NA(),_xlfn.IFNA(VLOOKUP($D32,refInput,MATCH(Q$13,yearsRef,0)+2,FALSE),))</f>
        <v>0</v>
      </c>
      <c r="R32" s="7"/>
      <c r="S32" s="7"/>
      <c r="T32" s="7"/>
      <c r="U32" s="7"/>
      <c r="V32" s="7"/>
      <c r="W32" s="7"/>
      <c r="X32" s="7"/>
      <c r="Y32" s="7"/>
      <c r="Z32" s="7"/>
    </row>
    <row r="33" spans="4:26" ht="15" x14ac:dyDescent="0.2">
      <c r="D33" s="2" t="s">
        <v>3</v>
      </c>
      <c r="F33" s="7"/>
      <c r="G33" s="7">
        <f ca="1">IF(G$13&gt;MAX([0]!yearsRef),NA(),_xlfn.IFNA(VLOOKUP($D33,refInput,MATCH(G$13,yearsRef,0)+2,FALSE),))</f>
        <v>0</v>
      </c>
      <c r="H33" s="7">
        <f ca="1">IF(H$13&gt;MAX([0]!yearsRef),NA(),_xlfn.IFNA(VLOOKUP($D33,refInput,MATCH(H$13,yearsRef,0)+2,FALSE),))</f>
        <v>0</v>
      </c>
      <c r="I33" s="7">
        <f ca="1">IF(I$13&gt;MAX([0]!yearsRef),NA(),_xlfn.IFNA(VLOOKUP($D33,refInput,MATCH(I$13,yearsRef,0)+2,FALSE),))</f>
        <v>0</v>
      </c>
      <c r="J33" s="7">
        <f ca="1">IF(J$13&gt;MAX([0]!yearsRef),NA(),_xlfn.IFNA(VLOOKUP($D33,refInput,MATCH(J$13,yearsRef,0)+2,FALSE),))</f>
        <v>0</v>
      </c>
      <c r="K33" s="7">
        <f ca="1">IF(K$13&gt;MAX([0]!yearsRef),NA(),_xlfn.IFNA(VLOOKUP($D33,refInput,MATCH(K$13,yearsRef,0)+2,FALSE),))</f>
        <v>0</v>
      </c>
      <c r="L33" s="7">
        <f ca="1">IF(L$13&gt;MAX([0]!yearsRef),NA(),_xlfn.IFNA(VLOOKUP($D33,refInput,MATCH(L$13,yearsRef,0)+2,FALSE),))</f>
        <v>0</v>
      </c>
      <c r="M33" s="7">
        <f ca="1">IF(M$13&gt;MAX([0]!yearsRef),NA(),_xlfn.IFNA(VLOOKUP($D33,refInput,MATCH(M$13,yearsRef,0)+2,FALSE),))</f>
        <v>0</v>
      </c>
      <c r="N33" s="7">
        <f ca="1">IF(N$13&gt;MAX([0]!yearsRef),NA(),_xlfn.IFNA(VLOOKUP($D33,refInput,MATCH(N$13,yearsRef,0)+2,FALSE),))</f>
        <v>0</v>
      </c>
      <c r="O33" s="7">
        <f ca="1">IF(O$13&gt;MAX([0]!yearsRef),NA(),_xlfn.IFNA(VLOOKUP($D33,refInput,MATCH(O$13,yearsRef,0)+2,FALSE),))</f>
        <v>0</v>
      </c>
      <c r="P33" s="7">
        <f ca="1">IF(P$13&gt;MAX([0]!yearsRef),NA(),_xlfn.IFNA(VLOOKUP($D33,refInput,MATCH(P$13,yearsRef,0)+2,FALSE),))</f>
        <v>0</v>
      </c>
      <c r="Q33" s="7">
        <f ca="1">IF(Q$13&gt;MAX([0]!yearsRef),NA(),_xlfn.IFNA(VLOOKUP($D33,refInput,MATCH(Q$13,yearsRef,0)+2,FALSE),))</f>
        <v>0</v>
      </c>
      <c r="R33" s="7"/>
      <c r="S33" s="7"/>
      <c r="T33" s="7"/>
      <c r="U33" s="7"/>
      <c r="V33" s="7"/>
      <c r="W33" s="7"/>
      <c r="X33" s="7"/>
      <c r="Y33" s="7"/>
      <c r="Z33" s="7"/>
    </row>
    <row r="34" spans="4:26" x14ac:dyDescent="0.15">
      <c r="D34" s="1" t="s">
        <v>280</v>
      </c>
      <c r="F34" s="7"/>
      <c r="G34" s="7">
        <f ca="1">IF(G$13&gt;MAX([0]!yearsRef),NA(),_xlfn.IFNA(VLOOKUP($D34,refInput,MATCH(G$13,yearsRef,0)+2,FALSE),))</f>
        <v>0</v>
      </c>
      <c r="H34" s="7">
        <f ca="1">IF(H$13&gt;MAX([0]!yearsRef),NA(),_xlfn.IFNA(VLOOKUP($D34,refInput,MATCH(H$13,yearsRef,0)+2,FALSE),))</f>
        <v>0</v>
      </c>
      <c r="I34" s="7">
        <f ca="1">IF(I$13&gt;MAX([0]!yearsRef),NA(),_xlfn.IFNA(VLOOKUP($D34,refInput,MATCH(I$13,yearsRef,0)+2,FALSE),))</f>
        <v>0</v>
      </c>
      <c r="J34" s="7">
        <f ca="1">IF(J$13&gt;MAX([0]!yearsRef),NA(),_xlfn.IFNA(VLOOKUP($D34,refInput,MATCH(J$13,yearsRef,0)+2,FALSE),))</f>
        <v>0</v>
      </c>
      <c r="K34" s="7">
        <f ca="1">IF(K$13&gt;MAX([0]!yearsRef),NA(),_xlfn.IFNA(VLOOKUP($D34,refInput,MATCH(K$13,yearsRef,0)+2,FALSE),))</f>
        <v>0</v>
      </c>
      <c r="L34" s="7">
        <f ca="1">IF(L$13&gt;MAX([0]!yearsRef),NA(),_xlfn.IFNA(VLOOKUP($D34,refInput,MATCH(L$13,yearsRef,0)+2,FALSE),))</f>
        <v>0</v>
      </c>
      <c r="M34" s="7">
        <f ca="1">IF(M$13&gt;MAX([0]!yearsRef),NA(),_xlfn.IFNA(VLOOKUP($D34,refInput,MATCH(M$13,yearsRef,0)+2,FALSE),))</f>
        <v>0</v>
      </c>
      <c r="N34" s="7">
        <f ca="1">IF(N$13&gt;MAX([0]!yearsRef),NA(),_xlfn.IFNA(VLOOKUP($D34,refInput,MATCH(N$13,yearsRef,0)+2,FALSE),))</f>
        <v>0</v>
      </c>
      <c r="O34" s="7">
        <f ca="1">IF(O$13&gt;MAX([0]!yearsRef),NA(),_xlfn.IFNA(VLOOKUP($D34,refInput,MATCH(O$13,yearsRef,0)+2,FALSE),))</f>
        <v>0</v>
      </c>
      <c r="P34" s="7">
        <f ca="1">IF(P$13&gt;MAX([0]!yearsRef),NA(),_xlfn.IFNA(VLOOKUP($D34,refInput,MATCH(P$13,yearsRef,0)+2,FALSE),))</f>
        <v>0</v>
      </c>
      <c r="Q34" s="7">
        <f ca="1">IF(Q$13&gt;MAX([0]!yearsRef),NA(),_xlfn.IFNA(VLOOKUP($D34,refInput,MATCH(Q$13,yearsRef,0)+2,FALSE),))</f>
        <v>0</v>
      </c>
      <c r="R34" s="7"/>
      <c r="S34" s="7"/>
      <c r="T34" s="7"/>
      <c r="U34" s="7"/>
      <c r="V34" s="7"/>
      <c r="W34" s="7"/>
      <c r="X34" s="7"/>
      <c r="Y34" s="7"/>
      <c r="Z34" s="7"/>
    </row>
    <row r="35" spans="4:26" x14ac:dyDescent="0.15">
      <c r="D35" s="1" t="s">
        <v>281</v>
      </c>
      <c r="F35" s="7"/>
      <c r="G35" s="7">
        <f ca="1">IF(G$13&gt;MAX([0]!yearsRef),NA(),_xlfn.IFNA(VLOOKUP($D35,refInput,MATCH(G$13,yearsRef,0)+2,FALSE),))</f>
        <v>0</v>
      </c>
      <c r="H35" s="7">
        <f ca="1">IF(H$13&gt;MAX([0]!yearsRef),NA(),_xlfn.IFNA(VLOOKUP($D35,refInput,MATCH(H$13,yearsRef,0)+2,FALSE),))</f>
        <v>0</v>
      </c>
      <c r="I35" s="7">
        <f ca="1">IF(I$13&gt;MAX([0]!yearsRef),NA(),_xlfn.IFNA(VLOOKUP($D35,refInput,MATCH(I$13,yearsRef,0)+2,FALSE),))</f>
        <v>0</v>
      </c>
      <c r="J35" s="7">
        <f ca="1">IF(J$13&gt;MAX([0]!yearsRef),NA(),_xlfn.IFNA(VLOOKUP($D35,refInput,MATCH(J$13,yearsRef,0)+2,FALSE),))</f>
        <v>0</v>
      </c>
      <c r="K35" s="7">
        <f ca="1">IF(K$13&gt;MAX([0]!yearsRef),NA(),_xlfn.IFNA(VLOOKUP($D35,refInput,MATCH(K$13,yearsRef,0)+2,FALSE),))</f>
        <v>0</v>
      </c>
      <c r="L35" s="7">
        <f ca="1">IF(L$13&gt;MAX([0]!yearsRef),NA(),_xlfn.IFNA(VLOOKUP($D35,refInput,MATCH(L$13,yearsRef,0)+2,FALSE),))</f>
        <v>0</v>
      </c>
      <c r="M35" s="7">
        <f ca="1">IF(M$13&gt;MAX([0]!yearsRef),NA(),_xlfn.IFNA(VLOOKUP($D35,refInput,MATCH(M$13,yearsRef,0)+2,FALSE),))</f>
        <v>0</v>
      </c>
      <c r="N35" s="7">
        <f ca="1">IF(N$13&gt;MAX([0]!yearsRef),NA(),_xlfn.IFNA(VLOOKUP($D35,refInput,MATCH(N$13,yearsRef,0)+2,FALSE),))</f>
        <v>0</v>
      </c>
      <c r="O35" s="7">
        <f ca="1">IF(O$13&gt;MAX([0]!yearsRef),NA(),_xlfn.IFNA(VLOOKUP($D35,refInput,MATCH(O$13,yearsRef,0)+2,FALSE),))</f>
        <v>0</v>
      </c>
      <c r="P35" s="7">
        <f ca="1">IF(P$13&gt;MAX([0]!yearsRef),NA(),_xlfn.IFNA(VLOOKUP($D35,refInput,MATCH(P$13,yearsRef,0)+2,FALSE),))</f>
        <v>0</v>
      </c>
      <c r="Q35" s="7">
        <f ca="1">IF(Q$13&gt;MAX([0]!yearsRef),NA(),_xlfn.IFNA(VLOOKUP($D35,refInput,MATCH(Q$13,yearsRef,0)+2,FALSE),))</f>
        <v>0</v>
      </c>
      <c r="R35" s="7"/>
      <c r="S35" s="7"/>
      <c r="T35" s="7"/>
      <c r="U35" s="7"/>
      <c r="V35" s="7"/>
      <c r="W35" s="7"/>
      <c r="X35" s="7"/>
      <c r="Y35" s="7"/>
      <c r="Z35" s="7"/>
    </row>
    <row r="36" spans="4:26" x14ac:dyDescent="0.15">
      <c r="D36" s="1" t="s">
        <v>282</v>
      </c>
      <c r="G36" s="7">
        <f ca="1">IF(G$13&gt;MAX([0]!yearsRef),NA(),_xlfn.IFNA(VLOOKUP($D36,refInput,MATCH(G$13,yearsRef,0)+2,FALSE),))</f>
        <v>0</v>
      </c>
      <c r="H36" s="7">
        <f ca="1">IF(H$13&gt;MAX([0]!yearsRef),NA(),_xlfn.IFNA(VLOOKUP($D36,refInput,MATCH(H$13,yearsRef,0)+2,FALSE),))</f>
        <v>0</v>
      </c>
      <c r="I36" s="7">
        <f ca="1">IF(I$13&gt;MAX([0]!yearsRef),NA(),_xlfn.IFNA(VLOOKUP($D36,refInput,MATCH(I$13,yearsRef,0)+2,FALSE),))</f>
        <v>0</v>
      </c>
      <c r="J36" s="7">
        <f ca="1">IF(J$13&gt;MAX([0]!yearsRef),NA(),_xlfn.IFNA(VLOOKUP($D36,refInput,MATCH(J$13,yearsRef,0)+2,FALSE),))</f>
        <v>0</v>
      </c>
      <c r="K36" s="7">
        <f ca="1">IF(K$13&gt;MAX([0]!yearsRef),NA(),_xlfn.IFNA(VLOOKUP($D36,refInput,MATCH(K$13,yearsRef,0)+2,FALSE),))</f>
        <v>0</v>
      </c>
      <c r="L36" s="7">
        <f ca="1">IF(L$13&gt;MAX([0]!yearsRef),NA(),_xlfn.IFNA(VLOOKUP($D36,refInput,MATCH(L$13,yearsRef,0)+2,FALSE),))</f>
        <v>0</v>
      </c>
      <c r="M36" s="7">
        <f ca="1">IF(M$13&gt;MAX([0]!yearsRef),NA(),_xlfn.IFNA(VLOOKUP($D36,refInput,MATCH(M$13,yearsRef,0)+2,FALSE),))</f>
        <v>0</v>
      </c>
      <c r="N36" s="7">
        <f ca="1">IF(N$13&gt;MAX([0]!yearsRef),NA(),_xlfn.IFNA(VLOOKUP($D36,refInput,MATCH(N$13,yearsRef,0)+2,FALSE),))</f>
        <v>0</v>
      </c>
      <c r="O36" s="7">
        <f ca="1">IF(O$13&gt;MAX([0]!yearsRef),NA(),_xlfn.IFNA(VLOOKUP($D36,refInput,MATCH(O$13,yearsRef,0)+2,FALSE),))</f>
        <v>0</v>
      </c>
      <c r="P36" s="7">
        <f ca="1">IF(P$13&gt;MAX([0]!yearsRef),NA(),_xlfn.IFNA(VLOOKUP($D36,refInput,MATCH(P$13,yearsRef,0)+2,FALSE),))</f>
        <v>0</v>
      </c>
      <c r="Q36" s="7">
        <f ca="1">IF(Q$13&gt;MAX([0]!yearsRef),NA(),_xlfn.IFNA(VLOOKUP($D36,refInput,MATCH(Q$13,yearsRef,0)+2,FALSE),))</f>
        <v>0</v>
      </c>
      <c r="R36" s="7"/>
      <c r="S36" s="7"/>
      <c r="T36" s="7"/>
      <c r="U36" s="7"/>
      <c r="V36" s="7"/>
      <c r="W36" s="7"/>
    </row>
    <row r="37" spans="4:26" ht="16" x14ac:dyDescent="0.15">
      <c r="D37" s="265" t="s">
        <v>468</v>
      </c>
      <c r="E37" s="265" t="s">
        <v>469</v>
      </c>
      <c r="G37" s="7">
        <f ca="1">IF(G$13&gt;MAX([0]!yearsRef),NA(),_xlfn.IFNA(VLOOKUP($D37,refInput,MATCH(G$13,yearsRef,0)+2,FALSE),))</f>
        <v>290.04389364624024</v>
      </c>
      <c r="H37" s="7">
        <f ca="1">IF(H$13&gt;MAX([0]!yearsRef),NA(),_xlfn.IFNA(VLOOKUP($D37,refInput,MATCH(H$13,yearsRef,0)+2,FALSE),))</f>
        <v>396.79837426757808</v>
      </c>
      <c r="I37" s="7">
        <f ca="1">IF(I$13&gt;MAX([0]!yearsRef),NA(),_xlfn.IFNA(VLOOKUP($D37,refInput,MATCH(I$13,yearsRef,0)+2,FALSE),))</f>
        <v>927.09073095703116</v>
      </c>
      <c r="J37" s="7">
        <f ca="1">IF(J$13&gt;MAX([0]!yearsRef),NA(),_xlfn.IFNA(VLOOKUP($D37,refInput,MATCH(J$13,yearsRef,0)+2,FALSE),))</f>
        <v>1255.4633876953123</v>
      </c>
      <c r="K37" s="7">
        <f ca="1">IF(K$13&gt;MAX([0]!yearsRef),NA(),_xlfn.IFNA(VLOOKUP($D37,refInput,MATCH(K$13,yearsRef,0)+2,FALSE),))</f>
        <v>1595.4535063476562</v>
      </c>
      <c r="L37" s="7">
        <f ca="1">IF(L$13&gt;MAX([0]!yearsRef),NA(),_xlfn.IFNA(VLOOKUP($D37,refInput,MATCH(L$13,yearsRef,0)+2,FALSE),))</f>
        <v>1929.9403652343749</v>
      </c>
      <c r="M37" s="7">
        <f ca="1">IF(M$13&gt;MAX([0]!yearsRef),NA(),_xlfn.IFNA(VLOOKUP($D37,refInput,MATCH(M$13,yearsRef,0)+2,FALSE),))</f>
        <v>2248.7633781738282</v>
      </c>
      <c r="N37" s="7">
        <f ca="1">IF(N$13&gt;MAX([0]!yearsRef),NA(),_xlfn.IFNA(VLOOKUP($D37,refInput,MATCH(N$13,yearsRef,0)+2,FALSE),))</f>
        <v>2598.1130317382813</v>
      </c>
      <c r="O37" s="7">
        <f ca="1">IF(O$13&gt;MAX([0]!yearsRef),NA(),_xlfn.IFNA(VLOOKUP($D37,refInput,MATCH(O$13,yearsRef,0)+2,FALSE),))</f>
        <v>2998.5659677734375</v>
      </c>
      <c r="P37" s="7">
        <f ca="1">IF(P$13&gt;MAX([0]!yearsRef),NA(),_xlfn.IFNA(VLOOKUP($D37,refInput,MATCH(P$13,yearsRef,0)+2,FALSE),))</f>
        <v>3362.2719140624999</v>
      </c>
      <c r="Q37" s="7">
        <f ca="1">IF(Q$13&gt;MAX([0]!yearsRef),NA(),_xlfn.IFNA(VLOOKUP($D37,refInput,MATCH(Q$13,yearsRef,0)+2,FALSE),))</f>
        <v>3605.5406381835937</v>
      </c>
    </row>
    <row r="38" spans="4:26" ht="16" x14ac:dyDescent="0.15">
      <c r="D38" s="265" t="s">
        <v>470</v>
      </c>
      <c r="E38" s="265" t="s">
        <v>471</v>
      </c>
      <c r="G38" s="7">
        <f ca="1">IF(G$13&gt;MAX([0]!yearsRef),NA(),_xlfn.IFNA(VLOOKUP($D38,refInput,MATCH(G$13,yearsRef,0)+2,FALSE),))</f>
        <v>15.615990486145021</v>
      </c>
      <c r="H38" s="7">
        <f ca="1">IF(H$13&gt;MAX([0]!yearsRef),NA(),_xlfn.IFNA(VLOOKUP($D38,refInput,MATCH(H$13,yearsRef,0)+2,FALSE),))</f>
        <v>21.531364974975588</v>
      </c>
      <c r="I38" s="7">
        <f ca="1">IF(I$13&gt;MAX([0]!yearsRef),NA(),_xlfn.IFNA(VLOOKUP($D38,refInput,MATCH(I$13,yearsRef,0)+2,FALSE),))</f>
        <v>32.175522537231444</v>
      </c>
      <c r="J38" s="7">
        <f ca="1">IF(J$13&gt;MAX([0]!yearsRef),NA(),_xlfn.IFNA(VLOOKUP($D38,refInput,MATCH(J$13,yearsRef,0)+2,FALSE),))</f>
        <v>24.915504913330079</v>
      </c>
      <c r="K38" s="7">
        <f ca="1">IF(K$13&gt;MAX([0]!yearsRef),NA(),_xlfn.IFNA(VLOOKUP($D38,refInput,MATCH(K$13,yearsRef,0)+2,FALSE),))</f>
        <v>20.269089431762698</v>
      </c>
      <c r="L38" s="7">
        <f ca="1">IF(L$13&gt;MAX([0]!yearsRef),NA(),_xlfn.IFNA(VLOOKUP($D38,refInput,MATCH(L$13,yearsRef,0)+2,FALSE),))</f>
        <v>17.295389785766602</v>
      </c>
      <c r="M38" s="7">
        <f ca="1">IF(M$13&gt;MAX([0]!yearsRef),NA(),_xlfn.IFNA(VLOOKUP($D38,refInput,MATCH(M$13,yearsRef,0)+2,FALSE),))</f>
        <v>15.392227821350099</v>
      </c>
      <c r="N38" s="7">
        <f ca="1">IF(N$13&gt;MAX([0]!yearsRef),NA(),_xlfn.IFNA(VLOOKUP($D38,refInput,MATCH(N$13,yearsRef,0)+2,FALSE),))</f>
        <v>14.174203834533692</v>
      </c>
      <c r="O38" s="7">
        <f ca="1">IF(O$13&gt;MAX([0]!yearsRef),NA(),_xlfn.IFNA(VLOOKUP($D38,refInput,MATCH(O$13,yearsRef,0)+2,FALSE),))</f>
        <v>13.394665145874024</v>
      </c>
      <c r="P38" s="7">
        <f ca="1">IF(P$13&gt;MAX([0]!yearsRef),NA(),_xlfn.IFNA(VLOOKUP($D38,refInput,MATCH(P$13,yearsRef,0)+2,FALSE),))</f>
        <v>12.008823280334473</v>
      </c>
      <c r="Q38" s="7">
        <f ca="1">IF(Q$13&gt;MAX([0]!yearsRef),NA(),_xlfn.IFNA(VLOOKUP($D38,refInput,MATCH(Q$13,yearsRef,0)+2,FALSE),))</f>
        <v>12.008823280334473</v>
      </c>
    </row>
    <row r="39" spans="4:26" ht="16" x14ac:dyDescent="0.15">
      <c r="D39" s="265" t="s">
        <v>472</v>
      </c>
      <c r="E39" s="265" t="s">
        <v>473</v>
      </c>
      <c r="G39" s="7">
        <f ca="1">IF(G$13&gt;MAX([0]!yearsRef),NA(),_xlfn.IFNA(VLOOKUP($D39,refInput,MATCH(G$13,yearsRef,0)+2,FALSE),))</f>
        <v>6.2299561500549316</v>
      </c>
      <c r="H39" s="7">
        <f ca="1">IF(H$13&gt;MAX([0]!yearsRef),NA(),_xlfn.IFNA(VLOOKUP($D39,refInput,MATCH(H$13,yearsRef,0)+2,FALSE),))</f>
        <v>6.6060690879821777</v>
      </c>
      <c r="I39" s="7">
        <f ca="1">IF(I$13&gt;MAX([0]!yearsRef),NA(),_xlfn.IFNA(VLOOKUP($D39,refInput,MATCH(I$13,yearsRef,0)+2,FALSE),))</f>
        <v>7.4358057975769043</v>
      </c>
      <c r="J39" s="7">
        <f ca="1">IF(J$13&gt;MAX([0]!yearsRef),NA(),_xlfn.IFNA(VLOOKUP($D39,refInput,MATCH(J$13,yearsRef,0)+2,FALSE),))</f>
        <v>8.0686044692993164</v>
      </c>
      <c r="K39" s="7">
        <f ca="1">IF(K$13&gt;MAX([0]!yearsRef),NA(),_xlfn.IFNA(VLOOKUP($D39,refInput,MATCH(K$13,yearsRef,0)+2,FALSE),))</f>
        <v>8.5434112548828125</v>
      </c>
      <c r="L39" s="7">
        <f ca="1">IF(L$13&gt;MAX([0]!yearsRef),NA(),_xlfn.IFNA(VLOOKUP($D39,refInput,MATCH(L$13,yearsRef,0)+2,FALSE),))</f>
        <v>8.9911794662475586</v>
      </c>
      <c r="M39" s="7">
        <f ca="1">IF(M$13&gt;MAX([0]!yearsRef),NA(),_xlfn.IFNA(VLOOKUP($D39,refInput,MATCH(M$13,yearsRef,0)+2,FALSE),))</f>
        <v>9.748957633972168</v>
      </c>
      <c r="N39" s="7">
        <f ca="1">IF(N$13&gt;MAX([0]!yearsRef),NA(),_xlfn.IFNA(VLOOKUP($D39,refInput,MATCH(N$13,yearsRef,0)+2,FALSE),))</f>
        <v>10.583069801330566</v>
      </c>
      <c r="O39" s="7">
        <f ca="1">IF(O$13&gt;MAX([0]!yearsRef),NA(),_xlfn.IFNA(VLOOKUP($D39,refInput,MATCH(O$13,yearsRef,0)+2,FALSE),))</f>
        <v>11.013250350952148</v>
      </c>
      <c r="P39" s="7">
        <f ca="1">IF(P$13&gt;MAX([0]!yearsRef),NA(),_xlfn.IFNA(VLOOKUP($D39,refInput,MATCH(P$13,yearsRef,0)+2,FALSE),))</f>
        <v>11.368109703063965</v>
      </c>
      <c r="Q39" s="7">
        <f ca="1">IF(Q$13&gt;MAX([0]!yearsRef),NA(),_xlfn.IFNA(VLOOKUP($D39,refInput,MATCH(Q$13,yearsRef,0)+2,FALSE),))</f>
        <v>11.777029991149902</v>
      </c>
    </row>
    <row r="102" spans="1:1" ht="20" x14ac:dyDescent="0.15">
      <c r="A102" s="6"/>
    </row>
    <row r="106" spans="1:1" ht="20" x14ac:dyDescent="0.15">
      <c r="A106" s="6"/>
    </row>
  </sheetData>
  <hyperlinks>
    <hyperlink ref="B2" r:id="rId1" xr:uid="{49032235-E6EA-E54A-8CE1-F7289F6866AE}"/>
  </hyperlinks>
  <pageMargins left="0.75" right="0.75" top="1" bottom="1" header="0.5" footer="0.5"/>
  <pageSetup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A59E44-9C73-3B40-84FF-F784CE4F80D4}">
  <sheetPr codeName="Sheet31">
    <tabColor rgb="FFFFFF00"/>
  </sheetPr>
  <dimension ref="A1:AG46"/>
  <sheetViews>
    <sheetView topLeftCell="B1" workbookViewId="0">
      <selection activeCell="D37" sqref="D37:E39"/>
    </sheetView>
  </sheetViews>
  <sheetFormatPr baseColWidth="10" defaultRowHeight="13" x14ac:dyDescent="0.15"/>
  <cols>
    <col min="1" max="1" width="10.83203125" style="5"/>
    <col min="2" max="2" width="31.1640625" style="5" customWidth="1"/>
    <col min="3" max="3" width="23.33203125" style="5" customWidth="1"/>
    <col min="4" max="4" width="61" style="5" customWidth="1"/>
    <col min="5" max="5" width="15.1640625" style="5" customWidth="1"/>
    <col min="6" max="21" width="10.83203125" style="5"/>
    <col min="22" max="22" width="18.5" style="5" customWidth="1"/>
    <col min="23" max="23" width="11.1640625" style="5" bestFit="1" customWidth="1"/>
    <col min="24" max="16384" width="10.83203125" style="5"/>
  </cols>
  <sheetData>
    <row r="1" spans="1:33" s="15" customFormat="1" ht="15" customHeight="1" x14ac:dyDescent="0.15">
      <c r="A1" s="16"/>
    </row>
    <row r="2" spans="1:33" s="15" customFormat="1" ht="15" customHeight="1" x14ac:dyDescent="0.15">
      <c r="A2" s="16"/>
    </row>
    <row r="3" spans="1:33" s="15" customFormat="1" ht="15" customHeight="1" x14ac:dyDescent="0.15">
      <c r="A3" s="16" t="s">
        <v>35</v>
      </c>
      <c r="B3" s="17" t="s">
        <v>34</v>
      </c>
    </row>
    <row r="4" spans="1:33" s="15" customFormat="1" ht="15" customHeight="1" x14ac:dyDescent="0.15">
      <c r="A4" s="16" t="s">
        <v>113</v>
      </c>
    </row>
    <row r="5" spans="1:33" s="15" customFormat="1" ht="15" customHeight="1" x14ac:dyDescent="0.15">
      <c r="B5" s="16"/>
      <c r="J5" s="5"/>
      <c r="K5" s="5"/>
      <c r="L5" s="5"/>
      <c r="M5" s="5"/>
      <c r="N5" s="5"/>
      <c r="O5" s="5"/>
      <c r="P5" s="5"/>
      <c r="Q5" s="5"/>
      <c r="R5" s="5"/>
    </row>
    <row r="6" spans="1:33" s="15" customFormat="1" ht="15" customHeight="1" x14ac:dyDescent="0.15">
      <c r="B6" s="16"/>
      <c r="S6" s="5"/>
      <c r="T6" s="5"/>
      <c r="U6" s="5"/>
      <c r="V6" s="5"/>
      <c r="W6" s="5"/>
      <c r="X6" s="5"/>
      <c r="Y6" s="5"/>
      <c r="Z6" s="5"/>
      <c r="AA6" s="5"/>
      <c r="AB6" s="5"/>
      <c r="AC6" s="5"/>
    </row>
    <row r="7" spans="1:33" s="11" customFormat="1" ht="17" customHeight="1" x14ac:dyDescent="0.2">
      <c r="A7" s="6" t="s">
        <v>33</v>
      </c>
    </row>
    <row r="8" spans="1:33" s="11" customFormat="1" ht="17" customHeight="1" x14ac:dyDescent="0.2">
      <c r="B8" s="11" t="s">
        <v>32</v>
      </c>
      <c r="E8" s="13" t="str">
        <f>Readme!C4</f>
        <v>SSP2-Baseline</v>
      </c>
      <c r="F8" s="13"/>
      <c r="G8" s="13"/>
    </row>
    <row r="9" spans="1:33" s="11" customFormat="1" ht="17" customHeight="1" x14ac:dyDescent="0.2">
      <c r="B9" s="11" t="s">
        <v>31</v>
      </c>
      <c r="E9" s="13" t="str">
        <f>Readme!C5</f>
        <v>IMA15-TOT</v>
      </c>
      <c r="F9" s="13"/>
      <c r="G9" s="13"/>
      <c r="W9" s="262" t="s">
        <v>389</v>
      </c>
      <c r="X9" s="262"/>
      <c r="Y9" s="262"/>
      <c r="Z9" s="262"/>
      <c r="AA9" s="262"/>
      <c r="AB9" s="262"/>
      <c r="AC9" s="262"/>
      <c r="AD9" s="262"/>
      <c r="AE9" s="262"/>
      <c r="AF9" s="262"/>
      <c r="AG9" s="262"/>
    </row>
    <row r="10" spans="1:33" s="11" customFormat="1" ht="17" customHeight="1" x14ac:dyDescent="0.2">
      <c r="B10" s="14" t="s">
        <v>30</v>
      </c>
      <c r="E10" s="13" t="str">
        <f>Readme!C6</f>
        <v>IMAGE 3.0.1</v>
      </c>
      <c r="F10" s="13"/>
      <c r="G10" s="13"/>
      <c r="W10" s="262" t="s">
        <v>390</v>
      </c>
      <c r="X10" s="262"/>
      <c r="Y10" s="262"/>
      <c r="Z10" s="262"/>
      <c r="AA10" s="262"/>
      <c r="AB10" s="262"/>
      <c r="AC10" s="262"/>
      <c r="AD10" s="262"/>
      <c r="AE10" s="262"/>
      <c r="AF10" s="262"/>
      <c r="AG10" s="262"/>
    </row>
    <row r="11" spans="1:33" s="11" customFormat="1" ht="17" customHeight="1" x14ac:dyDescent="0.2">
      <c r="B11" s="14"/>
      <c r="E11" s="13"/>
      <c r="F11" s="13"/>
      <c r="G11" s="13"/>
      <c r="S11" s="262" t="s">
        <v>370</v>
      </c>
      <c r="T11" s="262" t="s">
        <v>371</v>
      </c>
      <c r="U11" s="262" t="s">
        <v>372</v>
      </c>
      <c r="W11" s="262"/>
      <c r="X11" s="262"/>
      <c r="Y11" s="262"/>
      <c r="Z11" s="262"/>
      <c r="AA11" s="262"/>
      <c r="AB11" s="262"/>
      <c r="AC11" s="262"/>
      <c r="AD11" s="262"/>
      <c r="AE11" s="262"/>
      <c r="AF11" s="262"/>
      <c r="AG11" s="262"/>
    </row>
    <row r="12" spans="1:33" s="11" customFormat="1" ht="17" customHeight="1" x14ac:dyDescent="0.2">
      <c r="A12" s="6" t="s">
        <v>29</v>
      </c>
      <c r="S12" s="262" t="s">
        <v>387</v>
      </c>
      <c r="T12" s="262" t="s">
        <v>387</v>
      </c>
      <c r="U12" s="262" t="s">
        <v>387</v>
      </c>
      <c r="W12" s="262"/>
      <c r="X12" s="262"/>
      <c r="Y12" s="262"/>
      <c r="Z12" s="262"/>
      <c r="AA12" s="262"/>
      <c r="AB12" s="262"/>
      <c r="AC12" s="262"/>
      <c r="AD12" s="262"/>
      <c r="AE12" s="262"/>
      <c r="AF12" s="262"/>
      <c r="AG12" s="262" t="s">
        <v>391</v>
      </c>
    </row>
    <row r="13" spans="1:33" s="3" customFormat="1" x14ac:dyDescent="0.15">
      <c r="A13" s="10" t="s">
        <v>15</v>
      </c>
      <c r="B13" s="10" t="s">
        <v>14</v>
      </c>
      <c r="C13" s="10" t="s">
        <v>13</v>
      </c>
      <c r="D13" s="10" t="s">
        <v>28</v>
      </c>
      <c r="E13" s="10" t="s">
        <v>27</v>
      </c>
      <c r="F13" s="10">
        <v>2000</v>
      </c>
      <c r="G13" s="10">
        <v>2005</v>
      </c>
      <c r="H13" s="10">
        <v>2010</v>
      </c>
      <c r="I13" s="10">
        <f>2020</f>
        <v>2020</v>
      </c>
      <c r="J13" s="10">
        <v>2030</v>
      </c>
      <c r="K13" s="10">
        <v>2040</v>
      </c>
      <c r="L13" s="10">
        <v>2050</v>
      </c>
      <c r="M13" s="10">
        <v>2060</v>
      </c>
      <c r="N13" s="10">
        <v>2070</v>
      </c>
      <c r="O13" s="10">
        <v>2080</v>
      </c>
      <c r="P13" s="10">
        <v>2090</v>
      </c>
      <c r="Q13" s="10">
        <v>2100</v>
      </c>
      <c r="R13" s="10"/>
      <c r="S13" s="263"/>
      <c r="T13" s="263"/>
      <c r="U13" s="263"/>
      <c r="V13" s="10"/>
      <c r="W13" s="263">
        <f>2020</f>
        <v>2020</v>
      </c>
      <c r="X13" s="263">
        <v>2030</v>
      </c>
      <c r="Y13" s="263">
        <v>2040</v>
      </c>
      <c r="Z13" s="263">
        <v>2050</v>
      </c>
      <c r="AA13" s="263">
        <v>2060</v>
      </c>
      <c r="AB13" s="263">
        <v>2070</v>
      </c>
      <c r="AC13" s="263">
        <v>2080</v>
      </c>
      <c r="AD13" s="263">
        <v>2090</v>
      </c>
      <c r="AE13" s="263">
        <v>2100</v>
      </c>
      <c r="AF13" s="1"/>
      <c r="AG13" s="1"/>
    </row>
    <row r="14" spans="1:33" s="3" customFormat="1" ht="16" x14ac:dyDescent="0.15">
      <c r="A14" s="4"/>
      <c r="B14" s="4"/>
      <c r="C14" s="4"/>
      <c r="D14" s="20" t="s">
        <v>26</v>
      </c>
      <c r="E14" s="20" t="s">
        <v>25</v>
      </c>
      <c r="F14" s="18">
        <f t="shared" ref="F14:F21" ca="1" si="0">_xlfn.IFNA(VLOOKUP($D14,intInput,MATCH(F$13,yearsInt,0)+2,FALSE),)</f>
        <v>0</v>
      </c>
      <c r="G14" s="18">
        <f ca="1">IF(G$13&gt;MAX([0]!yearsInt), NA(),_xlfn.IFNA(VLOOKUP($D14,intInput,MATCH(G$13,yearsInt,0)+2,FALSE),))</f>
        <v>319.04010009765625</v>
      </c>
      <c r="H14" s="18">
        <f ca="1">IF(H$13&gt;MAX([0]!yearsInt), NA(),_xlfn.IFNA(VLOOKUP($D14,intInput,MATCH(H$13,yearsInt,0)+2,FALSE),))</f>
        <v>349.81478881835938</v>
      </c>
      <c r="I14" s="18">
        <f ca="1">IF(I$13&gt;MAX([0]!yearsInt), NA(),_xlfn.IFNA(VLOOKUP($D14,intInput,MATCH(I$13,yearsInt,0)+2,FALSE),))</f>
        <v>300.16949462890625</v>
      </c>
      <c r="J14" s="18">
        <f ca="1">IF(J$13&gt;MAX([0]!yearsInt), NA(),_xlfn.IFNA(VLOOKUP($D14,intInput,MATCH(J$13,yearsInt,0)+2,FALSE),))</f>
        <v>202.01809692382812</v>
      </c>
      <c r="K14" s="18">
        <f ca="1">IF(K$13&gt;MAX([0]!yearsInt), NA(),_xlfn.IFNA(VLOOKUP($D14,intInput,MATCH(K$13,yearsInt,0)+2,FALSE),))</f>
        <v>141.506103515625</v>
      </c>
      <c r="L14" s="18">
        <f ca="1">IF(L$13&gt;MAX([0]!yearsInt), NA(),_xlfn.IFNA(VLOOKUP($D14,intInput,MATCH(L$13,yearsInt,0)+2,FALSE),))</f>
        <v>106.77639770507812</v>
      </c>
      <c r="M14" s="18">
        <f ca="1">IF(M$13&gt;MAX([0]!yearsInt), NA(),_xlfn.IFNA(VLOOKUP($D14,intInput,MATCH(M$13,yearsInt,0)+2,FALSE),))</f>
        <v>85.873992919921875</v>
      </c>
      <c r="N14" s="18">
        <f ca="1">IF(N$13&gt;MAX([0]!yearsInt), NA(),_xlfn.IFNA(VLOOKUP($D14,intInput,MATCH(N$13,yearsInt,0)+2,FALSE),))</f>
        <v>68.705619812011719</v>
      </c>
      <c r="O14" s="18">
        <f ca="1">IF(O$13&gt;MAX([0]!yearsInt), NA(),_xlfn.IFNA(VLOOKUP($D14,intInput,MATCH(O$13,yearsInt,0)+2,FALSE),))</f>
        <v>55.365360260009766</v>
      </c>
      <c r="P14" s="18">
        <f ca="1">IF(P$13&gt;MAX([0]!yearsInt), NA(),_xlfn.IFNA(VLOOKUP($D14,intInput,MATCH(P$13,yearsInt,0)+2,FALSE),))</f>
        <v>43.851058959960938</v>
      </c>
      <c r="Q14" s="18">
        <f ca="1">IF(Q$13&gt;MAX([0]!yearsInt), NA(),_xlfn.IFNA(VLOOKUP($D14,intInput,MATCH(Q$13,yearsInt,0)+2,FALSE),))</f>
        <v>33.514209747314453</v>
      </c>
      <c r="R14" s="18"/>
      <c r="S14" s="264">
        <f ca="1">(L14/$H14)^(1/(L$13-$H$13))-1</f>
        <v>-2.9230937145809155E-2</v>
      </c>
      <c r="T14" s="264">
        <f ca="1">(Q14/$L14)^(1/(Q$13-L$13))-1</f>
        <v>-2.290886195944053E-2</v>
      </c>
      <c r="U14" s="264">
        <f ca="1">(Q14/$H14)^(1/(Q$13-$H$13))-1</f>
        <v>-2.5723740257840189E-2</v>
      </c>
      <c r="V14" s="18"/>
      <c r="W14" s="266"/>
      <c r="X14" s="1"/>
      <c r="Y14" s="1"/>
      <c r="Z14" s="1"/>
      <c r="AA14" s="1"/>
      <c r="AB14" s="1"/>
      <c r="AC14" s="1"/>
      <c r="AD14" s="1"/>
      <c r="AE14" s="1"/>
      <c r="AF14" s="1"/>
      <c r="AG14" s="1"/>
    </row>
    <row r="15" spans="1:33" s="3" customFormat="1" ht="16" x14ac:dyDescent="0.2">
      <c r="A15" s="4"/>
      <c r="B15" s="4"/>
      <c r="C15" s="4"/>
      <c r="D15" t="s">
        <v>222</v>
      </c>
      <c r="E15" s="20" t="s">
        <v>24</v>
      </c>
      <c r="F15" s="18">
        <f t="shared" ca="1" si="0"/>
        <v>0</v>
      </c>
      <c r="G15" s="18">
        <f ca="1">IF(G$13&gt;MAX([0]!yearsInt), NA(),_xlfn.IFNA(VLOOKUP($D15,intInput,MATCH(G$13,yearsInt,0)+2,FALSE),))</f>
        <v>0</v>
      </c>
      <c r="H15" s="18">
        <f ca="1">IF(H$13&gt;MAX([0]!yearsInt), NA(),_xlfn.IFNA(VLOOKUP($D15,intInput,MATCH(H$13,yearsInt,0)+2,FALSE),))</f>
        <v>0</v>
      </c>
      <c r="I15" s="18">
        <f ca="1">IF(I$13&gt;MAX([0]!yearsInt), NA(),_xlfn.IFNA(VLOOKUP($D15,intInput,MATCH(I$13,yearsInt,0)+2,FALSE),))</f>
        <v>49.80255898889844</v>
      </c>
      <c r="J15" s="18">
        <f ca="1">IF(J$13&gt;MAX([0]!yearsInt), NA(),_xlfn.IFNA(VLOOKUP($D15,intInput,MATCH(J$13,yearsInt,0)+2,FALSE),))</f>
        <v>1965.4339275795755</v>
      </c>
      <c r="K15" s="18">
        <f ca="1">IF(K$13&gt;MAX([0]!yearsInt), NA(),_xlfn.IFNA(VLOOKUP($D15,intInput,MATCH(K$13,yearsInt,0)+2,FALSE),))</f>
        <v>3872.8929844200875</v>
      </c>
      <c r="L15" s="18">
        <f ca="1">IF(L$13&gt;MAX([0]!yearsInt), NA(),_xlfn.IFNA(VLOOKUP($D15,intInput,MATCH(L$13,yearsInt,0)+2,FALSE),))</f>
        <v>4421.5508918729975</v>
      </c>
      <c r="M15" s="18">
        <f ca="1">IF(M$13&gt;MAX([0]!yearsInt), NA(),_xlfn.IFNA(VLOOKUP($D15,intInput,MATCH(M$13,yearsInt,0)+2,FALSE),))</f>
        <v>5559.2962496692326</v>
      </c>
      <c r="N15" s="18">
        <f ca="1">IF(N$13&gt;MAX([0]!yearsInt), NA(),_xlfn.IFNA(VLOOKUP($D15,intInput,MATCH(N$13,yearsInt,0)+2,FALSE),))</f>
        <v>7657.0901329488879</v>
      </c>
      <c r="O15" s="18">
        <f ca="1">IF(O$13&gt;MAX([0]!yearsInt), NA(),_xlfn.IFNA(VLOOKUP($D15,intInput,MATCH(O$13,yearsInt,0)+2,FALSE),))</f>
        <v>7937.8159782010589</v>
      </c>
      <c r="P15" s="18">
        <f ca="1">IF(P$13&gt;MAX([0]!yearsInt), NA(),_xlfn.IFNA(VLOOKUP($D15,intInput,MATCH(P$13,yearsInt,0)+2,FALSE),))</f>
        <v>7165.1539469170311</v>
      </c>
      <c r="Q15" s="18">
        <f ca="1">IF(Q$13&gt;MAX([0]!yearsInt), NA(),_xlfn.IFNA(VLOOKUP($D15,intInput,MATCH(Q$13,yearsInt,0)+2,FALSE),))</f>
        <v>6845.0844417421267</v>
      </c>
      <c r="R15" s="18"/>
      <c r="S15" s="264" t="e">
        <f t="shared" ref="S15:S36" ca="1" si="1">(L15/$H15)^(1/(L$13-$H$13))-1</f>
        <v>#DIV/0!</v>
      </c>
      <c r="T15" s="264">
        <f t="shared" ref="T15:T36" ca="1" si="2">(Q15/$L15)^(1/(Q$13-L$13))-1</f>
        <v>8.7791179843481615E-3</v>
      </c>
      <c r="U15" s="264" t="e">
        <f t="shared" ref="U15:U36" ca="1" si="3">(Q15/$H15)^(1/(Q$13-$H$13))-1</f>
        <v>#DIV/0!</v>
      </c>
      <c r="V15" s="18"/>
      <c r="W15" s="266"/>
      <c r="X15" s="1"/>
      <c r="Y15" s="1"/>
      <c r="Z15" s="1"/>
      <c r="AA15" s="1"/>
      <c r="AB15" s="1"/>
      <c r="AC15" s="1"/>
      <c r="AD15" s="1"/>
      <c r="AE15" s="1"/>
      <c r="AF15" s="1"/>
      <c r="AG15" s="1"/>
    </row>
    <row r="16" spans="1:33" s="3" customFormat="1" ht="16" x14ac:dyDescent="0.2">
      <c r="A16" s="4"/>
      <c r="B16" s="4"/>
      <c r="C16" s="4"/>
      <c r="D16" t="s">
        <v>223</v>
      </c>
      <c r="E16" s="20" t="s">
        <v>24</v>
      </c>
      <c r="F16" s="18">
        <f t="shared" ca="1" si="0"/>
        <v>0</v>
      </c>
      <c r="G16" s="18">
        <f ca="1">IF(G$13&gt;MAX([0]!yearsInt), NA(),_xlfn.IFNA(VLOOKUP($D16,intInput,MATCH(G$13,yearsInt,0)+2,FALSE),))</f>
        <v>0</v>
      </c>
      <c r="H16" s="18">
        <f ca="1">IF(H$13&gt;MAX([0]!yearsInt), NA(),_xlfn.IFNA(VLOOKUP($D16,intInput,MATCH(H$13,yearsInt,0)+2,FALSE),))</f>
        <v>0</v>
      </c>
      <c r="I16" s="18">
        <f ca="1">IF(I$13&gt;MAX([0]!yearsInt), NA(),_xlfn.IFNA(VLOOKUP($D16,intInput,MATCH(I$13,yearsInt,0)+2,FALSE),))</f>
        <v>4.8386068484041956E-15</v>
      </c>
      <c r="J16" s="18">
        <f ca="1">IF(J$13&gt;MAX([0]!yearsInt), NA(),_xlfn.IFNA(VLOOKUP($D16,intInput,MATCH(J$13,yearsInt,0)+2,FALSE),))</f>
        <v>2.0047783663339151E-6</v>
      </c>
      <c r="K16" s="18">
        <f ca="1">IF(K$13&gt;MAX([0]!yearsInt), NA(),_xlfn.IFNA(VLOOKUP($D16,intInput,MATCH(K$13,yearsInt,0)+2,FALSE),))</f>
        <v>4.5750844565087795E-5</v>
      </c>
      <c r="L16" s="18">
        <f ca="1">IF(L$13&gt;MAX([0]!yearsInt), NA(),_xlfn.IFNA(VLOOKUP($D16,intInput,MATCH(L$13,yearsInt,0)+2,FALSE),))</f>
        <v>9.4639817689382691E-2</v>
      </c>
      <c r="M16" s="18">
        <f ca="1">IF(M$13&gt;MAX([0]!yearsInt), NA(),_xlfn.IFNA(VLOOKUP($D16,intInput,MATCH(M$13,yearsInt,0)+2,FALSE),))</f>
        <v>8.8683626624213474E-2</v>
      </c>
      <c r="N16" s="18">
        <f ca="1">IF(N$13&gt;MAX([0]!yearsInt), NA(),_xlfn.IFNA(VLOOKUP($D16,intInput,MATCH(N$13,yearsInt,0)+2,FALSE),))</f>
        <v>7.1516428154912617E-2</v>
      </c>
      <c r="O16" s="18">
        <f ca="1">IF(O$13&gt;MAX([0]!yearsInt), NA(),_xlfn.IFNA(VLOOKUP($D16,intInput,MATCH(O$13,yearsInt,0)+2,FALSE),))</f>
        <v>5.4543651837472375E-2</v>
      </c>
      <c r="P16" s="18">
        <f ca="1">IF(P$13&gt;MAX([0]!yearsInt), NA(),_xlfn.IFNA(VLOOKUP($D16,intInput,MATCH(P$13,yearsInt,0)+2,FALSE),))</f>
        <v>5.1858247085571442E-2</v>
      </c>
      <c r="Q16" s="18">
        <f ca="1">IF(Q$13&gt;MAX([0]!yearsInt), NA(),_xlfn.IFNA(VLOOKUP($D16,intInput,MATCH(Q$13,yearsInt,0)+2,FALSE),))</f>
        <v>0.33366896726268652</v>
      </c>
      <c r="R16" s="18"/>
      <c r="S16" s="264" t="e">
        <f t="shared" ca="1" si="1"/>
        <v>#DIV/0!</v>
      </c>
      <c r="T16" s="264">
        <f t="shared" ca="1" si="2"/>
        <v>2.5521662187137695E-2</v>
      </c>
      <c r="U16" s="264" t="e">
        <f t="shared" ca="1" si="3"/>
        <v>#DIV/0!</v>
      </c>
      <c r="V16" s="18"/>
      <c r="W16" s="266"/>
      <c r="X16" s="1"/>
      <c r="Y16" s="1"/>
      <c r="Z16" s="1"/>
      <c r="AA16" s="1"/>
      <c r="AB16" s="1"/>
      <c r="AC16" s="1"/>
      <c r="AD16" s="1"/>
      <c r="AE16" s="1"/>
      <c r="AF16" s="1"/>
      <c r="AG16" s="1"/>
    </row>
    <row r="17" spans="1:33" s="3" customFormat="1" ht="16" x14ac:dyDescent="0.2">
      <c r="A17" s="4"/>
      <c r="B17" s="4"/>
      <c r="C17" s="4"/>
      <c r="D17" t="s">
        <v>224</v>
      </c>
      <c r="E17" s="20" t="s">
        <v>24</v>
      </c>
      <c r="F17" s="18">
        <f t="shared" ca="1" si="0"/>
        <v>0</v>
      </c>
      <c r="G17" s="18">
        <f ca="1">IF(G$13&gt;MAX([0]!yearsInt), NA(),_xlfn.IFNA(VLOOKUP($D17,intInput,MATCH(G$13,yearsInt,0)+2,FALSE),))</f>
        <v>29390.234450499218</v>
      </c>
      <c r="H17" s="18">
        <f ca="1">IF(H$13&gt;MAX([0]!yearsInt), NA(),_xlfn.IFNA(VLOOKUP($D17,intInput,MATCH(H$13,yearsInt,0)+2,FALSE),))</f>
        <v>32216.963003079094</v>
      </c>
      <c r="I17" s="18">
        <f ca="1">IF(I$13&gt;MAX([0]!yearsInt), NA(),_xlfn.IFNA(VLOOKUP($D17,intInput,MATCH(I$13,yearsInt,0)+2,FALSE),))</f>
        <v>30726.31773352623</v>
      </c>
      <c r="J17" s="18">
        <f ca="1">IF(J$13&gt;MAX([0]!yearsInt), NA(),_xlfn.IFNA(VLOOKUP($D17,intInput,MATCH(J$13,yearsInt,0)+2,FALSE),))</f>
        <v>19882.220089435577</v>
      </c>
      <c r="K17" s="18">
        <f ca="1">IF(K$13&gt;MAX([0]!yearsInt), NA(),_xlfn.IFNA(VLOOKUP($D17,intInput,MATCH(K$13,yearsInt,0)+2,FALSE),))</f>
        <v>9517.6110168298073</v>
      </c>
      <c r="L17" s="18">
        <f ca="1">IF(L$13&gt;MAX([0]!yearsInt), NA(),_xlfn.IFNA(VLOOKUP($D17,intInput,MATCH(L$13,yearsInt,0)+2,FALSE),))</f>
        <v>5911.2969512740774</v>
      </c>
      <c r="M17" s="18">
        <f ca="1">IF(M$13&gt;MAX([0]!yearsInt), NA(),_xlfn.IFNA(VLOOKUP($D17,intInput,MATCH(M$13,yearsInt,0)+2,FALSE),))</f>
        <v>4605.7114973664275</v>
      </c>
      <c r="N17" s="18">
        <f ca="1">IF(N$13&gt;MAX([0]!yearsInt), NA(),_xlfn.IFNA(VLOOKUP($D17,intInput,MATCH(N$13,yearsInt,0)+2,FALSE),))</f>
        <v>3893.1852132081985</v>
      </c>
      <c r="O17" s="18">
        <f ca="1">IF(O$13&gt;MAX([0]!yearsInt), NA(),_xlfn.IFNA(VLOOKUP($D17,intInput,MATCH(O$13,yearsInt,0)+2,FALSE),))</f>
        <v>3338.7074768543243</v>
      </c>
      <c r="P17" s="18">
        <f ca="1">IF(P$13&gt;MAX([0]!yearsInt), NA(),_xlfn.IFNA(VLOOKUP($D17,intInput,MATCH(P$13,yearsInt,0)+2,FALSE),))</f>
        <v>3130.2996526161828</v>
      </c>
      <c r="Q17" s="18">
        <f ca="1">IF(Q$13&gt;MAX([0]!yearsInt), NA(),_xlfn.IFNA(VLOOKUP($D17,intInput,MATCH(Q$13,yearsInt,0)+2,FALSE),))</f>
        <v>3301.6272932291031</v>
      </c>
      <c r="R17" s="18"/>
      <c r="S17" s="264">
        <f t="shared" ca="1" si="1"/>
        <v>-4.1504773262452277E-2</v>
      </c>
      <c r="T17" s="264">
        <f t="shared" ca="1" si="2"/>
        <v>-1.1581408973364127E-2</v>
      </c>
      <c r="U17" s="264">
        <f t="shared" ca="1" si="3"/>
        <v>-2.4994311730507146E-2</v>
      </c>
      <c r="V17" s="18"/>
      <c r="W17" s="266"/>
      <c r="X17" s="1"/>
      <c r="Y17" s="1"/>
      <c r="Z17" s="1"/>
      <c r="AA17" s="1"/>
      <c r="AB17" s="1"/>
      <c r="AC17" s="1"/>
      <c r="AD17" s="1"/>
      <c r="AE17" s="1"/>
      <c r="AF17" s="1"/>
      <c r="AG17" s="1"/>
    </row>
    <row r="18" spans="1:33" s="3" customFormat="1" ht="16" x14ac:dyDescent="0.2">
      <c r="A18" s="4"/>
      <c r="B18" s="4"/>
      <c r="C18" s="4"/>
      <c r="D18" t="s">
        <v>298</v>
      </c>
      <c r="E18" s="20" t="s">
        <v>24</v>
      </c>
      <c r="F18" s="18">
        <f t="shared" ca="1" si="0"/>
        <v>0</v>
      </c>
      <c r="G18" s="18">
        <f ca="1">IF(G$13&gt;MAX([0]!yearsInt), NA(),_xlfn.IFNA(VLOOKUP($D18,intInput,MATCH(G$13,yearsInt,0)+2,FALSE),))</f>
        <v>3852.1980084876445</v>
      </c>
      <c r="H18" s="18">
        <f ca="1">IF(H$13&gt;MAX([0]!yearsInt), NA(),_xlfn.IFNA(VLOOKUP($D18,intInput,MATCH(H$13,yearsInt,0)+2,FALSE),))</f>
        <v>3611.4053332115086</v>
      </c>
      <c r="I18" s="18">
        <f ca="1">IF(I$13&gt;MAX([0]!yearsInt), NA(),_xlfn.IFNA(VLOOKUP($D18,intInput,MATCH(I$13,yearsInt,0)+2,FALSE),))</f>
        <v>3462.7944730886693</v>
      </c>
      <c r="J18" s="18">
        <f ca="1">IF(J$13&gt;MAX([0]!yearsInt), NA(),_xlfn.IFNA(VLOOKUP($D18,intInput,MATCH(J$13,yearsInt,0)+2,FALSE),))</f>
        <v>-1578.4253131791402</v>
      </c>
      <c r="K18" s="18">
        <f ca="1">IF(K$13&gt;MAX([0]!yearsInt), NA(),_xlfn.IFNA(VLOOKUP($D18,intInput,MATCH(K$13,yearsInt,0)+2,FALSE),))</f>
        <v>-4607.5004144724626</v>
      </c>
      <c r="L18" s="18">
        <f ca="1">IF(L$13&gt;MAX([0]!yearsInt), NA(),_xlfn.IFNA(VLOOKUP($D18,intInput,MATCH(L$13,yearsInt,0)+2,FALSE),))</f>
        <v>-8181.2403954552437</v>
      </c>
      <c r="M18" s="18">
        <f ca="1">IF(M$13&gt;MAX([0]!yearsInt), NA(),_xlfn.IFNA(VLOOKUP($D18,intInput,MATCH(M$13,yearsInt,0)+2,FALSE),))</f>
        <v>-7899.9466940491802</v>
      </c>
      <c r="N18" s="18">
        <f ca="1">IF(N$13&gt;MAX([0]!yearsInt), NA(),_xlfn.IFNA(VLOOKUP($D18,intInput,MATCH(N$13,yearsInt,0)+2,FALSE),))</f>
        <v>-7527.3104962595698</v>
      </c>
      <c r="O18" s="18">
        <f ca="1">IF(O$13&gt;MAX([0]!yearsInt), NA(),_xlfn.IFNA(VLOOKUP($D18,intInput,MATCH(O$13,yearsInt,0)+2,FALSE),))</f>
        <v>-5432.7489527535063</v>
      </c>
      <c r="P18" s="18">
        <f ca="1">IF(P$13&gt;MAX([0]!yearsInt), NA(),_xlfn.IFNA(VLOOKUP($D18,intInput,MATCH(P$13,yearsInt,0)+2,FALSE),))</f>
        <v>-3288.1550295163252</v>
      </c>
      <c r="Q18" s="18">
        <f ca="1">IF(Q$13&gt;MAX([0]!yearsInt), NA(),_xlfn.IFNA(VLOOKUP($D18,intInput,MATCH(Q$13,yearsInt,0)+2,FALSE),))</f>
        <v>-1784.6532068285519</v>
      </c>
      <c r="R18" s="18"/>
      <c r="S18" s="264" t="e">
        <f ca="1">(L18/$H18)^(1/(L$13-$H$13))-1</f>
        <v>#NUM!</v>
      </c>
      <c r="T18" s="264">
        <f ca="1">(Q18/$L18)^(1/(Q$13-L$13))-1</f>
        <v>-2.9993390164717582E-2</v>
      </c>
      <c r="U18" s="264" t="e">
        <f ca="1">(Q18/$H18)^(1/(Q$13-$H$13))-1</f>
        <v>#NUM!</v>
      </c>
      <c r="V18" s="18"/>
      <c r="W18" s="266"/>
      <c r="X18" s="1"/>
      <c r="Y18" s="1"/>
      <c r="Z18" s="1"/>
      <c r="AA18" s="1"/>
      <c r="AB18" s="1"/>
      <c r="AC18" s="1"/>
      <c r="AD18" s="1"/>
      <c r="AE18" s="1"/>
      <c r="AF18" s="1"/>
      <c r="AG18" s="1"/>
    </row>
    <row r="19" spans="1:33" s="3" customFormat="1" ht="16" x14ac:dyDescent="0.15">
      <c r="A19" s="4"/>
      <c r="B19" s="4"/>
      <c r="C19" s="4"/>
      <c r="D19" s="20" t="s">
        <v>23</v>
      </c>
      <c r="E19" s="20" t="s">
        <v>22</v>
      </c>
      <c r="F19" s="18">
        <f t="shared" ca="1" si="0"/>
        <v>0</v>
      </c>
      <c r="G19" s="18">
        <f ca="1">IF(G$13&gt;MAX([0]!yearsInt), NA(),_xlfn.IFNA(VLOOKUP($D19,intInput,MATCH(G$13,yearsInt,0)+2,FALSE),))</f>
        <v>672.6583251953125</v>
      </c>
      <c r="H19" s="18">
        <f ca="1">IF(H$13&gt;MAX([0]!yearsInt), NA(),_xlfn.IFNA(VLOOKUP($D19,intInput,MATCH(H$13,yearsInt,0)+2,FALSE),))</f>
        <v>877.77581787109375</v>
      </c>
      <c r="I19" s="18">
        <f ca="1">IF(I$13&gt;MAX([0]!yearsInt), NA(),_xlfn.IFNA(VLOOKUP($D19,intInput,MATCH(I$13,yearsInt,0)+2,FALSE),))</f>
        <v>1378.137939453125</v>
      </c>
      <c r="J19" s="18">
        <f ca="1">IF(J$13&gt;MAX([0]!yearsInt), NA(),_xlfn.IFNA(VLOOKUP($D19,intInput,MATCH(J$13,yearsInt,0)+2,FALSE),))</f>
        <v>763.29931640625</v>
      </c>
      <c r="K19" s="18">
        <f ca="1">IF(K$13&gt;MAX([0]!yearsInt), NA(),_xlfn.IFNA(VLOOKUP($D19,intInput,MATCH(K$13,yearsInt,0)+2,FALSE),))</f>
        <v>186.33340454101562</v>
      </c>
      <c r="L19" s="18">
        <f ca="1">IF(L$13&gt;MAX([0]!yearsInt), NA(),_xlfn.IFNA(VLOOKUP($D19,intInput,MATCH(L$13,yearsInt,0)+2,FALSE),))</f>
        <v>170.23919677734375</v>
      </c>
      <c r="M19" s="18">
        <f ca="1">IF(M$13&gt;MAX([0]!yearsInt), NA(),_xlfn.IFNA(VLOOKUP($D19,intInput,MATCH(M$13,yearsInt,0)+2,FALSE),))</f>
        <v>173.96270751953125</v>
      </c>
      <c r="N19" s="18">
        <f ca="1">IF(N$13&gt;MAX([0]!yearsInt), NA(),_xlfn.IFNA(VLOOKUP($D19,intInput,MATCH(N$13,yearsInt,0)+2,FALSE),))</f>
        <v>187.34120178222656</v>
      </c>
      <c r="O19" s="18">
        <f ca="1">IF(O$13&gt;MAX([0]!yearsInt), NA(),_xlfn.IFNA(VLOOKUP($D19,intInput,MATCH(O$13,yearsInt,0)+2,FALSE),))</f>
        <v>198.74659729003906</v>
      </c>
      <c r="P19" s="18">
        <f ca="1">IF(P$13&gt;MAX([0]!yearsInt), NA(),_xlfn.IFNA(VLOOKUP($D19,intInput,MATCH(P$13,yearsInt,0)+2,FALSE),))</f>
        <v>199.39259338378906</v>
      </c>
      <c r="Q19" s="18">
        <f ca="1">IF(Q$13&gt;MAX([0]!yearsInt), NA(),_xlfn.IFNA(VLOOKUP($D19,intInput,MATCH(Q$13,yearsInt,0)+2,FALSE),))</f>
        <v>235.86860656738281</v>
      </c>
      <c r="R19" s="18"/>
      <c r="S19" s="264">
        <f t="shared" ca="1" si="1"/>
        <v>-4.0175351012369798E-2</v>
      </c>
      <c r="T19" s="264">
        <f t="shared" ca="1" si="2"/>
        <v>6.5427188862068331E-3</v>
      </c>
      <c r="U19" s="264">
        <f t="shared" ca="1" si="3"/>
        <v>-1.4495210623927224E-2</v>
      </c>
      <c r="V19" s="18"/>
      <c r="W19" s="266"/>
      <c r="X19" s="1"/>
      <c r="Y19" s="1"/>
      <c r="Z19" s="1"/>
      <c r="AA19" s="1"/>
      <c r="AB19" s="1"/>
      <c r="AC19" s="1"/>
      <c r="AD19" s="1"/>
      <c r="AE19" s="1"/>
      <c r="AF19" s="1"/>
      <c r="AG19" s="1"/>
    </row>
    <row r="20" spans="1:33" s="3" customFormat="1" ht="16" x14ac:dyDescent="0.15">
      <c r="A20" s="4"/>
      <c r="B20" s="4"/>
      <c r="C20" s="4"/>
      <c r="D20" s="20" t="s">
        <v>21</v>
      </c>
      <c r="E20" s="20" t="s">
        <v>20</v>
      </c>
      <c r="F20" s="18">
        <f t="shared" ca="1" si="0"/>
        <v>0</v>
      </c>
      <c r="G20" s="18">
        <f ca="1">IF(G$13&gt;MAX([0]!yearsInt), NA(),_xlfn.IFNA(VLOOKUP($D20,intInput,MATCH(G$13,yearsInt,0)+2,FALSE),))</f>
        <v>9160.7464400239369</v>
      </c>
      <c r="H20" s="18">
        <f ca="1">IF(H$13&gt;MAX([0]!yearsInt), NA(),_xlfn.IFNA(VLOOKUP($D20,intInput,MATCH(H$13,yearsInt,0)+2,FALSE),))</f>
        <v>9828.8537222077957</v>
      </c>
      <c r="I20" s="18">
        <f ca="1">IF(I$13&gt;MAX([0]!yearsInt), NA(),_xlfn.IFNA(VLOOKUP($D20,intInput,MATCH(I$13,yearsInt,0)+2,FALSE),))</f>
        <v>8972.9845120617501</v>
      </c>
      <c r="J20" s="18">
        <f ca="1">IF(J$13&gt;MAX([0]!yearsInt), NA(),_xlfn.IFNA(VLOOKUP($D20,intInput,MATCH(J$13,yearsInt,0)+2,FALSE),))</f>
        <v>7089.6381119057478</v>
      </c>
      <c r="K20" s="18">
        <f ca="1">IF(K$13&gt;MAX([0]!yearsInt), NA(),_xlfn.IFNA(VLOOKUP($D20,intInput,MATCH(K$13,yearsInt,0)+2,FALSE),))</f>
        <v>5698.8187065930979</v>
      </c>
      <c r="L20" s="18">
        <f ca="1">IF(L$13&gt;MAX([0]!yearsInt), NA(),_xlfn.IFNA(VLOOKUP($D20,intInput,MATCH(L$13,yearsInt,0)+2,FALSE),))</f>
        <v>4790.5817160483884</v>
      </c>
      <c r="M20" s="18">
        <f ca="1">IF(M$13&gt;MAX([0]!yearsInt), NA(),_xlfn.IFNA(VLOOKUP($D20,intInput,MATCH(M$13,yearsInt,0)+2,FALSE),))</f>
        <v>4378.3974597433917</v>
      </c>
      <c r="N20" s="18">
        <f ca="1">IF(N$13&gt;MAX([0]!yearsInt), NA(),_xlfn.IFNA(VLOOKUP($D20,intInput,MATCH(N$13,yearsInt,0)+2,FALSE),))</f>
        <v>3928.0074626564037</v>
      </c>
      <c r="O20" s="18">
        <f ca="1">IF(O$13&gt;MAX([0]!yearsInt), NA(),_xlfn.IFNA(VLOOKUP($D20,intInput,MATCH(O$13,yearsInt,0)+2,FALSE),))</f>
        <v>3566.658690433525</v>
      </c>
      <c r="P20" s="18">
        <f ca="1">IF(P$13&gt;MAX([0]!yearsInt), NA(),_xlfn.IFNA(VLOOKUP($D20,intInput,MATCH(P$13,yearsInt,0)+2,FALSE),))</f>
        <v>3273.0390267301209</v>
      </c>
      <c r="Q20" s="18">
        <f ca="1">IF(Q$13&gt;MAX([0]!yearsInt), NA(),_xlfn.IFNA(VLOOKUP($D20,intInput,MATCH(Q$13,yearsInt,0)+2,FALSE),))</f>
        <v>3033.081768843555</v>
      </c>
      <c r="R20" s="18"/>
      <c r="S20" s="264">
        <f t="shared" ca="1" si="1"/>
        <v>-1.7806321768212063E-2</v>
      </c>
      <c r="T20" s="264">
        <f t="shared" ca="1" si="2"/>
        <v>-9.0997971423194546E-3</v>
      </c>
      <c r="U20" s="264">
        <f t="shared" ca="1" si="3"/>
        <v>-1.2978851321809204E-2</v>
      </c>
      <c r="V20" s="18"/>
      <c r="W20" s="266"/>
      <c r="X20" s="1"/>
      <c r="Y20" s="1"/>
      <c r="Z20" s="1"/>
      <c r="AA20" s="1"/>
      <c r="AB20" s="1"/>
      <c r="AC20" s="1"/>
      <c r="AD20" s="1"/>
      <c r="AE20" s="1"/>
      <c r="AF20" s="1"/>
      <c r="AG20" s="1"/>
    </row>
    <row r="21" spans="1:33" s="3" customFormat="1" ht="16" x14ac:dyDescent="0.15">
      <c r="A21" s="4"/>
      <c r="B21" s="4"/>
      <c r="C21" s="4"/>
      <c r="D21" s="20" t="s">
        <v>8</v>
      </c>
      <c r="E21" s="20" t="s">
        <v>18</v>
      </c>
      <c r="F21" s="18">
        <f t="shared" ca="1" si="0"/>
        <v>0</v>
      </c>
      <c r="G21" s="18">
        <f ca="1">IF(G$13&gt;MAX([0]!yearsInt), NA(),_xlfn.IFNA(VLOOKUP($D21,intInput,MATCH(G$13,yearsInt,0)+2,FALSE),))</f>
        <v>341.38299999999998</v>
      </c>
      <c r="H21" s="18">
        <f ca="1">IF(H$13&gt;MAX([0]!yearsInt), NA(),_xlfn.IFNA(VLOOKUP($D21,intInput,MATCH(H$13,yearsInt,0)+2,FALSE),))</f>
        <v>367.96281249999998</v>
      </c>
      <c r="I21" s="18">
        <f ca="1">IF(I$13&gt;MAX([0]!yearsInt), NA(),_xlfn.IFNA(VLOOKUP($D21,intInput,MATCH(I$13,yearsInt,0)+2,FALSE),))</f>
        <v>365.50040625000003</v>
      </c>
      <c r="J21" s="18">
        <f ca="1">IF(J$13&gt;MAX([0]!yearsInt), NA(),_xlfn.IFNA(VLOOKUP($D21,intInput,MATCH(J$13,yearsInt,0)+2,FALSE),))</f>
        <v>300.06131249999999</v>
      </c>
      <c r="K21" s="18">
        <f ca="1">IF(K$13&gt;MAX([0]!yearsInt), NA(),_xlfn.IFNA(VLOOKUP($D21,intInput,MATCH(K$13,yearsInt,0)+2,FALSE),))</f>
        <v>271.31318750000003</v>
      </c>
      <c r="L21" s="18">
        <f ca="1">IF(L$13&gt;MAX([0]!yearsInt), NA(),_xlfn.IFNA(VLOOKUP($D21,intInput,MATCH(L$13,yearsInt,0)+2,FALSE),))</f>
        <v>280.34949999999998</v>
      </c>
      <c r="M21" s="18">
        <f ca="1">IF(M$13&gt;MAX([0]!yearsInt), NA(),_xlfn.IFNA(VLOOKUP($D21,intInput,MATCH(M$13,yearsInt,0)+2,FALSE),))</f>
        <v>300.25481250000001</v>
      </c>
      <c r="N21" s="18">
        <f ca="1">IF(N$13&gt;MAX([0]!yearsInt), NA(),_xlfn.IFNA(VLOOKUP($D21,intInput,MATCH(N$13,yearsInt,0)+2,FALSE),))</f>
        <v>318.61040624999998</v>
      </c>
      <c r="O21" s="18">
        <f ca="1">IF(O$13&gt;MAX([0]!yearsInt), NA(),_xlfn.IFNA(VLOOKUP($D21,intInput,MATCH(O$13,yearsInt,0)+2,FALSE),))</f>
        <v>334.66849999999999</v>
      </c>
      <c r="P21" s="18">
        <f ca="1">IF(P$13&gt;MAX([0]!yearsInt), NA(),_xlfn.IFNA(VLOOKUP($D21,intInput,MATCH(P$13,yearsInt,0)+2,FALSE),))</f>
        <v>342.75731250000001</v>
      </c>
      <c r="Q21" s="18">
        <f ca="1">IF(Q$13&gt;MAX([0]!yearsInt), NA(),_xlfn.IFNA(VLOOKUP($D21,intInput,MATCH(Q$13,yearsInt,0)+2,FALSE),))</f>
        <v>346.15631250000001</v>
      </c>
      <c r="R21" s="18"/>
      <c r="S21" s="264">
        <f t="shared" ca="1" si="1"/>
        <v>-6.775562685403802E-3</v>
      </c>
      <c r="T21" s="264">
        <f t="shared" ca="1" si="2"/>
        <v>4.2259724277198263E-3</v>
      </c>
      <c r="U21" s="264">
        <f t="shared" ca="1" si="3"/>
        <v>-6.7856341389149755E-4</v>
      </c>
      <c r="V21" s="18"/>
      <c r="W21" s="266"/>
      <c r="X21" s="1"/>
      <c r="Y21" s="1"/>
      <c r="Z21" s="1"/>
      <c r="AA21" s="1"/>
      <c r="AB21" s="1"/>
      <c r="AC21" s="1"/>
      <c r="AD21" s="1"/>
      <c r="AE21" s="1"/>
      <c r="AF21" s="1"/>
      <c r="AG21" s="1"/>
    </row>
    <row r="22" spans="1:33" s="3" customFormat="1" ht="16" x14ac:dyDescent="0.15">
      <c r="A22" s="4"/>
      <c r="B22" s="4"/>
      <c r="C22" s="4"/>
      <c r="D22" s="20" t="s">
        <v>0</v>
      </c>
      <c r="E22" s="20" t="s">
        <v>312</v>
      </c>
      <c r="F22" s="18">
        <f t="shared" ref="F22:F26" ca="1" si="4">_xlfn.IFNA(VLOOKUP($D22,intInput,MATCH(F$13,yearsInt,0)+2,FALSE),)</f>
        <v>0</v>
      </c>
      <c r="G22" s="18">
        <f ca="1">IF(G$13&gt;MAX([0]!yearsInt), NA(),_xlfn.IFNA(VLOOKUP($D22,intInput,MATCH(G$13,yearsInt,0)+2,FALSE),))</f>
        <v>63593.003779609375</v>
      </c>
      <c r="H22" s="18">
        <f ca="1">IF(H$13&gt;MAX([0]!yearsInt), NA(),_xlfn.IFNA(VLOOKUP($D22,intInput,MATCH(H$13,yearsInt,0)+2,FALSE),))</f>
        <v>75837.966066718742</v>
      </c>
      <c r="I22" s="18">
        <f ca="1">IF(I$13&gt;MAX([0]!yearsInt), NA(),_xlfn.IFNA(VLOOKUP($D22,intInput,MATCH(I$13,yearsInt,0)+2,FALSE),))</f>
        <v>111967.47734515625</v>
      </c>
      <c r="J22" s="18">
        <f ca="1">IF(J$13&gt;MAX([0]!yearsInt), NA(),_xlfn.IFNA(VLOOKUP($D22,intInput,MATCH(J$13,yearsInt,0)+2,FALSE),))</f>
        <v>157925.73197968749</v>
      </c>
      <c r="K22" s="18">
        <f ca="1">IF(K$13&gt;MAX([0]!yearsInt), NA(),_xlfn.IFNA(VLOOKUP($D22,intInput,MATCH(K$13,yearsInt,0)+2,FALSE),))</f>
        <v>203058.71166</v>
      </c>
      <c r="L22" s="18">
        <f ca="1">IF(L$13&gt;MAX([0]!yearsInt), NA(),_xlfn.IFNA(VLOOKUP($D22,intInput,MATCH(L$13,yearsInt,0)+2,FALSE),))</f>
        <v>248126.66354062498</v>
      </c>
      <c r="M22" s="18">
        <f ca="1">IF(M$13&gt;MAX([0]!yearsInt), NA(),_xlfn.IFNA(VLOOKUP($D22,intInput,MATCH(M$13,yearsInt,0)+2,FALSE),))</f>
        <v>293617.91056875</v>
      </c>
      <c r="N22" s="18">
        <f ca="1">IF(N$13&gt;MAX([0]!yearsInt), NA(),_xlfn.IFNA(VLOOKUP($D22,intInput,MATCH(N$13,yearsInt,0)+2,FALSE),))</f>
        <v>341653.15174062498</v>
      </c>
      <c r="O22" s="18">
        <f ca="1">IF(O$13&gt;MAX([0]!yearsInt), NA(),_xlfn.IFNA(VLOOKUP($D22,intInput,MATCH(O$13,yearsInt,0)+2,FALSE),))</f>
        <v>388873.89246062498</v>
      </c>
      <c r="P22" s="18">
        <f ca="1">IF(P$13&gt;MAX([0]!yearsInt), NA(),_xlfn.IFNA(VLOOKUP($D22,intInput,MATCH(P$13,yearsInt,0)+2,FALSE),))</f>
        <v>433175.53057937499</v>
      </c>
      <c r="Q22" s="18">
        <f ca="1">IF(Q$13&gt;MAX([0]!yearsInt), NA(),_xlfn.IFNA(VLOOKUP($D22,intInput,MATCH(Q$13,yearsInt,0)+2,FALSE),))</f>
        <v>472345.87469999999</v>
      </c>
      <c r="R22" s="18"/>
      <c r="S22" s="264">
        <f t="shared" ca="1" si="1"/>
        <v>3.0076949728683466E-2</v>
      </c>
      <c r="T22" s="264">
        <f t="shared" ca="1" si="2"/>
        <v>1.2958688340460656E-2</v>
      </c>
      <c r="U22" s="264">
        <f t="shared" ca="1" si="3"/>
        <v>2.053139979021279E-2</v>
      </c>
      <c r="V22" s="18"/>
      <c r="W22" s="266"/>
      <c r="X22" s="1"/>
      <c r="Y22" s="1"/>
      <c r="Z22" s="1"/>
      <c r="AA22" s="1"/>
      <c r="AB22" s="1"/>
      <c r="AC22" s="1"/>
      <c r="AD22" s="1"/>
      <c r="AE22" s="1"/>
      <c r="AF22" s="1"/>
      <c r="AG22" s="1"/>
    </row>
    <row r="23" spans="1:33" s="3" customFormat="1" ht="16" x14ac:dyDescent="0.15">
      <c r="A23" s="4"/>
      <c r="B23" s="4"/>
      <c r="C23" s="4"/>
      <c r="D23" s="20" t="s">
        <v>2</v>
      </c>
      <c r="E23" s="20" t="s">
        <v>19</v>
      </c>
      <c r="F23" s="18">
        <f t="shared" ca="1" si="4"/>
        <v>0</v>
      </c>
      <c r="G23" s="18">
        <f ca="1">IF(G$13&gt;MAX([0]!yearsInt), NA(),_xlfn.IFNA(VLOOKUP($D23,intInput,MATCH(G$13,yearsInt,0)+2,FALSE),))</f>
        <v>6530.5478515625</v>
      </c>
      <c r="H23" s="18">
        <f ca="1">IF(H$13&gt;MAX([0]!yearsInt), NA(),_xlfn.IFNA(VLOOKUP($D23,intInput,MATCH(H$13,yearsInt,0)+2,FALSE),))</f>
        <v>6921.7978515625</v>
      </c>
      <c r="I23" s="18">
        <f ca="1">IF(I$13&gt;MAX([0]!yearsInt), NA(),_xlfn.IFNA(VLOOKUP($D23,intInput,MATCH(I$13,yearsInt,0)+2,FALSE),))</f>
        <v>7576.10498046875</v>
      </c>
      <c r="J23" s="18">
        <f ca="1">IF(J$13&gt;MAX([0]!yearsInt), NA(),_xlfn.IFNA(VLOOKUP($D23,intInput,MATCH(J$13,yearsInt,0)+2,FALSE),))</f>
        <v>8061.93798828125</v>
      </c>
      <c r="K23" s="18">
        <f ca="1">IF(K$13&gt;MAX([0]!yearsInt), NA(),_xlfn.IFNA(VLOOKUP($D23,intInput,MATCH(K$13,yearsInt,0)+2,FALSE),))</f>
        <v>8388.7626953125</v>
      </c>
      <c r="L23" s="18">
        <f ca="1">IF(L$13&gt;MAX([0]!yearsInt), NA(),_xlfn.IFNA(VLOOKUP($D23,intInput,MATCH(L$13,yearsInt,0)+2,FALSE),))</f>
        <v>8530.5</v>
      </c>
      <c r="M23" s="18">
        <f ca="1">IF(M$13&gt;MAX([0]!yearsInt), NA(),_xlfn.IFNA(VLOOKUP($D23,intInput,MATCH(M$13,yearsInt,0)+2,FALSE),))</f>
        <v>8492.17578125</v>
      </c>
      <c r="N23" s="18">
        <f ca="1">IF(N$13&gt;MAX([0]!yearsInt), NA(),_xlfn.IFNA(VLOOKUP($D23,intInput,MATCH(N$13,yearsInt,0)+2,FALSE),))</f>
        <v>8298.9501953125</v>
      </c>
      <c r="O23" s="18">
        <f ca="1">IF(O$13&gt;MAX([0]!yearsInt), NA(),_xlfn.IFNA(VLOOKUP($D23,intInput,MATCH(O$13,yearsInt,0)+2,FALSE),))</f>
        <v>7967.38720703125</v>
      </c>
      <c r="P23" s="18">
        <f ca="1">IF(P$13&gt;MAX([0]!yearsInt), NA(),_xlfn.IFNA(VLOOKUP($D23,intInput,MATCH(P$13,yearsInt,0)+2,FALSE),))</f>
        <v>7510.4541015625</v>
      </c>
      <c r="Q23" s="18">
        <f ca="1">IF(Q$13&gt;MAX([0]!yearsInt), NA(),_xlfn.IFNA(VLOOKUP($D23,intInput,MATCH(Q$13,yearsInt,0)+2,FALSE),))</f>
        <v>6957.98876953125</v>
      </c>
      <c r="R23" s="18"/>
      <c r="S23" s="264">
        <f t="shared" ca="1" si="1"/>
        <v>5.2379813932643682E-3</v>
      </c>
      <c r="T23" s="264">
        <f t="shared" ca="1" si="2"/>
        <v>-4.0668581176973584E-3</v>
      </c>
      <c r="U23" s="264">
        <f t="shared" ca="1" si="3"/>
        <v>5.7945252832425354E-5</v>
      </c>
      <c r="V23" s="18"/>
      <c r="W23" s="266"/>
      <c r="X23" s="1"/>
      <c r="Y23" s="1"/>
      <c r="Z23" s="1"/>
      <c r="AA23" s="1"/>
      <c r="AB23" s="1"/>
      <c r="AC23" s="1"/>
      <c r="AD23" s="1"/>
      <c r="AE23" s="1"/>
      <c r="AF23" s="1"/>
      <c r="AG23" s="1"/>
    </row>
    <row r="24" spans="1:33" s="3" customFormat="1" ht="16" x14ac:dyDescent="0.15">
      <c r="A24" s="4"/>
      <c r="B24" s="4"/>
      <c r="C24" s="4"/>
      <c r="D24" s="20" t="s">
        <v>9</v>
      </c>
      <c r="E24" s="20" t="s">
        <v>18</v>
      </c>
      <c r="F24" s="18">
        <f t="shared" ca="1" si="4"/>
        <v>0</v>
      </c>
      <c r="G24" s="18">
        <f ca="1">IF(G$13&gt;MAX([0]!yearsInt), NA(),_xlfn.IFNA(VLOOKUP($D24,intInput,MATCH(G$13,yearsInt,0)+2,FALSE),))</f>
        <v>459.77009375</v>
      </c>
      <c r="H24" s="18">
        <f ca="1">IF(H$13&gt;MAX([0]!yearsInt), NA(),_xlfn.IFNA(VLOOKUP($D24,intInput,MATCH(H$13,yearsInt,0)+2,FALSE),))</f>
        <v>506.68</v>
      </c>
      <c r="I24" s="18">
        <f ca="1">IF(I$13&gt;MAX([0]!yearsInt), NA(),_xlfn.IFNA(VLOOKUP($D24,intInput,MATCH(I$13,yearsInt,0)+2,FALSE),))</f>
        <v>512.7355</v>
      </c>
      <c r="J24" s="18">
        <f ca="1">IF(J$13&gt;MAX([0]!yearsInt), NA(),_xlfn.IFNA(VLOOKUP($D24,intInput,MATCH(J$13,yearsInt,0)+2,FALSE),))</f>
        <v>403.00549999999998</v>
      </c>
      <c r="K24" s="18">
        <f ca="1">IF(K$13&gt;MAX([0]!yearsInt), NA(),_xlfn.IFNA(VLOOKUP($D24,intInput,MATCH(K$13,yearsInt,0)+2,FALSE),))</f>
        <v>330.416</v>
      </c>
      <c r="L24" s="18">
        <f ca="1">IF(L$13&gt;MAX([0]!yearsInt), NA(),_xlfn.IFNA(VLOOKUP($D24,intInput,MATCH(L$13,yearsInt,0)+2,FALSE),))</f>
        <v>351.27159375000002</v>
      </c>
      <c r="M24" s="18">
        <f ca="1">IF(M$13&gt;MAX([0]!yearsInt), NA(),_xlfn.IFNA(VLOOKUP($D24,intInput,MATCH(M$13,yearsInt,0)+2,FALSE),))</f>
        <v>383.64750000000004</v>
      </c>
      <c r="N24" s="18">
        <f ca="1">IF(N$13&gt;MAX([0]!yearsInt), NA(),_xlfn.IFNA(VLOOKUP($D24,intInput,MATCH(N$13,yearsInt,0)+2,FALSE),))</f>
        <v>437.46431250000001</v>
      </c>
      <c r="O24" s="18">
        <f ca="1">IF(O$13&gt;MAX([0]!yearsInt), NA(),_xlfn.IFNA(VLOOKUP($D24,intInput,MATCH(O$13,yearsInt,0)+2,FALSE),))</f>
        <v>470.06240625000004</v>
      </c>
      <c r="P24" s="18">
        <f ca="1">IF(P$13&gt;MAX([0]!yearsInt), NA(),_xlfn.IFNA(VLOOKUP($D24,intInput,MATCH(P$13,yearsInt,0)+2,FALSE),))</f>
        <v>479.11359375000001</v>
      </c>
      <c r="Q24" s="18">
        <f ca="1">IF(Q$13&gt;MAX([0]!yearsInt), NA(),_xlfn.IFNA(VLOOKUP($D24,intInput,MATCH(Q$13,yearsInt,0)+2,FALSE),))</f>
        <v>493.05181249999998</v>
      </c>
      <c r="R24" s="18"/>
      <c r="S24" s="264">
        <f t="shared" ca="1" si="1"/>
        <v>-9.1161918747045823E-3</v>
      </c>
      <c r="T24" s="264">
        <f t="shared" ca="1" si="2"/>
        <v>6.8041350426411018E-3</v>
      </c>
      <c r="U24" s="264">
        <f t="shared" ca="1" si="3"/>
        <v>-3.0290273510169552E-4</v>
      </c>
      <c r="V24" s="18"/>
      <c r="W24" s="266"/>
      <c r="X24" s="267">
        <f ca="1">((J24-I24)/$I24)/10</f>
        <v>-2.1400897733821828E-2</v>
      </c>
      <c r="Y24" s="267">
        <f t="shared" ref="Y24:AE27" ca="1" si="5">((K24-J24)/$I24)/10</f>
        <v>-1.4157299426312395E-2</v>
      </c>
      <c r="Z24" s="267">
        <f t="shared" ca="1" si="5"/>
        <v>4.0675150735613244E-3</v>
      </c>
      <c r="AA24" s="267">
        <f t="shared" ca="1" si="5"/>
        <v>6.3143484798692529E-3</v>
      </c>
      <c r="AB24" s="267">
        <f t="shared" ca="1" si="5"/>
        <v>1.0496018414952733E-2</v>
      </c>
      <c r="AC24" s="267">
        <f t="shared" ca="1" si="5"/>
        <v>6.3576822260210247E-3</v>
      </c>
      <c r="AD24" s="267">
        <f t="shared" ca="1" si="5"/>
        <v>1.7652742008306365E-3</v>
      </c>
      <c r="AE24" s="267">
        <f t="shared" ca="1" si="5"/>
        <v>2.7184032995569794E-3</v>
      </c>
      <c r="AF24" s="1"/>
      <c r="AG24" s="267">
        <f ca="1">((L24-I24)/$I24)/30</f>
        <v>-1.0496894028857633E-2</v>
      </c>
    </row>
    <row r="25" spans="1:33" s="3" customFormat="1" ht="16" x14ac:dyDescent="0.15">
      <c r="A25" s="4"/>
      <c r="B25" s="4"/>
      <c r="C25" s="4"/>
      <c r="D25" s="20" t="s">
        <v>11</v>
      </c>
      <c r="E25" s="20" t="s">
        <v>18</v>
      </c>
      <c r="F25" s="18">
        <f t="shared" ca="1" si="4"/>
        <v>0</v>
      </c>
      <c r="G25" s="18">
        <f ca="1">IF(G$13&gt;MAX([0]!yearsInt), NA(),_xlfn.IFNA(VLOOKUP($D25,intInput,MATCH(G$13,yearsInt,0)+2,FALSE),))</f>
        <v>117.62070312500001</v>
      </c>
      <c r="H25" s="18">
        <f ca="1">IF(H$13&gt;MAX([0]!yearsInt), NA(),_xlfn.IFNA(VLOOKUP($D25,intInput,MATCH(H$13,yearsInt,0)+2,FALSE),))</f>
        <v>146.19859375000001</v>
      </c>
      <c r="I25" s="18">
        <f ca="1">IF(I$13&gt;MAX([0]!yearsInt), NA(),_xlfn.IFNA(VLOOKUP($D25,intInput,MATCH(I$13,yearsInt,0)+2,FALSE),))</f>
        <v>125.483796875</v>
      </c>
      <c r="J25" s="18">
        <f ca="1">IF(J$13&gt;MAX([0]!yearsInt), NA(),_xlfn.IFNA(VLOOKUP($D25,intInput,MATCH(J$13,yearsInt,0)+2,FALSE),))</f>
        <v>73.49790625</v>
      </c>
      <c r="K25" s="18">
        <f ca="1">IF(K$13&gt;MAX([0]!yearsInt), NA(),_xlfn.IFNA(VLOOKUP($D25,intInput,MATCH(K$13,yearsInt,0)+2,FALSE),))</f>
        <v>29.39501953125</v>
      </c>
      <c r="L25" s="18">
        <f ca="1">IF(L$13&gt;MAX([0]!yearsInt), NA(),_xlfn.IFNA(VLOOKUP($D25,intInput,MATCH(L$13,yearsInt,0)+2,FALSE),))</f>
        <v>21.23305078125</v>
      </c>
      <c r="M25" s="18">
        <f ca="1">IF(M$13&gt;MAX([0]!yearsInt), NA(),_xlfn.IFNA(VLOOKUP($D25,intInput,MATCH(M$13,yearsInt,0)+2,FALSE),))</f>
        <v>24.590289062500002</v>
      </c>
      <c r="N25" s="18">
        <f ca="1">IF(N$13&gt;MAX([0]!yearsInt), NA(),_xlfn.IFNA(VLOOKUP($D25,intInput,MATCH(N$13,yearsInt,0)+2,FALSE),))</f>
        <v>28.702580078124999</v>
      </c>
      <c r="O25" s="18">
        <f ca="1">IF(O$13&gt;MAX([0]!yearsInt), NA(),_xlfn.IFNA(VLOOKUP($D25,intInput,MATCH(O$13,yearsInt,0)+2,FALSE),))</f>
        <v>28.120359375</v>
      </c>
      <c r="P25" s="18">
        <f ca="1">IF(P$13&gt;MAX([0]!yearsInt), NA(),_xlfn.IFNA(VLOOKUP($D25,intInput,MATCH(P$13,yearsInt,0)+2,FALSE),))</f>
        <v>29.275259765625002</v>
      </c>
      <c r="Q25" s="18">
        <f ca="1">IF(Q$13&gt;MAX([0]!yearsInt), NA(),_xlfn.IFNA(VLOOKUP($D25,intInput,MATCH(Q$13,yearsInt,0)+2,FALSE),))</f>
        <v>35.63494140625</v>
      </c>
      <c r="R25" s="18"/>
      <c r="S25" s="264">
        <f t="shared" ca="1" si="1"/>
        <v>-4.7090338894822614E-2</v>
      </c>
      <c r="T25" s="264">
        <f t="shared" ca="1" si="2"/>
        <v>1.040915602669279E-2</v>
      </c>
      <c r="U25" s="264">
        <f t="shared" ca="1" si="3"/>
        <v>-1.5562513662928379E-2</v>
      </c>
      <c r="V25" s="18"/>
      <c r="W25" s="266"/>
      <c r="X25" s="267">
        <f ca="1">((J25-I25)/$I25)/10</f>
        <v>-4.1428369175651784E-2</v>
      </c>
      <c r="Y25" s="267">
        <f t="shared" ca="1" si="5"/>
        <v>-3.5146280091192056E-2</v>
      </c>
      <c r="Z25" s="267">
        <f t="shared" ca="1" si="5"/>
        <v>-6.5044005307956215E-3</v>
      </c>
      <c r="AA25" s="267">
        <f t="shared" ca="1" si="5"/>
        <v>2.6754356856083152E-3</v>
      </c>
      <c r="AB25" s="267">
        <f t="shared" ca="1" si="5"/>
        <v>3.2771490168738149E-3</v>
      </c>
      <c r="AC25" s="267">
        <f t="shared" ca="1" si="5"/>
        <v>-4.6398078287747028E-4</v>
      </c>
      <c r="AD25" s="267">
        <f t="shared" ca="1" si="5"/>
        <v>9.203581812044228E-4</v>
      </c>
      <c r="AE25" s="267">
        <f t="shared" ca="1" si="5"/>
        <v>5.0681297498195409E-3</v>
      </c>
      <c r="AF25" s="1"/>
      <c r="AG25" s="267">
        <f t="shared" ref="AG25:AG27" ca="1" si="6">((L25-I25)/$I25)/30</f>
        <v>-2.7693016599213152E-2</v>
      </c>
    </row>
    <row r="26" spans="1:33" s="3" customFormat="1" ht="16" x14ac:dyDescent="0.15">
      <c r="A26" s="4"/>
      <c r="B26" s="4"/>
      <c r="C26" s="4"/>
      <c r="D26" s="20" t="s">
        <v>10</v>
      </c>
      <c r="E26" s="20" t="s">
        <v>18</v>
      </c>
      <c r="F26" s="18">
        <f t="shared" ca="1" si="4"/>
        <v>0</v>
      </c>
      <c r="G26" s="18">
        <f ca="1">IF(G$13&gt;MAX([0]!yearsInt), NA(),_xlfn.IFNA(VLOOKUP($D26,intInput,MATCH(G$13,yearsInt,0)+2,FALSE),))</f>
        <v>103.10389843750001</v>
      </c>
      <c r="H26" s="18">
        <f ca="1">IF(H$13&gt;MAX([0]!yearsInt), NA(),_xlfn.IFNA(VLOOKUP($D26,intInput,MATCH(H$13,yearsInt,0)+2,FALSE),))</f>
        <v>115.0245</v>
      </c>
      <c r="I26" s="18">
        <f ca="1">IF(I$13&gt;MAX([0]!yearsInt), NA(),_xlfn.IFNA(VLOOKUP($D26,intInput,MATCH(I$13,yearsInt,0)+2,FALSE),))</f>
        <v>130.5745</v>
      </c>
      <c r="J26" s="18">
        <f ca="1">IF(J$13&gt;MAX([0]!yearsInt), NA(),_xlfn.IFNA(VLOOKUP($D26,intInput,MATCH(J$13,yearsInt,0)+2,FALSE),))</f>
        <v>122.8896015625</v>
      </c>
      <c r="K26" s="18">
        <f ca="1">IF(K$13&gt;MAX([0]!yearsInt), NA(),_xlfn.IFNA(VLOOKUP($D26,intInput,MATCH(K$13,yearsInt,0)+2,FALSE),))</f>
        <v>110.6118984375</v>
      </c>
      <c r="L26" s="18">
        <f ca="1">IF(L$13&gt;MAX([0]!yearsInt), NA(),_xlfn.IFNA(VLOOKUP($D26,intInput,MATCH(L$13,yearsInt,0)+2,FALSE),))</f>
        <v>106.8698984375</v>
      </c>
      <c r="M26" s="18">
        <f ca="1">IF(M$13&gt;MAX([0]!yearsInt), NA(),_xlfn.IFNA(VLOOKUP($D26,intInput,MATCH(M$13,yearsInt,0)+2,FALSE),))</f>
        <v>112.979203125</v>
      </c>
      <c r="N26" s="18">
        <f ca="1">IF(N$13&gt;MAX([0]!yearsInt), NA(),_xlfn.IFNA(VLOOKUP($D26,intInput,MATCH(N$13,yearsInt,0)+2,FALSE),))</f>
        <v>133.68299999999999</v>
      </c>
      <c r="O26" s="18">
        <f ca="1">IF(O$13&gt;MAX([0]!yearsInt), NA(),_xlfn.IFNA(VLOOKUP($D26,intInput,MATCH(O$13,yearsInt,0)+2,FALSE),))</f>
        <v>129.22939843750001</v>
      </c>
      <c r="P26" s="18">
        <f ca="1">IF(P$13&gt;MAX([0]!yearsInt), NA(),_xlfn.IFNA(VLOOKUP($D26,intInput,MATCH(P$13,yearsInt,0)+2,FALSE),))</f>
        <v>110.5868984375</v>
      </c>
      <c r="Q26" s="18">
        <f ca="1">IF(Q$13&gt;MAX([0]!yearsInt), NA(),_xlfn.IFNA(VLOOKUP($D26,intInput,MATCH(Q$13,yearsInt,0)+2,FALSE),))</f>
        <v>103.07579687500001</v>
      </c>
      <c r="R26" s="18"/>
      <c r="S26" s="264">
        <f t="shared" ca="1" si="1"/>
        <v>-1.8366352413028419E-3</v>
      </c>
      <c r="T26" s="264">
        <f t="shared" ca="1" si="2"/>
        <v>-7.2269038572536637E-4</v>
      </c>
      <c r="U26" s="264">
        <f t="shared" ca="1" si="3"/>
        <v>-1.2179303818875553E-3</v>
      </c>
      <c r="V26" s="18"/>
      <c r="W26" s="266"/>
      <c r="X26" s="267">
        <f t="shared" ref="X26:X27" ca="1" si="7">((J26-I26)/$I26)/10</f>
        <v>-5.8854511696387855E-3</v>
      </c>
      <c r="Y26" s="267">
        <f t="shared" ca="1" si="5"/>
        <v>-9.4028337271059824E-3</v>
      </c>
      <c r="Z26" s="267">
        <f t="shared" ca="1" si="5"/>
        <v>-2.8657969205319604E-3</v>
      </c>
      <c r="AA26" s="267">
        <f t="shared" ca="1" si="5"/>
        <v>4.6787884981370782E-3</v>
      </c>
      <c r="AB26" s="267">
        <f t="shared" ca="1" si="5"/>
        <v>1.5855926597459682E-2</v>
      </c>
      <c r="AC26" s="267">
        <f t="shared" ca="1" si="5"/>
        <v>-3.410774356784811E-3</v>
      </c>
      <c r="AD26" s="267">
        <f t="shared" ca="1" si="5"/>
        <v>-1.4277289976220481E-2</v>
      </c>
      <c r="AE26" s="267">
        <f t="shared" ca="1" si="5"/>
        <v>-5.7523494729062622E-3</v>
      </c>
      <c r="AF26" s="1"/>
      <c r="AG26" s="267">
        <f t="shared" ca="1" si="6"/>
        <v>-6.0513606057589096E-3</v>
      </c>
    </row>
    <row r="27" spans="1:33" s="3" customFormat="1" ht="16" x14ac:dyDescent="0.15">
      <c r="A27" s="4"/>
      <c r="B27" s="4"/>
      <c r="C27" s="4"/>
      <c r="D27" s="20" t="s">
        <v>12</v>
      </c>
      <c r="E27" s="20" t="s">
        <v>18</v>
      </c>
      <c r="F27" s="18">
        <f t="shared" ref="F27" ca="1" si="8">_xlfn.IFNA(VLOOKUP($D27,intInput,MATCH(F$13,yearsInt,0)+2,FALSE),)</f>
        <v>0</v>
      </c>
      <c r="G27" s="18">
        <f ca="1">IF(G$13&gt;MAX([0]!yearsInt), NA(),_xlfn.IFNA(VLOOKUP($D27,intInput,MATCH(G$13,yearsInt,0)+2,FALSE),))</f>
        <v>173.72640625</v>
      </c>
      <c r="H27" s="18">
        <f ca="1">IF(H$13&gt;MAX([0]!yearsInt), NA(),_xlfn.IFNA(VLOOKUP($D27,intInput,MATCH(H$13,yearsInt,0)+2,FALSE),))</f>
        <v>171.381</v>
      </c>
      <c r="I27" s="18">
        <f ca="1">IF(I$13&gt;MAX([0]!yearsInt), NA(),_xlfn.IFNA(VLOOKUP($D27,intInput,MATCH(I$13,yearsInt,0)+2,FALSE),))</f>
        <v>153.987703125</v>
      </c>
      <c r="J27" s="18">
        <f ca="1">IF(J$13&gt;MAX([0]!yearsInt), NA(),_xlfn.IFNA(VLOOKUP($D27,intInput,MATCH(J$13,yearsInt,0)+2,FALSE),))</f>
        <v>100.05220312500001</v>
      </c>
      <c r="K27" s="18">
        <f ca="1">IF(K$13&gt;MAX([0]!yearsInt), NA(),_xlfn.IFNA(VLOOKUP($D27,intInput,MATCH(K$13,yearsInt,0)+2,FALSE),))</f>
        <v>50.275019531250003</v>
      </c>
      <c r="L27" s="18">
        <f ca="1">IF(L$13&gt;MAX([0]!yearsInt), NA(),_xlfn.IFNA(VLOOKUP($D27,intInput,MATCH(L$13,yearsInt,0)+2,FALSE),))</f>
        <v>27.937050781250001</v>
      </c>
      <c r="M27" s="18">
        <f ca="1">IF(M$13&gt;MAX([0]!yearsInt), NA(),_xlfn.IFNA(VLOOKUP($D27,intInput,MATCH(M$13,yearsInt,0)+2,FALSE),))</f>
        <v>21.388119140625001</v>
      </c>
      <c r="N27" s="18">
        <f ca="1">IF(N$13&gt;MAX([0]!yearsInt), NA(),_xlfn.IFNA(VLOOKUP($D27,intInput,MATCH(N$13,yearsInt,0)+2,FALSE),))</f>
        <v>17.311410156250002</v>
      </c>
      <c r="O27" s="18">
        <f ca="1">IF(O$13&gt;MAX([0]!yearsInt), NA(),_xlfn.IFNA(VLOOKUP($D27,intInput,MATCH(O$13,yearsInt,0)+2,FALSE),))</f>
        <v>14.932349609375001</v>
      </c>
      <c r="P27" s="18">
        <f ca="1">IF(P$13&gt;MAX([0]!yearsInt), NA(),_xlfn.IFNA(VLOOKUP($D27,intInput,MATCH(P$13,yearsInt,0)+2,FALSE),))</f>
        <v>15.9530400390625</v>
      </c>
      <c r="Q27" s="18">
        <f ca="1">IF(Q$13&gt;MAX([0]!yearsInt), NA(),_xlfn.IFNA(VLOOKUP($D27,intInput,MATCH(Q$13,yearsInt,0)+2,FALSE),))</f>
        <v>16.128769531250001</v>
      </c>
      <c r="R27" s="18"/>
      <c r="S27" s="264">
        <f t="shared" ca="1" si="1"/>
        <v>-4.4335514274690735E-2</v>
      </c>
      <c r="T27" s="264">
        <f t="shared" ca="1" si="2"/>
        <v>-1.0926847296550801E-2</v>
      </c>
      <c r="U27" s="264">
        <f t="shared" ca="1" si="3"/>
        <v>-2.5916954982904805E-2</v>
      </c>
      <c r="V27" s="18"/>
      <c r="W27" s="266"/>
      <c r="X27" s="267">
        <f t="shared" ca="1" si="7"/>
        <v>-3.502584875638913E-2</v>
      </c>
      <c r="Y27" s="267">
        <f t="shared" ca="1" si="5"/>
        <v>-3.2325427669599838E-2</v>
      </c>
      <c r="Z27" s="267">
        <f t="shared" ca="1" si="5"/>
        <v>-1.4506332841309469E-2</v>
      </c>
      <c r="AA27" s="267">
        <f t="shared" ca="1" si="5"/>
        <v>-4.2528926061770559E-3</v>
      </c>
      <c r="AB27" s="267">
        <f t="shared" ca="1" si="5"/>
        <v>-2.6474250226758158E-3</v>
      </c>
      <c r="AC27" s="267">
        <f t="shared" ca="1" si="5"/>
        <v>-1.5449678763919165E-3</v>
      </c>
      <c r="AD27" s="267">
        <f t="shared" ca="1" si="5"/>
        <v>6.6283892088380022E-4</v>
      </c>
      <c r="AE27" s="267">
        <f t="shared" ca="1" si="5"/>
        <v>1.1411917225939213E-4</v>
      </c>
      <c r="AF27" s="1"/>
      <c r="AG27" s="267">
        <f t="shared" ca="1" si="6"/>
        <v>-2.7285869755766141E-2</v>
      </c>
    </row>
    <row r="28" spans="1:33" s="3" customFormat="1" x14ac:dyDescent="0.15">
      <c r="A28" s="4"/>
      <c r="B28" s="4"/>
      <c r="C28" s="4"/>
      <c r="D28" s="4" t="s">
        <v>17</v>
      </c>
      <c r="E28" s="4" t="s">
        <v>312</v>
      </c>
      <c r="F28" s="18">
        <f t="shared" ref="F28:Q39" ca="1" si="9">_xlfn.IFNA(VLOOKUP($D28,intInput,MATCH(F$13,yearsInt,0)+2,FALSE),)</f>
        <v>0</v>
      </c>
      <c r="G28" s="18">
        <f ca="1">IF(G$13&gt;MAX([0]!yearsInt), NA(),_xlfn.IFNA(VLOOKUP($D28,intInput,MATCH(G$13,yearsInt,0)+2,FALSE),))</f>
        <v>50400.521682880004</v>
      </c>
      <c r="H28" s="18">
        <f ca="1">IF(H$13&gt;MAX([0]!yearsInt), NA(),_xlfn.IFNA(VLOOKUP($D28,intInput,MATCH(H$13,yearsInt,0)+2,FALSE),))</f>
        <v>56683.964146800005</v>
      </c>
      <c r="I28" s="18">
        <f ca="1">IF(I$13&gt;MAX([0]!yearsInt), NA(),_xlfn.IFNA(VLOOKUP($D28,intInput,MATCH(I$13,yearsInt,0)+2,FALSE),))</f>
        <v>79586.351287040001</v>
      </c>
      <c r="J28" s="18">
        <f ca="1">IF(J$13&gt;MAX([0]!yearsInt), NA(),_xlfn.IFNA(VLOOKUP($D28,intInput,MATCH(J$13,yearsInt,0)+2,FALSE),))</f>
        <v>110740.98048608001</v>
      </c>
      <c r="K28" s="18">
        <f ca="1">IF(K$13&gt;MAX([0]!yearsInt), NA(),_xlfn.IFNA(VLOOKUP($D28,intInput,MATCH(K$13,yearsInt,0)+2,FALSE),))</f>
        <v>143222.69992896001</v>
      </c>
      <c r="L28" s="18">
        <f ca="1">IF(L$13&gt;MAX([0]!yearsInt), NA(),_xlfn.IFNA(VLOOKUP($D28,intInput,MATCH(L$13,yearsInt,0)+2,FALSE),))</f>
        <v>177695.88775808</v>
      </c>
      <c r="M28" s="18">
        <f ca="1">IF(M$13&gt;MAX([0]!yearsInt), NA(),_xlfn.IFNA(VLOOKUP($D28,intInput,MATCH(M$13,yearsInt,0)+2,FALSE),))</f>
        <v>214796.31583808002</v>
      </c>
      <c r="N28" s="18">
        <f ca="1">IF(N$13&gt;MAX([0]!yearsInt), NA(),_xlfn.IFNA(VLOOKUP($D28,intInput,MATCH(N$13,yearsInt,0)+2,FALSE),))</f>
        <v>256515.70068896003</v>
      </c>
      <c r="O28" s="18">
        <f ca="1">IF(O$13&gt;MAX([0]!yearsInt), NA(),_xlfn.IFNA(VLOOKUP($D28,intInput,MATCH(O$13,yearsInt,0)+2,FALSE),))</f>
        <v>300686.29261184001</v>
      </c>
      <c r="P28" s="18">
        <f ca="1">IF(P$13&gt;MAX([0]!yearsInt), NA(),_xlfn.IFNA(VLOOKUP($D28,intInput,MATCH(P$13,yearsInt,0)+2,FALSE),))</f>
        <v>345905.87000512</v>
      </c>
      <c r="Q28" s="18">
        <f ca="1">IF(Q$13&gt;MAX([0]!yearsInt), NA(),_xlfn.IFNA(VLOOKUP($D28,intInput,MATCH(Q$13,yearsInt,0)+2,FALSE),))</f>
        <v>390705.67597184004</v>
      </c>
      <c r="R28" s="18"/>
      <c r="S28" s="264">
        <f t="shared" ca="1" si="1"/>
        <v>2.8976435343507134E-2</v>
      </c>
      <c r="T28" s="264">
        <f t="shared" ca="1" si="2"/>
        <v>1.5882424685389251E-2</v>
      </c>
      <c r="U28" s="264">
        <f t="shared" ca="1" si="3"/>
        <v>2.1681286973343816E-2</v>
      </c>
      <c r="V28" s="18"/>
      <c r="W28" s="266"/>
      <c r="X28" s="1"/>
      <c r="Y28" s="1"/>
      <c r="Z28" s="1"/>
      <c r="AA28" s="1"/>
      <c r="AB28" s="1"/>
      <c r="AC28" s="1"/>
      <c r="AD28" s="1"/>
      <c r="AE28" s="1"/>
      <c r="AF28" s="1"/>
      <c r="AG28" s="1"/>
    </row>
    <row r="29" spans="1:33" s="19" customFormat="1" ht="32" customHeight="1" x14ac:dyDescent="0.15">
      <c r="D29" s="1" t="s">
        <v>7</v>
      </c>
      <c r="E29" s="1" t="s">
        <v>24</v>
      </c>
      <c r="F29" s="18">
        <f t="shared" ca="1" si="9"/>
        <v>0</v>
      </c>
      <c r="G29" s="18">
        <f ca="1">IF(G$13&gt;MAX([0]!yearsInt), NA(),_xlfn.IFNA(VLOOKUP($D29,intInput,MATCH(G$13,yearsInt,0)+2,FALSE),))</f>
        <v>1260.32684246699</v>
      </c>
      <c r="H29" s="18">
        <f ca="1">IF(H$13&gt;MAX([0]!yearsInt), NA(),_xlfn.IFNA(VLOOKUP($D29,intInput,MATCH(H$13,yearsInt,0)+2,FALSE),))</f>
        <v>1619.1182434558868</v>
      </c>
      <c r="I29" s="18">
        <f ca="1">IF(I$13&gt;MAX([0]!yearsInt), NA(),_xlfn.IFNA(VLOOKUP($D29,intInput,MATCH(I$13,yearsInt,0)+2,FALSE),))</f>
        <v>1597.3499715328217</v>
      </c>
      <c r="J29" s="18">
        <f ca="1">IF(J$13&gt;MAX([0]!yearsInt), NA(),_xlfn.IFNA(VLOOKUP($D29,intInput,MATCH(J$13,yearsInt,0)+2,FALSE),))</f>
        <v>1034.6255103747048</v>
      </c>
      <c r="K29" s="18">
        <f ca="1">IF(K$13&gt;MAX([0]!yearsInt), NA(),_xlfn.IFNA(VLOOKUP($D29,intInput,MATCH(K$13,yearsInt,0)+2,FALSE),))</f>
        <v>379.91800904273987</v>
      </c>
      <c r="L29" s="18">
        <f ca="1">IF(L$13&gt;MAX([0]!yearsInt), NA(),_xlfn.IFNA(VLOOKUP($D29,intInput,MATCH(L$13,yearsInt,0)+2,FALSE),))</f>
        <v>291.63538167874015</v>
      </c>
      <c r="M29" s="18">
        <f ca="1">IF(M$13&gt;MAX([0]!yearsInt), NA(),_xlfn.IFNA(VLOOKUP($D29,intInput,MATCH(M$13,yearsInt,0)+2,FALSE),))</f>
        <v>252.73287047942478</v>
      </c>
      <c r="N29" s="18">
        <f ca="1">IF(N$13&gt;MAX([0]!yearsInt), NA(),_xlfn.IFNA(VLOOKUP($D29,intInput,MATCH(N$13,yearsInt,0)+2,FALSE),))</f>
        <v>265.27233421802521</v>
      </c>
      <c r="O29" s="18">
        <f ca="1">IF(O$13&gt;MAX([0]!yearsInt), NA(),_xlfn.IFNA(VLOOKUP($D29,intInput,MATCH(O$13,yearsInt,0)+2,FALSE),))</f>
        <v>286.89598043759662</v>
      </c>
      <c r="P29" s="18">
        <f ca="1">IF(P$13&gt;MAX([0]!yearsInt), NA(),_xlfn.IFNA(VLOOKUP($D29,intInput,MATCH(P$13,yearsInt,0)+2,FALSE),))</f>
        <v>284.21726326147711</v>
      </c>
      <c r="Q29" s="18">
        <f ca="1">IF(Q$13&gt;MAX([0]!yearsInt), NA(),_xlfn.IFNA(VLOOKUP($D29,intInput,MATCH(Q$13,yearsInt,0)+2,FALSE),))</f>
        <v>288.82528841495514</v>
      </c>
      <c r="R29" s="18"/>
      <c r="S29" s="264">
        <f t="shared" ca="1" si="1"/>
        <v>-4.1948089754264783E-2</v>
      </c>
      <c r="T29" s="264">
        <f t="shared" ca="1" si="2"/>
        <v>-1.9362849501891599E-4</v>
      </c>
      <c r="U29" s="264">
        <f t="shared" ca="1" si="3"/>
        <v>-1.8971237436865129E-2</v>
      </c>
      <c r="V29" s="18"/>
      <c r="W29" s="266"/>
      <c r="X29" s="1"/>
      <c r="Y29" s="1"/>
      <c r="Z29" s="1"/>
      <c r="AA29" s="1"/>
      <c r="AB29" s="1"/>
      <c r="AC29" s="1"/>
      <c r="AD29" s="1"/>
      <c r="AE29" s="1"/>
      <c r="AF29" s="1"/>
      <c r="AG29" s="1"/>
    </row>
    <row r="30" spans="1:33" x14ac:dyDescent="0.15">
      <c r="D30" s="1" t="s">
        <v>4</v>
      </c>
      <c r="E30" s="1" t="s">
        <v>24</v>
      </c>
      <c r="F30" s="18">
        <f t="shared" ca="1" si="9"/>
        <v>0</v>
      </c>
      <c r="G30" s="18">
        <f ca="1">IF(G$13&gt;MAX([0]!yearsInt), NA(),_xlfn.IFNA(VLOOKUP($D30,intInput,MATCH(G$13,yearsInt,0)+2,FALSE),))</f>
        <v>0</v>
      </c>
      <c r="H30" s="18">
        <f ca="1">IF(H$13&gt;MAX([0]!yearsInt), NA(),_xlfn.IFNA(VLOOKUP($D30,intInput,MATCH(H$13,yearsInt,0)+2,FALSE),))</f>
        <v>0</v>
      </c>
      <c r="I30" s="18">
        <f ca="1">IF(I$13&gt;MAX([0]!yearsInt), NA(),_xlfn.IFNA(VLOOKUP($D30,intInput,MATCH(I$13,yearsInt,0)+2,FALSE),))</f>
        <v>16.969379949538656</v>
      </c>
      <c r="J30" s="18">
        <f ca="1">IF(J$13&gt;MAX([0]!yearsInt), NA(),_xlfn.IFNA(VLOOKUP($D30,intInput,MATCH(J$13,yearsInt,0)+2,FALSE),))</f>
        <v>722.02643627921736</v>
      </c>
      <c r="K30" s="18">
        <f ca="1">IF(K$13&gt;MAX([0]!yearsInt), NA(),_xlfn.IFNA(VLOOKUP($D30,intInput,MATCH(K$13,yearsInt,0)+2,FALSE),))</f>
        <v>1417.5688984493413</v>
      </c>
      <c r="L30" s="18">
        <f ca="1">IF(L$13&gt;MAX([0]!yearsInt), NA(),_xlfn.IFNA(VLOOKUP($D30,intInput,MATCH(L$13,yearsInt,0)+2,FALSE),))</f>
        <v>1381.148077857991</v>
      </c>
      <c r="M30" s="18">
        <f ca="1">IF(M$13&gt;MAX([0]!yearsInt), NA(),_xlfn.IFNA(VLOOKUP($D30,intInput,MATCH(M$13,yearsInt,0)+2,FALSE),))</f>
        <v>1231.7259939057597</v>
      </c>
      <c r="N30" s="18">
        <f ca="1">IF(N$13&gt;MAX([0]!yearsInt), NA(),_xlfn.IFNA(VLOOKUP($D30,intInput,MATCH(N$13,yearsInt,0)+2,FALSE),))</f>
        <v>1436.496980239705</v>
      </c>
      <c r="O30" s="18">
        <f ca="1">IF(O$13&gt;MAX([0]!yearsInt), NA(),_xlfn.IFNA(VLOOKUP($D30,intInput,MATCH(O$13,yearsInt,0)+2,FALSE),))</f>
        <v>1699.0205631882418</v>
      </c>
      <c r="P30" s="18">
        <f ca="1">IF(P$13&gt;MAX([0]!yearsInt), NA(),_xlfn.IFNA(VLOOKUP($D30,intInput,MATCH(P$13,yearsInt,0)+2,FALSE),))</f>
        <v>1543.7318396094875</v>
      </c>
      <c r="Q30" s="18">
        <f ca="1">IF(Q$13&gt;MAX([0]!yearsInt), NA(),_xlfn.IFNA(VLOOKUP($D30,intInput,MATCH(Q$13,yearsInt,0)+2,FALSE),))</f>
        <v>1124.2450335800336</v>
      </c>
      <c r="R30" s="18"/>
      <c r="S30" s="264" t="e">
        <f t="shared" ca="1" si="1"/>
        <v>#DIV/0!</v>
      </c>
      <c r="T30" s="264">
        <f t="shared" ca="1" si="2"/>
        <v>-4.1076078986159725E-3</v>
      </c>
      <c r="U30" s="264" t="e">
        <f t="shared" ca="1" si="3"/>
        <v>#DIV/0!</v>
      </c>
      <c r="V30" s="18"/>
      <c r="W30" s="266"/>
      <c r="X30" s="46"/>
      <c r="Y30" s="46"/>
      <c r="Z30" s="46"/>
      <c r="AA30" s="46"/>
      <c r="AB30" s="46"/>
      <c r="AC30" s="46"/>
      <c r="AD30" s="46"/>
      <c r="AE30" s="46"/>
      <c r="AF30" s="46"/>
      <c r="AG30" s="46"/>
    </row>
    <row r="31" spans="1:33" x14ac:dyDescent="0.15">
      <c r="D31" s="3" t="s">
        <v>6</v>
      </c>
      <c r="E31" s="1" t="s">
        <v>24</v>
      </c>
      <c r="F31" s="18">
        <f t="shared" ca="1" si="9"/>
        <v>0</v>
      </c>
      <c r="G31" s="18">
        <f ca="1">IF(G$13&gt;MAX([0]!yearsInt), NA(),_xlfn.IFNA(VLOOKUP($D31,intInput,MATCH(G$13,yearsInt,0)+2,FALSE),))</f>
        <v>0</v>
      </c>
      <c r="H31" s="18">
        <f ca="1">IF(H$13&gt;MAX([0]!yearsInt), NA(),_xlfn.IFNA(VLOOKUP($D31,intInput,MATCH(H$13,yearsInt,0)+2,FALSE),))</f>
        <v>0</v>
      </c>
      <c r="I31" s="18">
        <f ca="1">IF(I$13&gt;MAX([0]!yearsInt), NA(),_xlfn.IFNA(VLOOKUP($D31,intInput,MATCH(I$13,yearsInt,0)+2,FALSE),))</f>
        <v>32.833179039359777</v>
      </c>
      <c r="J31" s="18">
        <f ca="1">IF(J$13&gt;MAX([0]!yearsInt), NA(),_xlfn.IFNA(VLOOKUP($D31,intInput,MATCH(J$13,yearsInt,0)+2,FALSE),))</f>
        <v>1243.4074892955798</v>
      </c>
      <c r="K31" s="18">
        <f ca="1">IF(K$13&gt;MAX([0]!yearsInt), NA(),_xlfn.IFNA(VLOOKUP($D31,intInput,MATCH(K$13,yearsInt,0)+2,FALSE),))</f>
        <v>2455.3240402199017</v>
      </c>
      <c r="L31" s="18">
        <f ca="1">IF(L$13&gt;MAX([0]!yearsInt), NA(),_xlfn.IFNA(VLOOKUP($D31,intInput,MATCH(L$13,yearsInt,0)+2,FALSE),))</f>
        <v>3040.3081741973169</v>
      </c>
      <c r="M31" s="18">
        <f ca="1">IF(M$13&gt;MAX([0]!yearsInt), NA(),_xlfn.IFNA(VLOOKUP($D31,intInput,MATCH(M$13,yearsInt,0)+2,FALSE),))</f>
        <v>4327.4815721368486</v>
      </c>
      <c r="N31" s="18">
        <f ca="1">IF(N$13&gt;MAX([0]!yearsInt), NA(),_xlfn.IFNA(VLOOKUP($D31,intInput,MATCH(N$13,yearsInt,0)+2,FALSE),))</f>
        <v>6220.5216362810288</v>
      </c>
      <c r="O31" s="18">
        <f ca="1">IF(O$13&gt;MAX([0]!yearsInt), NA(),_xlfn.IFNA(VLOOKUP($D31,intInput,MATCH(O$13,yearsInt,0)+2,FALSE),))</f>
        <v>6238.7408713609793</v>
      </c>
      <c r="P31" s="18">
        <f ca="1">IF(P$13&gt;MAX([0]!yearsInt), NA(),_xlfn.IFNA(VLOOKUP($D31,intInput,MATCH(P$13,yearsInt,0)+2,FALSE),))</f>
        <v>5621.3702490604583</v>
      </c>
      <c r="Q31" s="18">
        <f ca="1">IF(Q$13&gt;MAX([0]!yearsInt), NA(),_xlfn.IFNA(VLOOKUP($D31,intInput,MATCH(Q$13,yearsInt,0)+2,FALSE),))</f>
        <v>5720.5057391948303</v>
      </c>
      <c r="R31" s="18"/>
      <c r="S31" s="264" t="e">
        <f t="shared" ca="1" si="1"/>
        <v>#DIV/0!</v>
      </c>
      <c r="T31" s="264">
        <f t="shared" ca="1" si="2"/>
        <v>1.2722214147260491E-2</v>
      </c>
      <c r="U31" s="264" t="e">
        <f t="shared" ca="1" si="3"/>
        <v>#DIV/0!</v>
      </c>
      <c r="V31" s="18"/>
      <c r="W31" s="266"/>
      <c r="X31" s="46"/>
      <c r="Y31" s="46"/>
      <c r="Z31" s="46"/>
      <c r="AA31" s="46"/>
      <c r="AB31" s="46"/>
      <c r="AC31" s="46"/>
      <c r="AD31" s="46"/>
      <c r="AE31" s="46"/>
      <c r="AF31" s="46"/>
      <c r="AG31" s="46"/>
    </row>
    <row r="32" spans="1:33" x14ac:dyDescent="0.15">
      <c r="D32" s="1" t="s">
        <v>5</v>
      </c>
      <c r="E32" s="1" t="s">
        <v>24</v>
      </c>
      <c r="F32" s="18">
        <f t="shared" ca="1" si="9"/>
        <v>0</v>
      </c>
      <c r="G32" s="18">
        <f ca="1">IF(G$13&gt;MAX([0]!yearsInt), NA(),_xlfn.IFNA(VLOOKUP($D32,intInput,MATCH(G$13,yearsInt,0)+2,FALSE),))</f>
        <v>0</v>
      </c>
      <c r="H32" s="18">
        <f ca="1">IF(H$13&gt;MAX([0]!yearsInt), NA(),_xlfn.IFNA(VLOOKUP($D32,intInput,MATCH(H$13,yearsInt,0)+2,FALSE),))</f>
        <v>0</v>
      </c>
      <c r="I32" s="18">
        <f ca="1">IF(I$13&gt;MAX([0]!yearsInt), NA(),_xlfn.IFNA(VLOOKUP($D32,intInput,MATCH(I$13,yearsInt,0)+2,FALSE),))</f>
        <v>4.8386068484041956E-15</v>
      </c>
      <c r="J32" s="18">
        <f ca="1">IF(J$13&gt;MAX([0]!yearsInt), NA(),_xlfn.IFNA(VLOOKUP($D32,intInput,MATCH(J$13,yearsInt,0)+2,FALSE),))</f>
        <v>2.0047783663339151E-6</v>
      </c>
      <c r="K32" s="18">
        <f ca="1">IF(K$13&gt;MAX([0]!yearsInt), NA(),_xlfn.IFNA(VLOOKUP($D32,intInput,MATCH(K$13,yearsInt,0)+2,FALSE),))</f>
        <v>4.5750844565087795E-5</v>
      </c>
      <c r="L32" s="18">
        <f ca="1">IF(L$13&gt;MAX([0]!yearsInt), NA(),_xlfn.IFNA(VLOOKUP($D32,intInput,MATCH(L$13,yearsInt,0)+2,FALSE),))</f>
        <v>9.4639817689382691E-2</v>
      </c>
      <c r="M32" s="18">
        <f ca="1">IF(M$13&gt;MAX([0]!yearsInt), NA(),_xlfn.IFNA(VLOOKUP($D32,intInput,MATCH(M$13,yearsInt,0)+2,FALSE),))</f>
        <v>8.8683626624213474E-2</v>
      </c>
      <c r="N32" s="18">
        <f ca="1">IF(N$13&gt;MAX([0]!yearsInt), NA(),_xlfn.IFNA(VLOOKUP($D32,intInput,MATCH(N$13,yearsInt,0)+2,FALSE),))</f>
        <v>7.1516428154912617E-2</v>
      </c>
      <c r="O32" s="18">
        <f ca="1">IF(O$13&gt;MAX([0]!yearsInt), NA(),_xlfn.IFNA(VLOOKUP($D32,intInput,MATCH(O$13,yearsInt,0)+2,FALSE),))</f>
        <v>5.4543651837472375E-2</v>
      </c>
      <c r="P32" s="18">
        <f ca="1">IF(P$13&gt;MAX([0]!yearsInt), NA(),_xlfn.IFNA(VLOOKUP($D32,intInput,MATCH(P$13,yearsInt,0)+2,FALSE),))</f>
        <v>5.1858247085571442E-2</v>
      </c>
      <c r="Q32" s="18">
        <f ca="1">IF(Q$13&gt;MAX([0]!yearsInt), NA(),_xlfn.IFNA(VLOOKUP($D32,intInput,MATCH(Q$13,yearsInt,0)+2,FALSE),))</f>
        <v>0.33366896726268652</v>
      </c>
      <c r="R32" s="18"/>
      <c r="S32" s="264" t="e">
        <f t="shared" ca="1" si="1"/>
        <v>#DIV/0!</v>
      </c>
      <c r="T32" s="264">
        <f t="shared" ca="1" si="2"/>
        <v>2.5521662187137695E-2</v>
      </c>
      <c r="U32" s="264" t="e">
        <f t="shared" ca="1" si="3"/>
        <v>#DIV/0!</v>
      </c>
      <c r="V32" s="18"/>
      <c r="W32" s="266"/>
      <c r="X32" s="46"/>
      <c r="Y32" s="46"/>
      <c r="Z32" s="46"/>
      <c r="AA32" s="46"/>
      <c r="AB32" s="46"/>
      <c r="AC32" s="46"/>
      <c r="AD32" s="46"/>
      <c r="AE32" s="46"/>
      <c r="AF32" s="46"/>
      <c r="AG32" s="46"/>
    </row>
    <row r="33" spans="4:33" ht="15" x14ac:dyDescent="0.2">
      <c r="D33" s="2" t="s">
        <v>3</v>
      </c>
      <c r="E33" s="1" t="s">
        <v>24</v>
      </c>
      <c r="F33" s="18">
        <f t="shared" ca="1" si="9"/>
        <v>0</v>
      </c>
      <c r="G33" s="18">
        <f t="shared" ca="1" si="9"/>
        <v>0</v>
      </c>
      <c r="H33" s="18">
        <f t="shared" ca="1" si="9"/>
        <v>0</v>
      </c>
      <c r="I33" s="18">
        <f t="shared" ca="1" si="9"/>
        <v>0</v>
      </c>
      <c r="J33" s="18">
        <f t="shared" ca="1" si="9"/>
        <v>0</v>
      </c>
      <c r="K33" s="18">
        <f t="shared" ca="1" si="9"/>
        <v>0</v>
      </c>
      <c r="L33" s="18">
        <f t="shared" ca="1" si="9"/>
        <v>0</v>
      </c>
      <c r="M33" s="18">
        <f t="shared" ca="1" si="9"/>
        <v>0</v>
      </c>
      <c r="N33" s="18">
        <f t="shared" ca="1" si="9"/>
        <v>0</v>
      </c>
      <c r="O33" s="18">
        <f t="shared" ca="1" si="9"/>
        <v>0</v>
      </c>
      <c r="P33" s="18">
        <f t="shared" ca="1" si="9"/>
        <v>0</v>
      </c>
      <c r="Q33" s="18">
        <f t="shared" ca="1" si="9"/>
        <v>0</v>
      </c>
      <c r="R33" s="18"/>
      <c r="S33" s="264" t="e">
        <f t="shared" ca="1" si="1"/>
        <v>#DIV/0!</v>
      </c>
      <c r="T33" s="264" t="e">
        <f t="shared" ca="1" si="2"/>
        <v>#DIV/0!</v>
      </c>
      <c r="U33" s="264" t="e">
        <f t="shared" ca="1" si="3"/>
        <v>#DIV/0!</v>
      </c>
      <c r="V33" s="18"/>
      <c r="W33" s="266"/>
      <c r="X33" s="46"/>
      <c r="Y33" s="46"/>
      <c r="Z33" s="46"/>
      <c r="AA33" s="46"/>
      <c r="AB33" s="46"/>
      <c r="AC33" s="46"/>
      <c r="AD33" s="46"/>
      <c r="AE33" s="46"/>
      <c r="AF33" s="46"/>
      <c r="AG33" s="46"/>
    </row>
    <row r="34" spans="4:33" x14ac:dyDescent="0.15">
      <c r="D34" s="1" t="s">
        <v>280</v>
      </c>
      <c r="E34" s="1"/>
      <c r="F34" s="18">
        <f t="shared" ca="1" si="9"/>
        <v>0</v>
      </c>
      <c r="G34" s="18">
        <f t="shared" ca="1" si="9"/>
        <v>0</v>
      </c>
      <c r="H34" s="18">
        <f t="shared" ca="1" si="9"/>
        <v>0</v>
      </c>
      <c r="I34" s="18">
        <f t="shared" ca="1" si="9"/>
        <v>0</v>
      </c>
      <c r="J34" s="18">
        <f t="shared" ca="1" si="9"/>
        <v>0</v>
      </c>
      <c r="K34" s="18">
        <f t="shared" ca="1" si="9"/>
        <v>0</v>
      </c>
      <c r="L34" s="18">
        <f t="shared" ca="1" si="9"/>
        <v>0</v>
      </c>
      <c r="M34" s="18">
        <f t="shared" ca="1" si="9"/>
        <v>0</v>
      </c>
      <c r="N34" s="18">
        <f t="shared" ca="1" si="9"/>
        <v>0</v>
      </c>
      <c r="O34" s="18">
        <f t="shared" ca="1" si="9"/>
        <v>0</v>
      </c>
      <c r="P34" s="18">
        <f t="shared" ca="1" si="9"/>
        <v>0</v>
      </c>
      <c r="Q34" s="18">
        <f t="shared" ca="1" si="9"/>
        <v>0</v>
      </c>
      <c r="R34" s="18"/>
      <c r="S34" s="264" t="e">
        <f t="shared" ca="1" si="1"/>
        <v>#DIV/0!</v>
      </c>
      <c r="T34" s="264" t="e">
        <f t="shared" ca="1" si="2"/>
        <v>#DIV/0!</v>
      </c>
      <c r="U34" s="264" t="e">
        <f t="shared" ca="1" si="3"/>
        <v>#DIV/0!</v>
      </c>
      <c r="V34" s="18"/>
      <c r="W34" s="266"/>
      <c r="X34" s="46"/>
      <c r="Y34" s="46"/>
      <c r="Z34" s="46"/>
      <c r="AA34" s="46"/>
      <c r="AB34" s="46"/>
      <c r="AC34" s="46"/>
      <c r="AD34" s="46"/>
      <c r="AE34" s="46"/>
      <c r="AF34" s="46"/>
      <c r="AG34" s="46"/>
    </row>
    <row r="35" spans="4:33" x14ac:dyDescent="0.15">
      <c r="D35" s="1" t="s">
        <v>281</v>
      </c>
      <c r="F35" s="18">
        <f t="shared" ca="1" si="9"/>
        <v>0</v>
      </c>
      <c r="G35" s="18">
        <f t="shared" ca="1" si="9"/>
        <v>0</v>
      </c>
      <c r="H35" s="18">
        <f t="shared" ca="1" si="9"/>
        <v>0</v>
      </c>
      <c r="I35" s="18">
        <f t="shared" ca="1" si="9"/>
        <v>0</v>
      </c>
      <c r="J35" s="18">
        <f t="shared" ca="1" si="9"/>
        <v>0</v>
      </c>
      <c r="K35" s="18">
        <f t="shared" ca="1" si="9"/>
        <v>0</v>
      </c>
      <c r="L35" s="18">
        <f t="shared" ca="1" si="9"/>
        <v>0</v>
      </c>
      <c r="M35" s="18">
        <f t="shared" ca="1" si="9"/>
        <v>0</v>
      </c>
      <c r="N35" s="18">
        <f t="shared" ca="1" si="9"/>
        <v>0</v>
      </c>
      <c r="O35" s="18">
        <f t="shared" ca="1" si="9"/>
        <v>0</v>
      </c>
      <c r="P35" s="18">
        <f t="shared" ca="1" si="9"/>
        <v>0</v>
      </c>
      <c r="Q35" s="18">
        <f t="shared" ca="1" si="9"/>
        <v>0</v>
      </c>
      <c r="R35" s="18"/>
      <c r="S35" s="264" t="e">
        <f t="shared" ca="1" si="1"/>
        <v>#DIV/0!</v>
      </c>
      <c r="T35" s="264" t="e">
        <f t="shared" ca="1" si="2"/>
        <v>#DIV/0!</v>
      </c>
      <c r="U35" s="264" t="e">
        <f t="shared" ca="1" si="3"/>
        <v>#DIV/0!</v>
      </c>
      <c r="V35" s="18"/>
      <c r="W35" s="266"/>
      <c r="X35" s="46"/>
      <c r="Y35" s="46"/>
      <c r="Z35" s="46"/>
      <c r="AA35" s="46"/>
      <c r="AB35" s="46"/>
      <c r="AC35" s="46"/>
      <c r="AD35" s="46"/>
      <c r="AE35" s="46"/>
      <c r="AF35" s="46"/>
      <c r="AG35" s="46"/>
    </row>
    <row r="36" spans="4:33" x14ac:dyDescent="0.15">
      <c r="D36" s="1" t="s">
        <v>282</v>
      </c>
      <c r="F36" s="18">
        <f t="shared" ca="1" si="9"/>
        <v>0</v>
      </c>
      <c r="G36" s="18">
        <f t="shared" ca="1" si="9"/>
        <v>0</v>
      </c>
      <c r="H36" s="18">
        <f t="shared" ca="1" si="9"/>
        <v>0</v>
      </c>
      <c r="I36" s="18">
        <f t="shared" ca="1" si="9"/>
        <v>0</v>
      </c>
      <c r="J36" s="18">
        <f t="shared" ca="1" si="9"/>
        <v>0</v>
      </c>
      <c r="K36" s="18">
        <f t="shared" ca="1" si="9"/>
        <v>0</v>
      </c>
      <c r="L36" s="18">
        <f t="shared" ca="1" si="9"/>
        <v>0</v>
      </c>
      <c r="M36" s="18">
        <f t="shared" ca="1" si="9"/>
        <v>0</v>
      </c>
      <c r="N36" s="18">
        <f t="shared" ca="1" si="9"/>
        <v>0</v>
      </c>
      <c r="O36" s="18">
        <f t="shared" ca="1" si="9"/>
        <v>0</v>
      </c>
      <c r="P36" s="18">
        <f t="shared" ca="1" si="9"/>
        <v>0</v>
      </c>
      <c r="Q36" s="18">
        <f t="shared" ca="1" si="9"/>
        <v>0</v>
      </c>
      <c r="R36" s="18"/>
      <c r="S36" s="264" t="e">
        <f t="shared" ca="1" si="1"/>
        <v>#DIV/0!</v>
      </c>
      <c r="T36" s="264" t="e">
        <f t="shared" ca="1" si="2"/>
        <v>#DIV/0!</v>
      </c>
      <c r="U36" s="264" t="e">
        <f t="shared" ca="1" si="3"/>
        <v>#DIV/0!</v>
      </c>
      <c r="V36" s="18"/>
      <c r="W36" s="266"/>
      <c r="X36" s="46"/>
      <c r="Y36" s="46"/>
      <c r="Z36" s="46"/>
      <c r="AA36" s="46"/>
      <c r="AB36" s="46"/>
      <c r="AC36" s="46"/>
      <c r="AD36" s="46"/>
      <c r="AE36" s="46"/>
      <c r="AF36" s="46"/>
      <c r="AG36" s="46"/>
    </row>
    <row r="37" spans="4:33" ht="16" x14ac:dyDescent="0.15">
      <c r="D37" s="265" t="s">
        <v>468</v>
      </c>
      <c r="E37" s="265" t="s">
        <v>469</v>
      </c>
      <c r="F37" s="18">
        <f t="shared" ca="1" si="9"/>
        <v>0</v>
      </c>
      <c r="G37" s="18">
        <f t="shared" ca="1" si="9"/>
        <v>290.04389359999999</v>
      </c>
      <c r="H37" s="18">
        <f t="shared" ca="1" si="9"/>
        <v>396.79837429999998</v>
      </c>
      <c r="I37" s="18">
        <f t="shared" ca="1" si="9"/>
        <v>683.75276389999999</v>
      </c>
      <c r="J37" s="18">
        <f t="shared" ca="1" si="9"/>
        <v>124.937376</v>
      </c>
      <c r="K37" s="18">
        <f t="shared" ca="1" si="9"/>
        <v>60.681841509999998</v>
      </c>
      <c r="L37" s="18">
        <f t="shared" ca="1" si="9"/>
        <v>71.076768040000005</v>
      </c>
      <c r="M37" s="18">
        <f t="shared" ca="1" si="9"/>
        <v>80.232269740000007</v>
      </c>
      <c r="N37" s="18">
        <f t="shared" ca="1" si="9"/>
        <v>89.804999859999995</v>
      </c>
      <c r="O37" s="18">
        <f t="shared" ca="1" si="9"/>
        <v>94.967953629999997</v>
      </c>
      <c r="P37" s="18">
        <f t="shared" ca="1" si="9"/>
        <v>99.826566790000001</v>
      </c>
      <c r="Q37" s="18">
        <f t="shared" ca="1" si="9"/>
        <v>104.55012840000001</v>
      </c>
      <c r="S37" s="46"/>
      <c r="T37" s="46"/>
      <c r="U37" s="46"/>
      <c r="W37" s="46"/>
      <c r="X37" s="46"/>
      <c r="Y37" s="46"/>
      <c r="Z37" s="46"/>
      <c r="AA37" s="46"/>
      <c r="AB37" s="46"/>
      <c r="AC37" s="46"/>
      <c r="AD37" s="46"/>
      <c r="AE37" s="46"/>
      <c r="AF37" s="46"/>
      <c r="AG37" s="46"/>
    </row>
    <row r="38" spans="4:33" ht="16" x14ac:dyDescent="0.15">
      <c r="D38" s="20" t="s">
        <v>470</v>
      </c>
      <c r="E38" s="265" t="s">
        <v>471</v>
      </c>
      <c r="F38" s="18">
        <f t="shared" ca="1" si="9"/>
        <v>0</v>
      </c>
      <c r="G38" s="18">
        <f t="shared" ca="1" si="9"/>
        <v>15.61599049</v>
      </c>
      <c r="H38" s="18">
        <f t="shared" ca="1" si="9"/>
        <v>21.531364969999998</v>
      </c>
      <c r="I38" s="18">
        <f t="shared" ca="1" si="9"/>
        <v>23.500637510000001</v>
      </c>
      <c r="J38" s="18">
        <f t="shared" ca="1" si="9"/>
        <v>7.9309986879999999</v>
      </c>
      <c r="K38" s="18">
        <f t="shared" ca="1" si="9"/>
        <v>5.5999055100000001</v>
      </c>
      <c r="L38" s="18">
        <f t="shared" ca="1" si="9"/>
        <v>3.7801835920000002</v>
      </c>
      <c r="M38" s="18">
        <f t="shared" ca="1" si="9"/>
        <v>2.8038905810000001</v>
      </c>
      <c r="N38" s="18">
        <f t="shared" ca="1" si="9"/>
        <v>2.2508874890000001</v>
      </c>
      <c r="O38" s="18">
        <f t="shared" ca="1" si="9"/>
        <v>1.835669303</v>
      </c>
      <c r="P38" s="18">
        <f t="shared" ca="1" si="9"/>
        <v>1.451285148</v>
      </c>
      <c r="Q38" s="18">
        <f t="shared" ca="1" si="9"/>
        <v>1.1943981889999999</v>
      </c>
      <c r="S38" s="46"/>
      <c r="T38" s="46"/>
      <c r="U38" s="46"/>
      <c r="W38" s="46"/>
      <c r="X38" s="46"/>
      <c r="Y38" s="46"/>
      <c r="Z38" s="46"/>
      <c r="AA38" s="46"/>
      <c r="AB38" s="46"/>
      <c r="AC38" s="46"/>
      <c r="AD38" s="46"/>
      <c r="AE38" s="46"/>
      <c r="AF38" s="46"/>
      <c r="AG38" s="46"/>
    </row>
    <row r="39" spans="4:33" ht="16" x14ac:dyDescent="0.15">
      <c r="D39" s="265" t="s">
        <v>472</v>
      </c>
      <c r="E39" s="265" t="s">
        <v>473</v>
      </c>
      <c r="F39" s="18">
        <f t="shared" ca="1" si="9"/>
        <v>0</v>
      </c>
      <c r="G39" s="18">
        <f t="shared" ca="1" si="9"/>
        <v>6.2299561499999996</v>
      </c>
      <c r="H39" s="18">
        <f t="shared" ca="1" si="9"/>
        <v>6.6060690879999999</v>
      </c>
      <c r="I39" s="18">
        <f t="shared" ca="1" si="9"/>
        <v>3.7931110860000001</v>
      </c>
      <c r="J39" s="18">
        <f t="shared" ca="1" si="9"/>
        <v>2.198301077</v>
      </c>
      <c r="K39" s="18">
        <f t="shared" ca="1" si="9"/>
        <v>1.967334986</v>
      </c>
      <c r="L39" s="18">
        <f t="shared" ca="1" si="9"/>
        <v>1.6373909710000001</v>
      </c>
      <c r="M39" s="18">
        <f t="shared" ca="1" si="9"/>
        <v>1.497998953</v>
      </c>
      <c r="N39" s="18">
        <f t="shared" ca="1" si="9"/>
        <v>1.4208110570000001</v>
      </c>
      <c r="O39" s="18">
        <f t="shared" ca="1" si="9"/>
        <v>1.2613890169999999</v>
      </c>
      <c r="P39" s="18">
        <f t="shared" ca="1" si="9"/>
        <v>1.077921033</v>
      </c>
      <c r="Q39" s="18">
        <f t="shared" ca="1" si="9"/>
        <v>0.87001717099999998</v>
      </c>
      <c r="S39" s="46"/>
      <c r="T39" s="46"/>
      <c r="U39" s="46"/>
      <c r="W39" s="46"/>
      <c r="X39" s="46"/>
      <c r="Y39" s="46"/>
      <c r="Z39" s="46"/>
      <c r="AA39" s="46"/>
      <c r="AB39" s="46"/>
      <c r="AC39" s="46"/>
      <c r="AD39" s="46"/>
      <c r="AE39" s="46"/>
      <c r="AF39" s="46"/>
      <c r="AG39" s="46"/>
    </row>
    <row r="40" spans="4:33" x14ac:dyDescent="0.15">
      <c r="S40" s="46"/>
      <c r="T40" s="46"/>
      <c r="U40" s="46"/>
      <c r="W40" s="46"/>
      <c r="X40" s="46"/>
      <c r="Y40" s="46"/>
      <c r="Z40" s="46"/>
      <c r="AA40" s="46"/>
      <c r="AB40" s="46"/>
      <c r="AC40" s="46"/>
      <c r="AD40" s="46"/>
      <c r="AE40" s="46"/>
      <c r="AF40" s="46"/>
      <c r="AG40" s="46"/>
    </row>
    <row r="41" spans="4:33" ht="16" x14ac:dyDescent="0.15">
      <c r="D41" s="46" t="s">
        <v>388</v>
      </c>
      <c r="E41" s="265" t="s">
        <v>18</v>
      </c>
      <c r="F41" s="46">
        <f t="shared" ref="F41:Q41" ca="1" si="10">F25+F26+F27</f>
        <v>0</v>
      </c>
      <c r="G41" s="46">
        <f t="shared" ca="1" si="10"/>
        <v>394.45100781250005</v>
      </c>
      <c r="H41" s="46">
        <f t="shared" ca="1" si="10"/>
        <v>432.60409375000006</v>
      </c>
      <c r="I41" s="46">
        <f t="shared" ca="1" si="10"/>
        <v>410.04599999999999</v>
      </c>
      <c r="J41" s="46">
        <f t="shared" ca="1" si="10"/>
        <v>296.43971093750002</v>
      </c>
      <c r="K41" s="46">
        <f t="shared" ca="1" si="10"/>
        <v>190.2819375</v>
      </c>
      <c r="L41" s="46">
        <f t="shared" ca="1" si="10"/>
        <v>156.04</v>
      </c>
      <c r="M41" s="46">
        <f t="shared" ca="1" si="10"/>
        <v>158.95761132812501</v>
      </c>
      <c r="N41" s="46">
        <f t="shared" ca="1" si="10"/>
        <v>179.69699023437499</v>
      </c>
      <c r="O41" s="46">
        <f t="shared" ca="1" si="10"/>
        <v>172.282107421875</v>
      </c>
      <c r="P41" s="46">
        <f t="shared" ca="1" si="10"/>
        <v>155.81519824218751</v>
      </c>
      <c r="Q41" s="46">
        <f t="shared" ca="1" si="10"/>
        <v>154.83950781250002</v>
      </c>
      <c r="S41" s="264">
        <f ca="1">(L41/$H41)^(1/(L$13-$H$13))-1</f>
        <v>-2.5170567973030078E-2</v>
      </c>
      <c r="T41" s="264">
        <f ca="1">(Q41/$L41)^(1/(Q$13-L$13))-1</f>
        <v>-1.5445282330450727E-4</v>
      </c>
      <c r="U41" s="264">
        <f ca="1">(Q41/$H41)^(1/(Q$13-$H$13))-1</f>
        <v>-1.1351016949114001E-2</v>
      </c>
      <c r="W41" s="46"/>
      <c r="X41" s="267">
        <f ca="1">((J41-I41)/$I41)/10</f>
        <v>-2.7705742541690438E-2</v>
      </c>
      <c r="Y41" s="267">
        <f t="shared" ref="Y41:AE41" ca="1" si="11">((K41-J41)/$I41)/10</f>
        <v>-2.5889235216902499E-2</v>
      </c>
      <c r="Z41" s="267">
        <f t="shared" ca="1" si="11"/>
        <v>-8.3507551591772648E-3</v>
      </c>
      <c r="AA41" s="267">
        <f t="shared" ca="1" si="11"/>
        <v>7.1153268855811782E-4</v>
      </c>
      <c r="AB41" s="267">
        <f t="shared" ca="1" si="11"/>
        <v>5.0578176366188141E-3</v>
      </c>
      <c r="AC41" s="267">
        <f t="shared" ca="1" si="11"/>
        <v>-1.8083051200353123E-3</v>
      </c>
      <c r="AD41" s="267">
        <f t="shared" ca="1" si="11"/>
        <v>-4.0158687512346159E-3</v>
      </c>
      <c r="AE41" s="267">
        <f t="shared" ca="1" si="11"/>
        <v>-2.3794657908807532E-4</v>
      </c>
      <c r="AF41" s="46"/>
      <c r="AG41" s="267">
        <f ca="1">((L41-I41)/$I41)/30</f>
        <v>-2.0648577639256736E-2</v>
      </c>
    </row>
    <row r="45" spans="4:33" x14ac:dyDescent="0.15">
      <c r="E45" s="5" t="s">
        <v>442</v>
      </c>
      <c r="G45" s="285">
        <f ca="1">G22/'Ref Data'!G22</f>
        <v>1.0070363635865291</v>
      </c>
      <c r="H45" s="285">
        <f ca="1">H22/'Ref Data'!H22</f>
        <v>1.0070363636865094</v>
      </c>
      <c r="I45" s="285">
        <f ca="1">I22/'Ref Data'!I22</f>
        <v>1.0018347306627591</v>
      </c>
      <c r="J45" s="285">
        <f ca="1">J22/'Ref Data'!J22</f>
        <v>0.99140919790586224</v>
      </c>
      <c r="K45" s="285">
        <f ca="1">K22/'Ref Data'!K22</f>
        <v>0.97932182821778702</v>
      </c>
      <c r="L45" s="285">
        <f ca="1">L22/'Ref Data'!L22</f>
        <v>0.96309471655597156</v>
      </c>
      <c r="M45" s="285">
        <f ca="1">M22/'Ref Data'!M22</f>
        <v>0.94236474399530035</v>
      </c>
      <c r="N45" s="285">
        <f ca="1">N22/'Ref Data'!N22</f>
        <v>0.9164694102571066</v>
      </c>
      <c r="O45" s="285">
        <f ca="1">O22/'Ref Data'!O22</f>
        <v>0.88449289263424746</v>
      </c>
      <c r="P45" s="285">
        <f ca="1">P22/'Ref Data'!P22</f>
        <v>0.84502698468398119</v>
      </c>
      <c r="Q45" s="285">
        <f ca="1">Q22/'Ref Data'!Q22</f>
        <v>0.79778658895688448</v>
      </c>
    </row>
    <row r="46" spans="4:33" x14ac:dyDescent="0.15">
      <c r="E46" s="5" t="s">
        <v>443</v>
      </c>
      <c r="F46" s="18"/>
      <c r="G46" s="286">
        <f ca="1">G23/'Ref Data'!G23</f>
        <v>0.99999999993300714</v>
      </c>
      <c r="H46" s="286">
        <f ca="1">H23/'Ref Data'!H23</f>
        <v>0.99999999993679389</v>
      </c>
      <c r="I46" s="286">
        <f ca="1">I23/'Ref Data'!I23</f>
        <v>0.98756475940230393</v>
      </c>
      <c r="J46" s="286">
        <f ca="1">J23/'Ref Data'!J23</f>
        <v>0.96808900615685523</v>
      </c>
      <c r="K46" s="286">
        <f ca="1">K23/'Ref Data'!K23</f>
        <v>0.94711484820112546</v>
      </c>
      <c r="L46" s="286">
        <f ca="1">L23/'Ref Data'!L23</f>
        <v>0.92296027496023214</v>
      </c>
      <c r="M46" s="286">
        <f ca="1">M23/'Ref Data'!M23</f>
        <v>0.89769605827704757</v>
      </c>
      <c r="N46" s="286">
        <f ca="1">N23/'Ref Data'!N23</f>
        <v>0.87072371359430101</v>
      </c>
      <c r="O46" s="286">
        <f ca="1">O23/'Ref Data'!O23</f>
        <v>0.84042151670461618</v>
      </c>
      <c r="P46" s="286">
        <f ca="1">P23/'Ref Data'!P23</f>
        <v>0.80534956508891642</v>
      </c>
      <c r="Q46" s="286">
        <f ca="1">Q23/'Ref Data'!Q23</f>
        <v>0.76434248344081002</v>
      </c>
    </row>
  </sheetData>
  <hyperlinks>
    <hyperlink ref="B3" r:id="rId1" xr:uid="{2C80737B-930F-7F41-BBC7-CAF05A8ECBA5}"/>
  </hyperlinks>
  <pageMargins left="0.75" right="0.75" top="1" bottom="1" header="0.5" footer="0.5"/>
  <pageSetup orientation="portrait" horizontalDpi="4294967292" verticalDpi="429496729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CF9580-00E5-DE43-A523-DD8B3BABE410}">
  <sheetPr>
    <tabColor rgb="FFFFFF00"/>
  </sheetPr>
  <dimension ref="A1:AA31"/>
  <sheetViews>
    <sheetView topLeftCell="A26" workbookViewId="0">
      <selection activeCell="X32" sqref="X32"/>
    </sheetView>
  </sheetViews>
  <sheetFormatPr baseColWidth="10" defaultRowHeight="16" x14ac:dyDescent="0.2"/>
  <cols>
    <col min="4" max="4" width="21.1640625" customWidth="1"/>
    <col min="7" max="7" width="11.6640625" bestFit="1" customWidth="1"/>
  </cols>
  <sheetData>
    <row r="1" spans="1:17" x14ac:dyDescent="0.2">
      <c r="A1" s="290"/>
      <c r="B1" s="46"/>
      <c r="C1" s="46"/>
      <c r="D1" s="46"/>
      <c r="E1" s="46"/>
      <c r="F1" s="46"/>
      <c r="G1" s="46"/>
      <c r="H1" s="46"/>
      <c r="I1" s="46"/>
      <c r="J1" s="46"/>
      <c r="K1" s="46"/>
      <c r="L1" s="46"/>
      <c r="M1" s="46"/>
      <c r="N1" s="46"/>
      <c r="O1" s="46"/>
      <c r="P1" s="46"/>
      <c r="Q1" s="46"/>
    </row>
    <row r="2" spans="1:17" x14ac:dyDescent="0.2">
      <c r="A2" s="290" t="s">
        <v>454</v>
      </c>
      <c r="B2" s="291" t="s">
        <v>453</v>
      </c>
      <c r="C2" s="46"/>
      <c r="D2" s="46"/>
      <c r="E2" s="46"/>
      <c r="F2" s="46"/>
      <c r="G2" s="46"/>
      <c r="H2" s="46"/>
      <c r="I2" s="46"/>
      <c r="J2" s="46"/>
      <c r="K2" s="46"/>
      <c r="L2" s="46"/>
      <c r="M2" s="46"/>
      <c r="N2" s="46"/>
      <c r="O2" s="46"/>
      <c r="P2" s="46"/>
      <c r="Q2" s="46"/>
    </row>
    <row r="3" spans="1:17" x14ac:dyDescent="0.2">
      <c r="A3" s="290" t="s">
        <v>452</v>
      </c>
      <c r="B3" s="46"/>
      <c r="C3" s="46"/>
      <c r="D3" s="46"/>
      <c r="E3" s="46"/>
      <c r="F3" s="46"/>
      <c r="G3" s="46"/>
      <c r="H3" s="46"/>
      <c r="I3" s="46"/>
      <c r="J3" s="46"/>
      <c r="K3" s="46"/>
      <c r="L3" s="46"/>
      <c r="M3" s="46"/>
      <c r="N3" s="46"/>
      <c r="O3" s="46"/>
      <c r="P3" s="46"/>
      <c r="Q3" s="46"/>
    </row>
    <row r="4" spans="1:17" x14ac:dyDescent="0.2">
      <c r="A4" s="46"/>
      <c r="B4" s="46"/>
      <c r="C4" s="46"/>
      <c r="D4" s="46"/>
      <c r="E4" s="46"/>
      <c r="F4" s="46"/>
      <c r="G4" s="46"/>
      <c r="H4" s="46"/>
      <c r="I4" s="46"/>
      <c r="J4" s="46"/>
      <c r="K4" s="46"/>
      <c r="L4" s="46"/>
      <c r="M4" s="46"/>
      <c r="N4" s="46"/>
      <c r="O4" s="46"/>
      <c r="P4" s="46"/>
      <c r="Q4" s="46"/>
    </row>
    <row r="5" spans="1:17" x14ac:dyDescent="0.2">
      <c r="A5" s="46"/>
      <c r="B5" s="290"/>
      <c r="C5" s="46"/>
      <c r="D5" s="46"/>
      <c r="E5" s="46"/>
      <c r="F5" s="46"/>
      <c r="G5" s="46"/>
      <c r="H5" s="46"/>
      <c r="I5" s="46"/>
      <c r="J5" s="46"/>
      <c r="K5" s="46"/>
      <c r="L5" s="46"/>
      <c r="M5" s="46"/>
      <c r="N5" s="46"/>
      <c r="O5" s="46"/>
      <c r="P5" s="46"/>
      <c r="Q5" s="46"/>
    </row>
    <row r="6" spans="1:17" x14ac:dyDescent="0.2">
      <c r="A6" s="46"/>
      <c r="B6" s="290"/>
      <c r="C6" s="46"/>
      <c r="D6" s="46"/>
      <c r="E6" s="46"/>
      <c r="F6" s="46"/>
      <c r="G6" s="46"/>
      <c r="H6" s="46"/>
      <c r="I6" s="46"/>
      <c r="J6" s="46"/>
      <c r="K6" s="46"/>
      <c r="L6" s="46"/>
      <c r="M6" s="46"/>
      <c r="N6" s="46"/>
      <c r="O6" s="46"/>
      <c r="P6" s="46"/>
      <c r="Q6" s="46"/>
    </row>
    <row r="7" spans="1:17" ht="20" x14ac:dyDescent="0.2">
      <c r="A7" s="287" t="s">
        <v>33</v>
      </c>
      <c r="B7" s="262"/>
      <c r="C7" s="262"/>
      <c r="D7" s="262"/>
      <c r="E7" s="262"/>
      <c r="F7" s="262"/>
      <c r="G7" s="262"/>
      <c r="H7" s="262"/>
      <c r="I7" s="262"/>
      <c r="J7" s="262"/>
      <c r="K7" s="262"/>
      <c r="L7" s="262"/>
      <c r="M7" s="262"/>
      <c r="N7" s="262"/>
      <c r="O7" s="262"/>
      <c r="P7" s="262"/>
      <c r="Q7" s="262"/>
    </row>
    <row r="8" spans="1:17" x14ac:dyDescent="0.2">
      <c r="A8" s="262"/>
      <c r="B8" s="14" t="s">
        <v>32</v>
      </c>
      <c r="C8" s="11"/>
      <c r="D8" s="11"/>
      <c r="E8" s="13" t="str">
        <f>Readme!C4</f>
        <v>SSP2-Baseline</v>
      </c>
      <c r="F8" s="289"/>
      <c r="G8" s="262"/>
      <c r="H8" s="262"/>
      <c r="I8" s="262"/>
      <c r="J8" s="262"/>
      <c r="K8" s="262"/>
      <c r="L8" s="262"/>
      <c r="M8" s="262"/>
      <c r="N8" s="262"/>
      <c r="O8" s="262"/>
      <c r="P8" s="262"/>
      <c r="Q8" s="262"/>
    </row>
    <row r="9" spans="1:17" x14ac:dyDescent="0.2">
      <c r="A9" s="262"/>
      <c r="B9" s="14" t="s">
        <v>31</v>
      </c>
      <c r="C9" s="11"/>
      <c r="D9" s="11"/>
      <c r="E9" s="13" t="str">
        <f>Readme!C5</f>
        <v>IMA15-TOT</v>
      </c>
      <c r="F9" s="289"/>
      <c r="G9" s="262"/>
      <c r="H9" s="262"/>
      <c r="I9" s="262"/>
      <c r="J9" s="262"/>
      <c r="K9" s="262"/>
      <c r="L9" s="262"/>
      <c r="M9" s="262"/>
      <c r="N9" s="262"/>
      <c r="O9" s="262"/>
      <c r="P9" s="262"/>
      <c r="Q9" s="262"/>
    </row>
    <row r="10" spans="1:17" x14ac:dyDescent="0.2">
      <c r="A10" s="262"/>
      <c r="B10" s="14" t="s">
        <v>30</v>
      </c>
      <c r="C10" s="11"/>
      <c r="D10" s="11"/>
      <c r="E10" s="13" t="str">
        <f>Readme!C6</f>
        <v>IMAGE 3.0.1</v>
      </c>
      <c r="F10" s="289"/>
      <c r="G10" s="262"/>
      <c r="H10" s="262"/>
      <c r="I10" s="262"/>
      <c r="J10" s="262"/>
      <c r="K10" s="262"/>
      <c r="L10" s="262"/>
      <c r="M10" s="262"/>
      <c r="N10" s="262"/>
      <c r="O10" s="262"/>
      <c r="P10" s="262"/>
      <c r="Q10" s="262"/>
    </row>
    <row r="11" spans="1:17" x14ac:dyDescent="0.2">
      <c r="A11" s="288"/>
      <c r="B11" s="262"/>
      <c r="C11" s="262"/>
      <c r="D11" s="262"/>
      <c r="E11" s="262"/>
      <c r="F11" s="262"/>
      <c r="G11" s="262"/>
      <c r="H11" s="262"/>
      <c r="I11" s="262"/>
      <c r="J11" s="262"/>
      <c r="K11" s="262"/>
      <c r="L11" s="262"/>
      <c r="M11" s="262"/>
      <c r="N11" s="262"/>
      <c r="O11" s="262"/>
      <c r="P11" s="262"/>
      <c r="Q11" s="262"/>
    </row>
    <row r="12" spans="1:17" ht="20" x14ac:dyDescent="0.2">
      <c r="A12" s="287" t="s">
        <v>29</v>
      </c>
      <c r="B12" s="262"/>
      <c r="C12" s="262"/>
      <c r="D12" s="262"/>
      <c r="E12" s="262"/>
      <c r="F12" s="262"/>
      <c r="G12" s="262"/>
      <c r="H12" s="262"/>
      <c r="I12" s="262"/>
      <c r="J12" s="262"/>
      <c r="K12" s="262"/>
      <c r="L12" s="262"/>
      <c r="M12" s="262"/>
      <c r="N12" s="262"/>
      <c r="O12" s="262"/>
      <c r="P12" s="262"/>
      <c r="Q12" s="262"/>
    </row>
    <row r="13" spans="1:17" x14ac:dyDescent="0.2">
      <c r="A13" s="263" t="s">
        <v>15</v>
      </c>
      <c r="B13" s="263" t="s">
        <v>14</v>
      </c>
      <c r="C13" s="263" t="s">
        <v>13</v>
      </c>
      <c r="D13" s="263" t="s">
        <v>28</v>
      </c>
      <c r="E13" s="263" t="s">
        <v>27</v>
      </c>
      <c r="F13" s="263">
        <v>2000</v>
      </c>
      <c r="G13" s="263">
        <v>2005</v>
      </c>
      <c r="H13" s="263">
        <v>2010</v>
      </c>
      <c r="I13" s="263">
        <f>2020</f>
        <v>2020</v>
      </c>
      <c r="J13" s="263">
        <v>2030</v>
      </c>
      <c r="K13" s="263">
        <v>2040</v>
      </c>
      <c r="L13" s="263">
        <v>2050</v>
      </c>
      <c r="M13" s="263">
        <v>2060</v>
      </c>
      <c r="N13" s="263">
        <v>2070</v>
      </c>
      <c r="O13" s="263">
        <v>2080</v>
      </c>
      <c r="P13" s="263">
        <v>2090</v>
      </c>
      <c r="Q13" s="263">
        <v>2100</v>
      </c>
    </row>
    <row r="14" spans="1:17" x14ac:dyDescent="0.2">
      <c r="D14" s="265" t="s">
        <v>9</v>
      </c>
      <c r="G14" s="238">
        <f ca="1">'Ref Data'!G24</f>
        <v>459.0075938</v>
      </c>
      <c r="H14" s="238">
        <f ca="1">'Ref Data'!H24</f>
        <v>506.23181249999999</v>
      </c>
      <c r="I14" s="238">
        <f ca="1">'Ref Data'!I24</f>
        <v>594.26031250000005</v>
      </c>
      <c r="J14" s="238">
        <f ca="1">'Ref Data'!J24</f>
        <v>676.61637499999995</v>
      </c>
      <c r="K14" s="238">
        <f ca="1">'Ref Data'!K24</f>
        <v>755.57987500000002</v>
      </c>
      <c r="L14" s="238">
        <f ca="1">'Ref Data'!L24</f>
        <v>832.27637500000003</v>
      </c>
      <c r="M14" s="238">
        <f ca="1">'Ref Data'!M24</f>
        <v>910.11768749999999</v>
      </c>
      <c r="N14" s="238">
        <f ca="1">'Ref Data'!N24</f>
        <v>976.86431249999998</v>
      </c>
      <c r="O14" s="238">
        <f ca="1">'Ref Data'!O24</f>
        <v>1037.7739999999999</v>
      </c>
      <c r="P14" s="238">
        <f ca="1">'Ref Data'!P24</f>
        <v>1095.373</v>
      </c>
      <c r="Q14" s="238">
        <f ca="1">'Ref Data'!Q24</f>
        <v>1151.866</v>
      </c>
    </row>
    <row r="15" spans="1:17" x14ac:dyDescent="0.2">
      <c r="D15" s="265" t="s">
        <v>11</v>
      </c>
      <c r="G15" s="238">
        <f ca="1">'Ref Data'!G25</f>
        <v>117.48179690000001</v>
      </c>
      <c r="H15" s="238">
        <f ca="1">'Ref Data'!H25</f>
        <v>145.98440629999999</v>
      </c>
      <c r="I15" s="238">
        <f ca="1">'Ref Data'!I25</f>
        <v>172.32499999999999</v>
      </c>
      <c r="J15" s="238">
        <f ca="1">'Ref Data'!J25</f>
        <v>211.99509380000001</v>
      </c>
      <c r="K15" s="238">
        <f ca="1">'Ref Data'!K25</f>
        <v>240.01190629999999</v>
      </c>
      <c r="L15" s="238">
        <f ca="1">'Ref Data'!L25</f>
        <v>263.81950000000001</v>
      </c>
      <c r="M15" s="238">
        <f ca="1">'Ref Data'!M25</f>
        <v>289.18609379999998</v>
      </c>
      <c r="N15" s="238">
        <f ca="1">'Ref Data'!N25</f>
        <v>321.66659379999999</v>
      </c>
      <c r="O15" s="238">
        <f ca="1">'Ref Data'!O25</f>
        <v>366.5186875</v>
      </c>
      <c r="P15" s="238">
        <f ca="1">'Ref Data'!P25</f>
        <v>432.56718749999999</v>
      </c>
      <c r="Q15" s="238">
        <f ca="1">'Ref Data'!Q25</f>
        <v>510.43531250000001</v>
      </c>
    </row>
    <row r="16" spans="1:17" x14ac:dyDescent="0.2">
      <c r="D16" s="265" t="s">
        <v>10</v>
      </c>
      <c r="G16" s="238">
        <f ca="1">'Ref Data'!G26</f>
        <v>101.93460159999999</v>
      </c>
      <c r="H16" s="238">
        <f ca="1">'Ref Data'!H26</f>
        <v>112.7463984</v>
      </c>
      <c r="I16" s="238">
        <f ca="1">'Ref Data'!I26</f>
        <v>152.18899999999999</v>
      </c>
      <c r="J16" s="238">
        <f ca="1">'Ref Data'!J26</f>
        <v>187.71890629999999</v>
      </c>
      <c r="K16" s="238">
        <f ca="1">'Ref Data'!K26</f>
        <v>217.0180938</v>
      </c>
      <c r="L16" s="238">
        <f ca="1">'Ref Data'!L26</f>
        <v>236.3882969</v>
      </c>
      <c r="M16" s="238">
        <f ca="1">'Ref Data'!M26</f>
        <v>260.61790630000002</v>
      </c>
      <c r="N16" s="238">
        <f ca="1">'Ref Data'!N26</f>
        <v>270.75331249999999</v>
      </c>
      <c r="O16" s="238">
        <f ca="1">'Ref Data'!O26</f>
        <v>269.83550000000002</v>
      </c>
      <c r="P16" s="238">
        <f ca="1">'Ref Data'!P26</f>
        <v>245.80199999999999</v>
      </c>
      <c r="Q16" s="238">
        <f ca="1">'Ref Data'!Q26</f>
        <v>215.65909379999999</v>
      </c>
    </row>
    <row r="17" spans="4:27" x14ac:dyDescent="0.2">
      <c r="D17" s="265" t="s">
        <v>12</v>
      </c>
      <c r="G17" s="238">
        <f ca="1">'Ref Data'!G27</f>
        <v>174.8014063</v>
      </c>
      <c r="H17" s="238">
        <f ca="1">'Ref Data'!H27</f>
        <v>171.87170309999999</v>
      </c>
      <c r="I17" s="238">
        <f ca="1">'Ref Data'!I27</f>
        <v>176.6505938</v>
      </c>
      <c r="J17" s="238">
        <f ca="1">'Ref Data'!J27</f>
        <v>165.22149999999999</v>
      </c>
      <c r="K17" s="238">
        <f ca="1">'Ref Data'!K27</f>
        <v>158.09770309999999</v>
      </c>
      <c r="L17" s="238">
        <f ca="1">'Ref Data'!L27</f>
        <v>173.017</v>
      </c>
      <c r="M17" s="238">
        <f ca="1">'Ref Data'!M27</f>
        <v>198.71950000000001</v>
      </c>
      <c r="N17" s="238">
        <f ca="1">'Ref Data'!N27</f>
        <v>201.8860938</v>
      </c>
      <c r="O17" s="238">
        <f ca="1">'Ref Data'!O27</f>
        <v>191.60340629999999</v>
      </c>
      <c r="P17" s="238">
        <f ca="1">'Ref Data'!P27</f>
        <v>187.4747969</v>
      </c>
      <c r="Q17" s="238">
        <f ca="1">'Ref Data'!Q27</f>
        <v>180.62559379999999</v>
      </c>
    </row>
    <row r="18" spans="4:27" x14ac:dyDescent="0.2">
      <c r="D18" s="265" t="s">
        <v>451</v>
      </c>
      <c r="G18" s="238">
        <f t="shared" ref="G18:Q18" ca="1" si="0">SUM(G15:G17)</f>
        <v>394.21780480000001</v>
      </c>
      <c r="H18" s="238">
        <f t="shared" ca="1" si="0"/>
        <v>430.60250780000001</v>
      </c>
      <c r="I18" s="238">
        <f t="shared" ca="1" si="0"/>
        <v>501.16459380000003</v>
      </c>
      <c r="J18" s="238">
        <f t="shared" ca="1" si="0"/>
        <v>564.93550010000001</v>
      </c>
      <c r="K18" s="238">
        <f t="shared" ca="1" si="0"/>
        <v>615.12770320000004</v>
      </c>
      <c r="L18" s="238">
        <f t="shared" ca="1" si="0"/>
        <v>673.2247969</v>
      </c>
      <c r="M18" s="238">
        <f t="shared" ca="1" si="0"/>
        <v>748.52350009999998</v>
      </c>
      <c r="N18" s="238">
        <f t="shared" ca="1" si="0"/>
        <v>794.30600010000001</v>
      </c>
      <c r="O18" s="238">
        <f t="shared" ca="1" si="0"/>
        <v>827.95759380000004</v>
      </c>
      <c r="P18" s="238">
        <f t="shared" ca="1" si="0"/>
        <v>865.84398439999995</v>
      </c>
      <c r="Q18" s="238">
        <f t="shared" ca="1" si="0"/>
        <v>906.72000009999988</v>
      </c>
    </row>
    <row r="19" spans="4:27" x14ac:dyDescent="0.2">
      <c r="D19" s="265" t="s">
        <v>450</v>
      </c>
      <c r="G19" s="238">
        <f t="shared" ref="G19:Q19" ca="1" si="1">G14-G18</f>
        <v>64.789788999999985</v>
      </c>
      <c r="H19" s="238">
        <f t="shared" ca="1" si="1"/>
        <v>75.629304699999977</v>
      </c>
      <c r="I19" s="238">
        <f t="shared" ca="1" si="1"/>
        <v>93.09571870000002</v>
      </c>
      <c r="J19" s="238">
        <f t="shared" ca="1" si="1"/>
        <v>111.68087489999994</v>
      </c>
      <c r="K19" s="238">
        <f t="shared" ca="1" si="1"/>
        <v>140.45217179999997</v>
      </c>
      <c r="L19" s="238">
        <f t="shared" ca="1" si="1"/>
        <v>159.05157810000003</v>
      </c>
      <c r="M19" s="238">
        <f t="shared" ca="1" si="1"/>
        <v>161.59418740000001</v>
      </c>
      <c r="N19" s="238">
        <f t="shared" ca="1" si="1"/>
        <v>182.55831239999998</v>
      </c>
      <c r="O19" s="238">
        <f t="shared" ca="1" si="1"/>
        <v>209.81640619999985</v>
      </c>
      <c r="P19" s="238">
        <f t="shared" ca="1" si="1"/>
        <v>229.52901560000009</v>
      </c>
      <c r="Q19" s="238">
        <f t="shared" ca="1" si="1"/>
        <v>245.14599990000011</v>
      </c>
    </row>
    <row r="20" spans="4:27" x14ac:dyDescent="0.2">
      <c r="D20" s="265" t="s">
        <v>449</v>
      </c>
      <c r="G20" s="25">
        <f t="shared" ref="G20:Q20" ca="1" si="2">G18/G14</f>
        <v>0.85884811084796486</v>
      </c>
      <c r="H20" s="25">
        <f t="shared" ca="1" si="2"/>
        <v>0.85060341362881065</v>
      </c>
      <c r="I20" s="25">
        <f t="shared" ca="1" si="2"/>
        <v>0.84334185416428931</v>
      </c>
      <c r="J20" s="25">
        <f t="shared" ca="1" si="2"/>
        <v>0.83494210452710382</v>
      </c>
      <c r="K20" s="25">
        <f t="shared" ca="1" si="2"/>
        <v>0.81411340290131473</v>
      </c>
      <c r="L20" s="25">
        <f t="shared" ca="1" si="2"/>
        <v>0.80889571916540337</v>
      </c>
      <c r="M20" s="25">
        <f t="shared" ca="1" si="2"/>
        <v>0.82244693228204069</v>
      </c>
      <c r="N20" s="25">
        <f t="shared" ca="1" si="2"/>
        <v>0.81311804509185615</v>
      </c>
      <c r="O20" s="25">
        <f t="shared" ca="1" si="2"/>
        <v>0.79782071414392741</v>
      </c>
      <c r="P20" s="25">
        <f t="shared" ca="1" si="2"/>
        <v>0.79045583960897325</v>
      </c>
      <c r="Q20" s="25">
        <f t="shared" ca="1" si="2"/>
        <v>0.78717489716685785</v>
      </c>
    </row>
    <row r="21" spans="4:27" x14ac:dyDescent="0.2">
      <c r="S21" t="s">
        <v>467</v>
      </c>
    </row>
    <row r="22" spans="4:27" x14ac:dyDescent="0.2">
      <c r="I22" s="263">
        <f>2020</f>
        <v>2020</v>
      </c>
      <c r="J22" s="263">
        <v>2030</v>
      </c>
      <c r="K22" s="263">
        <v>2040</v>
      </c>
      <c r="L22" s="263">
        <v>2050</v>
      </c>
      <c r="M22" s="263">
        <v>2060</v>
      </c>
      <c r="N22" s="263">
        <v>2070</v>
      </c>
      <c r="O22" s="263">
        <v>2080</v>
      </c>
      <c r="P22" s="263">
        <v>2090</v>
      </c>
      <c r="Q22" s="263">
        <v>2100</v>
      </c>
      <c r="R22" t="s">
        <v>63</v>
      </c>
      <c r="S22" s="263">
        <f>2020</f>
        <v>2020</v>
      </c>
      <c r="T22" s="263">
        <v>2030</v>
      </c>
      <c r="U22" s="263">
        <v>2040</v>
      </c>
      <c r="V22" s="263">
        <v>2050</v>
      </c>
      <c r="W22" s="263">
        <v>2060</v>
      </c>
      <c r="X22" s="263">
        <v>2070</v>
      </c>
      <c r="Y22" s="263">
        <v>2080</v>
      </c>
      <c r="Z22" s="263">
        <v>2090</v>
      </c>
      <c r="AA22" s="263">
        <v>2100</v>
      </c>
    </row>
    <row r="23" spans="4:27" x14ac:dyDescent="0.2">
      <c r="G23" s="238"/>
      <c r="H23" t="s">
        <v>448</v>
      </c>
      <c r="I23" s="238">
        <f t="shared" ref="I23:Q23" ca="1" si="3">I15</f>
        <v>172.32499999999999</v>
      </c>
      <c r="J23" s="238">
        <f t="shared" ca="1" si="3"/>
        <v>211.99509380000001</v>
      </c>
      <c r="K23" s="238">
        <f t="shared" ca="1" si="3"/>
        <v>240.01190629999999</v>
      </c>
      <c r="L23" s="238">
        <f t="shared" ca="1" si="3"/>
        <v>263.81950000000001</v>
      </c>
      <c r="M23" s="238">
        <f t="shared" ca="1" si="3"/>
        <v>289.18609379999998</v>
      </c>
      <c r="N23" s="238">
        <f t="shared" ca="1" si="3"/>
        <v>321.66659379999999</v>
      </c>
      <c r="O23" s="238">
        <f t="shared" ca="1" si="3"/>
        <v>366.5186875</v>
      </c>
      <c r="P23" s="238">
        <f t="shared" ca="1" si="3"/>
        <v>432.56718749999999</v>
      </c>
      <c r="Q23" s="238">
        <f t="shared" ca="1" si="3"/>
        <v>510.43531250000001</v>
      </c>
      <c r="R23" s="238">
        <f>[8]Sheet1!$C$8</f>
        <v>95.333333333333329</v>
      </c>
      <c r="S23" s="293">
        <f ca="1">I23/(SUM(I$23:I$25))</f>
        <v>0.34384911091458675</v>
      </c>
      <c r="T23" s="293">
        <f t="shared" ref="T23:AA25" ca="1" si="4">J23/(SUM(J$23:J$25))</f>
        <v>0.37525539422195003</v>
      </c>
      <c r="U23" s="293">
        <f t="shared" ca="1" si="4"/>
        <v>0.3901822419172748</v>
      </c>
      <c r="V23" s="293">
        <f t="shared" ca="1" si="4"/>
        <v>0.39187430590021394</v>
      </c>
      <c r="W23" s="293">
        <f t="shared" ca="1" si="4"/>
        <v>0.38634203703873793</v>
      </c>
      <c r="X23" s="293">
        <f t="shared" ca="1" si="4"/>
        <v>0.4049655847488291</v>
      </c>
      <c r="Y23" s="293">
        <f t="shared" ca="1" si="4"/>
        <v>0.44267809154068294</v>
      </c>
      <c r="Z23" s="293">
        <f t="shared" ca="1" si="4"/>
        <v>0.49959022097930739</v>
      </c>
      <c r="AA23" s="293">
        <f t="shared" ca="1" si="4"/>
        <v>0.56294700948882281</v>
      </c>
    </row>
    <row r="24" spans="4:27" x14ac:dyDescent="0.2">
      <c r="G24" s="238"/>
      <c r="H24" t="s">
        <v>447</v>
      </c>
      <c r="I24" s="238">
        <f t="shared" ref="I24:Q24" ca="1" si="5">I17</f>
        <v>176.6505938</v>
      </c>
      <c r="J24" s="238">
        <f t="shared" ca="1" si="5"/>
        <v>165.22149999999999</v>
      </c>
      <c r="K24" s="238">
        <f t="shared" ca="1" si="5"/>
        <v>158.09770309999999</v>
      </c>
      <c r="L24" s="238">
        <f t="shared" ca="1" si="5"/>
        <v>173.017</v>
      </c>
      <c r="M24" s="238">
        <f t="shared" ca="1" si="5"/>
        <v>198.71950000000001</v>
      </c>
      <c r="N24" s="238">
        <f t="shared" ca="1" si="5"/>
        <v>201.8860938</v>
      </c>
      <c r="O24" s="238">
        <f t="shared" ca="1" si="5"/>
        <v>191.60340629999999</v>
      </c>
      <c r="P24" s="238">
        <f t="shared" ca="1" si="5"/>
        <v>187.4747969</v>
      </c>
      <c r="Q24" s="238">
        <f t="shared" ca="1" si="5"/>
        <v>180.62559379999999</v>
      </c>
      <c r="R24" s="238">
        <f>[8]Sheet1!$C$9</f>
        <v>73.333333333333329</v>
      </c>
      <c r="S24" s="293">
        <f t="shared" ref="S24:S25" ca="1" si="6">I24/(SUM(I$23:I$25))</f>
        <v>0.3524801951003268</v>
      </c>
      <c r="T24" s="293">
        <f t="shared" ca="1" si="4"/>
        <v>0.29246082069679441</v>
      </c>
      <c r="U24" s="293">
        <f t="shared" ca="1" si="4"/>
        <v>0.2570160671963701</v>
      </c>
      <c r="V24" s="293">
        <f t="shared" ca="1" si="4"/>
        <v>0.25699736669934298</v>
      </c>
      <c r="W24" s="293">
        <f t="shared" ca="1" si="4"/>
        <v>0.26548197882023983</v>
      </c>
      <c r="X24" s="293">
        <f t="shared" ca="1" si="4"/>
        <v>0.25416664833777325</v>
      </c>
      <c r="Y24" s="293">
        <f t="shared" ca="1" si="4"/>
        <v>0.23141693214095138</v>
      </c>
      <c r="Z24" s="293">
        <f t="shared" ca="1" si="4"/>
        <v>0.21652260716451538</v>
      </c>
      <c r="AA24" s="293">
        <f t="shared" ca="1" si="4"/>
        <v>0.19920768680527534</v>
      </c>
    </row>
    <row r="25" spans="4:27" x14ac:dyDescent="0.2">
      <c r="G25" s="238"/>
      <c r="H25" t="s">
        <v>446</v>
      </c>
      <c r="I25" s="238">
        <f t="shared" ref="I25:Q25" ca="1" si="7">I16</f>
        <v>152.18899999999999</v>
      </c>
      <c r="J25" s="238">
        <f t="shared" ca="1" si="7"/>
        <v>187.71890629999999</v>
      </c>
      <c r="K25" s="238">
        <f t="shared" ca="1" si="7"/>
        <v>217.0180938</v>
      </c>
      <c r="L25" s="238">
        <f t="shared" ca="1" si="7"/>
        <v>236.3882969</v>
      </c>
      <c r="M25" s="238">
        <f t="shared" ca="1" si="7"/>
        <v>260.61790630000002</v>
      </c>
      <c r="N25" s="238">
        <f t="shared" ca="1" si="7"/>
        <v>270.75331249999999</v>
      </c>
      <c r="O25" s="238">
        <f t="shared" ca="1" si="7"/>
        <v>269.83550000000002</v>
      </c>
      <c r="P25" s="238">
        <f t="shared" ca="1" si="7"/>
        <v>245.80199999999999</v>
      </c>
      <c r="Q25" s="238">
        <f t="shared" ca="1" si="7"/>
        <v>215.65909379999999</v>
      </c>
      <c r="R25" s="238">
        <f>[8]Sheet1!$C$10</f>
        <v>55</v>
      </c>
      <c r="S25" s="293">
        <f t="shared" ca="1" si="6"/>
        <v>0.30367069398508656</v>
      </c>
      <c r="T25" s="293">
        <f t="shared" ca="1" si="4"/>
        <v>0.3322837850812555</v>
      </c>
      <c r="U25" s="293">
        <f t="shared" ca="1" si="4"/>
        <v>0.35280169088635516</v>
      </c>
      <c r="V25" s="293">
        <f t="shared" ca="1" si="4"/>
        <v>0.35112832740044309</v>
      </c>
      <c r="W25" s="293">
        <f t="shared" ca="1" si="4"/>
        <v>0.34817598414102213</v>
      </c>
      <c r="X25" s="293">
        <f t="shared" ca="1" si="4"/>
        <v>0.34086776691339765</v>
      </c>
      <c r="Y25" s="293">
        <f t="shared" ca="1" si="4"/>
        <v>0.32590497631836568</v>
      </c>
      <c r="Z25" s="293">
        <f t="shared" ca="1" si="4"/>
        <v>0.28388717185617718</v>
      </c>
      <c r="AA25" s="293">
        <f t="shared" ca="1" si="4"/>
        <v>0.23784530370590204</v>
      </c>
    </row>
    <row r="26" spans="4:27" x14ac:dyDescent="0.2">
      <c r="G26" s="238"/>
      <c r="H26" t="s">
        <v>445</v>
      </c>
      <c r="I26" s="238">
        <f t="shared" ref="I26:Q26" ca="1" si="8">I19</f>
        <v>93.09571870000002</v>
      </c>
      <c r="J26" s="238">
        <f t="shared" ca="1" si="8"/>
        <v>111.68087489999994</v>
      </c>
      <c r="K26" s="238">
        <f t="shared" ca="1" si="8"/>
        <v>140.45217179999997</v>
      </c>
      <c r="L26" s="238">
        <f t="shared" ca="1" si="8"/>
        <v>159.05157810000003</v>
      </c>
      <c r="M26" s="238">
        <f t="shared" ca="1" si="8"/>
        <v>161.59418740000001</v>
      </c>
      <c r="N26" s="238">
        <f t="shared" ca="1" si="8"/>
        <v>182.55831239999998</v>
      </c>
      <c r="O26" s="238">
        <f t="shared" ca="1" si="8"/>
        <v>209.81640619999985</v>
      </c>
      <c r="P26" s="238">
        <f t="shared" ca="1" si="8"/>
        <v>229.52901560000009</v>
      </c>
      <c r="Q26" s="238">
        <f t="shared" ca="1" si="8"/>
        <v>245.14599990000011</v>
      </c>
      <c r="S26" s="238">
        <f ca="1">SUMPRODUCT($R23:$R25,S23:S25)</f>
        <v>75.330717717060992</v>
      </c>
      <c r="T26" s="238">
        <f t="shared" ref="T26:AA26" ca="1" si="9">SUMPRODUCT($R23:$R25,T23:T25)</f>
        <v>75.497082613059874</v>
      </c>
      <c r="U26" s="238">
        <f t="shared" ca="1" si="9"/>
        <v>75.449311655930202</v>
      </c>
      <c r="V26" s="238">
        <f t="shared" ca="1" si="9"/>
        <v>75.51721539412992</v>
      </c>
      <c r="W26" s="238">
        <f t="shared" ca="1" si="9"/>
        <v>75.449631772266812</v>
      </c>
      <c r="X26" s="238">
        <f t="shared" ca="1" si="9"/>
        <v>75.993333804395277</v>
      </c>
      <c r="Y26" s="238">
        <f t="shared" ca="1" si="9"/>
        <v>77.097326781391644</v>
      </c>
      <c r="Z26" s="238">
        <f t="shared" ca="1" si="9"/>
        <v>79.119720044181506</v>
      </c>
      <c r="AA26" s="238">
        <f t="shared" ca="1" si="9"/>
        <v>81.357670307479239</v>
      </c>
    </row>
    <row r="27" spans="4:27" x14ac:dyDescent="0.2">
      <c r="S27" s="25">
        <f ca="1">S26/$S$26</f>
        <v>1</v>
      </c>
      <c r="T27" s="25">
        <f t="shared" ref="T27:AA27" ca="1" si="10">T26/$S$26</f>
        <v>1.0022084602542052</v>
      </c>
      <c r="U27" s="25">
        <f t="shared" ca="1" si="10"/>
        <v>1.001574310486655</v>
      </c>
      <c r="V27" s="25">
        <f t="shared" ca="1" si="10"/>
        <v>1.0024757188398152</v>
      </c>
      <c r="W27" s="25">
        <f t="shared" ca="1" si="10"/>
        <v>1.0015785599661011</v>
      </c>
      <c r="X27" s="25">
        <f t="shared" ca="1" si="10"/>
        <v>1.0087960941753276</v>
      </c>
      <c r="Y27" s="25">
        <f t="shared" ca="1" si="10"/>
        <v>1.0234513770460274</v>
      </c>
      <c r="Z27" s="25">
        <f t="shared" ca="1" si="10"/>
        <v>1.0502982374514451</v>
      </c>
      <c r="AA27" s="25">
        <f t="shared" ca="1" si="10"/>
        <v>1.0800065733218582</v>
      </c>
    </row>
    <row r="28" spans="4:27" x14ac:dyDescent="0.2">
      <c r="G28" t="s">
        <v>466</v>
      </c>
      <c r="H28" t="s">
        <v>448</v>
      </c>
      <c r="J28" s="294">
        <f ca="1">(J23/I23)^(1/10)-1</f>
        <v>2.0934199829679256E-2</v>
      </c>
      <c r="K28" s="294">
        <f t="shared" ref="K28:Q28" ca="1" si="11">(K23/J23)^(1/10)-1</f>
        <v>1.2489895275904717E-2</v>
      </c>
      <c r="L28" s="294">
        <f t="shared" ca="1" si="11"/>
        <v>9.5025275675619802E-3</v>
      </c>
      <c r="M28" s="294">
        <f t="shared" ca="1" si="11"/>
        <v>9.2227949600622861E-3</v>
      </c>
      <c r="N28" s="294">
        <f t="shared" ca="1" si="11"/>
        <v>1.0701372641830798E-2</v>
      </c>
      <c r="O28" s="294">
        <f t="shared" ca="1" si="11"/>
        <v>1.3138959732019284E-2</v>
      </c>
      <c r="P28" s="294">
        <f t="shared" ca="1" si="11"/>
        <v>1.670683926478933E-2</v>
      </c>
      <c r="Q28" s="294">
        <f t="shared" ca="1" si="11"/>
        <v>1.6690379161094837E-2</v>
      </c>
    </row>
    <row r="29" spans="4:27" x14ac:dyDescent="0.2">
      <c r="H29" t="s">
        <v>447</v>
      </c>
      <c r="J29" s="294">
        <f t="shared" ref="J29:Q31" ca="1" si="12">(J24/I24)^(1/10)-1</f>
        <v>-6.666354347078407E-3</v>
      </c>
      <c r="K29" s="294">
        <f t="shared" ca="1" si="12"/>
        <v>-4.3976799552977175E-3</v>
      </c>
      <c r="L29" s="294">
        <f t="shared" ca="1" si="12"/>
        <v>9.058445584751551E-3</v>
      </c>
      <c r="M29" s="294">
        <f t="shared" ca="1" si="12"/>
        <v>1.3946804459234796E-2</v>
      </c>
      <c r="N29" s="294">
        <f t="shared" ca="1" si="12"/>
        <v>1.5821867023257941E-3</v>
      </c>
      <c r="O29" s="294">
        <f t="shared" ca="1" si="12"/>
        <v>-5.2139601476858255E-3</v>
      </c>
      <c r="P29" s="294">
        <f t="shared" ca="1" si="12"/>
        <v>-2.1759515496087012E-3</v>
      </c>
      <c r="Q29" s="294">
        <f t="shared" ca="1" si="12"/>
        <v>-3.7148900100607563E-3</v>
      </c>
    </row>
    <row r="30" spans="4:27" x14ac:dyDescent="0.2">
      <c r="H30" t="s">
        <v>446</v>
      </c>
      <c r="J30" s="294">
        <f t="shared" ca="1" si="12"/>
        <v>2.1203924615532888E-2</v>
      </c>
      <c r="K30" s="294">
        <f t="shared" ca="1" si="12"/>
        <v>1.4609192870401966E-2</v>
      </c>
      <c r="L30" s="294">
        <f t="shared" ca="1" si="12"/>
        <v>8.5861561090259109E-3</v>
      </c>
      <c r="M30" s="294">
        <f t="shared" ca="1" si="12"/>
        <v>9.8057236550117555E-3</v>
      </c>
      <c r="N30" s="294">
        <f t="shared" ca="1" si="12"/>
        <v>3.8225620441934005E-3</v>
      </c>
      <c r="O30" s="294">
        <f t="shared" ca="1" si="12"/>
        <v>-3.3950298328366824E-4</v>
      </c>
      <c r="P30" s="294">
        <f t="shared" ca="1" si="12"/>
        <v>-9.2852414557912377E-3</v>
      </c>
      <c r="Q30" s="294">
        <f t="shared" ca="1" si="12"/>
        <v>-1.2997537120852942E-2</v>
      </c>
    </row>
    <row r="31" spans="4:27" x14ac:dyDescent="0.2">
      <c r="H31" t="s">
        <v>445</v>
      </c>
      <c r="J31" s="294">
        <f t="shared" ca="1" si="12"/>
        <v>1.8368388659424806E-2</v>
      </c>
      <c r="K31" s="294">
        <f t="shared" ca="1" si="12"/>
        <v>2.3186885810120739E-2</v>
      </c>
      <c r="L31" s="294">
        <f t="shared" ca="1" si="12"/>
        <v>1.2513802859859036E-2</v>
      </c>
      <c r="M31" s="294">
        <f t="shared" ca="1" si="12"/>
        <v>1.5872219251886754E-3</v>
      </c>
      <c r="N31" s="294">
        <f t="shared" ca="1" si="12"/>
        <v>1.22728473785505E-2</v>
      </c>
      <c r="O31" s="294">
        <f t="shared" ca="1" si="12"/>
        <v>1.4013607815693385E-2</v>
      </c>
      <c r="P31" s="294">
        <f t="shared" ca="1" si="12"/>
        <v>9.0200939590132645E-3</v>
      </c>
      <c r="Q31" s="294">
        <f t="shared" ca="1" si="12"/>
        <v>6.6041619246868244E-3</v>
      </c>
    </row>
  </sheetData>
  <hyperlinks>
    <hyperlink ref="B2" r:id="rId1" xr:uid="{F3725AAC-47E8-A441-9BE8-DC12E0C6A197}"/>
  </hyperlinks>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E29BEE-AC1A-CA44-B1A9-938A132CEBA1}">
  <sheetPr>
    <tabColor rgb="FFFFFF00"/>
  </sheetPr>
  <dimension ref="A1:AA31"/>
  <sheetViews>
    <sheetView topLeftCell="G6" workbookViewId="0">
      <selection activeCell="R21" sqref="R21:AA27"/>
    </sheetView>
  </sheetViews>
  <sheetFormatPr baseColWidth="10" defaultRowHeight="16" x14ac:dyDescent="0.2"/>
  <cols>
    <col min="4" max="4" width="21.1640625" customWidth="1"/>
    <col min="7" max="7" width="11.6640625" bestFit="1" customWidth="1"/>
  </cols>
  <sheetData>
    <row r="1" spans="1:17" x14ac:dyDescent="0.2">
      <c r="A1" s="290"/>
      <c r="B1" s="46"/>
      <c r="C1" s="46"/>
      <c r="D1" s="46"/>
      <c r="E1" s="46"/>
      <c r="F1" s="46"/>
      <c r="G1" s="46"/>
      <c r="H1" s="46"/>
      <c r="I1" s="46"/>
      <c r="J1" s="46"/>
      <c r="K1" s="46"/>
      <c r="L1" s="46"/>
      <c r="M1" s="46"/>
      <c r="N1" s="46"/>
      <c r="O1" s="46"/>
      <c r="P1" s="46"/>
      <c r="Q1" s="46"/>
    </row>
    <row r="2" spans="1:17" x14ac:dyDescent="0.2">
      <c r="A2" s="290" t="s">
        <v>454</v>
      </c>
      <c r="B2" s="291" t="s">
        <v>453</v>
      </c>
      <c r="C2" s="46"/>
      <c r="D2" s="46"/>
      <c r="E2" s="46"/>
      <c r="F2" s="46"/>
      <c r="G2" s="46"/>
      <c r="H2" s="46"/>
      <c r="I2" s="46"/>
      <c r="J2" s="46"/>
      <c r="K2" s="46"/>
      <c r="L2" s="46"/>
      <c r="M2" s="46"/>
      <c r="N2" s="46"/>
      <c r="O2" s="46"/>
      <c r="P2" s="46"/>
      <c r="Q2" s="46"/>
    </row>
    <row r="3" spans="1:17" x14ac:dyDescent="0.2">
      <c r="A3" s="290" t="s">
        <v>452</v>
      </c>
      <c r="B3" s="46"/>
      <c r="C3" s="46"/>
      <c r="D3" s="46"/>
      <c r="E3" s="46"/>
      <c r="F3" s="46"/>
      <c r="G3" s="46"/>
      <c r="H3" s="46"/>
      <c r="I3" s="46"/>
      <c r="J3" s="46"/>
      <c r="K3" s="46"/>
      <c r="L3" s="46"/>
      <c r="M3" s="46"/>
      <c r="N3" s="46"/>
      <c r="O3" s="46"/>
      <c r="P3" s="46"/>
      <c r="Q3" s="46"/>
    </row>
    <row r="4" spans="1:17" x14ac:dyDescent="0.2">
      <c r="A4" s="46"/>
      <c r="B4" s="46"/>
      <c r="C4" s="46"/>
      <c r="D4" s="46"/>
      <c r="E4" s="46"/>
      <c r="F4" s="46"/>
      <c r="G4" s="46"/>
      <c r="H4" s="46"/>
      <c r="I4" s="46"/>
      <c r="J4" s="46"/>
      <c r="K4" s="46"/>
      <c r="L4" s="46"/>
      <c r="M4" s="46"/>
      <c r="N4" s="46"/>
      <c r="O4" s="46"/>
      <c r="P4" s="46"/>
      <c r="Q4" s="46"/>
    </row>
    <row r="5" spans="1:17" x14ac:dyDescent="0.2">
      <c r="A5" s="46"/>
      <c r="B5" s="290"/>
      <c r="C5" s="46"/>
      <c r="D5" s="46"/>
      <c r="E5" s="46"/>
      <c r="F5" s="46"/>
      <c r="G5" s="46"/>
      <c r="H5" s="46"/>
      <c r="I5" s="46"/>
      <c r="J5" s="46"/>
      <c r="K5" s="46"/>
      <c r="L5" s="46"/>
      <c r="M5" s="46"/>
      <c r="N5" s="46"/>
      <c r="O5" s="46"/>
      <c r="P5" s="46"/>
      <c r="Q5" s="46"/>
    </row>
    <row r="6" spans="1:17" x14ac:dyDescent="0.2">
      <c r="A6" s="46"/>
      <c r="B6" s="290"/>
      <c r="C6" s="46"/>
      <c r="D6" s="46"/>
      <c r="E6" s="46"/>
      <c r="F6" s="46"/>
      <c r="G6" s="46"/>
      <c r="H6" s="46"/>
      <c r="I6" s="46"/>
      <c r="J6" s="46"/>
      <c r="K6" s="46"/>
      <c r="L6" s="46"/>
      <c r="M6" s="46"/>
      <c r="N6" s="46"/>
      <c r="O6" s="46"/>
      <c r="P6" s="46"/>
      <c r="Q6" s="46"/>
    </row>
    <row r="7" spans="1:17" ht="20" x14ac:dyDescent="0.2">
      <c r="A7" s="287" t="s">
        <v>33</v>
      </c>
      <c r="B7" s="262"/>
      <c r="C7" s="262"/>
      <c r="D7" s="262"/>
      <c r="E7" s="262"/>
      <c r="F7" s="262"/>
      <c r="G7" s="262"/>
      <c r="H7" s="262"/>
      <c r="I7" s="262"/>
      <c r="J7" s="262"/>
      <c r="K7" s="262"/>
      <c r="L7" s="262"/>
      <c r="M7" s="262"/>
      <c r="N7" s="262"/>
      <c r="O7" s="262"/>
      <c r="P7" s="262"/>
      <c r="Q7" s="262"/>
    </row>
    <row r="8" spans="1:17" x14ac:dyDescent="0.2">
      <c r="A8" s="262"/>
      <c r="B8" s="14" t="s">
        <v>32</v>
      </c>
      <c r="C8" s="11"/>
      <c r="D8" s="11"/>
      <c r="E8" s="13" t="str">
        <f>Readme!C4</f>
        <v>SSP2-Baseline</v>
      </c>
      <c r="F8" s="289"/>
      <c r="G8" s="262"/>
      <c r="H8" s="262"/>
      <c r="I8" s="262"/>
      <c r="J8" s="262"/>
      <c r="K8" s="262"/>
      <c r="L8" s="262"/>
      <c r="M8" s="262"/>
      <c r="N8" s="262"/>
      <c r="O8" s="262"/>
      <c r="P8" s="262"/>
      <c r="Q8" s="262"/>
    </row>
    <row r="9" spans="1:17" x14ac:dyDescent="0.2">
      <c r="A9" s="262"/>
      <c r="B9" s="14" t="s">
        <v>31</v>
      </c>
      <c r="C9" s="11"/>
      <c r="D9" s="11"/>
      <c r="E9" s="13" t="str">
        <f>Readme!C5</f>
        <v>IMA15-TOT</v>
      </c>
      <c r="F9" s="289"/>
      <c r="G9" s="262"/>
      <c r="H9" s="262"/>
      <c r="I9" s="262"/>
      <c r="J9" s="262"/>
      <c r="K9" s="262"/>
      <c r="L9" s="262"/>
      <c r="M9" s="262"/>
      <c r="N9" s="262"/>
      <c r="O9" s="262"/>
      <c r="P9" s="262"/>
      <c r="Q9" s="262"/>
    </row>
    <row r="10" spans="1:17" x14ac:dyDescent="0.2">
      <c r="A10" s="262"/>
      <c r="B10" s="14" t="s">
        <v>30</v>
      </c>
      <c r="C10" s="11"/>
      <c r="D10" s="11"/>
      <c r="E10" s="13" t="str">
        <f>Readme!C6</f>
        <v>IMAGE 3.0.1</v>
      </c>
      <c r="F10" s="289"/>
      <c r="G10" s="262"/>
      <c r="H10" s="262"/>
      <c r="I10" s="262"/>
      <c r="J10" s="262"/>
      <c r="K10" s="262"/>
      <c r="L10" s="262"/>
      <c r="M10" s="262"/>
      <c r="N10" s="262"/>
      <c r="O10" s="262"/>
      <c r="P10" s="262"/>
      <c r="Q10" s="262"/>
    </row>
    <row r="11" spans="1:17" x14ac:dyDescent="0.2">
      <c r="A11" s="288"/>
      <c r="B11" s="262"/>
      <c r="C11" s="262"/>
      <c r="D11" s="262"/>
      <c r="E11" s="262"/>
      <c r="F11" s="262"/>
      <c r="G11" s="262"/>
      <c r="H11" s="262"/>
      <c r="I11" s="262"/>
      <c r="J11" s="262"/>
      <c r="K11" s="262"/>
      <c r="L11" s="262"/>
      <c r="M11" s="262"/>
      <c r="N11" s="262"/>
      <c r="O11" s="262"/>
      <c r="P11" s="262"/>
      <c r="Q11" s="262"/>
    </row>
    <row r="12" spans="1:17" ht="20" x14ac:dyDescent="0.2">
      <c r="A12" s="287" t="s">
        <v>29</v>
      </c>
      <c r="B12" s="262"/>
      <c r="C12" s="262"/>
      <c r="D12" s="262"/>
      <c r="E12" s="262"/>
      <c r="F12" s="262"/>
      <c r="G12" s="262"/>
      <c r="H12" s="262"/>
      <c r="I12" s="262"/>
      <c r="J12" s="262"/>
      <c r="K12" s="262"/>
      <c r="L12" s="262"/>
      <c r="M12" s="262"/>
      <c r="N12" s="262"/>
      <c r="O12" s="262"/>
      <c r="P12" s="262"/>
      <c r="Q12" s="262"/>
    </row>
    <row r="13" spans="1:17" x14ac:dyDescent="0.2">
      <c r="A13" s="263" t="s">
        <v>15</v>
      </c>
      <c r="B13" s="263" t="s">
        <v>14</v>
      </c>
      <c r="C13" s="263" t="s">
        <v>13</v>
      </c>
      <c r="D13" s="263" t="s">
        <v>28</v>
      </c>
      <c r="E13" s="263" t="s">
        <v>27</v>
      </c>
      <c r="F13" s="263">
        <v>2000</v>
      </c>
      <c r="G13" s="263">
        <v>2005</v>
      </c>
      <c r="H13" s="263">
        <v>2010</v>
      </c>
      <c r="I13" s="263">
        <f>2020</f>
        <v>2020</v>
      </c>
      <c r="J13" s="263">
        <v>2030</v>
      </c>
      <c r="K13" s="263">
        <v>2040</v>
      </c>
      <c r="L13" s="263">
        <v>2050</v>
      </c>
      <c r="M13" s="263">
        <v>2060</v>
      </c>
      <c r="N13" s="263">
        <v>2070</v>
      </c>
      <c r="O13" s="263">
        <v>2080</v>
      </c>
      <c r="P13" s="263">
        <v>2090</v>
      </c>
      <c r="Q13" s="263">
        <v>2100</v>
      </c>
    </row>
    <row r="14" spans="1:17" x14ac:dyDescent="0.2">
      <c r="D14" s="265" t="s">
        <v>9</v>
      </c>
      <c r="G14" s="238">
        <f ca="1">'Int Data'!G24</f>
        <v>459.77009375</v>
      </c>
      <c r="H14" s="238">
        <f ca="1">'Int Data'!H24</f>
        <v>506.68</v>
      </c>
      <c r="I14" s="238">
        <f ca="1">'Int Data'!I24</f>
        <v>512.7355</v>
      </c>
      <c r="J14" s="238">
        <f ca="1">'Int Data'!J24</f>
        <v>403.00549999999998</v>
      </c>
      <c r="K14" s="238">
        <f ca="1">'Int Data'!K24</f>
        <v>330.416</v>
      </c>
      <c r="L14" s="238">
        <f ca="1">'Int Data'!L24</f>
        <v>351.27159375000002</v>
      </c>
      <c r="M14" s="238">
        <f ca="1">'Int Data'!M24</f>
        <v>383.64750000000004</v>
      </c>
      <c r="N14" s="238">
        <f ca="1">'Int Data'!N24</f>
        <v>437.46431250000001</v>
      </c>
      <c r="O14" s="238">
        <f ca="1">'Int Data'!O24</f>
        <v>470.06240625000004</v>
      </c>
      <c r="P14" s="238">
        <f ca="1">'Int Data'!P24</f>
        <v>479.11359375000001</v>
      </c>
      <c r="Q14" s="238">
        <f ca="1">'Int Data'!Q24</f>
        <v>493.05181249999998</v>
      </c>
    </row>
    <row r="15" spans="1:17" x14ac:dyDescent="0.2">
      <c r="D15" s="265" t="s">
        <v>11</v>
      </c>
      <c r="G15" s="238">
        <f ca="1">'Int Data'!G25</f>
        <v>117.62070312500001</v>
      </c>
      <c r="H15" s="238">
        <f ca="1">'Int Data'!H25</f>
        <v>146.19859375000001</v>
      </c>
      <c r="I15" s="238">
        <f ca="1">'Int Data'!I25</f>
        <v>125.483796875</v>
      </c>
      <c r="J15" s="238">
        <f ca="1">'Int Data'!J25</f>
        <v>73.49790625</v>
      </c>
      <c r="K15" s="238">
        <f ca="1">'Int Data'!K25</f>
        <v>29.39501953125</v>
      </c>
      <c r="L15" s="238">
        <f ca="1">'Int Data'!L25</f>
        <v>21.23305078125</v>
      </c>
      <c r="M15" s="238">
        <f ca="1">'Int Data'!M25</f>
        <v>24.590289062500002</v>
      </c>
      <c r="N15" s="238">
        <f ca="1">'Int Data'!N25</f>
        <v>28.702580078124999</v>
      </c>
      <c r="O15" s="238">
        <f ca="1">'Int Data'!O25</f>
        <v>28.120359375</v>
      </c>
      <c r="P15" s="238">
        <f ca="1">'Int Data'!P25</f>
        <v>29.275259765625002</v>
      </c>
      <c r="Q15" s="238">
        <f ca="1">'Int Data'!Q25</f>
        <v>35.63494140625</v>
      </c>
    </row>
    <row r="16" spans="1:17" x14ac:dyDescent="0.2">
      <c r="D16" s="265" t="s">
        <v>10</v>
      </c>
      <c r="G16" s="238">
        <f ca="1">'Int Data'!G26</f>
        <v>103.10389843750001</v>
      </c>
      <c r="H16" s="238">
        <f ca="1">'Int Data'!H26</f>
        <v>115.0245</v>
      </c>
      <c r="I16" s="238">
        <f ca="1">'Int Data'!I26</f>
        <v>130.5745</v>
      </c>
      <c r="J16" s="238">
        <f ca="1">'Int Data'!J26</f>
        <v>122.8896015625</v>
      </c>
      <c r="K16" s="238">
        <f ca="1">'Int Data'!K26</f>
        <v>110.6118984375</v>
      </c>
      <c r="L16" s="238">
        <f ca="1">'Int Data'!L26</f>
        <v>106.8698984375</v>
      </c>
      <c r="M16" s="238">
        <f ca="1">'Int Data'!M26</f>
        <v>112.979203125</v>
      </c>
      <c r="N16" s="238">
        <f ca="1">'Int Data'!N26</f>
        <v>133.68299999999999</v>
      </c>
      <c r="O16" s="238">
        <f ca="1">'Int Data'!O26</f>
        <v>129.22939843750001</v>
      </c>
      <c r="P16" s="238">
        <f ca="1">'Int Data'!P26</f>
        <v>110.5868984375</v>
      </c>
      <c r="Q16" s="238">
        <f ca="1">'Int Data'!Q26</f>
        <v>103.07579687500001</v>
      </c>
    </row>
    <row r="17" spans="4:27" x14ac:dyDescent="0.2">
      <c r="D17" s="265" t="s">
        <v>12</v>
      </c>
      <c r="G17" s="238">
        <f ca="1">'Int Data'!G27</f>
        <v>173.72640625</v>
      </c>
      <c r="H17" s="238">
        <f ca="1">'Int Data'!H27</f>
        <v>171.381</v>
      </c>
      <c r="I17" s="238">
        <f ca="1">'Int Data'!I27</f>
        <v>153.987703125</v>
      </c>
      <c r="J17" s="238">
        <f ca="1">'Int Data'!J27</f>
        <v>100.05220312500001</v>
      </c>
      <c r="K17" s="238">
        <f ca="1">'Int Data'!K27</f>
        <v>50.275019531250003</v>
      </c>
      <c r="L17" s="238">
        <f ca="1">'Int Data'!L27</f>
        <v>27.937050781250001</v>
      </c>
      <c r="M17" s="238">
        <f ca="1">'Int Data'!M27</f>
        <v>21.388119140625001</v>
      </c>
      <c r="N17" s="238">
        <f ca="1">'Int Data'!N27</f>
        <v>17.311410156250002</v>
      </c>
      <c r="O17" s="238">
        <f ca="1">'Int Data'!O27</f>
        <v>14.932349609375001</v>
      </c>
      <c r="P17" s="238">
        <f ca="1">'Int Data'!P27</f>
        <v>15.9530400390625</v>
      </c>
      <c r="Q17" s="238">
        <f ca="1">'Int Data'!Q27</f>
        <v>16.128769531250001</v>
      </c>
    </row>
    <row r="18" spans="4:27" x14ac:dyDescent="0.2">
      <c r="D18" s="265" t="s">
        <v>451</v>
      </c>
      <c r="G18" s="238">
        <f t="shared" ref="G18:Q18" ca="1" si="0">SUM(G15:G17)</f>
        <v>394.45100781250005</v>
      </c>
      <c r="H18" s="238">
        <f t="shared" ca="1" si="0"/>
        <v>432.60409375000006</v>
      </c>
      <c r="I18" s="238">
        <f t="shared" ca="1" si="0"/>
        <v>410.04599999999999</v>
      </c>
      <c r="J18" s="238">
        <f t="shared" ca="1" si="0"/>
        <v>296.43971093750002</v>
      </c>
      <c r="K18" s="238">
        <f t="shared" ca="1" si="0"/>
        <v>190.2819375</v>
      </c>
      <c r="L18" s="238">
        <f t="shared" ca="1" si="0"/>
        <v>156.04</v>
      </c>
      <c r="M18" s="238">
        <f t="shared" ca="1" si="0"/>
        <v>158.95761132812501</v>
      </c>
      <c r="N18" s="238">
        <f t="shared" ca="1" si="0"/>
        <v>179.69699023437499</v>
      </c>
      <c r="O18" s="238">
        <f t="shared" ca="1" si="0"/>
        <v>172.282107421875</v>
      </c>
      <c r="P18" s="238">
        <f t="shared" ca="1" si="0"/>
        <v>155.81519824218751</v>
      </c>
      <c r="Q18" s="238">
        <f t="shared" ca="1" si="0"/>
        <v>154.83950781250002</v>
      </c>
    </row>
    <row r="19" spans="4:27" x14ac:dyDescent="0.2">
      <c r="D19" s="265" t="s">
        <v>450</v>
      </c>
      <c r="G19" s="238">
        <f t="shared" ref="G19:Q19" ca="1" si="1">G14-G18</f>
        <v>65.319085937499949</v>
      </c>
      <c r="H19" s="238">
        <f t="shared" ca="1" si="1"/>
        <v>74.075906249999946</v>
      </c>
      <c r="I19" s="238">
        <f t="shared" ca="1" si="1"/>
        <v>102.68950000000001</v>
      </c>
      <c r="J19" s="238">
        <f t="shared" ca="1" si="1"/>
        <v>106.56578906249996</v>
      </c>
      <c r="K19" s="238">
        <f t="shared" ca="1" si="1"/>
        <v>140.1340625</v>
      </c>
      <c r="L19" s="238">
        <f t="shared" ca="1" si="1"/>
        <v>195.23159375000003</v>
      </c>
      <c r="M19" s="238">
        <f t="shared" ca="1" si="1"/>
        <v>224.68988867187502</v>
      </c>
      <c r="N19" s="238">
        <f t="shared" ca="1" si="1"/>
        <v>257.76732226562501</v>
      </c>
      <c r="O19" s="238">
        <f t="shared" ca="1" si="1"/>
        <v>297.78029882812507</v>
      </c>
      <c r="P19" s="238">
        <f t="shared" ca="1" si="1"/>
        <v>323.29839550781253</v>
      </c>
      <c r="Q19" s="238">
        <f t="shared" ca="1" si="1"/>
        <v>338.21230468749997</v>
      </c>
    </row>
    <row r="20" spans="4:27" x14ac:dyDescent="0.2">
      <c r="D20" s="265" t="s">
        <v>449</v>
      </c>
      <c r="G20" s="25">
        <f t="shared" ref="G20:Q20" ca="1" si="2">G18/G14</f>
        <v>0.85793098153744374</v>
      </c>
      <c r="H20" s="25">
        <f t="shared" ca="1" si="2"/>
        <v>0.8538014007855057</v>
      </c>
      <c r="I20" s="25">
        <f t="shared" ca="1" si="2"/>
        <v>0.79972227395996565</v>
      </c>
      <c r="J20" s="25">
        <f t="shared" ca="1" si="2"/>
        <v>0.73557237044531665</v>
      </c>
      <c r="K20" s="25">
        <f t="shared" ca="1" si="2"/>
        <v>0.57588596647862089</v>
      </c>
      <c r="L20" s="25">
        <f t="shared" ca="1" si="2"/>
        <v>0.44421468395492764</v>
      </c>
      <c r="M20" s="25">
        <f t="shared" ca="1" si="2"/>
        <v>0.41433245708137029</v>
      </c>
      <c r="N20" s="25">
        <f t="shared" ca="1" si="2"/>
        <v>0.41076948473225455</v>
      </c>
      <c r="O20" s="25">
        <f t="shared" ca="1" si="2"/>
        <v>0.36650901057219992</v>
      </c>
      <c r="P20" s="25">
        <f t="shared" ca="1" si="2"/>
        <v>0.32521556531641932</v>
      </c>
      <c r="Q20" s="25">
        <f t="shared" ca="1" si="2"/>
        <v>0.31404307597490078</v>
      </c>
    </row>
    <row r="21" spans="4:27" x14ac:dyDescent="0.2">
      <c r="S21" t="s">
        <v>467</v>
      </c>
    </row>
    <row r="22" spans="4:27" x14ac:dyDescent="0.2">
      <c r="I22" s="263">
        <f>2020</f>
        <v>2020</v>
      </c>
      <c r="J22" s="263">
        <v>2030</v>
      </c>
      <c r="K22" s="263">
        <v>2040</v>
      </c>
      <c r="L22" s="263">
        <v>2050</v>
      </c>
      <c r="M22" s="263">
        <v>2060</v>
      </c>
      <c r="N22" s="263">
        <v>2070</v>
      </c>
      <c r="O22" s="263">
        <v>2080</v>
      </c>
      <c r="P22" s="263">
        <v>2090</v>
      </c>
      <c r="Q22" s="263">
        <v>2100</v>
      </c>
      <c r="R22" t="s">
        <v>63</v>
      </c>
      <c r="S22" s="263">
        <f>2020</f>
        <v>2020</v>
      </c>
      <c r="T22" s="263">
        <v>2030</v>
      </c>
      <c r="U22" s="263">
        <v>2040</v>
      </c>
      <c r="V22" s="263">
        <v>2050</v>
      </c>
      <c r="W22" s="263">
        <v>2060</v>
      </c>
      <c r="X22" s="263">
        <v>2070</v>
      </c>
      <c r="Y22" s="263">
        <v>2080</v>
      </c>
      <c r="Z22" s="263">
        <v>2090</v>
      </c>
      <c r="AA22" s="263">
        <v>2100</v>
      </c>
    </row>
    <row r="23" spans="4:27" x14ac:dyDescent="0.2">
      <c r="G23" s="238"/>
      <c r="H23" t="s">
        <v>448</v>
      </c>
      <c r="I23" s="238">
        <f t="shared" ref="I23:Q23" ca="1" si="3">I15</f>
        <v>125.483796875</v>
      </c>
      <c r="J23" s="238">
        <f t="shared" ca="1" si="3"/>
        <v>73.49790625</v>
      </c>
      <c r="K23" s="238">
        <f t="shared" ca="1" si="3"/>
        <v>29.39501953125</v>
      </c>
      <c r="L23" s="238">
        <f t="shared" ca="1" si="3"/>
        <v>21.23305078125</v>
      </c>
      <c r="M23" s="238">
        <f t="shared" ca="1" si="3"/>
        <v>24.590289062500002</v>
      </c>
      <c r="N23" s="238">
        <f t="shared" ca="1" si="3"/>
        <v>28.702580078124999</v>
      </c>
      <c r="O23" s="238">
        <f t="shared" ca="1" si="3"/>
        <v>28.120359375</v>
      </c>
      <c r="P23" s="238">
        <f t="shared" ca="1" si="3"/>
        <v>29.275259765625002</v>
      </c>
      <c r="Q23" s="238">
        <f t="shared" ca="1" si="3"/>
        <v>35.63494140625</v>
      </c>
      <c r="R23" s="238">
        <f>[8]Sheet1!$C$8</f>
        <v>95.333333333333329</v>
      </c>
      <c r="S23" s="293">
        <f ca="1">I23/(SUM(I$23:I$25))</f>
        <v>0.30602370679143315</v>
      </c>
      <c r="T23" s="293">
        <f t="shared" ref="T23:AA25" ca="1" si="4">J23/(SUM(J$23:J$25))</f>
        <v>0.24793542679407066</v>
      </c>
      <c r="U23" s="293">
        <f t="shared" ca="1" si="4"/>
        <v>0.15448139701252517</v>
      </c>
      <c r="V23" s="293">
        <f t="shared" ca="1" si="4"/>
        <v>0.13607440900570367</v>
      </c>
      <c r="W23" s="293">
        <f t="shared" ca="1" si="4"/>
        <v>0.15469714760459002</v>
      </c>
      <c r="X23" s="293">
        <f t="shared" ca="1" si="4"/>
        <v>0.15972766177490691</v>
      </c>
      <c r="Y23" s="293">
        <f t="shared" ca="1" si="4"/>
        <v>0.16322275014979007</v>
      </c>
      <c r="Z23" s="293">
        <f t="shared" ca="1" si="4"/>
        <v>0.18788449455438694</v>
      </c>
      <c r="AA23" s="293">
        <f t="shared" ca="1" si="4"/>
        <v>0.23014114362467142</v>
      </c>
    </row>
    <row r="24" spans="4:27" x14ac:dyDescent="0.2">
      <c r="G24" s="238"/>
      <c r="H24" t="s">
        <v>447</v>
      </c>
      <c r="I24" s="238">
        <f t="shared" ref="I24:Q24" ca="1" si="5">I17</f>
        <v>153.987703125</v>
      </c>
      <c r="J24" s="238">
        <f t="shared" ca="1" si="5"/>
        <v>100.05220312500001</v>
      </c>
      <c r="K24" s="238">
        <f t="shared" ca="1" si="5"/>
        <v>50.275019531250003</v>
      </c>
      <c r="L24" s="238">
        <f t="shared" ca="1" si="5"/>
        <v>27.937050781250001</v>
      </c>
      <c r="M24" s="238">
        <f t="shared" ca="1" si="5"/>
        <v>21.388119140625001</v>
      </c>
      <c r="N24" s="238">
        <f t="shared" ca="1" si="5"/>
        <v>17.311410156250002</v>
      </c>
      <c r="O24" s="238">
        <f t="shared" ca="1" si="5"/>
        <v>14.932349609375001</v>
      </c>
      <c r="P24" s="238">
        <f t="shared" ca="1" si="5"/>
        <v>15.9530400390625</v>
      </c>
      <c r="Q24" s="238">
        <f t="shared" ca="1" si="5"/>
        <v>16.128769531250001</v>
      </c>
      <c r="R24" s="238">
        <f>[8]Sheet1!$C$9</f>
        <v>73.333333333333329</v>
      </c>
      <c r="S24" s="293">
        <f t="shared" ref="S24:S25" ca="1" si="6">I24/(SUM(I$23:I$25))</f>
        <v>0.37553763022929132</v>
      </c>
      <c r="T24" s="293">
        <f t="shared" ca="1" si="4"/>
        <v>0.33751282110140279</v>
      </c>
      <c r="U24" s="293">
        <f t="shared" ca="1" si="4"/>
        <v>0.26421330469819293</v>
      </c>
      <c r="V24" s="293">
        <f t="shared" ca="1" si="4"/>
        <v>0.17903775173833633</v>
      </c>
      <c r="W24" s="293">
        <f t="shared" ca="1" si="4"/>
        <v>0.13455234362118726</v>
      </c>
      <c r="X24" s="293">
        <f t="shared" ca="1" si="4"/>
        <v>9.6336672827247102E-2</v>
      </c>
      <c r="Y24" s="293">
        <f t="shared" ca="1" si="4"/>
        <v>8.6673827206034101E-2</v>
      </c>
      <c r="Z24" s="293">
        <f t="shared" ca="1" si="4"/>
        <v>0.10238436442038398</v>
      </c>
      <c r="AA24" s="293">
        <f t="shared" ca="1" si="4"/>
        <v>0.10416443296100392</v>
      </c>
    </row>
    <row r="25" spans="4:27" x14ac:dyDescent="0.2">
      <c r="G25" s="238"/>
      <c r="H25" t="s">
        <v>446</v>
      </c>
      <c r="I25" s="238">
        <f t="shared" ref="I25:Q25" ca="1" si="7">I16</f>
        <v>130.5745</v>
      </c>
      <c r="J25" s="238">
        <f t="shared" ca="1" si="7"/>
        <v>122.8896015625</v>
      </c>
      <c r="K25" s="238">
        <f t="shared" ca="1" si="7"/>
        <v>110.6118984375</v>
      </c>
      <c r="L25" s="238">
        <f t="shared" ca="1" si="7"/>
        <v>106.8698984375</v>
      </c>
      <c r="M25" s="238">
        <f t="shared" ca="1" si="7"/>
        <v>112.979203125</v>
      </c>
      <c r="N25" s="238">
        <f t="shared" ca="1" si="7"/>
        <v>133.68299999999999</v>
      </c>
      <c r="O25" s="238">
        <f t="shared" ca="1" si="7"/>
        <v>129.22939843750001</v>
      </c>
      <c r="P25" s="238">
        <f t="shared" ca="1" si="7"/>
        <v>110.5868984375</v>
      </c>
      <c r="Q25" s="238">
        <f t="shared" ca="1" si="7"/>
        <v>103.07579687500001</v>
      </c>
      <c r="R25" s="238">
        <f>[8]Sheet1!$C$10</f>
        <v>55</v>
      </c>
      <c r="S25" s="293">
        <f t="shared" ca="1" si="6"/>
        <v>0.31843866297927548</v>
      </c>
      <c r="T25" s="293">
        <f t="shared" ca="1" si="4"/>
        <v>0.41455175210452649</v>
      </c>
      <c r="U25" s="293">
        <f t="shared" ca="1" si="4"/>
        <v>0.5813052982892819</v>
      </c>
      <c r="V25" s="293">
        <f t="shared" ca="1" si="4"/>
        <v>0.68488783925596008</v>
      </c>
      <c r="W25" s="293">
        <f t="shared" ca="1" si="4"/>
        <v>0.71075050877422286</v>
      </c>
      <c r="X25" s="293">
        <f t="shared" ca="1" si="4"/>
        <v>0.74393566539784595</v>
      </c>
      <c r="Y25" s="293">
        <f t="shared" ca="1" si="4"/>
        <v>0.75010342264417573</v>
      </c>
      <c r="Z25" s="293">
        <f t="shared" ca="1" si="4"/>
        <v>0.70973114102522905</v>
      </c>
      <c r="AA25" s="293">
        <f t="shared" ca="1" si="4"/>
        <v>0.66569442341432461</v>
      </c>
    </row>
    <row r="26" spans="4:27" x14ac:dyDescent="0.2">
      <c r="G26" s="238"/>
      <c r="H26" t="s">
        <v>445</v>
      </c>
      <c r="I26" s="238">
        <f t="shared" ref="I26:Q26" ca="1" si="8">I19</f>
        <v>102.68950000000001</v>
      </c>
      <c r="J26" s="238">
        <f t="shared" ca="1" si="8"/>
        <v>106.56578906249996</v>
      </c>
      <c r="K26" s="238">
        <f t="shared" ca="1" si="8"/>
        <v>140.1340625</v>
      </c>
      <c r="L26" s="238">
        <f t="shared" ca="1" si="8"/>
        <v>195.23159375000003</v>
      </c>
      <c r="M26" s="238">
        <f t="shared" ca="1" si="8"/>
        <v>224.68988867187502</v>
      </c>
      <c r="N26" s="238">
        <f t="shared" ca="1" si="8"/>
        <v>257.76732226562501</v>
      </c>
      <c r="O26" s="238">
        <f t="shared" ca="1" si="8"/>
        <v>297.78029882812507</v>
      </c>
      <c r="P26" s="238">
        <f t="shared" ca="1" si="8"/>
        <v>323.29839550781253</v>
      </c>
      <c r="Q26" s="238">
        <f t="shared" ca="1" si="8"/>
        <v>338.21230468749997</v>
      </c>
      <c r="S26" s="238">
        <f ca="1">SUMPRODUCT($R23:$R25,S23:S25)</f>
        <v>74.227812728124803</v>
      </c>
      <c r="T26" s="238">
        <f t="shared" ref="T26:AA26" ca="1" si="9">SUMPRODUCT($R23:$R25,T23:T25)</f>
        <v>71.187797267553236</v>
      </c>
      <c r="U26" s="238">
        <f t="shared" ca="1" si="9"/>
        <v>66.074660265638713</v>
      </c>
      <c r="V26" s="238">
        <f t="shared" ca="1" si="9"/>
        <v>63.770693278432887</v>
      </c>
      <c r="W26" s="238">
        <f t="shared" ca="1" si="9"/>
        <v>63.706244586440235</v>
      </c>
      <c r="X26" s="238">
        <f t="shared" ca="1" si="9"/>
        <v>63.208521360087438</v>
      </c>
      <c r="Y26" s="238">
        <f t="shared" ca="1" si="9"/>
        <v>63.17233775481882</v>
      </c>
      <c r="Z26" s="238">
        <f t="shared" ca="1" si="9"/>
        <v>64.455054628067316</v>
      </c>
      <c r="AA26" s="238">
        <f t="shared" ca="1" si="9"/>
        <v>66.192040730480144</v>
      </c>
    </row>
    <row r="27" spans="4:27" x14ac:dyDescent="0.2">
      <c r="S27" s="25">
        <f ca="1">S26/$S$26</f>
        <v>1</v>
      </c>
      <c r="T27" s="25">
        <f t="shared" ref="T27:AA27" ca="1" si="10">T26/$S$26</f>
        <v>0.95904479266139397</v>
      </c>
      <c r="U27" s="25">
        <f t="shared" ca="1" si="10"/>
        <v>0.89016041072975238</v>
      </c>
      <c r="V27" s="25">
        <f t="shared" ca="1" si="10"/>
        <v>0.8591212772496295</v>
      </c>
      <c r="W27" s="25">
        <f t="shared" ca="1" si="10"/>
        <v>0.85825302194714992</v>
      </c>
      <c r="X27" s="25">
        <f t="shared" ca="1" si="10"/>
        <v>0.85154767514977348</v>
      </c>
      <c r="Y27" s="25">
        <f t="shared" ca="1" si="10"/>
        <v>0.85106020820256389</v>
      </c>
      <c r="Z27" s="25">
        <f t="shared" ca="1" si="10"/>
        <v>0.86834102015302139</v>
      </c>
      <c r="AA27" s="25">
        <f t="shared" ca="1" si="10"/>
        <v>0.89174176494897694</v>
      </c>
    </row>
    <row r="28" spans="4:27" x14ac:dyDescent="0.2">
      <c r="G28" t="s">
        <v>466</v>
      </c>
      <c r="H28" t="s">
        <v>448</v>
      </c>
      <c r="J28" s="294">
        <f ca="1">(J23/I23)^(1/10)-1</f>
        <v>-5.2086449390263301E-2</v>
      </c>
      <c r="K28" s="294">
        <f t="shared" ref="K28:Q28" ca="1" si="11">(K23/J23)^(1/10)-1</f>
        <v>-8.7569322534640892E-2</v>
      </c>
      <c r="L28" s="294">
        <f t="shared" ca="1" si="11"/>
        <v>-3.2003327244891411E-2</v>
      </c>
      <c r="M28" s="294">
        <f t="shared" ca="1" si="11"/>
        <v>1.4787533989207624E-2</v>
      </c>
      <c r="N28" s="294">
        <f t="shared" ca="1" si="11"/>
        <v>1.5583719756581127E-2</v>
      </c>
      <c r="O28" s="294">
        <f t="shared" ca="1" si="11"/>
        <v>-2.0472185842899115E-3</v>
      </c>
      <c r="P28" s="294">
        <f t="shared" ca="1" si="11"/>
        <v>4.0330043447649455E-3</v>
      </c>
      <c r="Q28" s="294">
        <f t="shared" ca="1" si="11"/>
        <v>1.9852885909966034E-2</v>
      </c>
    </row>
    <row r="29" spans="4:27" x14ac:dyDescent="0.2">
      <c r="H29" t="s">
        <v>447</v>
      </c>
      <c r="J29" s="294">
        <f t="shared" ref="J29:Q31" ca="1" si="12">(J24/I24)^(1/10)-1</f>
        <v>-4.2201700823748967E-2</v>
      </c>
      <c r="K29" s="294">
        <f t="shared" ca="1" si="12"/>
        <v>-6.6503789710740779E-2</v>
      </c>
      <c r="L29" s="294">
        <f t="shared" ca="1" si="12"/>
        <v>-5.7062666664409845E-2</v>
      </c>
      <c r="M29" s="294">
        <f t="shared" ca="1" si="12"/>
        <v>-2.6358215328748491E-2</v>
      </c>
      <c r="N29" s="294">
        <f t="shared" ca="1" si="12"/>
        <v>-2.0924946228851438E-2</v>
      </c>
      <c r="O29" s="294">
        <f t="shared" ca="1" si="12"/>
        <v>-1.4674844965425593E-2</v>
      </c>
      <c r="P29" s="294">
        <f t="shared" ca="1" si="12"/>
        <v>6.6338506465997149E-3</v>
      </c>
      <c r="Q29" s="294">
        <f t="shared" ca="1" si="12"/>
        <v>1.0961198619663381E-3</v>
      </c>
    </row>
    <row r="30" spans="4:27" x14ac:dyDescent="0.2">
      <c r="H30" t="s">
        <v>446</v>
      </c>
      <c r="J30" s="294">
        <f t="shared" ca="1" si="12"/>
        <v>-6.0473945573994436E-3</v>
      </c>
      <c r="K30" s="294">
        <f t="shared" ca="1" si="12"/>
        <v>-1.0470670840381224E-2</v>
      </c>
      <c r="L30" s="294">
        <f t="shared" ca="1" si="12"/>
        <v>-3.435631855536192E-3</v>
      </c>
      <c r="M30" s="294">
        <f t="shared" ca="1" si="12"/>
        <v>5.5746374280238875E-3</v>
      </c>
      <c r="N30" s="294">
        <f t="shared" ca="1" si="12"/>
        <v>1.6969123981576573E-2</v>
      </c>
      <c r="O30" s="294">
        <f t="shared" ca="1" si="12"/>
        <v>-3.3824882674468038E-3</v>
      </c>
      <c r="P30" s="294">
        <f t="shared" ca="1" si="12"/>
        <v>-1.5458027450747203E-2</v>
      </c>
      <c r="Q30" s="294">
        <f t="shared" ca="1" si="12"/>
        <v>-7.0090227684881379E-3</v>
      </c>
    </row>
    <row r="31" spans="4:27" x14ac:dyDescent="0.2">
      <c r="H31" t="s">
        <v>445</v>
      </c>
      <c r="J31" s="294">
        <f t="shared" ca="1" si="12"/>
        <v>3.712138977070234E-3</v>
      </c>
      <c r="K31" s="294">
        <f t="shared" ca="1" si="12"/>
        <v>2.776208164597449E-2</v>
      </c>
      <c r="L31" s="294">
        <f t="shared" ca="1" si="12"/>
        <v>3.3714572635514584E-2</v>
      </c>
      <c r="M31" s="294">
        <f t="shared" ca="1" si="12"/>
        <v>1.4152680666429385E-2</v>
      </c>
      <c r="N31" s="294">
        <f t="shared" ca="1" si="12"/>
        <v>1.382835403253635E-2</v>
      </c>
      <c r="O31" s="294">
        <f t="shared" ca="1" si="12"/>
        <v>1.453447666235741E-2</v>
      </c>
      <c r="P31" s="294">
        <f t="shared" ca="1" si="12"/>
        <v>8.255869221854617E-3</v>
      </c>
      <c r="Q31" s="294">
        <f t="shared" ca="1" si="12"/>
        <v>4.5199941774456409E-3</v>
      </c>
    </row>
  </sheetData>
  <hyperlinks>
    <hyperlink ref="B2" r:id="rId1" xr:uid="{55A6272A-569B-DF40-B9F4-742B5C153CD9}"/>
  </hyperlinks>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613413-BCF5-5145-95CF-CFD61D422A75}">
  <sheetPr codeName="Sheet33">
    <tabColor rgb="FF3366FF"/>
  </sheetPr>
  <dimension ref="B1:AC88"/>
  <sheetViews>
    <sheetView showGridLines="0" zoomScaleNormal="100" zoomScaleSheetLayoutView="100" zoomScalePageLayoutView="150" workbookViewId="0">
      <selection activeCell="K7" sqref="K7"/>
    </sheetView>
  </sheetViews>
  <sheetFormatPr baseColWidth="10" defaultColWidth="5.5" defaultRowHeight="13" customHeight="1" x14ac:dyDescent="0.15"/>
  <cols>
    <col min="1" max="1" width="5.5" style="1"/>
    <col min="2" max="3" width="5.5" style="1" customWidth="1"/>
    <col min="4" max="6" width="5.5" style="1"/>
    <col min="7" max="7" width="6.1640625" style="1" customWidth="1"/>
    <col min="8" max="10" width="5.5" style="59"/>
    <col min="11" max="11" width="5.5" style="1" customWidth="1"/>
    <col min="12" max="14" width="5.5" style="1"/>
    <col min="15" max="15" width="5.5" style="1" customWidth="1"/>
    <col min="16" max="18" width="5.5" style="1"/>
    <col min="19" max="19" width="5.5" style="1" customWidth="1"/>
    <col min="20" max="22" width="5.5" style="1"/>
    <col min="23" max="23" width="5.83203125" style="1" bestFit="1" customWidth="1"/>
    <col min="24" max="29" width="5.5" style="1"/>
    <col min="30" max="30" width="2" style="1" customWidth="1"/>
    <col min="31" max="16384" width="5.5" style="1"/>
  </cols>
  <sheetData>
    <row r="1" spans="2:28" s="48" customFormat="1" ht="13" customHeight="1" x14ac:dyDescent="0.2">
      <c r="B1" s="131"/>
      <c r="C1" s="132" t="s">
        <v>122</v>
      </c>
      <c r="D1" s="131"/>
      <c r="E1" s="131"/>
      <c r="F1" s="131"/>
      <c r="G1" s="131"/>
      <c r="H1" s="131"/>
      <c r="I1" s="131"/>
      <c r="J1" s="131"/>
      <c r="K1" s="131"/>
      <c r="L1" s="131"/>
      <c r="M1" s="131"/>
      <c r="N1" s="131"/>
      <c r="O1" s="131"/>
      <c r="P1" s="130"/>
    </row>
    <row r="2" spans="2:28" s="126" customFormat="1" ht="13" customHeight="1" x14ac:dyDescent="0.2">
      <c r="C2" s="129"/>
    </row>
    <row r="3" spans="2:28" s="126" customFormat="1" ht="13" customHeight="1" x14ac:dyDescent="0.15">
      <c r="B3" s="1" t="s">
        <v>30</v>
      </c>
      <c r="C3" s="1" t="str">
        <f>Readme!C6</f>
        <v>IMAGE 3.0.1</v>
      </c>
      <c r="D3" s="1"/>
      <c r="E3" s="128" t="s">
        <v>32</v>
      </c>
      <c r="F3" s="1"/>
      <c r="G3" s="1"/>
      <c r="H3" s="1" t="str">
        <f>Readme!C4</f>
        <v>SSP2-Baseline</v>
      </c>
    </row>
    <row r="4" spans="2:28" s="126" customFormat="1" ht="13" customHeight="1" x14ac:dyDescent="0.15">
      <c r="B4" s="1"/>
      <c r="C4" s="1"/>
      <c r="D4" s="1"/>
      <c r="E4" s="127" t="s">
        <v>116</v>
      </c>
      <c r="F4" s="1"/>
      <c r="G4" s="127"/>
      <c r="H4" s="1" t="str">
        <f>Readme!C5</f>
        <v>IMA15-TOT</v>
      </c>
      <c r="U4" s="133"/>
    </row>
    <row r="5" spans="2:28" ht="13" customHeight="1" x14ac:dyDescent="0.15">
      <c r="S5" s="133"/>
    </row>
    <row r="10" spans="2:28" s="123" customFormat="1" ht="13" customHeight="1" x14ac:dyDescent="0.2">
      <c r="D10" s="125" t="s">
        <v>49</v>
      </c>
      <c r="E10" s="124"/>
      <c r="H10" s="124" t="s">
        <v>456</v>
      </c>
      <c r="I10" s="124"/>
      <c r="L10" s="124" t="s">
        <v>121</v>
      </c>
      <c r="P10" s="124" t="s">
        <v>120</v>
      </c>
      <c r="T10" s="124" t="s">
        <v>119</v>
      </c>
      <c r="X10" s="216" t="s">
        <v>43</v>
      </c>
      <c r="AB10" s="216" t="s">
        <v>54</v>
      </c>
    </row>
    <row r="12" spans="2:28" ht="13" customHeight="1" x14ac:dyDescent="0.15">
      <c r="L12" s="59"/>
    </row>
    <row r="13" spans="2:28" ht="13" customHeight="1" x14ac:dyDescent="0.15">
      <c r="L13" s="59"/>
    </row>
    <row r="14" spans="2:28" ht="13" customHeight="1" x14ac:dyDescent="0.15">
      <c r="L14" s="59"/>
    </row>
    <row r="15" spans="2:28" ht="13" customHeight="1" x14ac:dyDescent="0.15">
      <c r="L15" s="59"/>
    </row>
    <row r="16" spans="2:28" ht="13" customHeight="1" x14ac:dyDescent="0.15">
      <c r="L16" s="59"/>
    </row>
    <row r="17" spans="3:29" ht="13" customHeight="1" x14ac:dyDescent="0.15">
      <c r="L17" s="59"/>
    </row>
    <row r="18" spans="3:29" ht="13" customHeight="1" x14ac:dyDescent="0.15">
      <c r="L18" s="59"/>
    </row>
    <row r="19" spans="3:29" ht="13" customHeight="1" x14ac:dyDescent="0.15">
      <c r="L19" s="59"/>
    </row>
    <row r="20" spans="3:29" ht="13" customHeight="1" x14ac:dyDescent="0.15">
      <c r="L20" s="59"/>
    </row>
    <row r="24" spans="3:29" ht="13" customHeight="1" x14ac:dyDescent="0.15">
      <c r="C24" s="114">
        <f ca="1">INDEX(Prate1,1)</f>
        <v>1.33397307876435E-2</v>
      </c>
      <c r="D24" s="113" t="s">
        <v>127</v>
      </c>
      <c r="E24" s="118"/>
      <c r="F24" s="118"/>
      <c r="G24" s="117">
        <f ca="1">INDEX(GWPrate1,1)</f>
        <v>3.0635576805107867E-2</v>
      </c>
      <c r="H24" s="136" t="s">
        <v>127</v>
      </c>
      <c r="I24" s="122"/>
      <c r="J24" s="121"/>
      <c r="K24" s="120">
        <f ca="1">INDEX(FErate1,1)</f>
        <v>2.2275292137704517E-2</v>
      </c>
      <c r="L24" s="136" t="s">
        <v>127</v>
      </c>
      <c r="M24" s="118"/>
      <c r="N24" s="118"/>
      <c r="O24" s="119">
        <f ca="1">INDEX(PEdeqrate1,1)</f>
        <v>2.4420680554374075E-2</v>
      </c>
      <c r="P24" s="136" t="s">
        <v>127</v>
      </c>
      <c r="Q24" s="118"/>
      <c r="R24" s="118"/>
      <c r="S24" s="117">
        <f ca="1">INDEX(PEffrate1,1)</f>
        <v>2.3994128114132485E-2</v>
      </c>
      <c r="T24" s="136" t="s">
        <v>127</v>
      </c>
      <c r="W24" s="117">
        <f ca="1">INDEX(TFCrate1,1)</f>
        <v>2.5412266804053729E-2</v>
      </c>
      <c r="X24" s="136" t="s">
        <v>127</v>
      </c>
    </row>
    <row r="25" spans="3:29" s="108" customFormat="1" ht="13" customHeight="1" x14ac:dyDescent="0.15">
      <c r="C25" s="116">
        <f ca="1">INDEX(Prate2,1)</f>
        <v>1.2523115485857383E-2</v>
      </c>
      <c r="D25" s="115" t="s">
        <v>128</v>
      </c>
      <c r="E25" s="113"/>
      <c r="F25" s="114"/>
      <c r="G25" s="109">
        <f ca="1">INDEX(GWPrate1,2)</f>
        <v>3.0635576805107867E-2</v>
      </c>
      <c r="H25" s="137" t="s">
        <v>128</v>
      </c>
      <c r="I25" s="113"/>
      <c r="J25" s="110"/>
      <c r="K25" s="112">
        <f ca="1">INDEX(FErate2,1)</f>
        <v>1.9094858133720694E-2</v>
      </c>
      <c r="L25" s="137" t="s">
        <v>128</v>
      </c>
      <c r="M25" s="110"/>
      <c r="N25" s="110"/>
      <c r="O25" s="111">
        <f ca="1">INDEX(PEdeqrate2,1)</f>
        <v>2.1935227844802618E-2</v>
      </c>
      <c r="P25" s="137" t="s">
        <v>128</v>
      </c>
      <c r="Q25" s="110"/>
      <c r="R25" s="110"/>
      <c r="S25" s="109">
        <f ca="1">INDEX(PEffrate2,2)</f>
        <v>2.1944931549882751E-2</v>
      </c>
      <c r="T25" s="137" t="s">
        <v>128</v>
      </c>
      <c r="W25" s="109">
        <f ca="1">INDEX(TFCrate2,1)</f>
        <v>2.1907298758519156E-2</v>
      </c>
      <c r="X25" s="137" t="s">
        <v>128</v>
      </c>
    </row>
    <row r="26" spans="3:29" s="105" customFormat="1" ht="13" customHeight="1" x14ac:dyDescent="0.15">
      <c r="F26" s="107"/>
      <c r="L26" s="106"/>
      <c r="AC26" s="133"/>
    </row>
    <row r="27" spans="3:29" ht="13" customHeight="1" x14ac:dyDescent="0.15">
      <c r="L27" s="59"/>
      <c r="S27" s="104"/>
    </row>
    <row r="28" spans="3:29" ht="13" customHeight="1" x14ac:dyDescent="0.15">
      <c r="L28" s="59"/>
      <c r="S28" s="104"/>
    </row>
    <row r="29" spans="3:29" ht="13" customHeight="1" x14ac:dyDescent="0.15">
      <c r="L29" s="59"/>
      <c r="S29" s="104"/>
    </row>
    <row r="30" spans="3:29" ht="13" customHeight="1" x14ac:dyDescent="0.15">
      <c r="L30" s="59"/>
    </row>
    <row r="31" spans="3:29" ht="13" customHeight="1" x14ac:dyDescent="0.15">
      <c r="L31" s="59"/>
    </row>
    <row r="32" spans="3:29" ht="13" customHeight="1" x14ac:dyDescent="0.15">
      <c r="L32" s="59"/>
    </row>
    <row r="33" spans="3:28" ht="13" customHeight="1" x14ac:dyDescent="0.15">
      <c r="L33" s="59"/>
    </row>
    <row r="34" spans="3:28" ht="13" customHeight="1" x14ac:dyDescent="0.15">
      <c r="L34" s="59"/>
    </row>
    <row r="35" spans="3:28" ht="13" customHeight="1" x14ac:dyDescent="0.15">
      <c r="H35" s="103"/>
      <c r="K35" s="102"/>
      <c r="L35" s="59"/>
    </row>
    <row r="36" spans="3:28" ht="13" customHeight="1" x14ac:dyDescent="0.15">
      <c r="E36" s="98"/>
      <c r="I36" s="97"/>
      <c r="J36" s="87"/>
      <c r="K36" s="101"/>
      <c r="L36" s="87"/>
      <c r="M36" s="100"/>
      <c r="N36" s="99"/>
    </row>
    <row r="37" spans="3:28" ht="13" customHeight="1" x14ac:dyDescent="0.15">
      <c r="E37" s="98"/>
      <c r="G37" s="90"/>
      <c r="I37" s="97"/>
      <c r="J37" s="87"/>
      <c r="M37" s="96"/>
      <c r="N37" s="95"/>
    </row>
    <row r="38" spans="3:28" ht="13" customHeight="1" x14ac:dyDescent="0.15">
      <c r="G38" s="90"/>
      <c r="I38" s="94"/>
      <c r="J38" s="93"/>
    </row>
    <row r="39" spans="3:28" ht="13" customHeight="1" x14ac:dyDescent="0.15">
      <c r="G39" s="90"/>
      <c r="H39" s="1"/>
      <c r="I39" s="92"/>
      <c r="J39" s="91"/>
    </row>
    <row r="40" spans="3:28" ht="13" customHeight="1" x14ac:dyDescent="0.15">
      <c r="G40" s="90"/>
      <c r="H40" s="89"/>
      <c r="I40" s="88"/>
      <c r="J40" s="87"/>
    </row>
    <row r="41" spans="3:28" s="84" customFormat="1" ht="13" customHeight="1" x14ac:dyDescent="0.15">
      <c r="C41" s="1"/>
      <c r="D41" s="1"/>
      <c r="E41" s="1"/>
      <c r="H41" s="83"/>
      <c r="I41" s="83"/>
      <c r="J41" s="87"/>
      <c r="T41" s="86"/>
    </row>
    <row r="42" spans="3:28" s="84" customFormat="1" ht="13" customHeight="1" x14ac:dyDescent="0.15">
      <c r="C42" s="1"/>
      <c r="D42" s="1"/>
      <c r="E42" s="1"/>
      <c r="H42" s="83"/>
      <c r="I42" s="83"/>
      <c r="J42" s="83"/>
      <c r="AA42" s="85" t="s">
        <v>118</v>
      </c>
    </row>
    <row r="43" spans="3:28" ht="13" customHeight="1" x14ac:dyDescent="0.2">
      <c r="D43" s="79"/>
      <c r="E43" s="83"/>
      <c r="AA43" s="82" t="s">
        <v>117</v>
      </c>
    </row>
    <row r="44" spans="3:28" ht="13" customHeight="1" x14ac:dyDescent="0.2">
      <c r="C44" s="81"/>
      <c r="E44" s="59"/>
      <c r="H44" s="78"/>
      <c r="I44" s="80"/>
      <c r="L44" s="80"/>
      <c r="M44" s="79"/>
      <c r="P44" s="77"/>
    </row>
    <row r="45" spans="3:28" ht="13" customHeight="1" x14ac:dyDescent="0.15">
      <c r="E45" s="78"/>
      <c r="F45" s="59"/>
    </row>
    <row r="46" spans="3:28" s="196" customFormat="1" ht="19" customHeight="1" x14ac:dyDescent="0.25">
      <c r="D46" s="197" t="s">
        <v>215</v>
      </c>
      <c r="F46" s="198"/>
      <c r="H46" s="197" t="s">
        <v>465</v>
      </c>
      <c r="I46" s="198"/>
      <c r="J46" s="198"/>
      <c r="L46" s="197" t="s">
        <v>216</v>
      </c>
      <c r="P46" s="197" t="s">
        <v>217</v>
      </c>
      <c r="T46" s="197" t="s">
        <v>218</v>
      </c>
      <c r="X46" s="217" t="s">
        <v>309</v>
      </c>
      <c r="AB46" s="217" t="s">
        <v>204</v>
      </c>
    </row>
    <row r="47" spans="3:28" s="196" customFormat="1" ht="20" customHeight="1" x14ac:dyDescent="0.2">
      <c r="D47" s="197" t="s">
        <v>284</v>
      </c>
      <c r="F47" s="198"/>
      <c r="H47" s="197" t="s">
        <v>284</v>
      </c>
      <c r="I47" s="198"/>
      <c r="J47" s="198"/>
      <c r="L47" s="197" t="s">
        <v>284</v>
      </c>
      <c r="P47" s="197" t="s">
        <v>284</v>
      </c>
      <c r="T47" s="197" t="s">
        <v>284</v>
      </c>
      <c r="X47" s="197" t="s">
        <v>284</v>
      </c>
      <c r="AB47" s="197" t="s">
        <v>284</v>
      </c>
    </row>
    <row r="48" spans="3:28" ht="13" customHeight="1" x14ac:dyDescent="0.15">
      <c r="F48" s="59"/>
      <c r="L48" s="59"/>
    </row>
    <row r="49" spans="3:12" ht="13" customHeight="1" x14ac:dyDescent="0.15">
      <c r="F49" s="59"/>
      <c r="L49" s="59"/>
    </row>
    <row r="50" spans="3:12" ht="13" customHeight="1" x14ac:dyDescent="0.15">
      <c r="F50" s="59"/>
      <c r="L50" s="59"/>
    </row>
    <row r="51" spans="3:12" ht="13" customHeight="1" x14ac:dyDescent="0.15">
      <c r="F51" s="59"/>
      <c r="L51" s="59"/>
    </row>
    <row r="52" spans="3:12" ht="13" customHeight="1" x14ac:dyDescent="0.15">
      <c r="F52" s="59"/>
      <c r="L52" s="59"/>
    </row>
    <row r="53" spans="3:12" ht="13" customHeight="1" x14ac:dyDescent="0.15">
      <c r="F53" s="59"/>
      <c r="L53" s="59"/>
    </row>
    <row r="54" spans="3:12" ht="13" customHeight="1" x14ac:dyDescent="0.15">
      <c r="F54" s="59"/>
      <c r="L54" s="59"/>
    </row>
    <row r="55" spans="3:12" ht="13" customHeight="1" x14ac:dyDescent="0.15">
      <c r="F55" s="59"/>
    </row>
    <row r="56" spans="3:12" ht="13" customHeight="1" x14ac:dyDescent="0.15">
      <c r="F56" s="59"/>
    </row>
    <row r="57" spans="3:12" ht="13" customHeight="1" x14ac:dyDescent="0.15">
      <c r="F57" s="59"/>
    </row>
    <row r="58" spans="3:12" ht="13" customHeight="1" x14ac:dyDescent="0.15">
      <c r="F58" s="59"/>
    </row>
    <row r="60" spans="3:12" ht="13" customHeight="1" x14ac:dyDescent="0.15">
      <c r="C60" s="64"/>
      <c r="F60" s="76"/>
      <c r="G60" s="75"/>
      <c r="H60" s="73"/>
      <c r="I60" s="74"/>
      <c r="K60" s="65"/>
      <c r="L60" s="64"/>
    </row>
    <row r="61" spans="3:12" ht="13" customHeight="1" x14ac:dyDescent="0.15">
      <c r="C61" s="64"/>
      <c r="F61" s="76"/>
      <c r="G61" s="75"/>
      <c r="H61" s="73"/>
      <c r="I61" s="74"/>
      <c r="K61" s="65"/>
      <c r="L61" s="64"/>
    </row>
    <row r="62" spans="3:12" ht="13" customHeight="1" x14ac:dyDescent="0.15">
      <c r="C62" s="64"/>
      <c r="F62" s="76"/>
      <c r="G62" s="75"/>
      <c r="H62" s="73"/>
      <c r="I62" s="74"/>
      <c r="L62" s="64"/>
    </row>
    <row r="63" spans="3:12" ht="13" customHeight="1" x14ac:dyDescent="0.15">
      <c r="F63" s="76"/>
      <c r="G63" s="75"/>
      <c r="H63" s="74"/>
      <c r="I63" s="73"/>
      <c r="L63" s="64"/>
    </row>
    <row r="64" spans="3:12" ht="13" customHeight="1" x14ac:dyDescent="0.15">
      <c r="F64" s="76"/>
      <c r="G64" s="75"/>
      <c r="H64" s="74"/>
      <c r="I64" s="73"/>
      <c r="L64" s="64"/>
    </row>
    <row r="65" spans="4:12" ht="13" customHeight="1" x14ac:dyDescent="0.15">
      <c r="F65" s="76"/>
      <c r="G65" s="75"/>
      <c r="H65" s="74"/>
      <c r="I65" s="73"/>
      <c r="L65" s="64"/>
    </row>
    <row r="66" spans="4:12" ht="13" customHeight="1" x14ac:dyDescent="0.15">
      <c r="F66" s="76"/>
      <c r="G66" s="75"/>
      <c r="H66" s="74"/>
      <c r="I66" s="73"/>
      <c r="L66" s="64"/>
    </row>
    <row r="67" spans="4:12" ht="13" customHeight="1" x14ac:dyDescent="0.15">
      <c r="D67" s="133"/>
      <c r="F67" s="76"/>
      <c r="G67" s="75"/>
      <c r="H67" s="74"/>
      <c r="I67" s="73"/>
      <c r="L67" s="64"/>
    </row>
    <row r="68" spans="4:12" ht="13" customHeight="1" x14ac:dyDescent="0.15">
      <c r="F68" s="76"/>
      <c r="G68" s="75"/>
      <c r="H68" s="74"/>
      <c r="I68" s="73"/>
      <c r="L68" s="64"/>
    </row>
    <row r="69" spans="4:12" ht="13" customHeight="1" x14ac:dyDescent="0.15">
      <c r="F69" s="76"/>
      <c r="G69" s="75"/>
      <c r="H69" s="74"/>
      <c r="I69" s="73"/>
      <c r="L69" s="64"/>
    </row>
    <row r="70" spans="4:12" ht="13" customHeight="1" x14ac:dyDescent="0.15">
      <c r="F70" s="76"/>
      <c r="G70" s="75"/>
      <c r="H70" s="74"/>
      <c r="I70" s="73"/>
      <c r="L70" s="64"/>
    </row>
    <row r="71" spans="4:12" ht="13" customHeight="1" x14ac:dyDescent="0.15">
      <c r="F71" s="76"/>
      <c r="G71" s="75"/>
      <c r="H71" s="74"/>
      <c r="I71" s="73"/>
      <c r="L71" s="64"/>
    </row>
    <row r="72" spans="4:12" ht="13" customHeight="1" x14ac:dyDescent="0.15">
      <c r="I72" s="61"/>
      <c r="L72" s="64"/>
    </row>
    <row r="74" spans="4:12" ht="13" customHeight="1" x14ac:dyDescent="0.15">
      <c r="H74" s="72"/>
      <c r="I74" s="61"/>
      <c r="L74" s="64"/>
    </row>
    <row r="80" spans="4:12" s="59" customFormat="1" ht="13" customHeight="1" x14ac:dyDescent="0.15">
      <c r="D80" s="68"/>
      <c r="E80" s="68"/>
      <c r="F80" s="68"/>
      <c r="G80" s="68"/>
      <c r="I80" s="68"/>
      <c r="J80" s="68"/>
      <c r="K80" s="68"/>
    </row>
    <row r="81" spans="3:14" s="59" customFormat="1" ht="13" customHeight="1" x14ac:dyDescent="0.15">
      <c r="D81" s="68"/>
      <c r="E81" s="68"/>
      <c r="F81" s="68"/>
      <c r="G81" s="68"/>
      <c r="I81" s="68"/>
      <c r="J81" s="68"/>
      <c r="K81" s="68"/>
    </row>
    <row r="82" spans="3:14" ht="13" customHeight="1" x14ac:dyDescent="0.2">
      <c r="C82" s="64"/>
      <c r="F82" s="67"/>
      <c r="H82" s="66"/>
      <c r="K82" s="71"/>
      <c r="L82" s="70"/>
      <c r="N82" s="61"/>
    </row>
    <row r="83" spans="3:14" s="59" customFormat="1" ht="13" customHeight="1" x14ac:dyDescent="0.15">
      <c r="C83" s="64"/>
      <c r="F83" s="69"/>
      <c r="H83" s="66"/>
      <c r="J83" s="68"/>
      <c r="K83" s="65"/>
      <c r="N83" s="61"/>
    </row>
    <row r="84" spans="3:14" ht="13" customHeight="1" x14ac:dyDescent="0.15">
      <c r="C84" s="61"/>
      <c r="F84" s="67"/>
      <c r="H84" s="66"/>
      <c r="K84" s="65"/>
      <c r="N84" s="64"/>
    </row>
    <row r="85" spans="3:14" ht="13" customHeight="1" x14ac:dyDescent="0.15">
      <c r="C85" s="63"/>
    </row>
    <row r="86" spans="3:14" ht="13" customHeight="1" x14ac:dyDescent="0.15">
      <c r="C86" s="62"/>
      <c r="I86" s="61"/>
    </row>
    <row r="87" spans="3:14" ht="13" customHeight="1" x14ac:dyDescent="0.15">
      <c r="C87" s="60"/>
    </row>
    <row r="88" spans="3:14" ht="13" customHeight="1" x14ac:dyDescent="0.15">
      <c r="C88" s="60"/>
    </row>
  </sheetData>
  <pageMargins left="1" right="1" top="1.1000000000000001" bottom="1.1000000000000001" header="0.5" footer="0.5"/>
  <pageSetup orientation="landscape" horizontalDpi="1200" verticalDpi="1200"/>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F3E67-2BAB-264A-852A-FA695BAE8015}">
  <sheetPr codeName="Sheet34">
    <tabColor rgb="FF008000"/>
  </sheetPr>
  <dimension ref="B1:AU88"/>
  <sheetViews>
    <sheetView showGridLines="0" zoomScaleNormal="100" zoomScaleSheetLayoutView="100" zoomScalePageLayoutView="150" workbookViewId="0">
      <selection activeCell="Q42" sqref="Q42"/>
    </sheetView>
  </sheetViews>
  <sheetFormatPr baseColWidth="10" defaultColWidth="5.5" defaultRowHeight="13" customHeight="1" x14ac:dyDescent="0.15"/>
  <cols>
    <col min="1" max="2" width="5.5" style="1"/>
    <col min="3" max="3" width="7.5" style="1" bestFit="1" customWidth="1"/>
    <col min="4" max="6" width="5.5" style="1"/>
    <col min="7" max="7" width="5.83203125" style="1" bestFit="1" customWidth="1"/>
    <col min="8" max="10" width="5.5" style="59"/>
    <col min="11" max="11" width="6.33203125" style="1" bestFit="1" customWidth="1"/>
    <col min="12" max="14" width="5.5" style="1"/>
    <col min="15" max="15" width="5.83203125" style="1" bestFit="1" customWidth="1"/>
    <col min="16" max="18" width="5.5" style="1"/>
    <col min="19" max="19" width="6.33203125" style="1" bestFit="1" customWidth="1"/>
    <col min="20" max="22" width="5.5" style="1"/>
    <col min="23" max="23" width="5.83203125" style="1" bestFit="1" customWidth="1"/>
    <col min="24" max="24" width="5.6640625" style="1" customWidth="1"/>
    <col min="25" max="33" width="5.5" style="1"/>
    <col min="34" max="34" width="6.1640625" style="1" customWidth="1"/>
    <col min="35" max="35" width="5.5" style="1"/>
    <col min="36" max="36" width="5.83203125" style="1" customWidth="1"/>
    <col min="37" max="37" width="1" style="1" customWidth="1"/>
    <col min="38" max="38" width="5.5" style="1"/>
    <col min="39" max="39" width="5.83203125" style="1" bestFit="1" customWidth="1"/>
    <col min="40" max="42" width="5.5" style="1"/>
    <col min="43" max="43" width="1.5" style="1" customWidth="1"/>
    <col min="44" max="44" width="0.6640625" style="1" customWidth="1"/>
    <col min="45" max="45" width="7.33203125" style="1" customWidth="1"/>
    <col min="46" max="46" width="7" style="1" customWidth="1"/>
    <col min="47" max="47" width="5.5" style="1"/>
    <col min="48" max="48" width="2.33203125" style="1" customWidth="1"/>
    <col min="49" max="16384" width="5.5" style="1"/>
  </cols>
  <sheetData>
    <row r="1" spans="2:46" s="48" customFormat="1" ht="13" customHeight="1" x14ac:dyDescent="0.2">
      <c r="B1" s="131"/>
      <c r="C1" s="132" t="s">
        <v>122</v>
      </c>
      <c r="D1" s="131"/>
      <c r="E1" s="131"/>
      <c r="F1" s="131"/>
      <c r="G1" s="131"/>
      <c r="H1" s="131"/>
      <c r="I1" s="131"/>
      <c r="J1" s="131"/>
      <c r="K1" s="131"/>
      <c r="L1" s="131"/>
      <c r="M1" s="131"/>
      <c r="N1" s="131"/>
      <c r="O1" s="131"/>
      <c r="P1" s="130"/>
    </row>
    <row r="2" spans="2:46" s="126" customFormat="1" ht="13" customHeight="1" x14ac:dyDescent="0.2">
      <c r="C2" s="129"/>
    </row>
    <row r="3" spans="2:46" s="126" customFormat="1" ht="13" customHeight="1" x14ac:dyDescent="0.15">
      <c r="B3" s="1" t="s">
        <v>30</v>
      </c>
      <c r="C3" s="1" t="str">
        <f>Readme!C6</f>
        <v>IMAGE 3.0.1</v>
      </c>
      <c r="D3" s="1"/>
      <c r="E3" s="128" t="s">
        <v>32</v>
      </c>
      <c r="F3" s="1"/>
      <c r="G3" s="1"/>
      <c r="H3" s="1" t="str">
        <f>Readme!C4</f>
        <v>SSP2-Baseline</v>
      </c>
    </row>
    <row r="4" spans="2:46" s="126" customFormat="1" ht="13" customHeight="1" x14ac:dyDescent="0.15">
      <c r="B4" s="1"/>
      <c r="C4" s="1"/>
      <c r="D4" s="1"/>
      <c r="E4" s="127" t="s">
        <v>116</v>
      </c>
      <c r="F4" s="1"/>
      <c r="G4" s="127"/>
      <c r="H4" s="1" t="str">
        <f>Readme!C5</f>
        <v>IMA15-TOT</v>
      </c>
      <c r="S4" s="133"/>
      <c r="Y4" s="133"/>
    </row>
    <row r="5" spans="2:46" ht="13" customHeight="1" x14ac:dyDescent="0.15">
      <c r="X5" s="133"/>
      <c r="AD5" s="133"/>
      <c r="AH5" s="133"/>
    </row>
    <row r="9" spans="2:46" s="123" customFormat="1" ht="13" customHeight="1" x14ac:dyDescent="0.2">
      <c r="D9" s="295" t="s">
        <v>49</v>
      </c>
      <c r="E9" s="124"/>
      <c r="H9" s="124" t="s">
        <v>455</v>
      </c>
      <c r="I9" s="124"/>
      <c r="L9" s="124" t="s">
        <v>121</v>
      </c>
      <c r="P9" s="124" t="s">
        <v>126</v>
      </c>
      <c r="T9" s="124" t="s">
        <v>125</v>
      </c>
      <c r="X9" s="216" t="s">
        <v>43</v>
      </c>
      <c r="AB9" s="216" t="s">
        <v>54</v>
      </c>
      <c r="AI9" s="124" t="s">
        <v>125</v>
      </c>
      <c r="AN9" s="216" t="s">
        <v>43</v>
      </c>
      <c r="AT9" s="124" t="s">
        <v>121</v>
      </c>
    </row>
    <row r="10" spans="2:46" s="123" customFormat="1" ht="13" customHeight="1" x14ac:dyDescent="0.2">
      <c r="D10" s="295"/>
      <c r="E10" s="135"/>
      <c r="H10" s="124" t="s">
        <v>124</v>
      </c>
      <c r="I10" s="135"/>
      <c r="L10" s="124" t="s">
        <v>456</v>
      </c>
      <c r="P10" s="124" t="s">
        <v>51</v>
      </c>
      <c r="T10" s="164" t="s">
        <v>296</v>
      </c>
      <c r="X10" s="124" t="s">
        <v>123</v>
      </c>
      <c r="AB10" s="124" t="s">
        <v>43</v>
      </c>
      <c r="AI10" s="164" t="s">
        <v>296</v>
      </c>
      <c r="AN10" s="124" t="s">
        <v>123</v>
      </c>
      <c r="AT10" s="124" t="s">
        <v>456</v>
      </c>
    </row>
    <row r="12" spans="2:46" ht="13" customHeight="1" x14ac:dyDescent="0.15">
      <c r="L12" s="59"/>
      <c r="AT12" s="59"/>
    </row>
    <row r="13" spans="2:46" ht="13" customHeight="1" x14ac:dyDescent="0.15">
      <c r="L13" s="59"/>
      <c r="AT13" s="59"/>
    </row>
    <row r="14" spans="2:46" ht="13" customHeight="1" x14ac:dyDescent="0.15">
      <c r="L14" s="59"/>
      <c r="AT14" s="59"/>
    </row>
    <row r="15" spans="2:46" ht="13" customHeight="1" x14ac:dyDescent="0.15">
      <c r="L15" s="59"/>
      <c r="AT15" s="59"/>
    </row>
    <row r="16" spans="2:46" ht="13" customHeight="1" x14ac:dyDescent="0.15">
      <c r="L16" s="59"/>
      <c r="AT16" s="59"/>
    </row>
    <row r="17" spans="3:47" ht="13" customHeight="1" x14ac:dyDescent="0.15">
      <c r="L17" s="59"/>
      <c r="AT17" s="59"/>
    </row>
    <row r="18" spans="3:47" ht="13" customHeight="1" x14ac:dyDescent="0.15">
      <c r="L18" s="59"/>
      <c r="AT18" s="59"/>
    </row>
    <row r="19" spans="3:47" ht="13" customHeight="1" x14ac:dyDescent="0.15">
      <c r="L19" s="59"/>
      <c r="AT19" s="59"/>
    </row>
    <row r="20" spans="3:47" ht="13" customHeight="1" x14ac:dyDescent="0.15">
      <c r="L20" s="59"/>
      <c r="AT20" s="59"/>
    </row>
    <row r="24" spans="3:47" s="118" customFormat="1" ht="13" customHeight="1" x14ac:dyDescent="0.15">
      <c r="C24" s="114">
        <f ca="1">INDEX(Prate1,2)</f>
        <v>1.33397307876435E-2</v>
      </c>
      <c r="D24" s="113" t="s">
        <v>127</v>
      </c>
      <c r="E24" s="113"/>
      <c r="G24" s="114">
        <f ca="1">INDEX(GWPperPrate1,2)</f>
        <v>1.7068161340146881E-2</v>
      </c>
      <c r="H24" s="113" t="s">
        <v>127</v>
      </c>
      <c r="I24" s="113"/>
      <c r="J24" s="121"/>
      <c r="K24" s="114">
        <f ca="1">INDEX(FEperGWPrate1,2)</f>
        <v>-8.1117757387337841E-3</v>
      </c>
      <c r="L24" s="113" t="s">
        <v>127</v>
      </c>
      <c r="M24" s="113"/>
      <c r="O24" s="114">
        <f ca="1">INDEX(PEdeqperFErate1,2)</f>
        <v>2.0153774592224227E-3</v>
      </c>
      <c r="P24" s="113" t="s">
        <v>127</v>
      </c>
      <c r="Q24" s="113"/>
      <c r="S24" s="114">
        <f ca="1">INDEX(PEffperPEdeqrate1,2)</f>
        <v>-4.1638405816923907E-4</v>
      </c>
      <c r="T24" s="113" t="s">
        <v>127</v>
      </c>
      <c r="U24" s="110"/>
      <c r="W24" s="114">
        <f ca="1">INDEX(TFCperPEffrate1,2)</f>
        <v>1.5451450911869724E-3</v>
      </c>
      <c r="X24" s="113" t="s">
        <v>127</v>
      </c>
      <c r="AH24" s="114">
        <f ca="1">INDEX(PEffperPEdeqrate1,2)</f>
        <v>-4.1638405816923907E-4</v>
      </c>
      <c r="AI24" s="113" t="s">
        <v>127</v>
      </c>
      <c r="AL24" s="110"/>
      <c r="AM24" s="114">
        <f ca="1">INDEX(TFCperPEffrate1,2)</f>
        <v>1.5451450911869724E-3</v>
      </c>
      <c r="AN24" s="113" t="s">
        <v>127</v>
      </c>
      <c r="AS24" s="114">
        <f ca="1">INDEX(FEperGWPrate1,2)</f>
        <v>-8.1117757387337841E-3</v>
      </c>
      <c r="AT24" s="113" t="s">
        <v>127</v>
      </c>
      <c r="AU24" s="113"/>
    </row>
    <row r="25" spans="3:47" s="139" customFormat="1" ht="13" customHeight="1" x14ac:dyDescent="0.15">
      <c r="C25" s="138">
        <f ca="1">INDEX(Prate2,2)</f>
        <v>1.2523115485857383E-2</v>
      </c>
      <c r="D25" s="139" t="s">
        <v>128</v>
      </c>
      <c r="F25" s="138"/>
      <c r="G25" s="138">
        <f ca="1">INDEX(GWPperPrate2,2)</f>
        <v>2.5565099356545273E-2</v>
      </c>
      <c r="H25" s="139" t="s">
        <v>128</v>
      </c>
      <c r="K25" s="138">
        <f ca="1">INDEX(FEperGWPrate2,2)</f>
        <v>-1.8257046810357003E-2</v>
      </c>
      <c r="L25" s="139" t="s">
        <v>128</v>
      </c>
      <c r="M25" s="140"/>
      <c r="O25" s="138">
        <f ca="1">INDEX(PEdeqperFErate2,2)</f>
        <v>2.4377147280183475E-3</v>
      </c>
      <c r="P25" s="139" t="s">
        <v>128</v>
      </c>
      <c r="S25" s="138">
        <f ca="1">INDEX(PEffperPEdeqrate2,2)</f>
        <v>9.4954208600395162E-6</v>
      </c>
      <c r="T25" s="139" t="s">
        <v>128</v>
      </c>
      <c r="W25" s="138">
        <f ca="1">INDEX(TFCperPEffrate2,2)</f>
        <v>7.7771181949937152E-4</v>
      </c>
      <c r="X25" s="139" t="s">
        <v>128</v>
      </c>
      <c r="AH25" s="138">
        <f ca="1">INDEX(PEffperPEdeqrate2,2)</f>
        <v>9.4954208600395162E-6</v>
      </c>
      <c r="AI25" s="139" t="s">
        <v>128</v>
      </c>
      <c r="AM25" s="138">
        <f ca="1">INDEX(TFCperPEffrate2,2)</f>
        <v>7.7771181949937152E-4</v>
      </c>
      <c r="AN25" s="139" t="s">
        <v>128</v>
      </c>
      <c r="AS25" s="138">
        <f ca="1">INDEX(FEperGWPrate2,2)</f>
        <v>-1.8257046810357003E-2</v>
      </c>
      <c r="AT25" s="139" t="s">
        <v>128</v>
      </c>
      <c r="AU25" s="140"/>
    </row>
    <row r="26" spans="3:47" s="105" customFormat="1" ht="13" customHeight="1" x14ac:dyDescent="0.15">
      <c r="F26" s="107"/>
    </row>
    <row r="27" spans="3:47" ht="13" customHeight="1" x14ac:dyDescent="0.15">
      <c r="L27" s="59"/>
      <c r="S27" s="104"/>
      <c r="AJ27" s="139"/>
      <c r="AK27" s="138"/>
      <c r="AL27" s="139"/>
      <c r="AM27" s="140"/>
      <c r="AN27" s="139"/>
    </row>
    <row r="28" spans="3:47" ht="13" customHeight="1" x14ac:dyDescent="0.15">
      <c r="L28" s="59"/>
      <c r="S28" s="104"/>
      <c r="AI28" s="133"/>
      <c r="AJ28" s="105"/>
      <c r="AK28" s="105"/>
      <c r="AL28" s="105"/>
      <c r="AM28" s="105"/>
      <c r="AN28" s="105"/>
    </row>
    <row r="29" spans="3:47" ht="13" customHeight="1" x14ac:dyDescent="0.15">
      <c r="L29" s="59"/>
      <c r="S29" s="104"/>
    </row>
    <row r="30" spans="3:47" ht="13" customHeight="1" x14ac:dyDescent="0.15">
      <c r="L30" s="59"/>
      <c r="AK30" s="133"/>
    </row>
    <row r="31" spans="3:47" ht="13" customHeight="1" x14ac:dyDescent="0.15">
      <c r="L31" s="59"/>
    </row>
    <row r="32" spans="3:47" ht="13" customHeight="1" x14ac:dyDescent="0.15">
      <c r="L32" s="59"/>
      <c r="AI32" s="133"/>
    </row>
    <row r="33" spans="3:36" ht="13" customHeight="1" x14ac:dyDescent="0.15">
      <c r="L33" s="59"/>
    </row>
    <row r="34" spans="3:36" ht="13" customHeight="1" x14ac:dyDescent="0.15">
      <c r="L34" s="59"/>
      <c r="AI34" s="133"/>
    </row>
    <row r="35" spans="3:36" ht="13" customHeight="1" x14ac:dyDescent="0.15">
      <c r="H35" s="103"/>
      <c r="K35" s="102"/>
      <c r="L35" s="59"/>
    </row>
    <row r="36" spans="3:36" ht="13" customHeight="1" x14ac:dyDescent="0.15">
      <c r="E36" s="98"/>
      <c r="I36" s="97"/>
      <c r="J36" s="87"/>
      <c r="K36" s="101"/>
      <c r="L36" s="87"/>
      <c r="M36" s="100"/>
      <c r="N36" s="99"/>
      <c r="AI36" s="133"/>
    </row>
    <row r="37" spans="3:36" ht="13" customHeight="1" x14ac:dyDescent="0.15">
      <c r="E37" s="98"/>
      <c r="G37" s="90"/>
      <c r="I37" s="97"/>
      <c r="J37" s="87"/>
      <c r="M37" s="96"/>
      <c r="N37" s="95"/>
    </row>
    <row r="38" spans="3:36" ht="13" customHeight="1" x14ac:dyDescent="0.15">
      <c r="G38" s="90"/>
      <c r="I38" s="94"/>
      <c r="J38" s="93"/>
    </row>
    <row r="39" spans="3:36" ht="13" customHeight="1" x14ac:dyDescent="0.15">
      <c r="G39" s="90"/>
      <c r="H39" s="1"/>
      <c r="I39" s="92"/>
      <c r="J39" s="91"/>
    </row>
    <row r="40" spans="3:36" ht="13" customHeight="1" x14ac:dyDescent="0.15">
      <c r="G40" s="90"/>
      <c r="H40" s="89"/>
      <c r="I40" s="88"/>
      <c r="J40" s="87"/>
    </row>
    <row r="41" spans="3:36" s="84" customFormat="1" ht="13" customHeight="1" x14ac:dyDescent="0.15">
      <c r="C41" s="1"/>
      <c r="D41" s="1"/>
      <c r="E41" s="1"/>
      <c r="H41" s="83"/>
      <c r="I41" s="83"/>
      <c r="J41" s="87"/>
    </row>
    <row r="42" spans="3:36" s="84" customFormat="1" ht="13" customHeight="1" x14ac:dyDescent="0.15">
      <c r="C42" s="1"/>
      <c r="D42" s="1"/>
      <c r="E42" s="1"/>
      <c r="H42" s="83"/>
      <c r="I42" s="83"/>
      <c r="J42" s="83"/>
    </row>
    <row r="44" spans="3:36" ht="13" customHeight="1" x14ac:dyDescent="0.15">
      <c r="C44" s="81"/>
    </row>
    <row r="46" spans="3:36" customFormat="1" ht="20" customHeight="1" x14ac:dyDescent="0.25">
      <c r="D46" s="199" t="s">
        <v>219</v>
      </c>
      <c r="E46" s="200"/>
      <c r="G46" s="201"/>
      <c r="H46" s="197" t="s">
        <v>457</v>
      </c>
      <c r="I46" s="202"/>
      <c r="J46" s="202"/>
      <c r="K46" s="199"/>
      <c r="L46" s="197" t="s">
        <v>458</v>
      </c>
      <c r="O46" s="201"/>
      <c r="P46" s="197" t="s">
        <v>220</v>
      </c>
      <c r="S46" s="201"/>
      <c r="T46" s="197" t="s">
        <v>221</v>
      </c>
      <c r="W46" s="197"/>
      <c r="X46" s="197" t="s">
        <v>310</v>
      </c>
      <c r="AB46" s="197" t="s">
        <v>311</v>
      </c>
    </row>
    <row r="47" spans="3:36" customFormat="1" ht="19" customHeight="1" x14ac:dyDescent="0.2">
      <c r="D47" s="197" t="s">
        <v>284</v>
      </c>
      <c r="E47" s="202"/>
      <c r="G47" s="201"/>
      <c r="H47" s="197" t="s">
        <v>284</v>
      </c>
      <c r="I47" s="201"/>
      <c r="J47" s="202"/>
      <c r="K47" s="201"/>
      <c r="L47" s="197" t="s">
        <v>284</v>
      </c>
      <c r="N47" s="201"/>
      <c r="O47" s="199"/>
      <c r="P47" s="197" t="s">
        <v>284</v>
      </c>
      <c r="R47" s="197"/>
      <c r="S47" s="199"/>
      <c r="T47" s="197" t="s">
        <v>284</v>
      </c>
      <c r="W47" s="197"/>
      <c r="X47" s="197" t="s">
        <v>284</v>
      </c>
      <c r="AB47" s="197" t="s">
        <v>284</v>
      </c>
    </row>
    <row r="48" spans="3:36" ht="13" customHeight="1" x14ac:dyDescent="0.15">
      <c r="F48" s="59"/>
      <c r="L48" s="59"/>
      <c r="AJ48" s="133"/>
    </row>
    <row r="49" spans="3:12" ht="13" customHeight="1" x14ac:dyDescent="0.15">
      <c r="F49" s="59"/>
      <c r="L49" s="59"/>
    </row>
    <row r="50" spans="3:12" ht="13" customHeight="1" x14ac:dyDescent="0.15">
      <c r="F50" s="59"/>
      <c r="L50" s="59"/>
    </row>
    <row r="51" spans="3:12" ht="13" customHeight="1" x14ac:dyDescent="0.15">
      <c r="F51" s="59"/>
      <c r="L51" s="59"/>
    </row>
    <row r="52" spans="3:12" ht="13" customHeight="1" x14ac:dyDescent="0.15">
      <c r="F52" s="59"/>
      <c r="L52" s="59"/>
    </row>
    <row r="53" spans="3:12" ht="13" customHeight="1" x14ac:dyDescent="0.15">
      <c r="F53" s="59"/>
      <c r="L53" s="59"/>
    </row>
    <row r="54" spans="3:12" ht="13" customHeight="1" x14ac:dyDescent="0.15">
      <c r="F54" s="59"/>
      <c r="L54" s="59"/>
    </row>
    <row r="55" spans="3:12" ht="13" customHeight="1" x14ac:dyDescent="0.15">
      <c r="F55" s="59"/>
    </row>
    <row r="56" spans="3:12" ht="13" customHeight="1" x14ac:dyDescent="0.15">
      <c r="F56" s="59"/>
    </row>
    <row r="57" spans="3:12" ht="13" customHeight="1" x14ac:dyDescent="0.15">
      <c r="F57" s="59"/>
    </row>
    <row r="58" spans="3:12" ht="13" customHeight="1" x14ac:dyDescent="0.15">
      <c r="F58" s="59"/>
    </row>
    <row r="60" spans="3:12" ht="13" customHeight="1" x14ac:dyDescent="0.15">
      <c r="C60" s="64"/>
      <c r="F60" s="76"/>
      <c r="G60" s="75"/>
      <c r="H60" s="73"/>
      <c r="I60" s="74"/>
      <c r="K60" s="65"/>
      <c r="L60" s="64"/>
    </row>
    <row r="61" spans="3:12" ht="13" customHeight="1" x14ac:dyDescent="0.15">
      <c r="C61" s="64"/>
      <c r="F61" s="76"/>
      <c r="G61" s="75"/>
      <c r="H61" s="73"/>
      <c r="I61" s="74"/>
      <c r="K61" s="65"/>
      <c r="L61" s="64"/>
    </row>
    <row r="62" spans="3:12" ht="13" customHeight="1" x14ac:dyDescent="0.15">
      <c r="C62" s="64"/>
      <c r="F62" s="76"/>
      <c r="G62" s="75"/>
      <c r="H62" s="73"/>
      <c r="I62" s="74"/>
      <c r="L62" s="64"/>
    </row>
    <row r="63" spans="3:12" ht="13" customHeight="1" x14ac:dyDescent="0.15">
      <c r="F63" s="76"/>
      <c r="G63" s="75"/>
      <c r="H63" s="74"/>
      <c r="I63" s="73"/>
      <c r="L63" s="64"/>
    </row>
    <row r="64" spans="3:12" ht="13" customHeight="1" x14ac:dyDescent="0.15">
      <c r="F64" s="76"/>
      <c r="G64" s="75"/>
      <c r="H64" s="74"/>
      <c r="I64" s="73"/>
      <c r="L64" s="64"/>
    </row>
    <row r="65" spans="4:12" ht="13" customHeight="1" x14ac:dyDescent="0.15">
      <c r="F65" s="76"/>
      <c r="G65" s="75"/>
      <c r="H65" s="74"/>
      <c r="I65" s="73"/>
      <c r="L65" s="64"/>
    </row>
    <row r="66" spans="4:12" ht="13" customHeight="1" x14ac:dyDescent="0.15">
      <c r="F66" s="76"/>
      <c r="G66" s="75"/>
      <c r="H66" s="74"/>
      <c r="I66" s="73"/>
      <c r="L66" s="64"/>
    </row>
    <row r="67" spans="4:12" ht="13" customHeight="1" x14ac:dyDescent="0.15">
      <c r="F67" s="76"/>
      <c r="G67" s="75"/>
      <c r="H67" s="74"/>
      <c r="I67" s="73"/>
      <c r="L67" s="64"/>
    </row>
    <row r="68" spans="4:12" ht="13" customHeight="1" x14ac:dyDescent="0.15">
      <c r="F68" s="76"/>
      <c r="G68" s="75"/>
      <c r="H68" s="74"/>
      <c r="I68" s="73"/>
      <c r="L68" s="64"/>
    </row>
    <row r="69" spans="4:12" ht="13" customHeight="1" x14ac:dyDescent="0.15">
      <c r="F69" s="76"/>
      <c r="G69" s="75"/>
      <c r="H69" s="74"/>
      <c r="I69" s="73"/>
      <c r="L69" s="64"/>
    </row>
    <row r="70" spans="4:12" ht="13" customHeight="1" x14ac:dyDescent="0.15">
      <c r="F70" s="76"/>
      <c r="G70" s="75"/>
      <c r="H70" s="74"/>
      <c r="I70" s="73"/>
      <c r="L70" s="64"/>
    </row>
    <row r="71" spans="4:12" ht="13" customHeight="1" x14ac:dyDescent="0.15">
      <c r="F71" s="76"/>
      <c r="G71" s="75"/>
      <c r="H71" s="74"/>
      <c r="I71" s="73"/>
      <c r="L71" s="64"/>
    </row>
    <row r="72" spans="4:12" ht="13" customHeight="1" x14ac:dyDescent="0.15">
      <c r="I72" s="61"/>
      <c r="L72" s="64"/>
    </row>
    <row r="74" spans="4:12" ht="13" customHeight="1" x14ac:dyDescent="0.15">
      <c r="H74" s="72"/>
      <c r="I74" s="61"/>
      <c r="L74" s="64"/>
    </row>
    <row r="80" spans="4:12" s="59" customFormat="1" ht="13" customHeight="1" x14ac:dyDescent="0.15">
      <c r="D80" s="68"/>
      <c r="E80" s="68"/>
      <c r="F80" s="68"/>
      <c r="G80" s="68"/>
      <c r="I80" s="68"/>
      <c r="J80" s="68"/>
      <c r="K80" s="68"/>
    </row>
    <row r="81" spans="3:14" s="59" customFormat="1" ht="13" customHeight="1" x14ac:dyDescent="0.15">
      <c r="D81" s="68"/>
      <c r="E81" s="68"/>
      <c r="F81" s="68"/>
      <c r="G81" s="68"/>
      <c r="I81" s="68"/>
      <c r="J81" s="68"/>
      <c r="K81" s="68"/>
    </row>
    <row r="82" spans="3:14" ht="13" customHeight="1" x14ac:dyDescent="0.2">
      <c r="C82" s="64"/>
      <c r="F82" s="67"/>
      <c r="H82" s="66"/>
      <c r="K82" s="71"/>
      <c r="L82" s="70"/>
      <c r="N82" s="61"/>
    </row>
    <row r="83" spans="3:14" s="59" customFormat="1" ht="13" customHeight="1" x14ac:dyDescent="0.15">
      <c r="C83" s="64"/>
      <c r="F83" s="69"/>
      <c r="H83" s="66"/>
      <c r="J83" s="68"/>
      <c r="K83" s="65"/>
      <c r="N83" s="61"/>
    </row>
    <row r="84" spans="3:14" ht="13" customHeight="1" x14ac:dyDescent="0.15">
      <c r="C84" s="61"/>
      <c r="F84" s="67"/>
      <c r="H84" s="66"/>
      <c r="K84" s="65"/>
      <c r="N84" s="64"/>
    </row>
    <row r="85" spans="3:14" ht="13" customHeight="1" x14ac:dyDescent="0.15">
      <c r="C85" s="63"/>
    </row>
    <row r="86" spans="3:14" ht="13" customHeight="1" x14ac:dyDescent="0.15">
      <c r="C86" s="62"/>
      <c r="I86" s="61"/>
    </row>
    <row r="87" spans="3:14" ht="13" customHeight="1" x14ac:dyDescent="0.15">
      <c r="C87" s="60"/>
    </row>
    <row r="88" spans="3:14" ht="13" customHeight="1" x14ac:dyDescent="0.15">
      <c r="C88" s="60"/>
    </row>
  </sheetData>
  <mergeCells count="1">
    <mergeCell ref="D9:D10"/>
  </mergeCells>
  <pageMargins left="1" right="1" top="1.1000000000000001" bottom="1.1000000000000001" header="0.5" footer="0.5"/>
  <pageSetup orientation="landscape" horizontalDpi="1200" verticalDpi="1200"/>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1C470F-905E-3241-8859-84642229C679}">
  <sheetPr codeName="Sheet22">
    <tabColor rgb="FF7030A0"/>
  </sheetPr>
  <dimension ref="B1:AJ88"/>
  <sheetViews>
    <sheetView showGridLines="0" topLeftCell="A5" zoomScaleNormal="100" zoomScaleSheetLayoutView="100" zoomScalePageLayoutView="75" workbookViewId="0">
      <selection activeCell="B9" sqref="B9:V21"/>
    </sheetView>
  </sheetViews>
  <sheetFormatPr baseColWidth="10" defaultColWidth="8.83203125" defaultRowHeight="13" x14ac:dyDescent="0.15"/>
  <cols>
    <col min="1" max="1" width="8.83203125" style="1" customWidth="1"/>
    <col min="2" max="2" width="7.83203125" style="1" customWidth="1"/>
    <col min="3" max="3" width="7.1640625" style="1" customWidth="1"/>
    <col min="4" max="4" width="8.6640625" style="1" customWidth="1"/>
    <col min="5" max="6" width="7.1640625" style="1" customWidth="1"/>
    <col min="7" max="7" width="8" style="1" customWidth="1"/>
    <col min="8" max="10" width="7.1640625" style="59" customWidth="1"/>
    <col min="11" max="16" width="7.1640625" style="1" customWidth="1"/>
    <col min="17" max="17" width="6" style="1" customWidth="1"/>
    <col min="18" max="19" width="7.1640625" style="1" customWidth="1"/>
    <col min="20" max="20" width="9.5" style="1" customWidth="1"/>
    <col min="21" max="21" width="7.1640625" style="1" customWidth="1"/>
    <col min="22" max="22" width="5.83203125" style="1" customWidth="1"/>
    <col min="23" max="23" width="8.5" style="1" customWidth="1"/>
    <col min="24" max="25" width="8.83203125" style="1"/>
    <col min="26" max="26" width="9" style="1" customWidth="1"/>
    <col min="27" max="27" width="8.83203125" style="1" customWidth="1"/>
    <col min="28" max="16384" width="8.83203125" style="1"/>
  </cols>
  <sheetData>
    <row r="1" spans="2:35" s="130" customFormat="1" ht="21.75" customHeight="1" x14ac:dyDescent="0.2">
      <c r="C1" s="166"/>
    </row>
    <row r="2" spans="2:35" s="126" customFormat="1" ht="21.75" customHeight="1" x14ac:dyDescent="0.2">
      <c r="C2" s="129"/>
    </row>
    <row r="3" spans="2:35" s="126" customFormat="1" ht="21.75" customHeight="1" x14ac:dyDescent="0.15">
      <c r="B3" s="1" t="s">
        <v>30</v>
      </c>
      <c r="C3" s="1" t="str">
        <f>Readme!C6</f>
        <v>IMAGE 3.0.1</v>
      </c>
      <c r="D3" s="1"/>
      <c r="H3" s="128" t="s">
        <v>32</v>
      </c>
      <c r="K3" s="1" t="str">
        <f>Readme!C4</f>
        <v>SSP2-Baseline</v>
      </c>
    </row>
    <row r="4" spans="2:35" s="126" customFormat="1" ht="16" customHeight="1" x14ac:dyDescent="0.15">
      <c r="B4" s="1"/>
      <c r="C4" s="1"/>
      <c r="D4" s="1"/>
      <c r="H4" s="127" t="s">
        <v>116</v>
      </c>
      <c r="K4" s="1" t="str">
        <f>Readme!C5</f>
        <v>IMA15-TOT</v>
      </c>
    </row>
    <row r="8" spans="2:35" ht="10" customHeight="1" x14ac:dyDescent="0.15"/>
    <row r="9" spans="2:35" ht="16" customHeight="1" x14ac:dyDescent="0.2">
      <c r="C9" s="213"/>
      <c r="E9" s="165"/>
      <c r="I9" s="165"/>
      <c r="J9" s="77"/>
      <c r="N9" s="80"/>
      <c r="Q9" s="79"/>
      <c r="T9" s="77"/>
    </row>
    <row r="10" spans="2:35" s="127" customFormat="1" ht="14" customHeight="1" x14ac:dyDescent="0.2">
      <c r="C10" s="218" t="s">
        <v>293</v>
      </c>
      <c r="E10" s="146"/>
      <c r="F10" s="144" t="s">
        <v>143</v>
      </c>
      <c r="H10" s="146"/>
      <c r="I10" s="146"/>
      <c r="J10" s="143" t="s">
        <v>142</v>
      </c>
      <c r="N10" s="143" t="s">
        <v>141</v>
      </c>
      <c r="Q10" s="164" t="s">
        <v>140</v>
      </c>
      <c r="S10" s="163"/>
      <c r="T10" s="145" t="s">
        <v>139</v>
      </c>
    </row>
    <row r="11" spans="2:35" s="127" customFormat="1" ht="15" customHeight="1" x14ac:dyDescent="0.2">
      <c r="C11" s="162" t="s">
        <v>315</v>
      </c>
      <c r="H11" s="146"/>
      <c r="I11" s="146"/>
      <c r="J11" s="162" t="s">
        <v>138</v>
      </c>
      <c r="N11" s="143" t="s">
        <v>137</v>
      </c>
      <c r="Q11" s="162" t="s">
        <v>136</v>
      </c>
      <c r="U11" s="161" t="s">
        <v>135</v>
      </c>
      <c r="AA11" s="1"/>
      <c r="AB11" s="1"/>
      <c r="AC11" s="1"/>
      <c r="AD11" s="1"/>
    </row>
    <row r="12" spans="2:35" ht="16" x14ac:dyDescent="0.2">
      <c r="L12" s="59"/>
      <c r="AB12" s="77"/>
    </row>
    <row r="13" spans="2:35" ht="16" x14ac:dyDescent="0.2">
      <c r="L13" s="59"/>
      <c r="AA13" s="163"/>
      <c r="AC13" s="145" t="s">
        <v>139</v>
      </c>
      <c r="AD13" s="127"/>
      <c r="AH13" s="145" t="s">
        <v>139</v>
      </c>
      <c r="AI13" s="127"/>
    </row>
    <row r="14" spans="2:35" ht="16" x14ac:dyDescent="0.2">
      <c r="L14" s="59"/>
      <c r="AA14" s="127"/>
      <c r="AB14" s="284"/>
      <c r="AC14" s="162" t="s">
        <v>440</v>
      </c>
      <c r="AD14" s="162"/>
      <c r="AH14" s="162" t="s">
        <v>441</v>
      </c>
      <c r="AI14" s="161"/>
    </row>
    <row r="15" spans="2:35" x14ac:dyDescent="0.15">
      <c r="L15" s="59"/>
    </row>
    <row r="16" spans="2:35" x14ac:dyDescent="0.15">
      <c r="L16" s="59"/>
    </row>
    <row r="17" spans="3:30" x14ac:dyDescent="0.15">
      <c r="L17" s="59"/>
    </row>
    <row r="18" spans="3:30" x14ac:dyDescent="0.15">
      <c r="L18" s="59"/>
    </row>
    <row r="19" spans="3:30" x14ac:dyDescent="0.15">
      <c r="L19" s="59"/>
    </row>
    <row r="20" spans="3:30" x14ac:dyDescent="0.15">
      <c r="L20" s="59"/>
    </row>
    <row r="24" spans="3:30" x14ac:dyDescent="0.15">
      <c r="I24" s="94"/>
      <c r="J24" s="87"/>
    </row>
    <row r="25" spans="3:30" s="108" customFormat="1" x14ac:dyDescent="0.15">
      <c r="C25" s="160"/>
      <c r="D25" s="155"/>
      <c r="E25" s="155"/>
      <c r="F25" s="160"/>
      <c r="G25" s="159"/>
      <c r="H25" s="155"/>
      <c r="I25" s="155"/>
      <c r="J25" s="158"/>
      <c r="K25" s="157"/>
      <c r="L25" s="155"/>
      <c r="M25" s="156"/>
      <c r="N25" s="156"/>
      <c r="O25" s="155"/>
      <c r="P25" s="155"/>
      <c r="Q25" s="154"/>
      <c r="R25" s="154"/>
      <c r="AA25" s="1"/>
      <c r="AB25" s="1"/>
      <c r="AC25" s="1"/>
      <c r="AD25" s="1"/>
    </row>
    <row r="26" spans="3:30" s="149" customFormat="1" ht="17" customHeight="1" x14ac:dyDescent="0.15">
      <c r="H26" s="153"/>
      <c r="J26" s="152"/>
      <c r="K26" s="152"/>
      <c r="L26" s="151"/>
      <c r="M26" s="150"/>
      <c r="N26" s="150"/>
      <c r="AA26" s="1"/>
      <c r="AB26" s="1"/>
      <c r="AC26" s="1"/>
      <c r="AD26" s="1"/>
    </row>
    <row r="27" spans="3:30" x14ac:dyDescent="0.15">
      <c r="L27" s="59"/>
      <c r="S27" s="104"/>
    </row>
    <row r="28" spans="3:30" x14ac:dyDescent="0.15">
      <c r="L28" s="59"/>
      <c r="S28" s="104"/>
    </row>
    <row r="29" spans="3:30" x14ac:dyDescent="0.15">
      <c r="L29" s="59"/>
      <c r="S29" s="104"/>
    </row>
    <row r="30" spans="3:30" x14ac:dyDescent="0.15">
      <c r="L30" s="59"/>
    </row>
    <row r="31" spans="3:30" x14ac:dyDescent="0.15">
      <c r="L31" s="59"/>
    </row>
    <row r="32" spans="3:30" x14ac:dyDescent="0.15">
      <c r="L32" s="59"/>
    </row>
    <row r="33" spans="3:36" x14ac:dyDescent="0.15">
      <c r="L33" s="59"/>
    </row>
    <row r="34" spans="3:36" ht="16" x14ac:dyDescent="0.2">
      <c r="F34" s="148"/>
      <c r="L34" s="59"/>
    </row>
    <row r="35" spans="3:36" ht="20" customHeight="1" x14ac:dyDescent="0.15">
      <c r="H35" s="103"/>
      <c r="K35" s="102"/>
      <c r="L35" s="59"/>
    </row>
    <row r="36" spans="3:36" ht="13" customHeight="1" x14ac:dyDescent="0.15">
      <c r="E36" s="98"/>
      <c r="I36" s="97"/>
      <c r="J36" s="87"/>
      <c r="K36" s="101"/>
      <c r="L36" s="87"/>
      <c r="M36" s="100"/>
      <c r="N36" s="99"/>
    </row>
    <row r="37" spans="3:36" ht="13" customHeight="1" x14ac:dyDescent="0.15">
      <c r="E37" s="98"/>
      <c r="G37" s="90"/>
      <c r="I37" s="97"/>
      <c r="J37" s="87"/>
      <c r="M37" s="96"/>
      <c r="N37" s="95"/>
    </row>
    <row r="38" spans="3:36" ht="11" customHeight="1" x14ac:dyDescent="0.15">
      <c r="G38" s="90"/>
      <c r="I38" s="94"/>
      <c r="J38" s="93"/>
    </row>
    <row r="39" spans="3:36" ht="11" customHeight="1" x14ac:dyDescent="0.15">
      <c r="G39" s="90"/>
      <c r="H39" s="1"/>
      <c r="I39" s="92"/>
      <c r="J39" s="91"/>
      <c r="AA39" s="59"/>
      <c r="AB39" s="59"/>
    </row>
    <row r="40" spans="3:36" ht="11" customHeight="1" x14ac:dyDescent="0.15">
      <c r="G40" s="90"/>
      <c r="H40" s="89"/>
      <c r="I40" s="88"/>
      <c r="J40" s="87"/>
      <c r="AA40" s="59"/>
      <c r="AB40" s="59"/>
    </row>
    <row r="41" spans="3:36" s="84" customFormat="1" ht="18" customHeight="1" x14ac:dyDescent="0.2">
      <c r="C41" s="1"/>
      <c r="D41" s="1"/>
      <c r="E41" s="1"/>
      <c r="H41" s="83"/>
      <c r="I41" s="83"/>
      <c r="J41" s="87"/>
      <c r="AA41" s="165"/>
      <c r="AB41" s="77"/>
      <c r="AC41" s="1"/>
      <c r="AD41" s="1"/>
      <c r="AE41" s="1"/>
      <c r="AF41" s="80"/>
      <c r="AG41" s="1"/>
      <c r="AH41" s="1"/>
      <c r="AI41" s="79"/>
      <c r="AJ41" s="1"/>
    </row>
    <row r="42" spans="3:36" s="84" customFormat="1" ht="21.75" customHeight="1" x14ac:dyDescent="0.2">
      <c r="C42" s="1"/>
      <c r="D42" s="1"/>
      <c r="E42" s="1"/>
      <c r="H42" s="83"/>
      <c r="I42" s="83"/>
      <c r="J42" s="83"/>
      <c r="AA42" s="146"/>
      <c r="AB42" s="143" t="s">
        <v>142</v>
      </c>
      <c r="AC42" s="127"/>
      <c r="AD42" s="127"/>
      <c r="AE42" s="127"/>
      <c r="AF42" s="143" t="s">
        <v>141</v>
      </c>
      <c r="AG42" s="127"/>
      <c r="AH42" s="127"/>
      <c r="AI42" s="164" t="s">
        <v>140</v>
      </c>
      <c r="AJ42" s="127"/>
    </row>
    <row r="43" spans="3:36" ht="16" x14ac:dyDescent="0.2">
      <c r="AA43" s="146"/>
      <c r="AB43" s="162" t="s">
        <v>138</v>
      </c>
      <c r="AC43" s="127"/>
      <c r="AD43" s="127"/>
      <c r="AE43" s="127"/>
      <c r="AF43" s="143" t="s">
        <v>137</v>
      </c>
      <c r="AG43" s="127"/>
      <c r="AH43" s="127"/>
      <c r="AI43" s="162" t="s">
        <v>136</v>
      </c>
      <c r="AJ43" s="127"/>
    </row>
    <row r="44" spans="3:36" x14ac:dyDescent="0.15">
      <c r="AA44" s="59"/>
      <c r="AB44" s="59"/>
      <c r="AD44" s="59"/>
    </row>
    <row r="45" spans="3:36" x14ac:dyDescent="0.15">
      <c r="E45" s="78"/>
      <c r="F45" s="59"/>
      <c r="AA45" s="59"/>
      <c r="AB45" s="59"/>
      <c r="AD45" s="59"/>
    </row>
    <row r="46" spans="3:36" x14ac:dyDescent="0.15">
      <c r="F46" s="59"/>
      <c r="L46" s="59"/>
      <c r="AA46" s="59"/>
      <c r="AB46" s="59"/>
      <c r="AD46" s="59"/>
    </row>
    <row r="47" spans="3:36" x14ac:dyDescent="0.15">
      <c r="F47" s="59"/>
      <c r="L47" s="59"/>
      <c r="AA47" s="59"/>
      <c r="AB47" s="59"/>
      <c r="AD47" s="59"/>
    </row>
    <row r="48" spans="3:36" x14ac:dyDescent="0.15">
      <c r="F48" s="59"/>
      <c r="L48" s="59"/>
      <c r="AA48" s="59"/>
      <c r="AB48" s="59"/>
      <c r="AD48" s="59"/>
    </row>
    <row r="49" spans="3:30" x14ac:dyDescent="0.15">
      <c r="F49" s="59"/>
      <c r="L49" s="59"/>
      <c r="AA49" s="59"/>
      <c r="AB49" s="59"/>
      <c r="AD49" s="59"/>
    </row>
    <row r="50" spans="3:30" x14ac:dyDescent="0.15">
      <c r="F50" s="59"/>
      <c r="L50" s="59"/>
      <c r="AA50" s="59"/>
      <c r="AB50" s="59"/>
      <c r="AD50" s="59"/>
    </row>
    <row r="51" spans="3:30" x14ac:dyDescent="0.15">
      <c r="F51" s="59"/>
      <c r="L51" s="59"/>
      <c r="AA51" s="59"/>
      <c r="AB51" s="59"/>
      <c r="AD51" s="59"/>
    </row>
    <row r="52" spans="3:30" x14ac:dyDescent="0.15">
      <c r="F52" s="59"/>
      <c r="L52" s="59"/>
      <c r="AA52" s="59"/>
      <c r="AB52" s="59"/>
      <c r="AD52" s="59"/>
    </row>
    <row r="53" spans="3:30" x14ac:dyDescent="0.15">
      <c r="F53" s="59"/>
      <c r="L53" s="59"/>
      <c r="AA53" s="59"/>
      <c r="AB53" s="59"/>
    </row>
    <row r="54" spans="3:30" x14ac:dyDescent="0.15">
      <c r="F54" s="59"/>
      <c r="L54" s="59"/>
      <c r="AA54" s="59"/>
      <c r="AB54" s="59"/>
    </row>
    <row r="55" spans="3:30" x14ac:dyDescent="0.15">
      <c r="F55" s="59"/>
      <c r="AA55" s="59"/>
      <c r="AB55" s="59"/>
    </row>
    <row r="56" spans="3:30" x14ac:dyDescent="0.15">
      <c r="F56" s="59"/>
      <c r="AA56" s="94"/>
      <c r="AB56" s="87"/>
    </row>
    <row r="57" spans="3:30" x14ac:dyDescent="0.15">
      <c r="F57" s="59"/>
    </row>
    <row r="58" spans="3:30" x14ac:dyDescent="0.15">
      <c r="F58" s="59"/>
    </row>
    <row r="60" spans="3:30" x14ac:dyDescent="0.15">
      <c r="C60" s="64"/>
      <c r="F60" s="76"/>
      <c r="G60" s="75"/>
      <c r="H60" s="73"/>
      <c r="I60" s="74"/>
      <c r="K60" s="65"/>
      <c r="L60" s="64"/>
    </row>
    <row r="63" spans="3:30" x14ac:dyDescent="0.15">
      <c r="F63" s="76"/>
      <c r="G63" s="75"/>
      <c r="H63" s="74"/>
      <c r="I63" s="73"/>
      <c r="L63" s="64"/>
      <c r="M63" s="59"/>
    </row>
    <row r="64" spans="3:30" s="127" customFormat="1" ht="16" x14ac:dyDescent="0.2">
      <c r="D64" s="194" t="s">
        <v>204</v>
      </c>
      <c r="E64" s="147"/>
      <c r="G64" s="194" t="s">
        <v>205</v>
      </c>
      <c r="H64" s="146"/>
      <c r="I64" s="146"/>
      <c r="J64" s="195" t="s">
        <v>206</v>
      </c>
      <c r="M64" s="194" t="s">
        <v>207</v>
      </c>
      <c r="Q64" s="194" t="s">
        <v>208</v>
      </c>
      <c r="T64" s="194" t="s">
        <v>209</v>
      </c>
    </row>
    <row r="65" spans="4:20" s="127" customFormat="1" ht="16" x14ac:dyDescent="0.2">
      <c r="D65" s="195" t="s">
        <v>239</v>
      </c>
      <c r="E65" s="146"/>
      <c r="G65" s="194" t="s">
        <v>210</v>
      </c>
      <c r="H65" s="146"/>
      <c r="I65" s="145" t="s">
        <v>134</v>
      </c>
      <c r="J65" s="195" t="s">
        <v>211</v>
      </c>
      <c r="K65" s="145"/>
      <c r="L65" s="145"/>
      <c r="M65" s="195" t="s">
        <v>212</v>
      </c>
      <c r="P65" s="143"/>
      <c r="Q65" s="194" t="s">
        <v>213</v>
      </c>
      <c r="T65" s="194" t="s">
        <v>214</v>
      </c>
    </row>
    <row r="66" spans="4:20" x14ac:dyDescent="0.15">
      <c r="F66" s="76"/>
      <c r="G66" s="75"/>
      <c r="H66" s="74"/>
      <c r="I66" s="73"/>
      <c r="L66" s="64"/>
    </row>
    <row r="67" spans="4:20" x14ac:dyDescent="0.15">
      <c r="F67" s="76"/>
      <c r="G67" s="75"/>
      <c r="H67" s="74"/>
      <c r="I67" s="73"/>
      <c r="L67" s="64"/>
    </row>
    <row r="68" spans="4:20" x14ac:dyDescent="0.15">
      <c r="F68" s="76"/>
      <c r="G68" s="75"/>
      <c r="H68" s="74"/>
      <c r="I68" s="73"/>
      <c r="L68" s="64"/>
    </row>
    <row r="69" spans="4:20" x14ac:dyDescent="0.15">
      <c r="F69" s="76"/>
      <c r="G69" s="75"/>
      <c r="H69" s="74"/>
      <c r="I69" s="73"/>
      <c r="L69" s="64"/>
    </row>
    <row r="70" spans="4:20" x14ac:dyDescent="0.15">
      <c r="F70" s="76"/>
      <c r="G70" s="75"/>
      <c r="H70" s="74"/>
      <c r="I70" s="73"/>
      <c r="L70" s="64"/>
    </row>
    <row r="71" spans="4:20" x14ac:dyDescent="0.15">
      <c r="F71" s="76"/>
      <c r="G71" s="75"/>
      <c r="H71" s="74"/>
      <c r="I71" s="73"/>
      <c r="L71" s="64"/>
    </row>
    <row r="72" spans="4:20" x14ac:dyDescent="0.15">
      <c r="I72" s="61"/>
      <c r="L72" s="64"/>
    </row>
    <row r="73" spans="4:20" ht="6" customHeight="1" x14ac:dyDescent="0.15"/>
    <row r="74" spans="4:20" x14ac:dyDescent="0.15">
      <c r="H74" s="72"/>
      <c r="I74" s="61"/>
      <c r="L74" s="64"/>
    </row>
    <row r="79" spans="4:20" x14ac:dyDescent="0.15">
      <c r="I79" s="205"/>
    </row>
    <row r="80" spans="4:20" s="59" customFormat="1" x14ac:dyDescent="0.15">
      <c r="D80" s="68"/>
      <c r="E80" s="68"/>
      <c r="F80" s="68"/>
      <c r="G80" s="68"/>
      <c r="I80" s="206"/>
      <c r="K80" s="68"/>
    </row>
    <row r="81" spans="3:14" s="59" customFormat="1" x14ac:dyDescent="0.15">
      <c r="D81" s="68"/>
      <c r="E81" s="68"/>
      <c r="F81" s="68"/>
      <c r="G81" s="68"/>
      <c r="I81" s="68"/>
      <c r="J81" s="68"/>
      <c r="K81" s="68"/>
    </row>
    <row r="82" spans="3:14" ht="18.75" customHeight="1" x14ac:dyDescent="0.2">
      <c r="C82" s="64"/>
      <c r="F82" s="67"/>
      <c r="H82" s="66"/>
      <c r="K82" s="71"/>
      <c r="L82" s="70"/>
      <c r="N82" s="61"/>
    </row>
    <row r="83" spans="3:14" s="59" customFormat="1" x14ac:dyDescent="0.15">
      <c r="C83" s="64"/>
      <c r="F83" s="69"/>
      <c r="H83" s="66"/>
      <c r="J83" s="68"/>
      <c r="K83" s="65"/>
      <c r="N83" s="61"/>
    </row>
    <row r="84" spans="3:14" x14ac:dyDescent="0.15">
      <c r="C84" s="61"/>
      <c r="F84" s="67"/>
      <c r="H84" s="66"/>
      <c r="K84" s="65"/>
      <c r="N84" s="64"/>
    </row>
    <row r="85" spans="3:14" x14ac:dyDescent="0.15">
      <c r="C85" s="63"/>
    </row>
    <row r="86" spans="3:14" x14ac:dyDescent="0.15">
      <c r="C86" s="62"/>
      <c r="I86" s="61"/>
    </row>
    <row r="87" spans="3:14" x14ac:dyDescent="0.15">
      <c r="C87" s="60"/>
    </row>
    <row r="88" spans="3:14" x14ac:dyDescent="0.15">
      <c r="C88" s="60"/>
    </row>
  </sheetData>
  <pageMargins left="1" right="1" top="1.1000000000000001" bottom="1.1000000000000001" header="0.5" footer="0.5"/>
  <pageSetup scale="45" orientation="landscape" horizontalDpi="1200" verticalDpi="1200"/>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AA7C5-B9AC-2F44-9126-F8DAE0BEF7CC}">
  <sheetPr codeName="Sheet11"/>
  <dimension ref="A3:E23"/>
  <sheetViews>
    <sheetView workbookViewId="0">
      <selection activeCell="C4" sqref="C4"/>
    </sheetView>
  </sheetViews>
  <sheetFormatPr baseColWidth="10" defaultRowHeight="16" x14ac:dyDescent="0.2"/>
  <cols>
    <col min="1" max="1" width="19.5" customWidth="1"/>
    <col min="2" max="2" width="34.33203125" customWidth="1"/>
    <col min="3" max="3" width="16.1640625" customWidth="1"/>
    <col min="4" max="4" width="17.83203125" customWidth="1"/>
  </cols>
  <sheetData>
    <row r="3" spans="1:5" x14ac:dyDescent="0.2">
      <c r="C3" t="s">
        <v>355</v>
      </c>
    </row>
    <row r="4" spans="1:5" x14ac:dyDescent="0.2">
      <c r="A4" s="246" t="s">
        <v>356</v>
      </c>
      <c r="B4" t="s">
        <v>357</v>
      </c>
      <c r="C4" s="25">
        <f ca="1">WaterfallData!F29</f>
        <v>6361.7116682636697</v>
      </c>
    </row>
    <row r="5" spans="1:5" x14ac:dyDescent="0.2">
      <c r="A5" s="246" t="s">
        <v>358</v>
      </c>
      <c r="B5" t="s">
        <v>359</v>
      </c>
      <c r="C5" s="25">
        <f ca="1">WaterfallData!G47</f>
        <v>691.50620087712309</v>
      </c>
    </row>
    <row r="6" spans="1:5" x14ac:dyDescent="0.2">
      <c r="B6" t="s">
        <v>107</v>
      </c>
      <c r="C6" s="25">
        <f ca="1">C4-C5</f>
        <v>5670.2054673865468</v>
      </c>
    </row>
    <row r="9" spans="1:5" x14ac:dyDescent="0.2">
      <c r="B9" t="s">
        <v>360</v>
      </c>
      <c r="C9" t="s">
        <v>355</v>
      </c>
      <c r="D9" t="s">
        <v>361</v>
      </c>
      <c r="E9" t="s">
        <v>369</v>
      </c>
    </row>
    <row r="10" spans="1:5" x14ac:dyDescent="0.2">
      <c r="B10" t="s">
        <v>362</v>
      </c>
      <c r="C10" s="25">
        <f ca="1">WaterfallData!F34</f>
        <v>-64.748136522075896</v>
      </c>
      <c r="D10" s="247">
        <f t="shared" ref="D10:D18" ca="1" si="0">C10/$C$23</f>
        <v>1.1419010632769705E-2</v>
      </c>
      <c r="E10" s="247">
        <f t="shared" ref="E10:E18" ca="1" si="1">C10/$C$4</f>
        <v>-1.0177785460645987E-2</v>
      </c>
    </row>
    <row r="11" spans="1:5" x14ac:dyDescent="0.2">
      <c r="B11" t="s">
        <v>49</v>
      </c>
      <c r="C11" s="25">
        <f ca="1">WaterfallData!F35</f>
        <v>-258.3343150466099</v>
      </c>
      <c r="D11" s="247">
        <f t="shared" ca="1" si="0"/>
        <v>4.5559956606947914E-2</v>
      </c>
      <c r="E11" s="247">
        <f t="shared" ca="1" si="1"/>
        <v>-4.0607674242035909E-2</v>
      </c>
    </row>
    <row r="12" spans="1:5" x14ac:dyDescent="0.2">
      <c r="B12" t="s">
        <v>459</v>
      </c>
      <c r="C12" s="25">
        <f ca="1">WaterfallData!F36</f>
        <v>87.616591386706148</v>
      </c>
      <c r="D12" s="247">
        <f t="shared" ca="1" si="0"/>
        <v>-1.5452101672620603E-2</v>
      </c>
      <c r="E12" s="247">
        <f t="shared" ca="1" si="1"/>
        <v>1.3772487021660278E-2</v>
      </c>
    </row>
    <row r="13" spans="1:5" x14ac:dyDescent="0.2">
      <c r="B13" t="s">
        <v>460</v>
      </c>
      <c r="C13" s="25">
        <f ca="1">WaterfallData!F37</f>
        <v>-1357.9094959285922</v>
      </c>
      <c r="D13" s="247">
        <f t="shared" ca="1" si="0"/>
        <v>0.23948153267794473</v>
      </c>
      <c r="E13" s="247">
        <f t="shared" ca="1" si="1"/>
        <v>-0.21345033644054046</v>
      </c>
    </row>
    <row r="14" spans="1:5" x14ac:dyDescent="0.2">
      <c r="B14" t="s">
        <v>363</v>
      </c>
      <c r="C14" s="25">
        <f ca="1">WaterfallData!F38</f>
        <v>-1230.3324686441742</v>
      </c>
      <c r="D14" s="247">
        <f t="shared" ca="1" si="0"/>
        <v>0.21698199046237499</v>
      </c>
      <c r="E14" s="247">
        <f t="shared" ca="1" si="1"/>
        <v>-0.19339645252737056</v>
      </c>
    </row>
    <row r="15" spans="1:5" x14ac:dyDescent="0.2">
      <c r="B15" t="s">
        <v>364</v>
      </c>
      <c r="C15" s="25">
        <f ca="1">WaterfallData!F39</f>
        <v>-492.0013923531576</v>
      </c>
      <c r="D15" s="247">
        <f t="shared" ca="1" si="0"/>
        <v>8.6769588012817783E-2</v>
      </c>
      <c r="E15" s="247">
        <f t="shared" ca="1" si="1"/>
        <v>-7.7337895523869563E-2</v>
      </c>
    </row>
    <row r="16" spans="1:5" x14ac:dyDescent="0.2">
      <c r="B16" t="s">
        <v>365</v>
      </c>
      <c r="C16" s="25">
        <f ca="1">WaterfallData!F53</f>
        <v>-69.512175227808868</v>
      </c>
      <c r="D16" s="247">
        <f t="shared" ca="1" si="0"/>
        <v>1.2259198652963049E-2</v>
      </c>
      <c r="E16" s="247">
        <f t="shared" ca="1" si="1"/>
        <v>-1.0926646609053431E-2</v>
      </c>
    </row>
    <row r="17" spans="1:5" x14ac:dyDescent="0.2">
      <c r="B17" t="s">
        <v>108</v>
      </c>
      <c r="C17" s="25">
        <f ca="1">WaterfallData!F54</f>
        <v>-606.35905929427349</v>
      </c>
      <c r="D17" s="247">
        <f t="shared" ca="1" si="0"/>
        <v>0.10693775786113625</v>
      </c>
      <c r="E17" s="247">
        <f t="shared" ca="1" si="1"/>
        <v>-9.5313822900711526E-2</v>
      </c>
    </row>
    <row r="18" spans="1:5" x14ac:dyDescent="0.2">
      <c r="B18" t="s">
        <v>366</v>
      </c>
      <c r="C18" s="25">
        <f ca="1">WaterfallData!F55</f>
        <v>-1254.9107961364516</v>
      </c>
      <c r="D18" s="247">
        <f t="shared" ca="1" si="0"/>
        <v>0.22131663541195312</v>
      </c>
      <c r="E18" s="247">
        <f t="shared" ca="1" si="1"/>
        <v>-0.19725992965018485</v>
      </c>
    </row>
    <row r="19" spans="1:5" x14ac:dyDescent="0.2">
      <c r="D19" s="247"/>
      <c r="E19" s="247"/>
    </row>
    <row r="20" spans="1:5" x14ac:dyDescent="0.2">
      <c r="A20" s="246" t="s">
        <v>367</v>
      </c>
      <c r="B20" s="246" t="s">
        <v>337</v>
      </c>
      <c r="C20" s="25">
        <f ca="1">WaterfallData!F57</f>
        <v>-423.70877154551943</v>
      </c>
      <c r="D20" s="247">
        <f ca="1">C20/$C$23</f>
        <v>7.4725470528815063E-2</v>
      </c>
      <c r="E20" s="247">
        <f ca="1">C20/$C$4</f>
        <v>-6.6602951161595814E-2</v>
      </c>
    </row>
    <row r="21" spans="1:5" x14ac:dyDescent="0.2">
      <c r="A21" s="246" t="s">
        <v>367</v>
      </c>
      <c r="B21" s="246" t="s">
        <v>276</v>
      </c>
      <c r="C21" s="25">
        <f ca="1">WaterfallData!F58</f>
        <v>-5.4480745900896419E-3</v>
      </c>
      <c r="D21" s="247">
        <f ca="1">C21/$C$23</f>
        <v>9.6082489804389968E-7</v>
      </c>
      <c r="E21" s="247">
        <f ca="1">C21/$C$4</f>
        <v>-8.5638502248823376E-7</v>
      </c>
    </row>
    <row r="22" spans="1:5" x14ac:dyDescent="0.2">
      <c r="E22" s="247"/>
    </row>
    <row r="23" spans="1:5" x14ac:dyDescent="0.2">
      <c r="B23" t="s">
        <v>368</v>
      </c>
      <c r="C23" s="25">
        <f ca="1">SUM(C10:C21)</f>
        <v>-5670.2054673865468</v>
      </c>
      <c r="D23" s="247">
        <f ca="1">SUM(D10:D21)</f>
        <v>1</v>
      </c>
      <c r="E23" s="247">
        <f ca="1">C23/$C$4</f>
        <v>-0.89130186387937027</v>
      </c>
    </row>
  </sheetData>
  <pageMargins left="0.7" right="0.7" top="0.75" bottom="0.75" header="0.3" footer="0.3"/>
  <pageSetup orientation="portrait" horizontalDpi="0" verticalDpi="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8B5AC3-23DA-3C41-9B90-9E48C37B3E67}">
  <dimension ref="A3:E23"/>
  <sheetViews>
    <sheetView workbookViewId="0">
      <selection activeCell="B12" sqref="B12:B13"/>
    </sheetView>
  </sheetViews>
  <sheetFormatPr baseColWidth="10" defaultRowHeight="16" x14ac:dyDescent="0.2"/>
  <cols>
    <col min="1" max="1" width="19.5" customWidth="1"/>
    <col min="2" max="2" width="34.33203125" customWidth="1"/>
    <col min="3" max="3" width="16.1640625" customWidth="1"/>
    <col min="4" max="4" width="17.83203125" customWidth="1"/>
  </cols>
  <sheetData>
    <row r="3" spans="1:5" x14ac:dyDescent="0.2">
      <c r="C3" t="s">
        <v>355</v>
      </c>
    </row>
    <row r="4" spans="1:5" x14ac:dyDescent="0.2">
      <c r="A4" s="246" t="s">
        <v>356</v>
      </c>
      <c r="B4" t="s">
        <v>357</v>
      </c>
      <c r="C4" s="25">
        <f ca="1">WaterfallData2050_2100!F29</f>
        <v>4301.0465965856547</v>
      </c>
    </row>
    <row r="5" spans="1:5" x14ac:dyDescent="0.2">
      <c r="A5" s="246" t="s">
        <v>358</v>
      </c>
      <c r="B5" t="s">
        <v>359</v>
      </c>
      <c r="C5" s="25">
        <f ca="1">WaterfallData2050_2100!G47</f>
        <v>59.038810642587656</v>
      </c>
    </row>
    <row r="6" spans="1:5" x14ac:dyDescent="0.2">
      <c r="B6" t="s">
        <v>107</v>
      </c>
      <c r="C6" s="25">
        <f ca="1">C4-C5</f>
        <v>4242.0077859430667</v>
      </c>
    </row>
    <row r="9" spans="1:5" x14ac:dyDescent="0.2">
      <c r="B9" t="s">
        <v>360</v>
      </c>
      <c r="C9" t="s">
        <v>355</v>
      </c>
      <c r="D9" t="s">
        <v>361</v>
      </c>
      <c r="E9" t="s">
        <v>369</v>
      </c>
    </row>
    <row r="10" spans="1:5" x14ac:dyDescent="0.2">
      <c r="B10" t="s">
        <v>362</v>
      </c>
      <c r="C10" s="25">
        <f ca="1">WaterfallData2050_2100!F34</f>
        <v>-6.5261846640498966</v>
      </c>
      <c r="D10" s="247">
        <f t="shared" ref="D10:D18" ca="1" si="0">C10/$C$23</f>
        <v>1.5384659796420009E-3</v>
      </c>
      <c r="E10" s="247">
        <f t="shared" ref="E10:E18" ca="1" si="1">C10/$C$4</f>
        <v>-1.5173480494795491E-3</v>
      </c>
    </row>
    <row r="11" spans="1:5" x14ac:dyDescent="0.2">
      <c r="B11" t="s">
        <v>49</v>
      </c>
      <c r="C11" s="25">
        <f ca="1">WaterfallData2050_2100!F35</f>
        <v>-224.88012702660677</v>
      </c>
      <c r="D11" s="247">
        <f t="shared" ca="1" si="0"/>
        <v>5.3012662487749829E-2</v>
      </c>
      <c r="E11" s="247">
        <f t="shared" ca="1" si="1"/>
        <v>-5.2284978080713133E-2</v>
      </c>
    </row>
    <row r="12" spans="1:5" x14ac:dyDescent="0.2">
      <c r="B12" t="s">
        <v>459</v>
      </c>
      <c r="C12" s="25">
        <f ca="1">WaterfallData2050_2100!F36</f>
        <v>65.410787280385648</v>
      </c>
      <c r="D12" s="247">
        <f t="shared" ca="1" si="0"/>
        <v>-1.5419770679615516E-2</v>
      </c>
      <c r="E12" s="247">
        <f t="shared" ca="1" si="1"/>
        <v>1.5208109424415766E-2</v>
      </c>
    </row>
    <row r="13" spans="1:5" x14ac:dyDescent="0.2">
      <c r="B13" t="s">
        <v>460</v>
      </c>
      <c r="C13" s="25">
        <f ca="1">WaterfallData2050_2100!F37</f>
        <v>-955.94175111959623</v>
      </c>
      <c r="D13" s="247">
        <f t="shared" ca="1" si="0"/>
        <v>0.22535124859679501</v>
      </c>
      <c r="E13" s="247">
        <f t="shared" ca="1" si="1"/>
        <v>-0.2222579387720332</v>
      </c>
    </row>
    <row r="14" spans="1:5" x14ac:dyDescent="0.2">
      <c r="B14" t="s">
        <v>363</v>
      </c>
      <c r="C14" s="25">
        <f ca="1">WaterfallData2050_2100!F38</f>
        <v>-1036.2117543409458</v>
      </c>
      <c r="D14" s="247">
        <f t="shared" ca="1" si="0"/>
        <v>0.24427389260686588</v>
      </c>
      <c r="E14" s="247">
        <f t="shared" ca="1" si="1"/>
        <v>-0.24092083893337329</v>
      </c>
    </row>
    <row r="15" spans="1:5" x14ac:dyDescent="0.2">
      <c r="B15" t="s">
        <v>364</v>
      </c>
      <c r="C15" s="25">
        <f ca="1">WaterfallData2050_2100!F39</f>
        <v>-396.35415672825593</v>
      </c>
      <c r="D15" s="247">
        <f t="shared" ca="1" si="0"/>
        <v>9.3435509015724241E-2</v>
      </c>
      <c r="E15" s="247">
        <f t="shared" ca="1" si="1"/>
        <v>-9.2152955758000379E-2</v>
      </c>
    </row>
    <row r="16" spans="1:5" x14ac:dyDescent="0.2">
      <c r="B16" t="s">
        <v>365</v>
      </c>
      <c r="C16" s="25">
        <f ca="1">WaterfallData2050_2100!F53</f>
        <v>-59.866718042828616</v>
      </c>
      <c r="D16" s="247">
        <f t="shared" ca="1" si="0"/>
        <v>1.4112826063453173E-2</v>
      </c>
      <c r="E16" s="247">
        <f t="shared" ca="1" si="1"/>
        <v>-1.3919104733799733E-2</v>
      </c>
    </row>
    <row r="17" spans="1:5" x14ac:dyDescent="0.2">
      <c r="B17" t="s">
        <v>108</v>
      </c>
      <c r="C17" s="25">
        <f ca="1">WaterfallData2050_2100!F54</f>
        <v>-350.75815653669673</v>
      </c>
      <c r="D17" s="247">
        <f t="shared" ca="1" si="0"/>
        <v>8.2686825257374544E-2</v>
      </c>
      <c r="E17" s="247">
        <f t="shared" ca="1" si="1"/>
        <v>-8.1551815043143863E-2</v>
      </c>
    </row>
    <row r="18" spans="1:5" x14ac:dyDescent="0.2">
      <c r="B18" t="s">
        <v>366</v>
      </c>
      <c r="C18" s="25">
        <f ca="1">WaterfallData2050_2100!F55</f>
        <v>-931.71966735222759</v>
      </c>
      <c r="D18" s="247">
        <f t="shared" ca="1" si="0"/>
        <v>0.2196411968973063</v>
      </c>
      <c r="E18" s="247">
        <f t="shared" ca="1" si="1"/>
        <v>-0.21662626675373953</v>
      </c>
    </row>
    <row r="19" spans="1:5" x14ac:dyDescent="0.2">
      <c r="D19" s="247"/>
      <c r="E19" s="247"/>
    </row>
    <row r="20" spans="1:5" x14ac:dyDescent="0.2">
      <c r="A20" s="246" t="s">
        <v>367</v>
      </c>
      <c r="B20" s="246" t="s">
        <v>337</v>
      </c>
      <c r="C20" s="25">
        <f ca="1">WaterfallData2050_2100!F57</f>
        <v>-345.15503569439107</v>
      </c>
      <c r="D20" s="247">
        <f ca="1">C20/$C$23</f>
        <v>8.1365959967859294E-2</v>
      </c>
      <c r="E20" s="247">
        <f ca="1">C20/$C$4</f>
        <v>-8.0249080762898301E-2</v>
      </c>
    </row>
    <row r="21" spans="1:5" x14ac:dyDescent="0.2">
      <c r="A21" s="246" t="s">
        <v>367</v>
      </c>
      <c r="B21" s="246" t="s">
        <v>276</v>
      </c>
      <c r="C21" s="25">
        <f ca="1">WaterfallData2050_2100!F58</f>
        <v>-5.0217178542580785E-3</v>
      </c>
      <c r="D21" s="247">
        <f ca="1">C21/$C$23</f>
        <v>1.1838068451686419E-6</v>
      </c>
      <c r="E21" s="247">
        <f ca="1">C21/$C$4</f>
        <v>-1.1675571843942639E-6</v>
      </c>
    </row>
    <row r="22" spans="1:5" x14ac:dyDescent="0.2">
      <c r="E22" s="247"/>
    </row>
    <row r="23" spans="1:5" x14ac:dyDescent="0.2">
      <c r="B23" t="s">
        <v>368</v>
      </c>
      <c r="C23" s="25">
        <f ca="1">SUM(C10:C21)</f>
        <v>-4242.0077859430676</v>
      </c>
      <c r="D23" s="247">
        <f ca="1">SUM(D10:D21)</f>
        <v>1.0000000000000002</v>
      </c>
      <c r="E23" s="247">
        <f ca="1">C23/$C$4</f>
        <v>-0.98627338501994966</v>
      </c>
    </row>
  </sheetData>
  <pageMargins left="0.7" right="0.7" top="0.75" bottom="0.75" header="0.3" footer="0.3"/>
  <pageSetup orientation="portrait" horizontalDpi="0" verticalDpi="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2247B6-6456-334D-9222-BD41A97557E2}">
  <sheetPr codeName="Sheet35">
    <tabColor rgb="FFCF009B"/>
    <pageSetUpPr fitToPage="1"/>
  </sheetPr>
  <dimension ref="A2:U42"/>
  <sheetViews>
    <sheetView showGridLines="0" topLeftCell="A7" zoomScaleNormal="100" workbookViewId="0">
      <selection activeCell="C40" sqref="C40"/>
    </sheetView>
  </sheetViews>
  <sheetFormatPr baseColWidth="10" defaultColWidth="8.6640625" defaultRowHeight="15" x14ac:dyDescent="0.2"/>
  <cols>
    <col min="1" max="1" width="15.33203125" style="219" customWidth="1"/>
    <col min="2" max="2" width="4.6640625" style="219" customWidth="1"/>
    <col min="3" max="4" width="7.1640625" style="219" customWidth="1"/>
    <col min="5" max="13" width="4.83203125" style="219" customWidth="1"/>
    <col min="14" max="14" width="5.33203125" style="219" customWidth="1"/>
    <col min="15" max="15" width="4.6640625" style="219" customWidth="1"/>
    <col min="16" max="16" width="19.6640625" style="219" customWidth="1"/>
    <col min="17" max="16384" width="8.6640625" style="219"/>
  </cols>
  <sheetData>
    <row r="2" spans="16:21" ht="16" x14ac:dyDescent="0.2">
      <c r="P2"/>
      <c r="Q2"/>
      <c r="R2"/>
      <c r="S2"/>
      <c r="T2"/>
      <c r="U2"/>
    </row>
    <row r="3" spans="16:21" ht="16" x14ac:dyDescent="0.2">
      <c r="P3"/>
      <c r="Q3"/>
      <c r="R3"/>
      <c r="S3"/>
      <c r="T3"/>
      <c r="U3"/>
    </row>
    <row r="4" spans="16:21" ht="16" x14ac:dyDescent="0.2">
      <c r="P4"/>
      <c r="Q4"/>
      <c r="R4"/>
      <c r="S4"/>
      <c r="T4"/>
      <c r="U4"/>
    </row>
    <row r="5" spans="16:21" ht="16" x14ac:dyDescent="0.2">
      <c r="P5"/>
      <c r="Q5"/>
      <c r="R5"/>
      <c r="S5"/>
      <c r="T5"/>
      <c r="U5"/>
    </row>
    <row r="6" spans="16:21" ht="16" x14ac:dyDescent="0.2">
      <c r="P6"/>
      <c r="Q6"/>
      <c r="R6"/>
      <c r="S6"/>
      <c r="T6"/>
      <c r="U6"/>
    </row>
    <row r="7" spans="16:21" ht="16" x14ac:dyDescent="0.2">
      <c r="P7"/>
      <c r="Q7"/>
      <c r="R7"/>
      <c r="S7"/>
      <c r="T7"/>
      <c r="U7"/>
    </row>
    <row r="8" spans="16:21" ht="16" x14ac:dyDescent="0.2">
      <c r="P8"/>
      <c r="Q8"/>
      <c r="R8"/>
      <c r="S8"/>
      <c r="T8"/>
      <c r="U8"/>
    </row>
    <row r="9" spans="16:21" ht="16" x14ac:dyDescent="0.2">
      <c r="P9"/>
      <c r="Q9"/>
      <c r="R9"/>
      <c r="S9"/>
      <c r="T9"/>
      <c r="U9"/>
    </row>
    <row r="10" spans="16:21" ht="16" x14ac:dyDescent="0.2">
      <c r="P10"/>
      <c r="Q10"/>
      <c r="R10"/>
      <c r="S10"/>
      <c r="T10"/>
      <c r="U10"/>
    </row>
    <row r="11" spans="16:21" ht="16" x14ac:dyDescent="0.2">
      <c r="P11"/>
      <c r="Q11"/>
      <c r="R11"/>
      <c r="S11"/>
      <c r="T11"/>
      <c r="U11"/>
    </row>
    <row r="12" spans="16:21" ht="16" x14ac:dyDescent="0.2">
      <c r="P12"/>
      <c r="Q12"/>
      <c r="R12"/>
      <c r="S12"/>
      <c r="T12"/>
      <c r="U12"/>
    </row>
    <row r="13" spans="16:21" ht="16" x14ac:dyDescent="0.2">
      <c r="P13"/>
      <c r="Q13"/>
      <c r="R13"/>
      <c r="S13"/>
      <c r="T13"/>
      <c r="U13"/>
    </row>
    <row r="14" spans="16:21" ht="16" x14ac:dyDescent="0.2">
      <c r="P14"/>
      <c r="Q14"/>
      <c r="R14"/>
      <c r="S14"/>
      <c r="T14"/>
      <c r="U14"/>
    </row>
    <row r="15" spans="16:21" ht="16" x14ac:dyDescent="0.2">
      <c r="P15"/>
      <c r="Q15"/>
      <c r="R15"/>
      <c r="S15"/>
      <c r="T15"/>
      <c r="U15"/>
    </row>
    <row r="16" spans="16:21" ht="16" x14ac:dyDescent="0.2">
      <c r="P16"/>
      <c r="Q16"/>
      <c r="R16"/>
      <c r="S16"/>
      <c r="T16"/>
      <c r="U16"/>
    </row>
    <row r="17" spans="1:21" ht="16" x14ac:dyDescent="0.2">
      <c r="P17"/>
      <c r="Q17"/>
      <c r="R17"/>
      <c r="S17"/>
      <c r="T17"/>
      <c r="U17"/>
    </row>
    <row r="18" spans="1:21" ht="16" x14ac:dyDescent="0.2">
      <c r="P18"/>
      <c r="Q18"/>
      <c r="R18"/>
      <c r="S18"/>
      <c r="T18"/>
      <c r="U18"/>
    </row>
    <row r="19" spans="1:21" ht="16" x14ac:dyDescent="0.2">
      <c r="P19"/>
      <c r="Q19"/>
      <c r="R19"/>
      <c r="S19"/>
      <c r="T19"/>
      <c r="U19"/>
    </row>
    <row r="20" spans="1:21" ht="16" x14ac:dyDescent="0.2">
      <c r="P20"/>
      <c r="Q20"/>
      <c r="R20"/>
      <c r="S20"/>
      <c r="T20"/>
      <c r="U20"/>
    </row>
    <row r="21" spans="1:21" ht="16" x14ac:dyDescent="0.2">
      <c r="P21"/>
      <c r="Q21"/>
      <c r="R21"/>
      <c r="S21"/>
      <c r="T21"/>
      <c r="U21"/>
    </row>
    <row r="22" spans="1:21" ht="16" x14ac:dyDescent="0.2">
      <c r="P22"/>
      <c r="Q22"/>
      <c r="R22"/>
      <c r="S22"/>
      <c r="T22"/>
      <c r="U22"/>
    </row>
    <row r="23" spans="1:21" ht="16" x14ac:dyDescent="0.2">
      <c r="P23"/>
      <c r="Q23"/>
      <c r="R23"/>
      <c r="S23"/>
      <c r="T23"/>
      <c r="U23"/>
    </row>
    <row r="24" spans="1:21" x14ac:dyDescent="0.2">
      <c r="P24" s="222"/>
    </row>
    <row r="25" spans="1:21" x14ac:dyDescent="0.2">
      <c r="P25" s="222"/>
    </row>
    <row r="26" spans="1:21" ht="16" x14ac:dyDescent="0.2">
      <c r="A26" s="237" t="s">
        <v>330</v>
      </c>
      <c r="B26" s="236" t="s">
        <v>329</v>
      </c>
      <c r="C26" s="235" t="s">
        <v>328</v>
      </c>
      <c r="D26" s="235" t="s">
        <v>327</v>
      </c>
      <c r="E26" s="234" t="s">
        <v>326</v>
      </c>
      <c r="F26" s="234" t="s">
        <v>325</v>
      </c>
      <c r="G26" s="234" t="s">
        <v>324</v>
      </c>
      <c r="H26" s="234" t="s">
        <v>323</v>
      </c>
      <c r="I26" s="234" t="s">
        <v>322</v>
      </c>
      <c r="J26" s="234" t="s">
        <v>321</v>
      </c>
      <c r="K26" s="234" t="s">
        <v>320</v>
      </c>
      <c r="L26" s="234" t="s">
        <v>319</v>
      </c>
      <c r="M26" s="234" t="s">
        <v>318</v>
      </c>
      <c r="N26" s="234" t="s">
        <v>317</v>
      </c>
      <c r="O26" s="221"/>
      <c r="P26" s="233"/>
    </row>
    <row r="27" spans="1:21" ht="16" x14ac:dyDescent="0.2">
      <c r="A27" s="228" t="str">
        <f>WaterfallData!E29</f>
        <v>Total Anthropogenic Emissions Ref</v>
      </c>
      <c r="B27" s="227" t="s">
        <v>316</v>
      </c>
      <c r="C27" s="226">
        <f ca="1">WaterfallData!F29</f>
        <v>6361.7116682636697</v>
      </c>
      <c r="D27" s="225">
        <f ca="1">C27</f>
        <v>6361.7116682636697</v>
      </c>
      <c r="E27" s="224">
        <f t="shared" ref="E27:E40" ca="1" si="0">IF(B27="x",D27,NA())</f>
        <v>6361.7116682636697</v>
      </c>
      <c r="F27" s="224" t="e">
        <f>NA()</f>
        <v>#N/A</v>
      </c>
      <c r="G27" s="224" t="e">
        <f>NA()</f>
        <v>#N/A</v>
      </c>
      <c r="H27" s="224" t="e">
        <f>NA()</f>
        <v>#N/A</v>
      </c>
      <c r="I27" s="224" t="e">
        <f>NA()</f>
        <v>#N/A</v>
      </c>
      <c r="J27" s="224" t="e">
        <f>NA()</f>
        <v>#N/A</v>
      </c>
      <c r="K27" s="224" t="e">
        <f>NA()</f>
        <v>#N/A</v>
      </c>
      <c r="L27" s="224" t="e">
        <f>NA()</f>
        <v>#N/A</v>
      </c>
      <c r="M27" s="223">
        <f t="shared" ref="M27:M40" si="1">-(ROW()-ROW($A$40)-0.5)/ROWS($A$27:$A$40)</f>
        <v>0.9642857142857143</v>
      </c>
      <c r="N27" s="223">
        <f>1/ROWS(A27:A40)</f>
        <v>7.1428571428571425E-2</v>
      </c>
      <c r="O27" s="221"/>
      <c r="P27" s="233"/>
    </row>
    <row r="28" spans="1:21" ht="16" x14ac:dyDescent="0.2">
      <c r="A28" s="228" t="str">
        <f>WaterfallData!E34</f>
        <v>∆PEDEq/FE (ESLF)</v>
      </c>
      <c r="B28" s="232"/>
      <c r="C28" s="226">
        <f ca="1">WaterfallData!F34</f>
        <v>-64.748136522075896</v>
      </c>
      <c r="D28" s="231">
        <f t="shared" ref="D28:D40" ca="1" si="2">OFFSET(D28,-1,0,1,1)+C28</f>
        <v>6296.9635317415941</v>
      </c>
      <c r="E28" s="230" t="e">
        <f t="shared" si="0"/>
        <v>#N/A</v>
      </c>
      <c r="F28" s="230" t="e">
        <f t="shared" ref="F28:F40" ca="1" si="3">D28+H28-H28</f>
        <v>#N/A</v>
      </c>
      <c r="G28" s="230">
        <f t="shared" ref="G28:G40" ca="1" si="4">D28+I28-I28</f>
        <v>6296.9635317415941</v>
      </c>
      <c r="H28" s="230" t="e">
        <f t="shared" ref="H28:H40" ca="1" si="5">IF(B28="x",NA(),IF(C28&gt;=0,C28,NA()))</f>
        <v>#N/A</v>
      </c>
      <c r="I28" s="230">
        <f t="shared" ref="I28:I40" ca="1" si="6">IF(B28="x",NA(),IF(C28&lt;0,-C28,NA()))</f>
        <v>64.748136522075896</v>
      </c>
      <c r="J28" s="230">
        <f t="shared" ref="J28:J39" ca="1" si="7">IF(B28="x",NA(),IF(AND(D28&lt;0,D28-C28&lt;0),MAX(D28,D28-C28)+ABS(C28),MAX(D28,D28-C28)))</f>
        <v>6361.7116682636697</v>
      </c>
      <c r="K28" s="230" t="e">
        <f t="shared" ref="K28:K40" ca="1" si="8">IF(B28="x",NA(),IF(C28&gt;=0,IF(D28&lt;0,-C28,C28),NA()))</f>
        <v>#N/A</v>
      </c>
      <c r="L28" s="230">
        <f t="shared" ref="L28:L40" ca="1" si="9">IF(B28="x",NA(),IF(C28&lt;0,IF(MAX(D28,D28-C28)&lt;0,C28,-C28),NA()))</f>
        <v>64.748136522075896</v>
      </c>
      <c r="M28" s="229">
        <f t="shared" si="1"/>
        <v>0.8928571428571429</v>
      </c>
      <c r="N28" s="229">
        <f t="shared" ref="N28:N39" ca="1" si="10">OFFSET(N28,-1,0,1,1)</f>
        <v>7.1428571428571425E-2</v>
      </c>
      <c r="O28" s="221"/>
      <c r="P28" s="222"/>
    </row>
    <row r="29" spans="1:21" ht="16" x14ac:dyDescent="0.2">
      <c r="A29" s="228" t="str">
        <f>WaterfallData!E35</f>
        <v xml:space="preserve">∆P  </v>
      </c>
      <c r="B29" s="232"/>
      <c r="C29" s="226">
        <f ca="1">WaterfallData!F35</f>
        <v>-258.3343150466099</v>
      </c>
      <c r="D29" s="231">
        <f t="shared" ca="1" si="2"/>
        <v>6038.6292166949843</v>
      </c>
      <c r="E29" s="230" t="e">
        <f t="shared" si="0"/>
        <v>#N/A</v>
      </c>
      <c r="F29" s="230" t="e">
        <f t="shared" ca="1" si="3"/>
        <v>#N/A</v>
      </c>
      <c r="G29" s="230">
        <f t="shared" ca="1" si="4"/>
        <v>6038.6292166949843</v>
      </c>
      <c r="H29" s="230" t="e">
        <f t="shared" ca="1" si="5"/>
        <v>#N/A</v>
      </c>
      <c r="I29" s="230">
        <f t="shared" ca="1" si="6"/>
        <v>258.3343150466099</v>
      </c>
      <c r="J29" s="230">
        <f t="shared" ca="1" si="7"/>
        <v>6296.9635317415941</v>
      </c>
      <c r="K29" s="230" t="e">
        <f t="shared" ca="1" si="8"/>
        <v>#N/A</v>
      </c>
      <c r="L29" s="230">
        <f t="shared" ca="1" si="9"/>
        <v>258.3343150466099</v>
      </c>
      <c r="M29" s="229">
        <f t="shared" si="1"/>
        <v>0.8214285714285714</v>
      </c>
      <c r="N29" s="229">
        <f t="shared" ca="1" si="10"/>
        <v>7.1428571428571425E-2</v>
      </c>
      <c r="O29" s="221"/>
      <c r="P29" s="222"/>
    </row>
    <row r="30" spans="1:21" ht="16" x14ac:dyDescent="0.2">
      <c r="A30" s="228" t="str">
        <f>WaterfallData!E36</f>
        <v>∆GNP/P</v>
      </c>
      <c r="B30" s="232"/>
      <c r="C30" s="226">
        <f ca="1">WaterfallData!F36</f>
        <v>87.616591386706148</v>
      </c>
      <c r="D30" s="231">
        <f t="shared" ca="1" si="2"/>
        <v>6126.2458080816905</v>
      </c>
      <c r="E30" s="230" t="e">
        <f t="shared" si="0"/>
        <v>#N/A</v>
      </c>
      <c r="F30" s="230">
        <f t="shared" ca="1" si="3"/>
        <v>6126.2458080816905</v>
      </c>
      <c r="G30" s="230" t="e">
        <f t="shared" ca="1" si="4"/>
        <v>#N/A</v>
      </c>
      <c r="H30" s="230">
        <f t="shared" ca="1" si="5"/>
        <v>87.616591386706148</v>
      </c>
      <c r="I30" s="230" t="e">
        <f t="shared" ca="1" si="6"/>
        <v>#N/A</v>
      </c>
      <c r="J30" s="230">
        <f t="shared" ca="1" si="7"/>
        <v>6126.2458080816905</v>
      </c>
      <c r="K30" s="230">
        <f t="shared" ca="1" si="8"/>
        <v>87.616591386706148</v>
      </c>
      <c r="L30" s="230" t="e">
        <f t="shared" ca="1" si="9"/>
        <v>#N/A</v>
      </c>
      <c r="M30" s="229">
        <f t="shared" si="1"/>
        <v>0.75</v>
      </c>
      <c r="N30" s="229">
        <f t="shared" ca="1" si="10"/>
        <v>7.1428571428571425E-2</v>
      </c>
      <c r="O30" s="221"/>
      <c r="P30" s="222"/>
    </row>
    <row r="31" spans="1:21" ht="16" x14ac:dyDescent="0.2">
      <c r="A31" s="228" t="str">
        <f>WaterfallData!E37</f>
        <v xml:space="preserve">∆FE/GNP </v>
      </c>
      <c r="B31" s="232"/>
      <c r="C31" s="226">
        <f ca="1">WaterfallData!F37</f>
        <v>-1357.9094959285922</v>
      </c>
      <c r="D31" s="231">
        <f t="shared" ca="1" si="2"/>
        <v>4768.3363121530983</v>
      </c>
      <c r="E31" s="230" t="e">
        <f t="shared" si="0"/>
        <v>#N/A</v>
      </c>
      <c r="F31" s="230" t="e">
        <f t="shared" ca="1" si="3"/>
        <v>#N/A</v>
      </c>
      <c r="G31" s="230">
        <f t="shared" ca="1" si="4"/>
        <v>4768.3363121530983</v>
      </c>
      <c r="H31" s="230" t="e">
        <f t="shared" ca="1" si="5"/>
        <v>#N/A</v>
      </c>
      <c r="I31" s="230">
        <f t="shared" ca="1" si="6"/>
        <v>1357.9094959285922</v>
      </c>
      <c r="J31" s="230">
        <f t="shared" ca="1" si="7"/>
        <v>6126.2458080816905</v>
      </c>
      <c r="K31" s="230" t="e">
        <f t="shared" ca="1" si="8"/>
        <v>#N/A</v>
      </c>
      <c r="L31" s="230">
        <f t="shared" ca="1" si="9"/>
        <v>1357.9094959285922</v>
      </c>
      <c r="M31" s="229">
        <f t="shared" si="1"/>
        <v>0.6785714285714286</v>
      </c>
      <c r="N31" s="229">
        <f t="shared" ca="1" si="10"/>
        <v>7.1428571428571425E-2</v>
      </c>
      <c r="O31" s="221"/>
      <c r="P31" s="222"/>
    </row>
    <row r="32" spans="1:21" ht="16" x14ac:dyDescent="0.2">
      <c r="A32" s="228" t="str">
        <f>WaterfallData!E38</f>
        <v xml:space="preserve">∆PEFF/PEDEq </v>
      </c>
      <c r="B32" s="232"/>
      <c r="C32" s="226">
        <f ca="1">WaterfallData!F38</f>
        <v>-1230.3324686441742</v>
      </c>
      <c r="D32" s="231">
        <f t="shared" ca="1" si="2"/>
        <v>3538.0038435089241</v>
      </c>
      <c r="E32" s="230" t="e">
        <f t="shared" si="0"/>
        <v>#N/A</v>
      </c>
      <c r="F32" s="230" t="e">
        <f t="shared" ca="1" si="3"/>
        <v>#N/A</v>
      </c>
      <c r="G32" s="230">
        <f t="shared" ca="1" si="4"/>
        <v>3538.0038435089241</v>
      </c>
      <c r="H32" s="230" t="e">
        <f t="shared" ca="1" si="5"/>
        <v>#N/A</v>
      </c>
      <c r="I32" s="230">
        <f t="shared" ca="1" si="6"/>
        <v>1230.3324686441742</v>
      </c>
      <c r="J32" s="230">
        <f t="shared" ca="1" si="7"/>
        <v>4768.3363121530983</v>
      </c>
      <c r="K32" s="230" t="e">
        <f t="shared" ca="1" si="8"/>
        <v>#N/A</v>
      </c>
      <c r="L32" s="230">
        <f t="shared" ca="1" si="9"/>
        <v>1230.3324686441742</v>
      </c>
      <c r="M32" s="229">
        <f t="shared" si="1"/>
        <v>0.6071428571428571</v>
      </c>
      <c r="N32" s="229">
        <f t="shared" ca="1" si="10"/>
        <v>7.1428571428571425E-2</v>
      </c>
      <c r="O32" s="221"/>
      <c r="P32" s="222"/>
    </row>
    <row r="33" spans="1:16" ht="16" x14ac:dyDescent="0.2">
      <c r="A33" s="228" t="str">
        <f>WaterfallData!E39</f>
        <v xml:space="preserve">∆TFC/PEFF </v>
      </c>
      <c r="B33" s="232"/>
      <c r="C33" s="226">
        <f ca="1">WaterfallData!F39</f>
        <v>-492.0013923531576</v>
      </c>
      <c r="D33" s="231">
        <f t="shared" ca="1" si="2"/>
        <v>3046.0024511557667</v>
      </c>
      <c r="E33" s="230" t="e">
        <f t="shared" si="0"/>
        <v>#N/A</v>
      </c>
      <c r="F33" s="230" t="e">
        <f t="shared" ca="1" si="3"/>
        <v>#N/A</v>
      </c>
      <c r="G33" s="230">
        <f t="shared" ca="1" si="4"/>
        <v>3046.0024511557667</v>
      </c>
      <c r="H33" s="230" t="e">
        <f t="shared" ca="1" si="5"/>
        <v>#N/A</v>
      </c>
      <c r="I33" s="230">
        <f t="shared" ca="1" si="6"/>
        <v>492.0013923531576</v>
      </c>
      <c r="J33" s="230">
        <f t="shared" ca="1" si="7"/>
        <v>3538.0038435089245</v>
      </c>
      <c r="K33" s="230" t="e">
        <f t="shared" ca="1" si="8"/>
        <v>#N/A</v>
      </c>
      <c r="L33" s="230">
        <f t="shared" ca="1" si="9"/>
        <v>492.0013923531576</v>
      </c>
      <c r="M33" s="229">
        <f t="shared" si="1"/>
        <v>0.5357142857142857</v>
      </c>
      <c r="N33" s="229">
        <f t="shared" ca="1" si="10"/>
        <v>7.1428571428571425E-2</v>
      </c>
      <c r="O33" s="221"/>
      <c r="P33" s="222"/>
    </row>
    <row r="34" spans="1:16" ht="16" x14ac:dyDescent="0.2">
      <c r="A34" s="228" t="str">
        <f>WaterfallData!E53</f>
        <v>∆Total Industry Carbon (TIC)</v>
      </c>
      <c r="B34" s="232"/>
      <c r="C34" s="226">
        <f ca="1">WaterfallData!F53</f>
        <v>-69.512175227808868</v>
      </c>
      <c r="D34" s="231">
        <f t="shared" ca="1" si="2"/>
        <v>2976.490275927958</v>
      </c>
      <c r="E34" s="230" t="e">
        <f t="shared" si="0"/>
        <v>#N/A</v>
      </c>
      <c r="F34" s="230" t="e">
        <f t="shared" ca="1" si="3"/>
        <v>#N/A</v>
      </c>
      <c r="G34" s="230">
        <f t="shared" ca="1" si="4"/>
        <v>2976.490275927958</v>
      </c>
      <c r="H34" s="230" t="e">
        <f t="shared" ca="1" si="5"/>
        <v>#N/A</v>
      </c>
      <c r="I34" s="230">
        <f t="shared" ca="1" si="6"/>
        <v>69.512175227808868</v>
      </c>
      <c r="J34" s="230">
        <f t="shared" ca="1" si="7"/>
        <v>3046.0024511557667</v>
      </c>
      <c r="K34" s="230" t="e">
        <f t="shared" ca="1" si="8"/>
        <v>#N/A</v>
      </c>
      <c r="L34" s="230">
        <f t="shared" ca="1" si="9"/>
        <v>69.512175227808868</v>
      </c>
      <c r="M34" s="229">
        <f t="shared" si="1"/>
        <v>0.4642857142857143</v>
      </c>
      <c r="N34" s="229">
        <f t="shared" ca="1" si="10"/>
        <v>7.1428571428571425E-2</v>
      </c>
      <c r="O34" s="221"/>
      <c r="P34" s="222"/>
    </row>
    <row r="35" spans="1:16" ht="16" x14ac:dyDescent="0.2">
      <c r="A35" s="228" t="str">
        <f>WaterfallData!E54</f>
        <v xml:space="preserve">∆Land Use </v>
      </c>
      <c r="B35" s="232"/>
      <c r="C35" s="226">
        <f ca="1">WaterfallData!F54</f>
        <v>-606.35905929427349</v>
      </c>
      <c r="D35" s="231">
        <f t="shared" ca="1" si="2"/>
        <v>2370.1312166336847</v>
      </c>
      <c r="E35" s="230" t="e">
        <f t="shared" si="0"/>
        <v>#N/A</v>
      </c>
      <c r="F35" s="230" t="e">
        <f t="shared" ca="1" si="3"/>
        <v>#N/A</v>
      </c>
      <c r="G35" s="230">
        <f t="shared" ca="1" si="4"/>
        <v>2370.1312166336847</v>
      </c>
      <c r="H35" s="230" t="e">
        <f t="shared" ca="1" si="5"/>
        <v>#N/A</v>
      </c>
      <c r="I35" s="230">
        <f t="shared" ca="1" si="6"/>
        <v>606.35905929427349</v>
      </c>
      <c r="J35" s="230">
        <f t="shared" ca="1" si="7"/>
        <v>2976.4902759279585</v>
      </c>
      <c r="K35" s="230" t="e">
        <f t="shared" ca="1" si="8"/>
        <v>#N/A</v>
      </c>
      <c r="L35" s="230">
        <f t="shared" ca="1" si="9"/>
        <v>606.35905929427349</v>
      </c>
      <c r="M35" s="229">
        <f t="shared" si="1"/>
        <v>0.39285714285714285</v>
      </c>
      <c r="N35" s="229">
        <f t="shared" ca="1" si="10"/>
        <v>7.1428571428571425E-2</v>
      </c>
      <c r="O35" s="221"/>
      <c r="P35" s="222"/>
    </row>
    <row r="36" spans="1:16" ht="16" x14ac:dyDescent="0.2">
      <c r="A36" s="228" t="str">
        <f>WaterfallData!E55</f>
        <v xml:space="preserve">∆Other Gases </v>
      </c>
      <c r="B36" s="232"/>
      <c r="C36" s="226">
        <f ca="1">WaterfallData!F55</f>
        <v>-1254.9107961364516</v>
      </c>
      <c r="D36" s="231">
        <f t="shared" ca="1" si="2"/>
        <v>1115.2204204972331</v>
      </c>
      <c r="E36" s="230" t="e">
        <f t="shared" si="0"/>
        <v>#N/A</v>
      </c>
      <c r="F36" s="230" t="e">
        <f t="shared" ca="1" si="3"/>
        <v>#N/A</v>
      </c>
      <c r="G36" s="230">
        <f t="shared" ca="1" si="4"/>
        <v>1115.2204204972331</v>
      </c>
      <c r="H36" s="230" t="e">
        <f t="shared" ca="1" si="5"/>
        <v>#N/A</v>
      </c>
      <c r="I36" s="230">
        <f t="shared" ca="1" si="6"/>
        <v>1254.9107961364516</v>
      </c>
      <c r="J36" s="230">
        <f t="shared" ca="1" si="7"/>
        <v>2370.1312166336847</v>
      </c>
      <c r="K36" s="230" t="e">
        <f t="shared" ca="1" si="8"/>
        <v>#N/A</v>
      </c>
      <c r="L36" s="230">
        <f t="shared" ca="1" si="9"/>
        <v>1254.9107961364516</v>
      </c>
      <c r="M36" s="229">
        <f t="shared" si="1"/>
        <v>0.32142857142857145</v>
      </c>
      <c r="N36" s="229">
        <f t="shared" ca="1" si="10"/>
        <v>7.1428571428571425E-2</v>
      </c>
      <c r="O36" s="221"/>
      <c r="P36" s="222"/>
    </row>
    <row r="37" spans="1:16" ht="16" x14ac:dyDescent="0.2">
      <c r="A37" s="228" t="str">
        <f>WaterfallData!E56</f>
        <v>Total Anthropogenic Emissions Int</v>
      </c>
      <c r="B37" s="232" t="s">
        <v>316</v>
      </c>
      <c r="C37" s="226"/>
      <c r="D37" s="231">
        <f t="shared" ca="1" si="2"/>
        <v>1115.2204204972331</v>
      </c>
      <c r="E37" s="230">
        <f t="shared" ca="1" si="0"/>
        <v>1115.2204204972331</v>
      </c>
      <c r="F37" s="230" t="e">
        <f t="shared" ca="1" si="3"/>
        <v>#N/A</v>
      </c>
      <c r="G37" s="230" t="e">
        <f t="shared" ca="1" si="4"/>
        <v>#N/A</v>
      </c>
      <c r="H37" s="230" t="e">
        <f t="shared" si="5"/>
        <v>#N/A</v>
      </c>
      <c r="I37" s="230" t="e">
        <f t="shared" si="6"/>
        <v>#N/A</v>
      </c>
      <c r="J37" s="230" t="e">
        <f t="shared" si="7"/>
        <v>#N/A</v>
      </c>
      <c r="K37" s="230" t="e">
        <f t="shared" si="8"/>
        <v>#N/A</v>
      </c>
      <c r="L37" s="230" t="e">
        <f t="shared" si="9"/>
        <v>#N/A</v>
      </c>
      <c r="M37" s="229">
        <f t="shared" si="1"/>
        <v>0.25</v>
      </c>
      <c r="N37" s="229">
        <f t="shared" ca="1" si="10"/>
        <v>7.1428571428571425E-2</v>
      </c>
      <c r="O37" s="221"/>
      <c r="P37" s="222"/>
    </row>
    <row r="38" spans="1:16" ht="16" x14ac:dyDescent="0.2">
      <c r="A38" s="228" t="str">
        <f>WaterfallData!E57</f>
        <v>Fossil CCS Int</v>
      </c>
      <c r="B38" s="232"/>
      <c r="C38" s="226">
        <f ca="1">WaterfallData!F57</f>
        <v>-423.70877154551943</v>
      </c>
      <c r="D38" s="231">
        <f t="shared" ca="1" si="2"/>
        <v>691.51164895171371</v>
      </c>
      <c r="E38" s="230" t="e">
        <f t="shared" si="0"/>
        <v>#N/A</v>
      </c>
      <c r="F38" s="230" t="e">
        <f t="shared" ca="1" si="3"/>
        <v>#N/A</v>
      </c>
      <c r="G38" s="230">
        <f t="shared" ca="1" si="4"/>
        <v>691.51164895171371</v>
      </c>
      <c r="H38" s="230" t="e">
        <f t="shared" ca="1" si="5"/>
        <v>#N/A</v>
      </c>
      <c r="I38" s="230">
        <f t="shared" ca="1" si="6"/>
        <v>423.70877154551943</v>
      </c>
      <c r="J38" s="230">
        <f t="shared" ca="1" si="7"/>
        <v>1115.2204204972331</v>
      </c>
      <c r="K38" s="230" t="e">
        <f t="shared" ca="1" si="8"/>
        <v>#N/A</v>
      </c>
      <c r="L38" s="230">
        <f t="shared" ca="1" si="9"/>
        <v>423.70877154551943</v>
      </c>
      <c r="M38" s="229">
        <f t="shared" si="1"/>
        <v>0.17857142857142858</v>
      </c>
      <c r="N38" s="229">
        <f t="shared" ca="1" si="10"/>
        <v>7.1428571428571425E-2</v>
      </c>
      <c r="O38" s="221"/>
      <c r="P38" s="222"/>
    </row>
    <row r="39" spans="1:16" ht="16" x14ac:dyDescent="0.2">
      <c r="A39" s="228" t="str">
        <f>WaterfallData!E58</f>
        <v>Biomass CCS Int</v>
      </c>
      <c r="B39" s="232"/>
      <c r="C39" s="226">
        <f ca="1">WaterfallData!F58</f>
        <v>-5.4480745900896419E-3</v>
      </c>
      <c r="D39" s="231">
        <f t="shared" ca="1" si="2"/>
        <v>691.50620087712366</v>
      </c>
      <c r="E39" s="230" t="e">
        <f t="shared" si="0"/>
        <v>#N/A</v>
      </c>
      <c r="F39" s="230" t="e">
        <f t="shared" ca="1" si="3"/>
        <v>#N/A</v>
      </c>
      <c r="G39" s="230">
        <f t="shared" ca="1" si="4"/>
        <v>691.50620087712366</v>
      </c>
      <c r="H39" s="230" t="e">
        <f t="shared" ca="1" si="5"/>
        <v>#N/A</v>
      </c>
      <c r="I39" s="230">
        <f t="shared" ca="1" si="6"/>
        <v>5.4480745900896419E-3</v>
      </c>
      <c r="J39" s="230">
        <f t="shared" ca="1" si="7"/>
        <v>691.51164895171371</v>
      </c>
      <c r="K39" s="230" t="e">
        <f t="shared" ca="1" si="8"/>
        <v>#N/A</v>
      </c>
      <c r="L39" s="230">
        <f t="shared" ca="1" si="9"/>
        <v>5.4480745900896419E-3</v>
      </c>
      <c r="M39" s="229">
        <f t="shared" si="1"/>
        <v>0.10714285714285714</v>
      </c>
      <c r="N39" s="229">
        <f t="shared" ca="1" si="10"/>
        <v>7.1428571428571425E-2</v>
      </c>
      <c r="O39" s="221"/>
      <c r="P39" s="222"/>
    </row>
    <row r="40" spans="1:16" ht="16" x14ac:dyDescent="0.2">
      <c r="A40" s="228" t="str">
        <f>WaterfallData!E59</f>
        <v>Net Anthropogenic Emissions Int</v>
      </c>
      <c r="B40" s="227" t="s">
        <v>316</v>
      </c>
      <c r="C40" s="226"/>
      <c r="D40" s="225">
        <f t="shared" ca="1" si="2"/>
        <v>691.50620087712366</v>
      </c>
      <c r="E40" s="224">
        <f t="shared" ca="1" si="0"/>
        <v>691.50620087712366</v>
      </c>
      <c r="F40" s="224" t="e">
        <f t="shared" ca="1" si="3"/>
        <v>#N/A</v>
      </c>
      <c r="G40" s="224" t="e">
        <f t="shared" ca="1" si="4"/>
        <v>#N/A</v>
      </c>
      <c r="H40" s="224" t="e">
        <f t="shared" si="5"/>
        <v>#N/A</v>
      </c>
      <c r="I40" s="224" t="e">
        <f t="shared" si="6"/>
        <v>#N/A</v>
      </c>
      <c r="J40" s="224" t="e">
        <f>IF(B40="x",NA(),IF(C40&gt;=0,D40-C40,D40))</f>
        <v>#N/A</v>
      </c>
      <c r="K40" s="224" t="e">
        <f t="shared" si="8"/>
        <v>#N/A</v>
      </c>
      <c r="L40" s="224" t="e">
        <f t="shared" si="9"/>
        <v>#N/A</v>
      </c>
      <c r="M40" s="223">
        <f t="shared" si="1"/>
        <v>3.5714285714285712E-2</v>
      </c>
      <c r="N40" s="223" t="e">
        <f>NA()</f>
        <v>#N/A</v>
      </c>
      <c r="O40" s="221"/>
      <c r="P40" s="222"/>
    </row>
    <row r="41" spans="1:16" ht="16" x14ac:dyDescent="0.2">
      <c r="O41" s="221"/>
      <c r="P41" s="222"/>
    </row>
    <row r="42" spans="1:16" ht="16" x14ac:dyDescent="0.2">
      <c r="O42" s="221"/>
      <c r="P42" s="220"/>
    </row>
  </sheetData>
  <conditionalFormatting sqref="D27:K27 M27:N40 D28:J40 K28:L39">
    <cfRule type="expression" dxfId="5" priority="3">
      <formula>ISERROR(D27)</formula>
    </cfRule>
  </conditionalFormatting>
  <conditionalFormatting sqref="K40:L40">
    <cfRule type="expression" dxfId="4" priority="1">
      <formula>ISERROR(K40)</formula>
    </cfRule>
  </conditionalFormatting>
  <conditionalFormatting sqref="L27">
    <cfRule type="expression" dxfId="3" priority="2">
      <formula>ISERROR(L27)</formula>
    </cfRule>
  </conditionalFormatting>
  <pageMargins left="0.7" right="0.7" top="0.75" bottom="0.75" header="0.3" footer="0.3"/>
  <pageSetup scale="98" fitToHeight="0" orientation="portrait" r:id="rId1"/>
  <headerFooter>
    <oddFooter>&amp;L&amp;"Arial,Regular"&amp;8&amp;K01+049https://www.vertex42.com/ExcelTemplates/waterfall-chart.html&amp;R&amp;"Arial,Regular"&amp;8&amp;K01+049Waterfall Chart Template by Vertex42.com</oddFooter>
  </headerFooter>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96CBB1-D936-C844-B262-0437CF76BE3E}">
  <sheetPr codeName="Sheet9"/>
  <dimension ref="A3:E23"/>
  <sheetViews>
    <sheetView workbookViewId="0">
      <selection activeCell="B12" sqref="B12:B13"/>
    </sheetView>
  </sheetViews>
  <sheetFormatPr baseColWidth="10" defaultRowHeight="16" x14ac:dyDescent="0.2"/>
  <cols>
    <col min="1" max="1" width="19.5" customWidth="1"/>
    <col min="2" max="2" width="34.33203125" customWidth="1"/>
    <col min="3" max="3" width="16.1640625" customWidth="1"/>
    <col min="4" max="4" width="17.83203125" customWidth="1"/>
  </cols>
  <sheetData>
    <row r="3" spans="1:5" x14ac:dyDescent="0.2">
      <c r="C3" t="s">
        <v>355</v>
      </c>
    </row>
    <row r="4" spans="1:5" x14ac:dyDescent="0.2">
      <c r="A4" s="246" t="s">
        <v>356</v>
      </c>
      <c r="B4" t="s">
        <v>357</v>
      </c>
      <c r="C4" s="25">
        <f ca="1">WaterfallData2050!F29</f>
        <v>2136.6642242837129</v>
      </c>
    </row>
    <row r="5" spans="1:5" x14ac:dyDescent="0.2">
      <c r="A5" s="246" t="s">
        <v>358</v>
      </c>
      <c r="B5" t="s">
        <v>359</v>
      </c>
      <c r="C5" s="25">
        <f ca="1">WaterfallData2050!G47</f>
        <v>634.66224455728661</v>
      </c>
    </row>
    <row r="6" spans="1:5" x14ac:dyDescent="0.2">
      <c r="B6" t="s">
        <v>107</v>
      </c>
      <c r="C6" s="25">
        <f ca="1">C4-C5</f>
        <v>1502.0019797264263</v>
      </c>
    </row>
    <row r="9" spans="1:5" x14ac:dyDescent="0.2">
      <c r="B9" t="s">
        <v>360</v>
      </c>
      <c r="C9" t="s">
        <v>355</v>
      </c>
      <c r="D9" t="s">
        <v>361</v>
      </c>
      <c r="E9" t="s">
        <v>369</v>
      </c>
    </row>
    <row r="10" spans="1:5" x14ac:dyDescent="0.2">
      <c r="B10" t="s">
        <v>362</v>
      </c>
      <c r="C10" s="25">
        <f ca="1">WaterfallData2050!F34</f>
        <v>-60.502625309160663</v>
      </c>
      <c r="D10" s="247">
        <f t="shared" ref="D10:D18" ca="1" si="0">C10/$C$23</f>
        <v>4.0281321946180504E-2</v>
      </c>
      <c r="E10" s="247">
        <f t="shared" ref="E10:E18" ca="1" si="1">C10/$C$4</f>
        <v>-2.8316393667069204E-2</v>
      </c>
    </row>
    <row r="11" spans="1:5" x14ac:dyDescent="0.2">
      <c r="B11" t="s">
        <v>49</v>
      </c>
      <c r="C11" s="25">
        <f ca="1">WaterfallData2050!F35</f>
        <v>-35.311749812969033</v>
      </c>
      <c r="D11" s="247">
        <f t="shared" ca="1" si="0"/>
        <v>2.3509789127841692E-2</v>
      </c>
      <c r="E11" s="247">
        <f t="shared" ca="1" si="1"/>
        <v>-1.6526578866085901E-2</v>
      </c>
    </row>
    <row r="12" spans="1:5" x14ac:dyDescent="0.2">
      <c r="B12" t="s">
        <v>459</v>
      </c>
      <c r="C12" s="25">
        <f ca="1">WaterfallData2050!F36</f>
        <v>23.192071738408508</v>
      </c>
      <c r="D12" s="247">
        <f t="shared" ca="1" si="0"/>
        <v>-1.5440773082491342E-2</v>
      </c>
      <c r="E12" s="247">
        <f t="shared" ca="1" si="1"/>
        <v>1.0854336153909877E-2</v>
      </c>
    </row>
    <row r="13" spans="1:5" x14ac:dyDescent="0.2">
      <c r="B13" t="s">
        <v>460</v>
      </c>
      <c r="C13" s="25">
        <f ca="1">WaterfallData2050!F37</f>
        <v>-418.80280664514447</v>
      </c>
      <c r="D13" s="247">
        <f t="shared" ca="1" si="0"/>
        <v>0.27882973011888107</v>
      </c>
      <c r="E13" s="247">
        <f t="shared" ca="1" si="1"/>
        <v>-0.19600777786483617</v>
      </c>
    </row>
    <row r="14" spans="1:5" x14ac:dyDescent="0.2">
      <c r="B14" t="s">
        <v>363</v>
      </c>
      <c r="C14" s="25">
        <f ca="1">WaterfallData2050!F38</f>
        <v>-208.00826251447</v>
      </c>
      <c r="D14" s="247">
        <f t="shared" ca="1" si="0"/>
        <v>0.13848734244169006</v>
      </c>
      <c r="E14" s="247">
        <f t="shared" ca="1" si="1"/>
        <v>-9.7351872208279192E-2</v>
      </c>
    </row>
    <row r="15" spans="1:5" x14ac:dyDescent="0.2">
      <c r="B15" t="s">
        <v>364</v>
      </c>
      <c r="C15" s="25">
        <f ca="1">WaterfallData2050!F39</f>
        <v>-101.76412861606769</v>
      </c>
      <c r="D15" s="247">
        <f t="shared" ca="1" si="0"/>
        <v>6.7752326554591458E-2</v>
      </c>
      <c r="E15" s="247">
        <f t="shared" ca="1" si="1"/>
        <v>-4.7627571735181139E-2</v>
      </c>
    </row>
    <row r="16" spans="1:5" x14ac:dyDescent="0.2">
      <c r="B16" t="s">
        <v>365</v>
      </c>
      <c r="C16" s="25">
        <f ca="1">WaterfallData2050!F53</f>
        <v>-10.265441885945622</v>
      </c>
      <c r="D16" s="247">
        <f t="shared" ca="1" si="0"/>
        <v>6.8345062286904327E-3</v>
      </c>
      <c r="E16" s="247">
        <f t="shared" ca="1" si="1"/>
        <v>-4.8044244712277936E-3</v>
      </c>
    </row>
    <row r="17" spans="1:5" x14ac:dyDescent="0.2">
      <c r="B17" t="s">
        <v>108</v>
      </c>
      <c r="C17" s="25">
        <f ca="1">WaterfallData2050!F54</f>
        <v>-268.82894100003222</v>
      </c>
      <c r="D17" s="247">
        <f t="shared" ca="1" si="0"/>
        <v>0.17898041722221736</v>
      </c>
      <c r="E17" s="247">
        <f t="shared" ca="1" si="1"/>
        <v>-0.12581712088625127</v>
      </c>
    </row>
    <row r="18" spans="1:5" x14ac:dyDescent="0.2">
      <c r="B18" t="s">
        <v>366</v>
      </c>
      <c r="C18" s="25">
        <f ca="1">WaterfallData2050!F55</f>
        <v>-338.73438258130795</v>
      </c>
      <c r="D18" s="247">
        <f t="shared" ca="1" si="0"/>
        <v>0.22552192816883293</v>
      </c>
      <c r="E18" s="247">
        <f t="shared" ca="1" si="1"/>
        <v>-0.15853421362678732</v>
      </c>
    </row>
    <row r="19" spans="1:5" x14ac:dyDescent="0.2">
      <c r="D19" s="247"/>
      <c r="E19" s="247"/>
    </row>
    <row r="20" spans="1:5" x14ac:dyDescent="0.2">
      <c r="A20" s="246" t="s">
        <v>367</v>
      </c>
      <c r="B20" s="246" t="s">
        <v>337</v>
      </c>
      <c r="C20" s="25">
        <f ca="1">WaterfallData2050!F57</f>
        <v>-82.975192103183502</v>
      </c>
      <c r="D20" s="247">
        <f ca="1">C20/$C$23</f>
        <v>5.5243064405478715E-2</v>
      </c>
      <c r="E20" s="247">
        <f ca="1">C20/$C$4</f>
        <v>-3.8833987652411688E-2</v>
      </c>
    </row>
    <row r="21" spans="1:5" x14ac:dyDescent="0.2">
      <c r="A21" s="246" t="s">
        <v>367</v>
      </c>
      <c r="B21" s="246" t="s">
        <v>276</v>
      </c>
      <c r="C21" s="25">
        <f ca="1">WaterfallData2050!F58</f>
        <v>-5.2099655352094568E-4</v>
      </c>
      <c r="D21" s="247">
        <f ca="1">C21/$C$23</f>
        <v>3.4686808709522453E-7</v>
      </c>
      <c r="E21" s="247">
        <f ca="1">C21/$C$4</f>
        <v>-2.4383641921818698E-7</v>
      </c>
    </row>
    <row r="22" spans="1:5" x14ac:dyDescent="0.2">
      <c r="E22" s="247"/>
    </row>
    <row r="23" spans="1:5" x14ac:dyDescent="0.2">
      <c r="B23" t="s">
        <v>368</v>
      </c>
      <c r="C23" s="25">
        <f ca="1">SUMIF(C10:C21,"&lt;&gt;#N\A")</f>
        <v>-1502.0019797264263</v>
      </c>
      <c r="D23" s="247">
        <f ca="1">SUMIF(D10:D21,"&lt;&gt;#N\A")</f>
        <v>0.99999999999999978</v>
      </c>
      <c r="E23" s="247">
        <f ca="1">C23/$C$4</f>
        <v>-0.70296584866063905</v>
      </c>
    </row>
  </sheetData>
  <pageMargins left="0.7" right="0.7" top="0.75" bottom="0.75" header="0.3" footer="0.3"/>
  <pageSetup orientation="portrait" horizontalDpi="0" verticalDpi="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3EF90F-BAD0-BC49-B21C-33AB4148141C}">
  <sheetPr codeName="Sheet10">
    <tabColor rgb="FFCF009B"/>
    <pageSetUpPr fitToPage="1"/>
  </sheetPr>
  <dimension ref="A2:U42"/>
  <sheetViews>
    <sheetView showGridLines="0" topLeftCell="A25" zoomScale="200" zoomScaleNormal="200" workbookViewId="0">
      <selection activeCell="F27" sqref="F27"/>
    </sheetView>
  </sheetViews>
  <sheetFormatPr baseColWidth="10" defaultColWidth="8.6640625" defaultRowHeight="15" x14ac:dyDescent="0.2"/>
  <cols>
    <col min="1" max="1" width="36.83203125" style="219" customWidth="1"/>
    <col min="2" max="2" width="4.6640625" style="219" customWidth="1"/>
    <col min="3" max="3" width="12.83203125" style="219" customWidth="1"/>
    <col min="4" max="4" width="7.1640625" style="219" customWidth="1"/>
    <col min="5" max="9" width="4.83203125" style="219" customWidth="1"/>
    <col min="10" max="10" width="8.5" style="219" customWidth="1"/>
    <col min="11" max="13" width="4.83203125" style="219" customWidth="1"/>
    <col min="14" max="14" width="5.33203125" style="219" customWidth="1"/>
    <col min="15" max="15" width="4.6640625" style="219" customWidth="1"/>
    <col min="16" max="16" width="19.6640625" style="219" customWidth="1"/>
    <col min="17" max="16384" width="8.6640625" style="219"/>
  </cols>
  <sheetData>
    <row r="2" spans="16:21" ht="16" x14ac:dyDescent="0.2">
      <c r="P2"/>
      <c r="Q2"/>
      <c r="R2"/>
      <c r="S2"/>
      <c r="T2"/>
      <c r="U2"/>
    </row>
    <row r="3" spans="16:21" ht="16" x14ac:dyDescent="0.2">
      <c r="P3"/>
      <c r="Q3"/>
      <c r="R3"/>
      <c r="S3"/>
      <c r="T3"/>
      <c r="U3"/>
    </row>
    <row r="4" spans="16:21" ht="16" x14ac:dyDescent="0.2">
      <c r="P4"/>
      <c r="Q4"/>
      <c r="R4"/>
      <c r="S4"/>
      <c r="T4"/>
      <c r="U4"/>
    </row>
    <row r="5" spans="16:21" ht="16" x14ac:dyDescent="0.2">
      <c r="P5"/>
      <c r="Q5"/>
      <c r="R5"/>
      <c r="S5"/>
      <c r="T5"/>
      <c r="U5"/>
    </row>
    <row r="6" spans="16:21" ht="16" x14ac:dyDescent="0.2">
      <c r="P6"/>
      <c r="Q6"/>
      <c r="R6"/>
      <c r="S6"/>
      <c r="T6"/>
      <c r="U6"/>
    </row>
    <row r="7" spans="16:21" ht="16" x14ac:dyDescent="0.2">
      <c r="P7"/>
      <c r="Q7"/>
      <c r="R7"/>
      <c r="S7"/>
      <c r="T7"/>
      <c r="U7"/>
    </row>
    <row r="8" spans="16:21" ht="16" x14ac:dyDescent="0.2">
      <c r="P8"/>
      <c r="Q8"/>
      <c r="R8"/>
      <c r="S8"/>
      <c r="T8"/>
      <c r="U8"/>
    </row>
    <row r="9" spans="16:21" ht="16" x14ac:dyDescent="0.2">
      <c r="P9"/>
      <c r="Q9"/>
      <c r="R9"/>
      <c r="S9"/>
      <c r="T9"/>
      <c r="U9"/>
    </row>
    <row r="10" spans="16:21" ht="16" x14ac:dyDescent="0.2">
      <c r="P10"/>
      <c r="Q10"/>
      <c r="R10"/>
      <c r="S10"/>
      <c r="T10"/>
      <c r="U10"/>
    </row>
    <row r="11" spans="16:21" ht="16" x14ac:dyDescent="0.2">
      <c r="P11"/>
      <c r="Q11"/>
      <c r="R11"/>
      <c r="S11"/>
      <c r="T11"/>
      <c r="U11"/>
    </row>
    <row r="12" spans="16:21" ht="16" x14ac:dyDescent="0.2">
      <c r="P12"/>
      <c r="Q12"/>
      <c r="R12"/>
      <c r="S12"/>
      <c r="T12"/>
      <c r="U12"/>
    </row>
    <row r="13" spans="16:21" ht="16" x14ac:dyDescent="0.2">
      <c r="P13"/>
      <c r="Q13"/>
      <c r="R13"/>
      <c r="S13"/>
      <c r="T13"/>
      <c r="U13"/>
    </row>
    <row r="14" spans="16:21" ht="16" x14ac:dyDescent="0.2">
      <c r="P14"/>
      <c r="Q14"/>
      <c r="R14"/>
      <c r="S14"/>
      <c r="T14"/>
      <c r="U14"/>
    </row>
    <row r="15" spans="16:21" ht="16" x14ac:dyDescent="0.2">
      <c r="P15"/>
      <c r="Q15"/>
      <c r="R15"/>
      <c r="S15"/>
      <c r="T15"/>
      <c r="U15"/>
    </row>
    <row r="16" spans="16:21" ht="16" x14ac:dyDescent="0.2">
      <c r="P16"/>
      <c r="Q16"/>
      <c r="R16"/>
      <c r="S16"/>
      <c r="T16"/>
      <c r="U16"/>
    </row>
    <row r="17" spans="1:21" ht="16" x14ac:dyDescent="0.2">
      <c r="P17"/>
      <c r="Q17"/>
      <c r="R17"/>
      <c r="S17"/>
      <c r="T17"/>
      <c r="U17"/>
    </row>
    <row r="18" spans="1:21" ht="16" x14ac:dyDescent="0.2">
      <c r="P18"/>
      <c r="Q18"/>
      <c r="R18"/>
      <c r="S18"/>
      <c r="T18"/>
      <c r="U18"/>
    </row>
    <row r="19" spans="1:21" ht="16" x14ac:dyDescent="0.2">
      <c r="P19"/>
      <c r="Q19"/>
      <c r="R19"/>
      <c r="S19"/>
      <c r="T19"/>
      <c r="U19"/>
    </row>
    <row r="20" spans="1:21" ht="16" x14ac:dyDescent="0.2">
      <c r="P20"/>
      <c r="Q20"/>
      <c r="R20"/>
      <c r="S20"/>
      <c r="T20"/>
      <c r="U20"/>
    </row>
    <row r="21" spans="1:21" ht="16" x14ac:dyDescent="0.2">
      <c r="P21"/>
      <c r="Q21"/>
      <c r="R21"/>
      <c r="S21"/>
      <c r="T21"/>
      <c r="U21"/>
    </row>
    <row r="22" spans="1:21" ht="16" x14ac:dyDescent="0.2">
      <c r="P22"/>
      <c r="Q22"/>
      <c r="R22"/>
      <c r="S22"/>
      <c r="T22"/>
      <c r="U22"/>
    </row>
    <row r="23" spans="1:21" ht="16" x14ac:dyDescent="0.2">
      <c r="P23"/>
      <c r="Q23"/>
      <c r="R23"/>
      <c r="S23"/>
      <c r="T23"/>
      <c r="U23"/>
    </row>
    <row r="24" spans="1:21" x14ac:dyDescent="0.2">
      <c r="P24" s="222"/>
    </row>
    <row r="25" spans="1:21" x14ac:dyDescent="0.2">
      <c r="P25" s="222"/>
    </row>
    <row r="26" spans="1:21" ht="16" x14ac:dyDescent="0.2">
      <c r="A26" s="237" t="s">
        <v>330</v>
      </c>
      <c r="B26" s="236" t="s">
        <v>329</v>
      </c>
      <c r="C26" s="235" t="s">
        <v>328</v>
      </c>
      <c r="D26" s="235" t="s">
        <v>327</v>
      </c>
      <c r="E26" s="234" t="s">
        <v>326</v>
      </c>
      <c r="F26" s="234" t="s">
        <v>325</v>
      </c>
      <c r="G26" s="234" t="s">
        <v>324</v>
      </c>
      <c r="H26" s="234" t="s">
        <v>323</v>
      </c>
      <c r="I26" s="234" t="s">
        <v>322</v>
      </c>
      <c r="J26" s="234" t="s">
        <v>321</v>
      </c>
      <c r="K26" s="234" t="s">
        <v>320</v>
      </c>
      <c r="L26" s="234" t="s">
        <v>319</v>
      </c>
      <c r="M26" s="234" t="s">
        <v>318</v>
      </c>
      <c r="N26" s="234" t="s">
        <v>317</v>
      </c>
      <c r="O26" s="221"/>
      <c r="P26" s="233"/>
    </row>
    <row r="27" spans="1:21" ht="16" x14ac:dyDescent="0.2">
      <c r="A27" s="228" t="str">
        <f>WaterfallData2050!E29</f>
        <v>Total Anthropogenic Emissions Ref</v>
      </c>
      <c r="B27" s="227" t="s">
        <v>316</v>
      </c>
      <c r="C27" s="226">
        <f ca="1">WaterfallData2050!F29</f>
        <v>2136.6642242837129</v>
      </c>
      <c r="D27" s="225">
        <f ca="1">C27</f>
        <v>2136.6642242837129</v>
      </c>
      <c r="E27" s="224">
        <f t="shared" ref="E27:E40" ca="1" si="0">IF(B27="x",D27,NA())</f>
        <v>2136.6642242837129</v>
      </c>
      <c r="F27" s="224" t="e">
        <f>NA()</f>
        <v>#N/A</v>
      </c>
      <c r="G27" s="224" t="e">
        <f>NA()</f>
        <v>#N/A</v>
      </c>
      <c r="H27" s="224" t="e">
        <f>NA()</f>
        <v>#N/A</v>
      </c>
      <c r="I27" s="224" t="e">
        <f>NA()</f>
        <v>#N/A</v>
      </c>
      <c r="J27" s="224" t="e">
        <f>NA()</f>
        <v>#N/A</v>
      </c>
      <c r="K27" s="224" t="e">
        <f>NA()</f>
        <v>#N/A</v>
      </c>
      <c r="L27" s="224" t="e">
        <f>NA()</f>
        <v>#N/A</v>
      </c>
      <c r="M27" s="223">
        <f t="shared" ref="M27:M40" si="1">-(ROW()-ROW($A$40)-0.5)/ROWS($A$27:$A$40)</f>
        <v>0.9642857142857143</v>
      </c>
      <c r="N27" s="223">
        <f>1/ROWS(A27:A40)</f>
        <v>7.1428571428571425E-2</v>
      </c>
      <c r="O27" s="221"/>
      <c r="P27" s="233"/>
    </row>
    <row r="28" spans="1:21" ht="16" x14ac:dyDescent="0.2">
      <c r="A28" s="228" t="str">
        <f>WaterfallData2050!E34</f>
        <v>∆PEDEq/FE (ESLF)</v>
      </c>
      <c r="B28" s="232"/>
      <c r="C28" s="226">
        <f ca="1">WaterfallData2050!F34</f>
        <v>-60.502625309160663</v>
      </c>
      <c r="D28" s="231">
        <f t="shared" ref="D28:D40" ca="1" si="2">OFFSET(D28,-1,0,1,1)+C28</f>
        <v>2076.1615989745524</v>
      </c>
      <c r="E28" s="230" t="e">
        <f t="shared" si="0"/>
        <v>#N/A</v>
      </c>
      <c r="F28" s="230" t="e">
        <f t="shared" ref="F28:F40" ca="1" si="3">D28+H28-H28</f>
        <v>#N/A</v>
      </c>
      <c r="G28" s="230">
        <f t="shared" ref="G28:G40" ca="1" si="4">D28+I28-I28</f>
        <v>2076.1615989745524</v>
      </c>
      <c r="H28" s="230" t="e">
        <f t="shared" ref="H28:H40" ca="1" si="5">IF(B28="x",NA(),IF(C28&gt;=0,C28,NA()))</f>
        <v>#N/A</v>
      </c>
      <c r="I28" s="230">
        <f t="shared" ref="I28:I40" ca="1" si="6">IF(B28="x",NA(),IF(C28&lt;0,-C28,NA()))</f>
        <v>60.502625309160663</v>
      </c>
      <c r="J28" s="230">
        <f t="shared" ref="J28:J39" ca="1" si="7">IF(B28="x",NA(),IF(AND(D28&lt;0,D28-C28&lt;0),MAX(D28,D28-C28)+ABS(C28),MAX(D28,D28-C28)))</f>
        <v>2136.6642242837129</v>
      </c>
      <c r="K28" s="230" t="e">
        <f t="shared" ref="K28:K40" ca="1" si="8">IF(B28="x",NA(),IF(C28&gt;=0,IF(D28&lt;0,-C28,C28),NA()))</f>
        <v>#N/A</v>
      </c>
      <c r="L28" s="230">
        <f t="shared" ref="L28:L40" ca="1" si="9">IF(B28="x",NA(),IF(C28&lt;0,IF(MAX(D28,D28-C28)&lt;0,C28,-C28),NA()))</f>
        <v>60.502625309160663</v>
      </c>
      <c r="M28" s="229">
        <f t="shared" si="1"/>
        <v>0.8928571428571429</v>
      </c>
      <c r="N28" s="229">
        <f t="shared" ref="N28:N39" ca="1" si="10">OFFSET(N28,-1,0,1,1)</f>
        <v>7.1428571428571425E-2</v>
      </c>
      <c r="O28" s="221"/>
      <c r="P28" s="222"/>
    </row>
    <row r="29" spans="1:21" ht="16" x14ac:dyDescent="0.2">
      <c r="A29" s="228" t="str">
        <f>WaterfallData2050!E35</f>
        <v xml:space="preserve">∆P  </v>
      </c>
      <c r="B29" s="232"/>
      <c r="C29" s="226">
        <f ca="1">WaterfallData2050!F35</f>
        <v>-35.311749812969033</v>
      </c>
      <c r="D29" s="231">
        <f t="shared" ca="1" si="2"/>
        <v>2040.8498491615833</v>
      </c>
      <c r="E29" s="230" t="e">
        <f t="shared" si="0"/>
        <v>#N/A</v>
      </c>
      <c r="F29" s="230" t="e">
        <f t="shared" ca="1" si="3"/>
        <v>#N/A</v>
      </c>
      <c r="G29" s="230">
        <f t="shared" ca="1" si="4"/>
        <v>2040.8498491615833</v>
      </c>
      <c r="H29" s="230" t="e">
        <f t="shared" ca="1" si="5"/>
        <v>#N/A</v>
      </c>
      <c r="I29" s="230">
        <f t="shared" ca="1" si="6"/>
        <v>35.311749812969033</v>
      </c>
      <c r="J29" s="230">
        <f t="shared" ca="1" si="7"/>
        <v>2076.1615989745524</v>
      </c>
      <c r="K29" s="230" t="e">
        <f t="shared" ca="1" si="8"/>
        <v>#N/A</v>
      </c>
      <c r="L29" s="230">
        <f t="shared" ca="1" si="9"/>
        <v>35.311749812969033</v>
      </c>
      <c r="M29" s="229">
        <f t="shared" si="1"/>
        <v>0.8214285714285714</v>
      </c>
      <c r="N29" s="229">
        <f t="shared" ca="1" si="10"/>
        <v>7.1428571428571425E-2</v>
      </c>
      <c r="O29" s="221"/>
      <c r="P29" s="222"/>
    </row>
    <row r="30" spans="1:21" ht="16" x14ac:dyDescent="0.2">
      <c r="A30" s="228" t="str">
        <f>WaterfallData2050!E36</f>
        <v>∆GNP/P</v>
      </c>
      <c r="B30" s="232"/>
      <c r="C30" s="226">
        <f ca="1">WaterfallData2050!F36</f>
        <v>23.192071738408508</v>
      </c>
      <c r="D30" s="231">
        <f t="shared" ca="1" si="2"/>
        <v>2064.041920899992</v>
      </c>
      <c r="E30" s="230" t="e">
        <f t="shared" si="0"/>
        <v>#N/A</v>
      </c>
      <c r="F30" s="230">
        <f t="shared" ca="1" si="3"/>
        <v>2064.041920899992</v>
      </c>
      <c r="G30" s="230" t="e">
        <f t="shared" ca="1" si="4"/>
        <v>#N/A</v>
      </c>
      <c r="H30" s="230">
        <f t="shared" ca="1" si="5"/>
        <v>23.192071738408508</v>
      </c>
      <c r="I30" s="230" t="e">
        <f t="shared" ca="1" si="6"/>
        <v>#N/A</v>
      </c>
      <c r="J30" s="230">
        <f t="shared" ca="1" si="7"/>
        <v>2064.041920899992</v>
      </c>
      <c r="K30" s="230">
        <f t="shared" ca="1" si="8"/>
        <v>23.192071738408508</v>
      </c>
      <c r="L30" s="230" t="e">
        <f t="shared" ca="1" si="9"/>
        <v>#N/A</v>
      </c>
      <c r="M30" s="229">
        <f t="shared" si="1"/>
        <v>0.75</v>
      </c>
      <c r="N30" s="229">
        <f t="shared" ca="1" si="10"/>
        <v>7.1428571428571425E-2</v>
      </c>
      <c r="O30" s="221"/>
      <c r="P30" s="222"/>
    </row>
    <row r="31" spans="1:21" ht="16" x14ac:dyDescent="0.2">
      <c r="A31" s="228" t="str">
        <f>WaterfallData2050!E37</f>
        <v xml:space="preserve">∆FE/GNP </v>
      </c>
      <c r="B31" s="232"/>
      <c r="C31" s="226">
        <f ca="1">WaterfallData2050!F37</f>
        <v>-418.80280664514447</v>
      </c>
      <c r="D31" s="231">
        <f t="shared" ca="1" si="2"/>
        <v>1645.2391142548474</v>
      </c>
      <c r="E31" s="230" t="e">
        <f t="shared" si="0"/>
        <v>#N/A</v>
      </c>
      <c r="F31" s="230" t="e">
        <f t="shared" ca="1" si="3"/>
        <v>#N/A</v>
      </c>
      <c r="G31" s="230">
        <f t="shared" ca="1" si="4"/>
        <v>1645.2391142548474</v>
      </c>
      <c r="H31" s="230" t="e">
        <f t="shared" ca="1" si="5"/>
        <v>#N/A</v>
      </c>
      <c r="I31" s="230">
        <f t="shared" ca="1" si="6"/>
        <v>418.80280664514447</v>
      </c>
      <c r="J31" s="230">
        <f t="shared" ca="1" si="7"/>
        <v>2064.041920899992</v>
      </c>
      <c r="K31" s="230" t="e">
        <f t="shared" ca="1" si="8"/>
        <v>#N/A</v>
      </c>
      <c r="L31" s="230">
        <f t="shared" ca="1" si="9"/>
        <v>418.80280664514447</v>
      </c>
      <c r="M31" s="229">
        <f t="shared" si="1"/>
        <v>0.6785714285714286</v>
      </c>
      <c r="N31" s="229">
        <f t="shared" ca="1" si="10"/>
        <v>7.1428571428571425E-2</v>
      </c>
      <c r="O31" s="221"/>
      <c r="P31" s="222"/>
    </row>
    <row r="32" spans="1:21" ht="16" x14ac:dyDescent="0.2">
      <c r="A32" s="228" t="str">
        <f>WaterfallData2050!E38</f>
        <v xml:space="preserve">∆PEFF/PEDEq </v>
      </c>
      <c r="B32" s="232"/>
      <c r="C32" s="226">
        <f ca="1">WaterfallData2050!F38</f>
        <v>-208.00826251447</v>
      </c>
      <c r="D32" s="231">
        <f t="shared" ca="1" si="2"/>
        <v>1437.2308517403774</v>
      </c>
      <c r="E32" s="230" t="e">
        <f t="shared" si="0"/>
        <v>#N/A</v>
      </c>
      <c r="F32" s="230" t="e">
        <f t="shared" ca="1" si="3"/>
        <v>#N/A</v>
      </c>
      <c r="G32" s="230">
        <f t="shared" ca="1" si="4"/>
        <v>1437.2308517403774</v>
      </c>
      <c r="H32" s="230" t="e">
        <f t="shared" ca="1" si="5"/>
        <v>#N/A</v>
      </c>
      <c r="I32" s="230">
        <f t="shared" ca="1" si="6"/>
        <v>208.00826251447</v>
      </c>
      <c r="J32" s="230">
        <f t="shared" ca="1" si="7"/>
        <v>1645.2391142548474</v>
      </c>
      <c r="K32" s="230" t="e">
        <f t="shared" ca="1" si="8"/>
        <v>#N/A</v>
      </c>
      <c r="L32" s="230">
        <f t="shared" ca="1" si="9"/>
        <v>208.00826251447</v>
      </c>
      <c r="M32" s="229">
        <f t="shared" si="1"/>
        <v>0.6071428571428571</v>
      </c>
      <c r="N32" s="229">
        <f t="shared" ca="1" si="10"/>
        <v>7.1428571428571425E-2</v>
      </c>
      <c r="O32" s="221"/>
      <c r="P32" s="222"/>
    </row>
    <row r="33" spans="1:16" ht="16" x14ac:dyDescent="0.2">
      <c r="A33" s="228" t="str">
        <f>WaterfallData2050!E39</f>
        <v xml:space="preserve">∆TFC/PEFF </v>
      </c>
      <c r="B33" s="232"/>
      <c r="C33" s="226">
        <f ca="1">WaterfallData2050!F39</f>
        <v>-101.76412861606769</v>
      </c>
      <c r="D33" s="231">
        <f t="shared" ca="1" si="2"/>
        <v>1335.4667231243097</v>
      </c>
      <c r="E33" s="230" t="e">
        <f t="shared" si="0"/>
        <v>#N/A</v>
      </c>
      <c r="F33" s="230" t="e">
        <f t="shared" ca="1" si="3"/>
        <v>#N/A</v>
      </c>
      <c r="G33" s="230">
        <f t="shared" ca="1" si="4"/>
        <v>1335.4667231243097</v>
      </c>
      <c r="H33" s="230" t="e">
        <f t="shared" ca="1" si="5"/>
        <v>#N/A</v>
      </c>
      <c r="I33" s="230">
        <f t="shared" ca="1" si="6"/>
        <v>101.76412861606769</v>
      </c>
      <c r="J33" s="230">
        <f t="shared" ca="1" si="7"/>
        <v>1437.2308517403774</v>
      </c>
      <c r="K33" s="230" t="e">
        <f t="shared" ca="1" si="8"/>
        <v>#N/A</v>
      </c>
      <c r="L33" s="230">
        <f t="shared" ca="1" si="9"/>
        <v>101.76412861606769</v>
      </c>
      <c r="M33" s="229">
        <f t="shared" si="1"/>
        <v>0.5357142857142857</v>
      </c>
      <c r="N33" s="229">
        <f t="shared" ca="1" si="10"/>
        <v>7.1428571428571425E-2</v>
      </c>
      <c r="O33" s="221"/>
      <c r="P33" s="222"/>
    </row>
    <row r="34" spans="1:16" ht="16" x14ac:dyDescent="0.2">
      <c r="A34" s="228" t="str">
        <f>WaterfallData2050!E53</f>
        <v>∆Total Industry Carbon (TIC)</v>
      </c>
      <c r="B34" s="232"/>
      <c r="C34" s="226">
        <f ca="1">WaterfallData2050!F53</f>
        <v>-10.265441885945622</v>
      </c>
      <c r="D34" s="231">
        <f t="shared" ca="1" si="2"/>
        <v>1325.2012812383641</v>
      </c>
      <c r="E34" s="230" t="e">
        <f t="shared" si="0"/>
        <v>#N/A</v>
      </c>
      <c r="F34" s="230" t="e">
        <f t="shared" ca="1" si="3"/>
        <v>#N/A</v>
      </c>
      <c r="G34" s="230">
        <f t="shared" ca="1" si="4"/>
        <v>1325.2012812383641</v>
      </c>
      <c r="H34" s="230" t="e">
        <f t="shared" ca="1" si="5"/>
        <v>#N/A</v>
      </c>
      <c r="I34" s="230">
        <f t="shared" ca="1" si="6"/>
        <v>10.265441885945622</v>
      </c>
      <c r="J34" s="230">
        <f t="shared" ca="1" si="7"/>
        <v>1335.4667231243097</v>
      </c>
      <c r="K34" s="230" t="e">
        <f t="shared" ca="1" si="8"/>
        <v>#N/A</v>
      </c>
      <c r="L34" s="230">
        <f t="shared" ca="1" si="9"/>
        <v>10.265441885945622</v>
      </c>
      <c r="M34" s="229">
        <f t="shared" si="1"/>
        <v>0.4642857142857143</v>
      </c>
      <c r="N34" s="229">
        <f t="shared" ca="1" si="10"/>
        <v>7.1428571428571425E-2</v>
      </c>
      <c r="O34" s="221"/>
      <c r="P34" s="222"/>
    </row>
    <row r="35" spans="1:16" ht="16" x14ac:dyDescent="0.2">
      <c r="A35" s="228" t="str">
        <f>WaterfallData2050!E54</f>
        <v xml:space="preserve">∆Land Use </v>
      </c>
      <c r="B35" s="232"/>
      <c r="C35" s="226">
        <f ca="1">WaterfallData2050!F54</f>
        <v>-268.82894100003222</v>
      </c>
      <c r="D35" s="231">
        <f t="shared" ca="1" si="2"/>
        <v>1056.3723402383318</v>
      </c>
      <c r="E35" s="230" t="e">
        <f t="shared" si="0"/>
        <v>#N/A</v>
      </c>
      <c r="F35" s="230" t="e">
        <f t="shared" ca="1" si="3"/>
        <v>#N/A</v>
      </c>
      <c r="G35" s="230">
        <f t="shared" ca="1" si="4"/>
        <v>1056.3723402383318</v>
      </c>
      <c r="H35" s="230" t="e">
        <f t="shared" ca="1" si="5"/>
        <v>#N/A</v>
      </c>
      <c r="I35" s="230">
        <f t="shared" ca="1" si="6"/>
        <v>268.82894100003222</v>
      </c>
      <c r="J35" s="230">
        <f t="shared" ca="1" si="7"/>
        <v>1325.2012812383641</v>
      </c>
      <c r="K35" s="230" t="e">
        <f t="shared" ca="1" si="8"/>
        <v>#N/A</v>
      </c>
      <c r="L35" s="230">
        <f t="shared" ca="1" si="9"/>
        <v>268.82894100003222</v>
      </c>
      <c r="M35" s="229">
        <f t="shared" si="1"/>
        <v>0.39285714285714285</v>
      </c>
      <c r="N35" s="229">
        <f t="shared" ca="1" si="10"/>
        <v>7.1428571428571425E-2</v>
      </c>
      <c r="O35" s="221"/>
      <c r="P35" s="222"/>
    </row>
    <row r="36" spans="1:16" ht="16" x14ac:dyDescent="0.2">
      <c r="A36" s="228" t="str">
        <f>WaterfallData2050!E55</f>
        <v xml:space="preserve">∆Other Gases </v>
      </c>
      <c r="B36" s="232"/>
      <c r="C36" s="226">
        <f ca="1">WaterfallData2050!F55</f>
        <v>-338.73438258130795</v>
      </c>
      <c r="D36" s="231">
        <f t="shared" ca="1" si="2"/>
        <v>717.63795765702389</v>
      </c>
      <c r="E36" s="230" t="e">
        <f t="shared" si="0"/>
        <v>#N/A</v>
      </c>
      <c r="F36" s="230" t="e">
        <f t="shared" ca="1" si="3"/>
        <v>#N/A</v>
      </c>
      <c r="G36" s="230">
        <f t="shared" ca="1" si="4"/>
        <v>717.63795765702389</v>
      </c>
      <c r="H36" s="230" t="e">
        <f t="shared" ca="1" si="5"/>
        <v>#N/A</v>
      </c>
      <c r="I36" s="230">
        <f t="shared" ca="1" si="6"/>
        <v>338.73438258130795</v>
      </c>
      <c r="J36" s="230">
        <f t="shared" ca="1" si="7"/>
        <v>1056.3723402383318</v>
      </c>
      <c r="K36" s="230" t="e">
        <f t="shared" ca="1" si="8"/>
        <v>#N/A</v>
      </c>
      <c r="L36" s="230">
        <f t="shared" ca="1" si="9"/>
        <v>338.73438258130795</v>
      </c>
      <c r="M36" s="229">
        <f t="shared" si="1"/>
        <v>0.32142857142857145</v>
      </c>
      <c r="N36" s="229">
        <f t="shared" ca="1" si="10"/>
        <v>7.1428571428571425E-2</v>
      </c>
      <c r="O36" s="221"/>
      <c r="P36" s="222"/>
    </row>
    <row r="37" spans="1:16" ht="16" x14ac:dyDescent="0.2">
      <c r="A37" s="228" t="str">
        <f>WaterfallData2050!E56</f>
        <v>Total Anthropogenic Emissions Int</v>
      </c>
      <c r="B37" s="232" t="s">
        <v>316</v>
      </c>
      <c r="C37" s="226"/>
      <c r="D37" s="231">
        <f t="shared" ca="1" si="2"/>
        <v>717.63795765702389</v>
      </c>
      <c r="E37" s="230">
        <f t="shared" ca="1" si="0"/>
        <v>717.63795765702389</v>
      </c>
      <c r="F37" s="230" t="e">
        <f t="shared" ca="1" si="3"/>
        <v>#N/A</v>
      </c>
      <c r="G37" s="230" t="e">
        <f t="shared" ca="1" si="4"/>
        <v>#N/A</v>
      </c>
      <c r="H37" s="230" t="e">
        <f t="shared" si="5"/>
        <v>#N/A</v>
      </c>
      <c r="I37" s="230" t="e">
        <f t="shared" si="6"/>
        <v>#N/A</v>
      </c>
      <c r="J37" s="230" t="e">
        <f t="shared" si="7"/>
        <v>#N/A</v>
      </c>
      <c r="K37" s="230" t="e">
        <f t="shared" si="8"/>
        <v>#N/A</v>
      </c>
      <c r="L37" s="230" t="e">
        <f t="shared" si="9"/>
        <v>#N/A</v>
      </c>
      <c r="M37" s="229">
        <f t="shared" si="1"/>
        <v>0.25</v>
      </c>
      <c r="N37" s="229">
        <f t="shared" ca="1" si="10"/>
        <v>7.1428571428571425E-2</v>
      </c>
      <c r="O37" s="221"/>
      <c r="P37" s="222"/>
    </row>
    <row r="38" spans="1:16" ht="16" x14ac:dyDescent="0.2">
      <c r="A38" s="228" t="str">
        <f>WaterfallData2050!E57</f>
        <v>Fossil CCS Int</v>
      </c>
      <c r="B38" s="232"/>
      <c r="C38" s="226">
        <f ca="1">WaterfallData2050!F57</f>
        <v>-82.975192103183502</v>
      </c>
      <c r="D38" s="231">
        <f t="shared" ca="1" si="2"/>
        <v>634.66276555384036</v>
      </c>
      <c r="E38" s="230" t="e">
        <f t="shared" si="0"/>
        <v>#N/A</v>
      </c>
      <c r="F38" s="230" t="e">
        <f t="shared" ca="1" si="3"/>
        <v>#N/A</v>
      </c>
      <c r="G38" s="230">
        <f t="shared" ca="1" si="4"/>
        <v>634.66276555384036</v>
      </c>
      <c r="H38" s="230" t="e">
        <f t="shared" ca="1" si="5"/>
        <v>#N/A</v>
      </c>
      <c r="I38" s="230">
        <f t="shared" ca="1" si="6"/>
        <v>82.975192103183502</v>
      </c>
      <c r="J38" s="230">
        <f t="shared" ca="1" si="7"/>
        <v>717.63795765702389</v>
      </c>
      <c r="K38" s="230" t="e">
        <f t="shared" ca="1" si="8"/>
        <v>#N/A</v>
      </c>
      <c r="L38" s="230">
        <f t="shared" ca="1" si="9"/>
        <v>82.975192103183502</v>
      </c>
      <c r="M38" s="229">
        <f t="shared" si="1"/>
        <v>0.17857142857142858</v>
      </c>
      <c r="N38" s="229">
        <f t="shared" ca="1" si="10"/>
        <v>7.1428571428571425E-2</v>
      </c>
      <c r="O38" s="221"/>
      <c r="P38" s="222"/>
    </row>
    <row r="39" spans="1:16" ht="16" x14ac:dyDescent="0.2">
      <c r="A39" s="228" t="str">
        <f>WaterfallData2050!E58</f>
        <v>Biomass CCS Int</v>
      </c>
      <c r="B39" s="232"/>
      <c r="C39" s="226">
        <f ca="1">WaterfallData2050!F58</f>
        <v>-5.2099655352094568E-4</v>
      </c>
      <c r="D39" s="231">
        <f t="shared" ca="1" si="2"/>
        <v>634.66224455728684</v>
      </c>
      <c r="E39" s="230" t="e">
        <f t="shared" si="0"/>
        <v>#N/A</v>
      </c>
      <c r="F39" s="230" t="e">
        <f t="shared" ca="1" si="3"/>
        <v>#N/A</v>
      </c>
      <c r="G39" s="230">
        <f t="shared" ca="1" si="4"/>
        <v>634.66224455728684</v>
      </c>
      <c r="H39" s="230" t="e">
        <f t="shared" ca="1" si="5"/>
        <v>#N/A</v>
      </c>
      <c r="I39" s="230">
        <f t="shared" ca="1" si="6"/>
        <v>5.2099655352094568E-4</v>
      </c>
      <c r="J39" s="230">
        <f t="shared" ca="1" si="7"/>
        <v>634.66276555384036</v>
      </c>
      <c r="K39" s="230" t="e">
        <f t="shared" ca="1" si="8"/>
        <v>#N/A</v>
      </c>
      <c r="L39" s="230">
        <f t="shared" ca="1" si="9"/>
        <v>5.2099655352094568E-4</v>
      </c>
      <c r="M39" s="229">
        <f t="shared" si="1"/>
        <v>0.10714285714285714</v>
      </c>
      <c r="N39" s="229">
        <f t="shared" ca="1" si="10"/>
        <v>7.1428571428571425E-2</v>
      </c>
      <c r="O39" s="221"/>
      <c r="P39" s="222"/>
    </row>
    <row r="40" spans="1:16" ht="16" x14ac:dyDescent="0.2">
      <c r="A40" s="228" t="str">
        <f>WaterfallData2050!E59</f>
        <v>Net Anthropogenic Emissions Int</v>
      </c>
      <c r="B40" s="227" t="s">
        <v>316</v>
      </c>
      <c r="C40" s="226"/>
      <c r="D40" s="225">
        <f t="shared" ca="1" si="2"/>
        <v>634.66224455728684</v>
      </c>
      <c r="E40" s="224">
        <f t="shared" ca="1" si="0"/>
        <v>634.66224455728684</v>
      </c>
      <c r="F40" s="224" t="e">
        <f t="shared" ca="1" si="3"/>
        <v>#N/A</v>
      </c>
      <c r="G40" s="224" t="e">
        <f t="shared" ca="1" si="4"/>
        <v>#N/A</v>
      </c>
      <c r="H40" s="224" t="e">
        <f t="shared" si="5"/>
        <v>#N/A</v>
      </c>
      <c r="I40" s="224" t="e">
        <f t="shared" si="6"/>
        <v>#N/A</v>
      </c>
      <c r="J40" s="224" t="e">
        <f>IF(B40="x",NA(),IF(C40&gt;=0,D40-C40,D40))</f>
        <v>#N/A</v>
      </c>
      <c r="K40" s="224" t="e">
        <f t="shared" si="8"/>
        <v>#N/A</v>
      </c>
      <c r="L40" s="224" t="e">
        <f t="shared" si="9"/>
        <v>#N/A</v>
      </c>
      <c r="M40" s="223">
        <f t="shared" si="1"/>
        <v>3.5714285714285712E-2</v>
      </c>
      <c r="N40" s="223" t="e">
        <f>NA()</f>
        <v>#N/A</v>
      </c>
      <c r="O40" s="221"/>
      <c r="P40" s="222"/>
    </row>
    <row r="41" spans="1:16" ht="16" x14ac:dyDescent="0.2">
      <c r="O41" s="221"/>
      <c r="P41" s="222"/>
    </row>
    <row r="42" spans="1:16" ht="16" x14ac:dyDescent="0.2">
      <c r="O42" s="221"/>
      <c r="P42" s="220"/>
    </row>
  </sheetData>
  <conditionalFormatting sqref="D27:K27 M27:N40 D28:J40 K28:L39">
    <cfRule type="expression" dxfId="2" priority="3">
      <formula>ISERROR(D27)</formula>
    </cfRule>
  </conditionalFormatting>
  <conditionalFormatting sqref="K40:L40">
    <cfRule type="expression" dxfId="1" priority="1">
      <formula>ISERROR(K40)</formula>
    </cfRule>
  </conditionalFormatting>
  <conditionalFormatting sqref="L27">
    <cfRule type="expression" dxfId="0" priority="2">
      <formula>ISERROR(L27)</formula>
    </cfRule>
  </conditionalFormatting>
  <pageMargins left="0.7" right="0.7" top="0.75" bottom="0.75" header="0.3" footer="0.3"/>
  <pageSetup scale="98" fitToHeight="0" orientation="portrait" r:id="rId1"/>
  <headerFooter>
    <oddFooter>&amp;L&amp;"Arial,Regular"&amp;8&amp;K01+049https://www.vertex42.com/ExcelTemplates/waterfall-chart.html&amp;R&amp;"Arial,Regular"&amp;8&amp;K01+049Waterfall Chart Template by Vertex42.com</oddFooter>
  </headerFooter>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CD1C5-E6CF-D84C-A5C9-783827D16EDA}">
  <sheetPr codeName="Sheet32">
    <tabColor rgb="FF7030A0"/>
  </sheetPr>
  <dimension ref="A1:C19"/>
  <sheetViews>
    <sheetView workbookViewId="0">
      <selection activeCell="C10" sqref="C10"/>
    </sheetView>
  </sheetViews>
  <sheetFormatPr baseColWidth="10" defaultRowHeight="16" x14ac:dyDescent="0.2"/>
  <cols>
    <col min="1" max="1" width="39.6640625" customWidth="1"/>
    <col min="2" max="2" width="21.1640625" customWidth="1"/>
  </cols>
  <sheetData>
    <row r="1" spans="1:3" x14ac:dyDescent="0.2">
      <c r="B1" t="s">
        <v>351</v>
      </c>
      <c r="C1" t="s">
        <v>352</v>
      </c>
    </row>
    <row r="2" spans="1:3" x14ac:dyDescent="0.2">
      <c r="A2" s="21" t="str">
        <f>WaterfallData!A35</f>
        <v>Total Anthropogenic Emissions Ref</v>
      </c>
      <c r="B2" s="178">
        <f ca="1">WaterfallData!B35</f>
        <v>6361.7116682636697</v>
      </c>
    </row>
    <row r="3" spans="1:3" x14ac:dyDescent="0.2">
      <c r="A3" t="str">
        <f>WaterfallData!A36</f>
        <v>∆PEDEq/FE (ESLF)</v>
      </c>
      <c r="B3" s="25">
        <f ca="1">WaterfallData!B36</f>
        <v>-64.748136522075896</v>
      </c>
      <c r="C3" s="245">
        <f ca="1">B3*100/$B$16</f>
        <v>-1.1419010632769704</v>
      </c>
    </row>
    <row r="4" spans="1:3" x14ac:dyDescent="0.2">
      <c r="A4" t="str">
        <f>WaterfallData!A37</f>
        <v xml:space="preserve">∆P  </v>
      </c>
      <c r="B4" s="25">
        <f ca="1">WaterfallData!B37</f>
        <v>-258.3343150466099</v>
      </c>
      <c r="C4" s="245">
        <f t="shared" ref="C4:C13" ca="1" si="0">B4*100/$B$16</f>
        <v>-4.5559956606947916</v>
      </c>
    </row>
    <row r="5" spans="1:3" x14ac:dyDescent="0.2">
      <c r="A5" t="str">
        <f>WaterfallData!A38</f>
        <v>∆GNP/P</v>
      </c>
      <c r="B5" s="25">
        <f ca="1">WaterfallData!B38</f>
        <v>87.616591386706148</v>
      </c>
      <c r="C5" s="245">
        <f t="shared" ca="1" si="0"/>
        <v>1.5452101672620604</v>
      </c>
    </row>
    <row r="6" spans="1:3" x14ac:dyDescent="0.2">
      <c r="A6" t="str">
        <f>WaterfallData!A39</f>
        <v xml:space="preserve">∆FE/GNP </v>
      </c>
      <c r="B6" s="25">
        <f ca="1">WaterfallData!B39</f>
        <v>-1357.9094959285922</v>
      </c>
      <c r="C6" s="245">
        <f t="shared" ca="1" si="0"/>
        <v>-23.948153267794474</v>
      </c>
    </row>
    <row r="7" spans="1:3" x14ac:dyDescent="0.2">
      <c r="A7" t="str">
        <f>WaterfallData!A40</f>
        <v xml:space="preserve">∆PEFF/PEDEq </v>
      </c>
      <c r="B7" s="25">
        <f ca="1">WaterfallData!B40</f>
        <v>-1230.3324686441742</v>
      </c>
      <c r="C7" s="245">
        <f t="shared" ca="1" si="0"/>
        <v>-21.698199046237498</v>
      </c>
    </row>
    <row r="8" spans="1:3" x14ac:dyDescent="0.2">
      <c r="A8" t="str">
        <f>WaterfallData!A41</f>
        <v xml:space="preserve">∆TFC/PEFF </v>
      </c>
      <c r="B8" s="25">
        <f ca="1">WaterfallData!B41</f>
        <v>-492.0013923531576</v>
      </c>
      <c r="C8" s="245">
        <f t="shared" ca="1" si="0"/>
        <v>-8.6769588012817778</v>
      </c>
    </row>
    <row r="9" spans="1:3" x14ac:dyDescent="0.2">
      <c r="A9" t="str">
        <f>WaterfallData!A42</f>
        <v>∆Total Industry Carbon (TIC)</v>
      </c>
      <c r="B9" s="25">
        <f ca="1">WaterfallData!B42</f>
        <v>-69.512175227808868</v>
      </c>
      <c r="C9" s="245">
        <f t="shared" ca="1" si="0"/>
        <v>-1.2259198652963048</v>
      </c>
    </row>
    <row r="10" spans="1:3" x14ac:dyDescent="0.2">
      <c r="A10" t="str">
        <f>WaterfallData!A43</f>
        <v xml:space="preserve">∆Land Use </v>
      </c>
      <c r="B10" s="25">
        <f ca="1">WaterfallData!B43</f>
        <v>-606.35905929427349</v>
      </c>
      <c r="C10" s="245">
        <f t="shared" ca="1" si="0"/>
        <v>-10.693775786113626</v>
      </c>
    </row>
    <row r="11" spans="1:3" x14ac:dyDescent="0.2">
      <c r="A11" t="str">
        <f>WaterfallData!A44</f>
        <v xml:space="preserve">∆Other Gases </v>
      </c>
      <c r="B11" s="25">
        <f ca="1">WaterfallData!B44</f>
        <v>-1254.9107961364516</v>
      </c>
      <c r="C11" s="245">
        <f t="shared" ca="1" si="0"/>
        <v>-22.131663541195309</v>
      </c>
    </row>
    <row r="12" spans="1:3" x14ac:dyDescent="0.2">
      <c r="A12" t="str">
        <f>WaterfallData!A46</f>
        <v>Fossil CCS Int</v>
      </c>
      <c r="B12" s="25">
        <f ca="1">WaterfallData!B46</f>
        <v>-423.70877154551943</v>
      </c>
      <c r="C12" s="245">
        <f t="shared" ca="1" si="0"/>
        <v>-7.4725470528815059</v>
      </c>
    </row>
    <row r="13" spans="1:3" x14ac:dyDescent="0.2">
      <c r="A13" t="str">
        <f>WaterfallData!A47</f>
        <v>Biomass CCS Int</v>
      </c>
      <c r="B13" s="25">
        <f ca="1">WaterfallData!B47</f>
        <v>-5.4480745900896419E-3</v>
      </c>
      <c r="C13" s="245">
        <f t="shared" ca="1" si="0"/>
        <v>-9.6082489804389978E-5</v>
      </c>
    </row>
    <row r="14" spans="1:3" x14ac:dyDescent="0.2">
      <c r="A14" s="21" t="str">
        <f>WaterfallData!A48</f>
        <v>Net Anthropogenic Emissions Int</v>
      </c>
      <c r="B14" s="178">
        <f ca="1">WaterfallData!B48</f>
        <v>691.50620087712286</v>
      </c>
    </row>
    <row r="15" spans="1:3" x14ac:dyDescent="0.2">
      <c r="B15" s="25"/>
    </row>
    <row r="16" spans="1:3" ht="34" x14ac:dyDescent="0.2">
      <c r="A16" s="244" t="s">
        <v>350</v>
      </c>
      <c r="B16" s="178">
        <f ca="1">B2-B14</f>
        <v>5670.2054673865468</v>
      </c>
      <c r="C16" s="25"/>
    </row>
    <row r="17" spans="1:1" ht="53" customHeight="1" x14ac:dyDescent="0.2"/>
    <row r="18" spans="1:1" x14ac:dyDescent="0.2">
      <c r="A18" t="s">
        <v>353</v>
      </c>
    </row>
    <row r="19" spans="1:1" x14ac:dyDescent="0.2">
      <c r="A19" t="s">
        <v>354</v>
      </c>
    </row>
  </sheetData>
  <pageMargins left="0.7" right="0.7" top="0.75" bottom="0.75" header="0.3" footer="0.3"/>
  <pageSetup orientation="portrait" horizontalDpi="0" verticalDpi="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161311-54BA-3C46-95CB-3BB8BBCEDD18}">
  <sheetPr codeName="Sheet26">
    <tabColor rgb="FFFF0000"/>
  </sheetPr>
  <dimension ref="A1:S18"/>
  <sheetViews>
    <sheetView showGridLines="0" workbookViewId="0">
      <selection activeCell="F4" sqref="F4"/>
    </sheetView>
  </sheetViews>
  <sheetFormatPr baseColWidth="10" defaultRowHeight="13" x14ac:dyDescent="0.15"/>
  <cols>
    <col min="1" max="1" width="40.6640625" style="1" customWidth="1"/>
    <col min="2" max="2" width="17.1640625" style="1" customWidth="1"/>
    <col min="3" max="3" width="15.1640625" style="1" customWidth="1"/>
    <col min="4" max="4" width="12.33203125" style="1" customWidth="1"/>
    <col min="5" max="16384" width="10.83203125" style="1"/>
  </cols>
  <sheetData>
    <row r="1" spans="1:19" ht="14" customHeight="1" x14ac:dyDescent="0.15">
      <c r="D1" s="1" t="s">
        <v>30</v>
      </c>
      <c r="E1" s="1" t="str">
        <f>'Int Data input'!B2</f>
        <v>IMA15-TOT</v>
      </c>
    </row>
    <row r="2" spans="1:19" ht="28" customHeight="1" x14ac:dyDescent="0.2">
      <c r="A2" s="260" t="s">
        <v>374</v>
      </c>
      <c r="B2" s="296" t="s">
        <v>373</v>
      </c>
      <c r="C2" s="297"/>
      <c r="D2" s="1" t="s">
        <v>100</v>
      </c>
      <c r="E2" s="1" t="str">
        <f>'Int Data input'!C2</f>
        <v>World</v>
      </c>
      <c r="M2" s="84"/>
      <c r="N2"/>
      <c r="O2"/>
      <c r="P2"/>
      <c r="Q2"/>
      <c r="R2"/>
      <c r="S2" s="84"/>
    </row>
    <row r="3" spans="1:19" ht="23" customHeight="1" x14ac:dyDescent="0.2">
      <c r="A3" s="252" t="s">
        <v>379</v>
      </c>
      <c r="B3" s="43" t="s">
        <v>419</v>
      </c>
      <c r="C3" s="43" t="s">
        <v>371</v>
      </c>
      <c r="D3" s="43" t="s">
        <v>420</v>
      </c>
      <c r="E3" s="43"/>
      <c r="F3" s="261"/>
      <c r="G3" s="261"/>
      <c r="H3" s="261"/>
      <c r="I3" s="261"/>
      <c r="J3" s="261"/>
      <c r="K3" s="261"/>
      <c r="L3" s="261"/>
      <c r="M3" s="261"/>
      <c r="N3"/>
      <c r="O3"/>
      <c r="P3"/>
      <c r="Q3"/>
      <c r="R3"/>
      <c r="S3" s="84"/>
    </row>
    <row r="4" spans="1:19" ht="41" customHeight="1" x14ac:dyDescent="0.2">
      <c r="A4" s="42" t="s">
        <v>2</v>
      </c>
      <c r="B4" s="41">
        <f ca="1">SUM('LMDI 1 MethodRefCumulative'!M46:AP46)</f>
        <v>132.92849833603316</v>
      </c>
      <c r="C4" s="41">
        <f ca="1">SUM('LMDI 1 MethodRefCumulative'!AP46:CN46)</f>
        <v>481.29005859670502</v>
      </c>
      <c r="D4" s="41">
        <f ca="1">SUM('LMDI 1 MethodRefCumulative'!M46:CN46)</f>
        <v>606.34894253220921</v>
      </c>
      <c r="E4" s="259"/>
      <c r="F4" s="41" t="s">
        <v>438</v>
      </c>
      <c r="G4" s="259"/>
      <c r="H4" s="259"/>
      <c r="I4" s="259"/>
      <c r="J4" s="259"/>
      <c r="K4" s="259"/>
      <c r="L4" s="259"/>
      <c r="M4" s="259"/>
      <c r="N4"/>
      <c r="O4"/>
      <c r="P4"/>
      <c r="Q4"/>
      <c r="R4"/>
      <c r="S4" s="84"/>
    </row>
    <row r="5" spans="1:19" ht="41" customHeight="1" x14ac:dyDescent="0.2">
      <c r="A5" s="42" t="s">
        <v>386</v>
      </c>
      <c r="B5" s="41">
        <f ca="1">SUM('LMDI 1 MethodRefCumulative'!M47:AP47)</f>
        <v>450.4159594134602</v>
      </c>
      <c r="C5" s="41">
        <f ca="1">SUM('LMDI 1 MethodRefCumulative'!AP47:CN47)</f>
        <v>2597.1077208511706</v>
      </c>
      <c r="D5" s="41">
        <f ca="1">SUM('LMDI 1 MethodRefCumulative'!M47:CN47)</f>
        <v>3020.1153441331153</v>
      </c>
      <c r="E5" s="259"/>
      <c r="F5" s="259"/>
      <c r="G5" s="259"/>
      <c r="H5" s="259"/>
      <c r="I5" s="259"/>
      <c r="J5" s="259"/>
      <c r="K5" s="259"/>
      <c r="L5" s="259"/>
      <c r="M5" s="259"/>
      <c r="N5"/>
      <c r="O5"/>
      <c r="P5"/>
      <c r="Q5"/>
      <c r="R5"/>
      <c r="S5" s="84"/>
    </row>
    <row r="6" spans="1:19" ht="41" customHeight="1" x14ac:dyDescent="0.2">
      <c r="A6" s="42" t="s">
        <v>380</v>
      </c>
      <c r="B6" s="41">
        <f ca="1">SUM('LMDI 1 MethodRefCumulative'!M48:AP48)</f>
        <v>-346.1882155569931</v>
      </c>
      <c r="C6" s="41">
        <f ca="1">SUM('LMDI 1 MethodRefCumulative'!AP48:CN48)</f>
        <v>-1757.7058891577703</v>
      </c>
      <c r="D6" s="41">
        <f ca="1">SUM('LMDI 1 MethodRefCumulative'!M48:CN48)</f>
        <v>-2083.5172264895928</v>
      </c>
      <c r="E6" s="259"/>
      <c r="F6" s="259"/>
      <c r="G6" s="259"/>
      <c r="H6" s="259"/>
      <c r="I6" s="259"/>
      <c r="J6" s="259"/>
      <c r="K6" s="259"/>
      <c r="L6" s="259"/>
      <c r="M6" s="259"/>
      <c r="N6"/>
      <c r="O6"/>
      <c r="P6"/>
      <c r="Q6"/>
      <c r="R6"/>
      <c r="S6" s="84"/>
    </row>
    <row r="7" spans="1:19" ht="41" customHeight="1" x14ac:dyDescent="0.2">
      <c r="A7" s="42" t="s">
        <v>382</v>
      </c>
      <c r="B7" s="41">
        <f ca="1">SUM('LMDI 1 MethodRefCumulative'!M49:AP49)</f>
        <v>-4.8990408532691525</v>
      </c>
      <c r="C7" s="41">
        <f ca="1">SUM('LMDI 1 MethodRefCumulative'!AP49:CN49)</f>
        <v>-64.542473356037249</v>
      </c>
      <c r="D7" s="41">
        <f ca="1">SUM('LMDI 1 MethodRefCumulative'!M49:CN49)</f>
        <v>-68.769055879635403</v>
      </c>
      <c r="E7" s="259"/>
      <c r="F7" s="259"/>
      <c r="G7" s="259"/>
      <c r="H7" s="259"/>
      <c r="I7" s="259"/>
      <c r="J7" s="259"/>
      <c r="K7" s="259"/>
      <c r="L7" s="259"/>
      <c r="M7" s="259"/>
      <c r="N7"/>
      <c r="O7"/>
      <c r="P7"/>
      <c r="Q7"/>
      <c r="R7"/>
      <c r="S7" s="84"/>
    </row>
    <row r="8" spans="1:19" ht="41" customHeight="1" x14ac:dyDescent="0.2">
      <c r="A8" s="42" t="s">
        <v>383</v>
      </c>
      <c r="B8" s="41">
        <f ca="1">SUM('LMDI 1 MethodRefCumulative'!M50:AP50)</f>
        <v>-27.664765745349865</v>
      </c>
      <c r="C8" s="41">
        <f ca="1">SUM('LMDI 1 MethodRefCumulative'!AP50:CN50)</f>
        <v>-115.70624137689489</v>
      </c>
      <c r="D8" s="41">
        <f ca="1">SUM('LMDI 1 MethodRefCumulative'!M50:CN50)</f>
        <v>-141.60947442392472</v>
      </c>
      <c r="E8" s="259"/>
      <c r="F8" s="259"/>
      <c r="H8" s="259"/>
      <c r="I8" s="259"/>
      <c r="J8" s="259"/>
      <c r="K8" s="259"/>
      <c r="L8" s="259"/>
      <c r="M8" s="259"/>
      <c r="N8"/>
      <c r="O8"/>
      <c r="P8"/>
      <c r="Q8"/>
      <c r="R8"/>
      <c r="S8" s="84"/>
    </row>
    <row r="9" spans="1:19" ht="41" customHeight="1" x14ac:dyDescent="0.2">
      <c r="A9" s="42" t="s">
        <v>381</v>
      </c>
      <c r="B9" s="41">
        <f ca="1">SUM('LMDI 1 MethodRefCumulative'!M51:AP51)</f>
        <v>-0.66072361562609383</v>
      </c>
      <c r="C9" s="41">
        <f ca="1">SUM('LMDI 1 MethodRefCumulative'!AP51:CN51)</f>
        <v>22.203131380793163</v>
      </c>
      <c r="D9" s="41">
        <f ca="1">SUM('LMDI 1 MethodRefCumulative'!M51:CN51)</f>
        <v>21.777127250531972</v>
      </c>
      <c r="E9" s="259"/>
      <c r="F9" s="259"/>
      <c r="G9" s="259"/>
      <c r="H9" s="259"/>
      <c r="I9" s="259"/>
      <c r="J9" s="259"/>
      <c r="K9" s="259"/>
      <c r="L9" s="259"/>
      <c r="M9" s="259"/>
      <c r="N9"/>
      <c r="O9"/>
      <c r="P9"/>
      <c r="Q9"/>
      <c r="R9"/>
      <c r="S9" s="84"/>
    </row>
    <row r="10" spans="1:19" ht="41" customHeight="1" x14ac:dyDescent="0.2">
      <c r="A10" s="283" t="s">
        <v>436</v>
      </c>
      <c r="B10" s="41">
        <f ca="1">SUM('LMDI 1 MethodRefCumulative'!M113:AP113)</f>
        <v>6.6478203932444249</v>
      </c>
      <c r="C10" s="41">
        <f ca="1">SUM('LMDI 1 MethodRefCumulative'!AP113:CN113)</f>
        <v>52.673985958099344</v>
      </c>
      <c r="D10" s="41">
        <f ca="1">SUM('LMDI 1 MethodRefCumulative'!M113:CN113)</f>
        <v>58.875427722930894</v>
      </c>
      <c r="E10" s="259"/>
      <c r="F10" s="259"/>
      <c r="G10" s="259"/>
      <c r="H10" s="259"/>
      <c r="I10" s="259"/>
      <c r="J10" s="259"/>
      <c r="K10" s="259"/>
      <c r="L10" s="259"/>
      <c r="M10" s="259"/>
      <c r="N10"/>
      <c r="O10"/>
      <c r="P10"/>
      <c r="Q10"/>
      <c r="R10"/>
      <c r="S10" s="84"/>
    </row>
    <row r="11" spans="1:19" ht="41" customHeight="1" x14ac:dyDescent="0.2">
      <c r="A11" s="42" t="s">
        <v>384</v>
      </c>
      <c r="B11" s="41">
        <f ca="1">SUM('LMDI 1 MethodRefCumulative'!M115:AP115)</f>
        <v>71.57021549019467</v>
      </c>
      <c r="C11" s="41">
        <f ca="1">SUM('LMDI 1 MethodRefCumulative'!AP115:CN115)</f>
        <v>273.7756597843063</v>
      </c>
      <c r="D11" s="41">
        <f ca="1">SUM('LMDI 1 MethodRefCumulative'!M115:CN115)</f>
        <v>341.27756337722195</v>
      </c>
      <c r="M11" s="84"/>
      <c r="N11"/>
      <c r="O11"/>
      <c r="P11"/>
      <c r="Q11"/>
      <c r="R11"/>
      <c r="S11" s="84"/>
    </row>
    <row r="12" spans="1:19" ht="41" customHeight="1" x14ac:dyDescent="0.15">
      <c r="A12" s="42" t="s">
        <v>132</v>
      </c>
      <c r="B12" s="41">
        <f ca="1">SUM('LMDI 1 MethodRefCumulative'!M116:AP116)</f>
        <v>19.432096266500025</v>
      </c>
      <c r="C12" s="41">
        <f ca="1">SUM('LMDI 1 MethodRefCumulative'!AP116:CN116)</f>
        <v>-211.37112416564997</v>
      </c>
      <c r="D12" s="41">
        <f ca="1">SUM('LMDI 1 MethodRefCumulative'!M116:CN116)</f>
        <v>-191.77336978214998</v>
      </c>
      <c r="E12" s="258"/>
      <c r="M12" s="84"/>
      <c r="N12" s="84"/>
      <c r="O12" s="84"/>
      <c r="P12" s="84"/>
      <c r="Q12" s="84"/>
      <c r="R12" s="84"/>
      <c r="S12" s="84"/>
    </row>
    <row r="13" spans="1:19" ht="41" customHeight="1" x14ac:dyDescent="0.15">
      <c r="A13" s="40" t="s">
        <v>385</v>
      </c>
      <c r="B13" s="257">
        <f ca="1">SUM(B4:B12)</f>
        <v>301.58184412819423</v>
      </c>
      <c r="C13" s="39">
        <f ca="1">SUM(C4:C12)</f>
        <v>1277.724828514722</v>
      </c>
      <c r="D13" s="39">
        <f ca="1">SUM(D4:D12)</f>
        <v>1562.7252784407065</v>
      </c>
      <c r="M13" s="84"/>
      <c r="N13" s="84"/>
      <c r="O13" s="84"/>
      <c r="P13" s="84"/>
      <c r="Q13" s="84"/>
      <c r="R13" s="84"/>
      <c r="S13" s="84"/>
    </row>
    <row r="14" spans="1:19" ht="41" customHeight="1" x14ac:dyDescent="0.15">
      <c r="A14" s="42"/>
      <c r="M14" s="84"/>
      <c r="N14" s="84"/>
      <c r="O14" s="84"/>
      <c r="P14" s="84"/>
      <c r="Q14" s="84"/>
      <c r="R14" s="84"/>
      <c r="S14" s="84"/>
    </row>
    <row r="15" spans="1:19" ht="41" customHeight="1" x14ac:dyDescent="0.15">
      <c r="M15" s="84"/>
      <c r="N15" s="84"/>
      <c r="O15" s="84"/>
      <c r="P15" s="84"/>
      <c r="Q15" s="84"/>
      <c r="R15" s="84"/>
      <c r="S15" s="84"/>
    </row>
    <row r="18" spans="2:4" x14ac:dyDescent="0.15">
      <c r="B18" s="41"/>
      <c r="C18" s="41"/>
      <c r="D18" s="41"/>
    </row>
  </sheetData>
  <mergeCells count="1">
    <mergeCell ref="B2:C2"/>
  </mergeCells>
  <pageMargins left="0.7" right="0.7" top="0.75" bottom="0.75" header="0.3" footer="0.3"/>
  <pageSetup orientation="portrait" horizontalDpi="0" verticalDpi="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5C6A52-075B-FB4E-9D9B-B2E3FCF95AAB}">
  <sheetPr codeName="Sheet4"/>
  <dimension ref="A1:N7"/>
  <sheetViews>
    <sheetView workbookViewId="0">
      <selection activeCell="E2" sqref="E2:N2"/>
    </sheetView>
  </sheetViews>
  <sheetFormatPr baseColWidth="10" defaultRowHeight="16" x14ac:dyDescent="0.2"/>
  <cols>
    <col min="1" max="1" width="50" customWidth="1"/>
    <col min="3" max="14" width="10.83203125" style="25"/>
  </cols>
  <sheetData>
    <row r="1" spans="1:14" s="184" customFormat="1" x14ac:dyDescent="0.2">
      <c r="A1" s="183" t="s">
        <v>37</v>
      </c>
      <c r="C1" s="184">
        <f>'Ref Data'!F13</f>
        <v>2000</v>
      </c>
      <c r="D1" s="184">
        <f>'Ref Data'!G13</f>
        <v>2005</v>
      </c>
      <c r="E1" s="184">
        <f>'Ref Data'!H13</f>
        <v>2010</v>
      </c>
      <c r="F1" s="184">
        <f>'Ref Data'!I13</f>
        <v>2020</v>
      </c>
      <c r="G1" s="184">
        <f>'Ref Data'!J13</f>
        <v>2030</v>
      </c>
      <c r="H1" s="184">
        <f>'Ref Data'!K13</f>
        <v>2040</v>
      </c>
      <c r="I1" s="184">
        <f>'Ref Data'!L13</f>
        <v>2050</v>
      </c>
      <c r="J1" s="184">
        <f>'Ref Data'!M13</f>
        <v>2060</v>
      </c>
      <c r="K1" s="184">
        <f>'Ref Data'!N13</f>
        <v>2070</v>
      </c>
      <c r="L1" s="184">
        <f>'Ref Data'!O13</f>
        <v>2080</v>
      </c>
      <c r="M1" s="184">
        <f>'Ref Data'!P13</f>
        <v>2090</v>
      </c>
      <c r="N1" s="184">
        <f>'Ref Data'!Q13</f>
        <v>2100</v>
      </c>
    </row>
    <row r="2" spans="1:14" x14ac:dyDescent="0.2">
      <c r="A2" t="str">
        <f>'Ref Data'!D29</f>
        <v>Emissions|CO2|Industrial Processes</v>
      </c>
      <c r="E2" s="25">
        <f ca="1">'Ref Data'!H29</f>
        <v>1619.6451683839161</v>
      </c>
      <c r="F2" s="25">
        <f ca="1">'Ref Data'!I29</f>
        <v>1846.3895320892334</v>
      </c>
      <c r="G2" s="25">
        <f ca="1">'Ref Data'!J29</f>
        <v>2014.8549278577168</v>
      </c>
      <c r="H2" s="25">
        <f ca="1">'Ref Data'!K29</f>
        <v>2097.1979300181069</v>
      </c>
      <c r="I2" s="25">
        <f ca="1">'Ref Data'!L29</f>
        <v>2292.7681605021157</v>
      </c>
      <c r="J2" s="25">
        <f ca="1">'Ref Data'!M29</f>
        <v>2535.1934035619097</v>
      </c>
      <c r="K2" s="25">
        <f ca="1">'Ref Data'!N29</f>
        <v>2635.3624661763506</v>
      </c>
      <c r="L2" s="25">
        <f ca="1">'Ref Data'!O29</f>
        <v>2885.1141730944314</v>
      </c>
      <c r="M2" s="25">
        <f ca="1">'Ref Data'!P29</f>
        <v>3324.2319027582803</v>
      </c>
      <c r="N2" s="25">
        <f ca="1">'Ref Data'!Q29</f>
        <v>3714.6559556325274</v>
      </c>
    </row>
    <row r="3" spans="1:14" x14ac:dyDescent="0.2">
      <c r="A3" t="str">
        <f>'Ref Data'!D30</f>
        <v>Carbon Sequestration|CCS|Fossil|Industrial Processes</v>
      </c>
      <c r="C3" s="25">
        <f>'Ref Data'!F30</f>
        <v>0</v>
      </c>
      <c r="D3" s="25">
        <f ca="1">'Ref Data'!G30</f>
        <v>0</v>
      </c>
      <c r="E3" s="25">
        <f ca="1">'Ref Data'!H30</f>
        <v>0</v>
      </c>
      <c r="F3" s="25">
        <f ca="1">'Ref Data'!I30</f>
        <v>0</v>
      </c>
      <c r="G3" s="25">
        <f ca="1">'Ref Data'!J30</f>
        <v>0</v>
      </c>
      <c r="H3" s="25">
        <f ca="1">'Ref Data'!K30</f>
        <v>0</v>
      </c>
      <c r="I3" s="25">
        <f ca="1">'Ref Data'!L30</f>
        <v>0</v>
      </c>
      <c r="J3" s="25">
        <f ca="1">'Ref Data'!M30</f>
        <v>0</v>
      </c>
      <c r="K3" s="25">
        <f ca="1">'Ref Data'!N30</f>
        <v>0</v>
      </c>
      <c r="L3" s="25">
        <f ca="1">'Ref Data'!O30</f>
        <v>0</v>
      </c>
      <c r="M3" s="25">
        <f ca="1">'Ref Data'!P30</f>
        <v>0</v>
      </c>
      <c r="N3" s="25">
        <f ca="1">'Ref Data'!Q30</f>
        <v>0</v>
      </c>
    </row>
    <row r="4" spans="1:14" x14ac:dyDescent="0.2">
      <c r="A4" t="str">
        <f>'Ref Data'!D33</f>
        <v>Carbon Sequestration|CCS|Biomass|Industrial Processes</v>
      </c>
      <c r="C4" s="25">
        <f>'Ref Data'!F33</f>
        <v>0</v>
      </c>
      <c r="D4" s="25">
        <f ca="1">'Ref Data'!G33</f>
        <v>0</v>
      </c>
      <c r="E4" s="25">
        <f ca="1">'Ref Data'!H33</f>
        <v>0</v>
      </c>
      <c r="F4" s="25">
        <f ca="1">'Ref Data'!I33</f>
        <v>0</v>
      </c>
      <c r="G4" s="25">
        <f ca="1">'Ref Data'!J33</f>
        <v>0</v>
      </c>
      <c r="H4" s="25">
        <f ca="1">'Ref Data'!K33</f>
        <v>0</v>
      </c>
      <c r="I4" s="25">
        <f ca="1">'Ref Data'!L33</f>
        <v>0</v>
      </c>
      <c r="J4" s="25">
        <f ca="1">'Ref Data'!M33</f>
        <v>0</v>
      </c>
      <c r="K4" s="25">
        <f ca="1">'Ref Data'!N33</f>
        <v>0</v>
      </c>
      <c r="L4" s="25">
        <f ca="1">'Ref Data'!O33</f>
        <v>0</v>
      </c>
      <c r="M4" s="25">
        <f ca="1">'Ref Data'!P33</f>
        <v>0</v>
      </c>
      <c r="N4" s="25">
        <f ca="1">'Ref Data'!Q33</f>
        <v>0</v>
      </c>
    </row>
    <row r="6" spans="1:14" s="21" customFormat="1" x14ac:dyDescent="0.2">
      <c r="A6" s="21" t="s">
        <v>39</v>
      </c>
      <c r="C6" s="178">
        <f>C2+C4</f>
        <v>0</v>
      </c>
      <c r="D6" s="178">
        <f t="shared" ref="D6:N6" ca="1" si="0">D2+D4</f>
        <v>0</v>
      </c>
      <c r="E6" s="178">
        <f t="shared" ca="1" si="0"/>
        <v>1619.6451683839161</v>
      </c>
      <c r="F6" s="178">
        <f t="shared" ca="1" si="0"/>
        <v>1846.3895320892334</v>
      </c>
      <c r="G6" s="178">
        <f t="shared" ca="1" si="0"/>
        <v>2014.8549278577168</v>
      </c>
      <c r="H6" s="178">
        <f t="shared" ca="1" si="0"/>
        <v>2097.1979300181069</v>
      </c>
      <c r="I6" s="178">
        <f t="shared" ca="1" si="0"/>
        <v>2292.7681605021157</v>
      </c>
      <c r="J6" s="178">
        <f t="shared" ca="1" si="0"/>
        <v>2535.1934035619097</v>
      </c>
      <c r="K6" s="178">
        <f t="shared" ca="1" si="0"/>
        <v>2635.3624661763506</v>
      </c>
      <c r="L6" s="178">
        <f t="shared" ca="1" si="0"/>
        <v>2885.1141730944314</v>
      </c>
      <c r="M6" s="178">
        <f t="shared" ca="1" si="0"/>
        <v>3324.2319027582803</v>
      </c>
      <c r="N6" s="178">
        <f t="shared" ca="1" si="0"/>
        <v>3714.6559556325274</v>
      </c>
    </row>
    <row r="7" spans="1:14" s="21" customFormat="1" x14ac:dyDescent="0.2">
      <c r="A7" s="21" t="s">
        <v>40</v>
      </c>
      <c r="C7" s="178">
        <f>C2+C3+C4</f>
        <v>0</v>
      </c>
      <c r="D7" s="178">
        <f t="shared" ref="D7:N7" ca="1" si="1">D2+D3+D4</f>
        <v>0</v>
      </c>
      <c r="E7" s="178">
        <f t="shared" ca="1" si="1"/>
        <v>1619.6451683839161</v>
      </c>
      <c r="F7" s="178">
        <f t="shared" ca="1" si="1"/>
        <v>1846.3895320892334</v>
      </c>
      <c r="G7" s="178">
        <f t="shared" ca="1" si="1"/>
        <v>2014.8549278577168</v>
      </c>
      <c r="H7" s="178">
        <f t="shared" ca="1" si="1"/>
        <v>2097.1979300181069</v>
      </c>
      <c r="I7" s="178">
        <f t="shared" ca="1" si="1"/>
        <v>2292.7681605021157</v>
      </c>
      <c r="J7" s="178">
        <f t="shared" ca="1" si="1"/>
        <v>2535.1934035619097</v>
      </c>
      <c r="K7" s="178">
        <f t="shared" ca="1" si="1"/>
        <v>2635.3624661763506</v>
      </c>
      <c r="L7" s="178">
        <f t="shared" ca="1" si="1"/>
        <v>2885.1141730944314</v>
      </c>
      <c r="M7" s="178">
        <f t="shared" ca="1" si="1"/>
        <v>3324.2319027582803</v>
      </c>
      <c r="N7" s="178">
        <f t="shared" ca="1" si="1"/>
        <v>3714.6559556325274</v>
      </c>
    </row>
  </sheetData>
  <pageMargins left="0.7" right="0.7" top="0.75" bottom="0.75" header="0.3" footer="0.3"/>
  <pageSetup orientation="portrait" horizontalDpi="0" verticalDpi="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64DE5C-BF7A-354C-AF9A-39E90827512F}">
  <sheetPr codeName="Sheet5"/>
  <dimension ref="A1:P29"/>
  <sheetViews>
    <sheetView workbookViewId="0">
      <selection activeCell="C19" sqref="C19"/>
    </sheetView>
  </sheetViews>
  <sheetFormatPr baseColWidth="10" defaultRowHeight="16" x14ac:dyDescent="0.2"/>
  <cols>
    <col min="1" max="1" width="50" customWidth="1"/>
    <col min="3" max="14" width="10.83203125" style="25"/>
  </cols>
  <sheetData>
    <row r="1" spans="1:16" s="184" customFormat="1" x14ac:dyDescent="0.2">
      <c r="A1" s="183" t="s">
        <v>37</v>
      </c>
      <c r="C1" s="184">
        <f>'Int Data'!F13</f>
        <v>2000</v>
      </c>
      <c r="D1" s="184">
        <f>'Int Data'!G13</f>
        <v>2005</v>
      </c>
      <c r="E1" s="184">
        <f>'Int Data'!H13</f>
        <v>2010</v>
      </c>
      <c r="F1" s="184">
        <f>'Int Data'!I13</f>
        <v>2020</v>
      </c>
      <c r="G1" s="184">
        <f>'Int Data'!J13</f>
        <v>2030</v>
      </c>
      <c r="H1" s="184">
        <f>'Int Data'!K13</f>
        <v>2040</v>
      </c>
      <c r="I1" s="184">
        <f>'Int Data'!L13</f>
        <v>2050</v>
      </c>
      <c r="J1" s="184">
        <f>'Int Data'!M13</f>
        <v>2060</v>
      </c>
      <c r="K1" s="184">
        <f>'Int Data'!N13</f>
        <v>2070</v>
      </c>
      <c r="L1" s="184">
        <f>'Int Data'!O13</f>
        <v>2080</v>
      </c>
      <c r="M1" s="184">
        <f>'Int Data'!P13</f>
        <v>2090</v>
      </c>
      <c r="N1" s="184">
        <f>'Int Data'!Q13</f>
        <v>2100</v>
      </c>
    </row>
    <row r="2" spans="1:16" x14ac:dyDescent="0.2">
      <c r="A2" t="str">
        <f>'Int Data'!D29</f>
        <v>Emissions|CO2|Industrial Processes</v>
      </c>
      <c r="E2" s="25">
        <f ca="1">'Int Data'!H29</f>
        <v>1619.1182434558868</v>
      </c>
      <c r="F2" s="25">
        <f ca="1">'Int Data'!I29</f>
        <v>1597.3499715328217</v>
      </c>
      <c r="G2" s="25">
        <f ca="1">'Int Data'!J29</f>
        <v>1034.6255103747048</v>
      </c>
      <c r="H2" s="25">
        <f ca="1">'Int Data'!K29</f>
        <v>379.91800904273987</v>
      </c>
      <c r="I2" s="25">
        <f ca="1">'Int Data'!L29</f>
        <v>291.63538167874015</v>
      </c>
      <c r="J2" s="25">
        <f ca="1">'Int Data'!M29</f>
        <v>252.73287047942478</v>
      </c>
      <c r="K2" s="25">
        <f ca="1">'Int Data'!N29</f>
        <v>265.27233421802521</v>
      </c>
      <c r="L2" s="25">
        <f ca="1">'Int Data'!O29</f>
        <v>286.89598043759662</v>
      </c>
      <c r="M2" s="25">
        <f ca="1">'Int Data'!P29</f>
        <v>284.21726326147711</v>
      </c>
      <c r="N2" s="25">
        <f ca="1">'Int Data'!Q29</f>
        <v>288.82528841495514</v>
      </c>
    </row>
    <row r="3" spans="1:16" x14ac:dyDescent="0.2">
      <c r="A3" t="str">
        <f>'Int Data'!D30</f>
        <v>Carbon Sequestration|CCS|Fossil|Industrial Processes</v>
      </c>
      <c r="C3" s="25">
        <f ca="1">'Int Data'!F30</f>
        <v>0</v>
      </c>
      <c r="D3" s="25">
        <f ca="1">'Int Data'!G30</f>
        <v>0</v>
      </c>
      <c r="E3" s="25">
        <f ca="1">'Int Data'!H30</f>
        <v>0</v>
      </c>
      <c r="F3" s="25">
        <f ca="1">'Int Data'!I30</f>
        <v>16.969379949538656</v>
      </c>
      <c r="G3" s="25">
        <f ca="1">'Int Data'!J30</f>
        <v>722.02643627921736</v>
      </c>
      <c r="H3" s="25">
        <f ca="1">'Int Data'!K30</f>
        <v>1417.5688984493413</v>
      </c>
      <c r="I3" s="25">
        <f ca="1">'Int Data'!L30</f>
        <v>1381.148077857991</v>
      </c>
      <c r="J3" s="25">
        <f ca="1">'Int Data'!M30</f>
        <v>1231.7259939057597</v>
      </c>
      <c r="K3" s="25">
        <f ca="1">'Int Data'!N30</f>
        <v>1436.496980239705</v>
      </c>
      <c r="L3" s="25">
        <f ca="1">'Int Data'!O30</f>
        <v>1699.0205631882418</v>
      </c>
      <c r="M3" s="25">
        <f ca="1">'Int Data'!P30</f>
        <v>1543.7318396094875</v>
      </c>
      <c r="N3" s="25">
        <f ca="1">'Int Data'!Q30</f>
        <v>1124.2450335800336</v>
      </c>
    </row>
    <row r="4" spans="1:16" x14ac:dyDescent="0.2">
      <c r="A4" t="str">
        <f>'Int Data'!D33</f>
        <v>Carbon Sequestration|CCS|Biomass|Industrial Processes</v>
      </c>
      <c r="C4" s="25">
        <f ca="1">'Int Data'!F33</f>
        <v>0</v>
      </c>
      <c r="D4" s="25">
        <f ca="1">'Int Data'!G33</f>
        <v>0</v>
      </c>
      <c r="E4" s="25">
        <f ca="1">'Int Data'!H33</f>
        <v>0</v>
      </c>
      <c r="F4" s="25">
        <f ca="1">'Int Data'!I33</f>
        <v>0</v>
      </c>
      <c r="G4" s="25">
        <f ca="1">'Int Data'!J33</f>
        <v>0</v>
      </c>
      <c r="H4" s="25">
        <f ca="1">'Int Data'!K33</f>
        <v>0</v>
      </c>
      <c r="I4" s="25">
        <f ca="1">'Int Data'!L33</f>
        <v>0</v>
      </c>
      <c r="J4" s="25">
        <f ca="1">'Int Data'!M33</f>
        <v>0</v>
      </c>
      <c r="K4" s="25">
        <f ca="1">'Int Data'!N33</f>
        <v>0</v>
      </c>
      <c r="L4" s="25">
        <f ca="1">'Int Data'!O33</f>
        <v>0</v>
      </c>
      <c r="M4" s="25">
        <f ca="1">'Int Data'!P33</f>
        <v>0</v>
      </c>
      <c r="N4" s="25">
        <f ca="1">'Int Data'!Q33</f>
        <v>0</v>
      </c>
    </row>
    <row r="6" spans="1:16" s="21" customFormat="1" x14ac:dyDescent="0.2">
      <c r="A6" s="21" t="s">
        <v>39</v>
      </c>
      <c r="C6" s="178">
        <f ca="1">C2+C4</f>
        <v>0</v>
      </c>
      <c r="D6" s="178">
        <f t="shared" ref="D6:N6" ca="1" si="0">D2+D4</f>
        <v>0</v>
      </c>
      <c r="E6" s="178">
        <f t="shared" ca="1" si="0"/>
        <v>1619.1182434558868</v>
      </c>
      <c r="F6" s="178">
        <f t="shared" ca="1" si="0"/>
        <v>1597.3499715328217</v>
      </c>
      <c r="G6" s="178">
        <f t="shared" ca="1" si="0"/>
        <v>1034.6255103747048</v>
      </c>
      <c r="H6" s="178">
        <f t="shared" ca="1" si="0"/>
        <v>379.91800904273987</v>
      </c>
      <c r="I6" s="178">
        <f t="shared" ca="1" si="0"/>
        <v>291.63538167874015</v>
      </c>
      <c r="J6" s="178">
        <f t="shared" ca="1" si="0"/>
        <v>252.73287047942478</v>
      </c>
      <c r="K6" s="178">
        <f t="shared" ca="1" si="0"/>
        <v>265.27233421802521</v>
      </c>
      <c r="L6" s="178">
        <f t="shared" ca="1" si="0"/>
        <v>286.89598043759662</v>
      </c>
      <c r="M6" s="178">
        <f t="shared" ca="1" si="0"/>
        <v>284.21726326147711</v>
      </c>
      <c r="N6" s="178">
        <f t="shared" ca="1" si="0"/>
        <v>288.82528841495514</v>
      </c>
    </row>
    <row r="7" spans="1:16" s="21" customFormat="1" x14ac:dyDescent="0.2">
      <c r="A7" s="21" t="s">
        <v>40</v>
      </c>
      <c r="C7" s="178">
        <f ca="1">C2+C3+C4</f>
        <v>0</v>
      </c>
      <c r="D7" s="178">
        <f t="shared" ref="D7:N7" ca="1" si="1">D2+D3+D4</f>
        <v>0</v>
      </c>
      <c r="E7" s="178">
        <f t="shared" ca="1" si="1"/>
        <v>1619.1182434558868</v>
      </c>
      <c r="F7" s="178">
        <f t="shared" ca="1" si="1"/>
        <v>1614.3193514823604</v>
      </c>
      <c r="G7" s="178">
        <f t="shared" ca="1" si="1"/>
        <v>1756.6519466539221</v>
      </c>
      <c r="H7" s="178">
        <f t="shared" ca="1" si="1"/>
        <v>1797.4869074920812</v>
      </c>
      <c r="I7" s="178">
        <f t="shared" ca="1" si="1"/>
        <v>1672.7834595367312</v>
      </c>
      <c r="J7" s="178">
        <f t="shared" ca="1" si="1"/>
        <v>1484.4588643851844</v>
      </c>
      <c r="K7" s="178">
        <f t="shared" ca="1" si="1"/>
        <v>1701.7693144577302</v>
      </c>
      <c r="L7" s="178">
        <f t="shared" ca="1" si="1"/>
        <v>1985.9165436258384</v>
      </c>
      <c r="M7" s="178">
        <f t="shared" ca="1" si="1"/>
        <v>1827.9491028709645</v>
      </c>
      <c r="N7" s="178">
        <f t="shared" ca="1" si="1"/>
        <v>1413.0703219949887</v>
      </c>
    </row>
    <row r="12" spans="1:16" x14ac:dyDescent="0.2">
      <c r="A12" t="s">
        <v>422</v>
      </c>
      <c r="B12" t="s">
        <v>423</v>
      </c>
      <c r="E12" s="25">
        <f ca="1">SUMPRODUCT(E18:E20,$P$18:$P$20)/E21</f>
        <v>75.893610913924277</v>
      </c>
      <c r="F12" s="25">
        <f ca="1">SUMPRODUCT(F18:F20,$P$18:$P$20)/F21</f>
        <v>74.227812728124803</v>
      </c>
      <c r="G12" s="25">
        <f t="shared" ref="G12:N12" ca="1" si="2">SUMPRODUCT(G18:G20,$P$18:$P$20)/G21</f>
        <v>71.187797267553222</v>
      </c>
      <c r="H12" s="25">
        <f t="shared" ca="1" si="2"/>
        <v>66.074660265638727</v>
      </c>
      <c r="I12" s="25">
        <f t="shared" ca="1" si="2"/>
        <v>63.770693278432873</v>
      </c>
      <c r="J12" s="25">
        <f t="shared" ca="1" si="2"/>
        <v>63.706244586440228</v>
      </c>
      <c r="K12" s="25">
        <f t="shared" ca="1" si="2"/>
        <v>63.208521360087445</v>
      </c>
      <c r="L12" s="25">
        <f t="shared" ca="1" si="2"/>
        <v>63.172337754818827</v>
      </c>
      <c r="M12" s="25">
        <f t="shared" ca="1" si="2"/>
        <v>64.455054628067316</v>
      </c>
      <c r="N12" s="25">
        <f t="shared" ca="1" si="2"/>
        <v>66.192040730480159</v>
      </c>
      <c r="P12" t="s">
        <v>63</v>
      </c>
    </row>
    <row r="13" spans="1:16" x14ac:dyDescent="0.2">
      <c r="B13" t="s">
        <v>424</v>
      </c>
    </row>
    <row r="14" spans="1:16" x14ac:dyDescent="0.2">
      <c r="A14" t="s">
        <v>425</v>
      </c>
      <c r="B14" t="s">
        <v>426</v>
      </c>
      <c r="E14" s="25">
        <f ca="1">E21*E12</f>
        <v>32831.886770833327</v>
      </c>
      <c r="F14" s="25">
        <f t="shared" ref="F14:N14" ca="1" si="3">F21*F12</f>
        <v>30436.817697916664</v>
      </c>
      <c r="G14" s="25">
        <f t="shared" ca="1" si="3"/>
        <v>21102.890044270833</v>
      </c>
      <c r="H14" s="25">
        <f t="shared" ca="1" si="3"/>
        <v>12572.814375000002</v>
      </c>
      <c r="I14" s="25">
        <f t="shared" ca="1" si="3"/>
        <v>9950.7789791666655</v>
      </c>
      <c r="J14" s="25">
        <f t="shared" ca="1" si="3"/>
        <v>10126.592466145834</v>
      </c>
      <c r="K14" s="25">
        <f t="shared" ca="1" si="3"/>
        <v>11358.381045572916</v>
      </c>
      <c r="L14" s="25">
        <f t="shared" ca="1" si="3"/>
        <v>10883.463479166667</v>
      </c>
      <c r="M14" s="25">
        <f t="shared" ca="1" si="3"/>
        <v>10043.077114583333</v>
      </c>
      <c r="N14" s="25">
        <f t="shared" ca="1" si="3"/>
        <v>10249.143007812501</v>
      </c>
    </row>
    <row r="15" spans="1:16" x14ac:dyDescent="0.2">
      <c r="A15" t="s">
        <v>427</v>
      </c>
      <c r="B15" t="s">
        <v>428</v>
      </c>
      <c r="E15" s="281">
        <f ca="1">E2</f>
        <v>1619.1182434558868</v>
      </c>
      <c r="F15" s="242">
        <f t="shared" ref="F15:N15" ca="1" si="4">F26-F14</f>
        <v>339.30259459846275</v>
      </c>
      <c r="G15" s="242">
        <f t="shared" ca="1" si="4"/>
        <v>744.7639727443202</v>
      </c>
      <c r="H15" s="242">
        <f t="shared" ca="1" si="4"/>
        <v>817.68962624989399</v>
      </c>
      <c r="I15" s="242">
        <f t="shared" ca="1" si="4"/>
        <v>382.06886398041024</v>
      </c>
      <c r="J15" s="242">
        <f t="shared" ca="1" si="4"/>
        <v>38.415280889825226</v>
      </c>
      <c r="K15" s="242">
        <f t="shared" ca="1" si="4"/>
        <v>191.89430058417202</v>
      </c>
      <c r="L15" s="242">
        <f t="shared" ca="1" si="4"/>
        <v>393.05997588871651</v>
      </c>
      <c r="M15" s="242">
        <f t="shared" ca="1" si="4"/>
        <v>252.37648494988025</v>
      </c>
      <c r="N15" s="242">
        <f t="shared" ca="1" si="4"/>
        <v>-102.43127284127149</v>
      </c>
    </row>
    <row r="16" spans="1:16" x14ac:dyDescent="0.2">
      <c r="B16" s="246" t="s">
        <v>429</v>
      </c>
      <c r="P16" t="s">
        <v>430</v>
      </c>
    </row>
    <row r="17" spans="1:16" x14ac:dyDescent="0.2">
      <c r="P17" t="s">
        <v>63</v>
      </c>
    </row>
    <row r="18" spans="1:16" x14ac:dyDescent="0.2">
      <c r="A18" s="265" t="s">
        <v>11</v>
      </c>
      <c r="B18" t="s">
        <v>431</v>
      </c>
      <c r="C18" s="25">
        <f ca="1">'Int Data'!F25</f>
        <v>0</v>
      </c>
      <c r="D18" s="25">
        <f ca="1">'Int Data'!G25</f>
        <v>117.62070312500001</v>
      </c>
      <c r="E18" s="25">
        <f ca="1">'Int Data'!H25</f>
        <v>146.19859375000001</v>
      </c>
      <c r="F18" s="25">
        <f ca="1">'Int Data'!I25</f>
        <v>125.483796875</v>
      </c>
      <c r="G18" s="25">
        <f ca="1">'Int Data'!J25</f>
        <v>73.49790625</v>
      </c>
      <c r="H18" s="25">
        <f ca="1">'Int Data'!K25</f>
        <v>29.39501953125</v>
      </c>
      <c r="I18" s="25">
        <f ca="1">'Int Data'!L25</f>
        <v>21.23305078125</v>
      </c>
      <c r="J18" s="25">
        <f ca="1">'Int Data'!M25</f>
        <v>24.590289062500002</v>
      </c>
      <c r="K18" s="25">
        <f ca="1">'Int Data'!N25</f>
        <v>28.702580078124999</v>
      </c>
      <c r="L18" s="25">
        <f ca="1">'Int Data'!O25</f>
        <v>28.120359375</v>
      </c>
      <c r="M18" s="25">
        <f ca="1">'Int Data'!P25</f>
        <v>29.275259765625002</v>
      </c>
      <c r="N18" s="25">
        <f ca="1">'Int Data'!Q25</f>
        <v>35.63494140625</v>
      </c>
      <c r="P18" s="245">
        <f>[8]Sheet1!$C$8</f>
        <v>95.333333333333329</v>
      </c>
    </row>
    <row r="19" spans="1:16" x14ac:dyDescent="0.2">
      <c r="A19" s="265" t="s">
        <v>10</v>
      </c>
      <c r="B19" t="s">
        <v>431</v>
      </c>
      <c r="C19" s="25">
        <f ca="1">'Int Data'!F26</f>
        <v>0</v>
      </c>
      <c r="D19" s="25">
        <f ca="1">'Int Data'!G26</f>
        <v>103.10389843750001</v>
      </c>
      <c r="E19" s="25">
        <f ca="1">'Int Data'!H26</f>
        <v>115.0245</v>
      </c>
      <c r="F19" s="25">
        <f ca="1">'Int Data'!I26</f>
        <v>130.5745</v>
      </c>
      <c r="G19" s="25">
        <f ca="1">'Int Data'!J26</f>
        <v>122.8896015625</v>
      </c>
      <c r="H19" s="25">
        <f ca="1">'Int Data'!K26</f>
        <v>110.6118984375</v>
      </c>
      <c r="I19" s="25">
        <f ca="1">'Int Data'!L26</f>
        <v>106.8698984375</v>
      </c>
      <c r="J19" s="25">
        <f ca="1">'Int Data'!M26</f>
        <v>112.979203125</v>
      </c>
      <c r="K19" s="25">
        <f ca="1">'Int Data'!N26</f>
        <v>133.68299999999999</v>
      </c>
      <c r="L19" s="25">
        <f ca="1">'Int Data'!O26</f>
        <v>129.22939843750001</v>
      </c>
      <c r="M19" s="25">
        <f ca="1">'Int Data'!P26</f>
        <v>110.5868984375</v>
      </c>
      <c r="N19" s="25">
        <f ca="1">'Int Data'!Q26</f>
        <v>103.07579687500001</v>
      </c>
      <c r="P19" s="245">
        <f>[8]Sheet1!$C$10</f>
        <v>55</v>
      </c>
    </row>
    <row r="20" spans="1:16" x14ac:dyDescent="0.2">
      <c r="A20" s="265" t="s">
        <v>12</v>
      </c>
      <c r="B20" t="s">
        <v>431</v>
      </c>
      <c r="C20" s="25">
        <f ca="1">'Int Data'!F27</f>
        <v>0</v>
      </c>
      <c r="D20" s="25">
        <f ca="1">'Int Data'!G27</f>
        <v>173.72640625</v>
      </c>
      <c r="E20" s="25">
        <f ca="1">'Int Data'!H27</f>
        <v>171.381</v>
      </c>
      <c r="F20" s="25">
        <f ca="1">'Int Data'!I27</f>
        <v>153.987703125</v>
      </c>
      <c r="G20" s="25">
        <f ca="1">'Int Data'!J27</f>
        <v>100.05220312500001</v>
      </c>
      <c r="H20" s="25">
        <f ca="1">'Int Data'!K27</f>
        <v>50.275019531250003</v>
      </c>
      <c r="I20" s="25">
        <f ca="1">'Int Data'!L27</f>
        <v>27.937050781250001</v>
      </c>
      <c r="J20" s="25">
        <f ca="1">'Int Data'!M27</f>
        <v>21.388119140625001</v>
      </c>
      <c r="K20" s="25">
        <f ca="1">'Int Data'!N27</f>
        <v>17.311410156250002</v>
      </c>
      <c r="L20" s="25">
        <f ca="1">'Int Data'!O27</f>
        <v>14.932349609375001</v>
      </c>
      <c r="M20" s="25">
        <f ca="1">'Int Data'!P27</f>
        <v>15.9530400390625</v>
      </c>
      <c r="N20" s="25">
        <f ca="1">'Int Data'!Q27</f>
        <v>16.128769531250001</v>
      </c>
      <c r="P20" s="245">
        <f>[8]Sheet1!$C$9</f>
        <v>73.333333333333329</v>
      </c>
    </row>
    <row r="21" spans="1:16" x14ac:dyDescent="0.2">
      <c r="A21" s="265" t="s">
        <v>432</v>
      </c>
      <c r="C21" s="25">
        <f t="shared" ref="C21:D21" ca="1" si="5">SUM(C18:C20)</f>
        <v>0</v>
      </c>
      <c r="D21" s="25">
        <f t="shared" ca="1" si="5"/>
        <v>394.45100781250005</v>
      </c>
      <c r="E21" s="25">
        <f ca="1">SUM(E18:E20)</f>
        <v>432.60409375000006</v>
      </c>
      <c r="F21" s="25">
        <f t="shared" ref="F21:N21" ca="1" si="6">SUM(F18:F20)</f>
        <v>410.04599999999999</v>
      </c>
      <c r="G21" s="25">
        <f t="shared" ca="1" si="6"/>
        <v>296.43971093750002</v>
      </c>
      <c r="H21" s="25">
        <f t="shared" ca="1" si="6"/>
        <v>190.2819375</v>
      </c>
      <c r="I21" s="25">
        <f t="shared" ca="1" si="6"/>
        <v>156.04</v>
      </c>
      <c r="J21" s="25">
        <f t="shared" ca="1" si="6"/>
        <v>158.95761132812501</v>
      </c>
      <c r="K21" s="25">
        <f t="shared" ca="1" si="6"/>
        <v>179.69699023437499</v>
      </c>
      <c r="L21" s="25">
        <f t="shared" ca="1" si="6"/>
        <v>172.282107421875</v>
      </c>
      <c r="M21" s="25">
        <f t="shared" ca="1" si="6"/>
        <v>155.81519824218751</v>
      </c>
      <c r="N21" s="25">
        <f t="shared" ca="1" si="6"/>
        <v>154.83950781250002</v>
      </c>
    </row>
    <row r="24" spans="1:16" x14ac:dyDescent="0.2">
      <c r="A24" s="265"/>
    </row>
    <row r="25" spans="1:16" x14ac:dyDescent="0.2">
      <c r="H25" t="s">
        <v>433</v>
      </c>
    </row>
    <row r="26" spans="1:16" x14ac:dyDescent="0.2">
      <c r="A26" t="s">
        <v>434</v>
      </c>
      <c r="C26" s="25">
        <f ca="1">FossilEneEmissionsAccountingInt!C17+FossilEneEmissionsAccountingInt!C5+FossilEneEmissionsAccountingInt!C9</f>
        <v>0</v>
      </c>
      <c r="D26" s="25">
        <f ca="1">FossilEneEmissionsAccountingInt!D17+FossilEneEmissionsAccountingInt!D5+FossilEneEmissionsAccountingInt!D9</f>
        <v>29390.234450499218</v>
      </c>
      <c r="E26" s="25">
        <f ca="1">FossilEneEmissionsAccountingInt!E17+FossilEneEmissionsAccountingInt!E5+FossilEneEmissionsAccountingInt!E9</f>
        <v>32216.963003079094</v>
      </c>
      <c r="F26" s="25">
        <f ca="1">FossilEneEmissionsAccountingInt!F17+FossilEneEmissionsAccountingInt!F5+FossilEneEmissionsAccountingInt!F9</f>
        <v>30776.120292515126</v>
      </c>
      <c r="G26" s="25">
        <f ca="1">FossilEneEmissionsAccountingInt!G17+FossilEneEmissionsAccountingInt!G5+FossilEneEmissionsAccountingInt!G9</f>
        <v>21847.654017015153</v>
      </c>
      <c r="H26" s="25">
        <f ca="1">FossilEneEmissionsAccountingInt!H17+FossilEneEmissionsAccountingInt!H5+FossilEneEmissionsAccountingInt!H9</f>
        <v>13390.504001249896</v>
      </c>
      <c r="I26" s="25">
        <f ca="1">FossilEneEmissionsAccountingInt!I17+FossilEneEmissionsAccountingInt!I5+FossilEneEmissionsAccountingInt!I9</f>
        <v>10332.847843147076</v>
      </c>
      <c r="J26" s="25">
        <f ca="1">FossilEneEmissionsAccountingInt!J17+FossilEneEmissionsAccountingInt!J5+FossilEneEmissionsAccountingInt!J9</f>
        <v>10165.007747035659</v>
      </c>
      <c r="K26" s="25">
        <f ca="1">FossilEneEmissionsAccountingInt!K17+FossilEneEmissionsAccountingInt!K5+FossilEneEmissionsAccountingInt!K9</f>
        <v>11550.275346157088</v>
      </c>
      <c r="L26" s="25">
        <f ca="1">FossilEneEmissionsAccountingInt!L17+FossilEneEmissionsAccountingInt!L5+FossilEneEmissionsAccountingInt!L9</f>
        <v>11276.523455055383</v>
      </c>
      <c r="M26" s="25">
        <f ca="1">FossilEneEmissionsAccountingInt!M17+FossilEneEmissionsAccountingInt!M5+FossilEneEmissionsAccountingInt!M9</f>
        <v>10295.453599533213</v>
      </c>
      <c r="N26" s="25">
        <f ca="1">FossilEneEmissionsAccountingInt!N17+FossilEneEmissionsAccountingInt!N5+FossilEneEmissionsAccountingInt!N9</f>
        <v>10146.71173497123</v>
      </c>
    </row>
    <row r="27" spans="1:16" x14ac:dyDescent="0.2">
      <c r="A27" t="s">
        <v>435</v>
      </c>
      <c r="B27" t="s">
        <v>63</v>
      </c>
      <c r="C27" t="e">
        <f t="shared" ref="C27:N27" ca="1" si="7">C26/C21</f>
        <v>#DIV/0!</v>
      </c>
      <c r="D27">
        <f t="shared" ca="1" si="7"/>
        <v>74.509213738578381</v>
      </c>
      <c r="E27">
        <f t="shared" ca="1" si="7"/>
        <v>74.472163968233573</v>
      </c>
      <c r="F27">
        <f t="shared" ca="1" si="7"/>
        <v>75.055287193424945</v>
      </c>
      <c r="G27">
        <f t="shared" ca="1" si="7"/>
        <v>73.700159630844496</v>
      </c>
      <c r="H27">
        <f t="shared" ca="1" si="7"/>
        <v>70.371913262917531</v>
      </c>
      <c r="I27">
        <f t="shared" ca="1" si="7"/>
        <v>66.219224834318609</v>
      </c>
      <c r="J27">
        <f t="shared" ca="1" si="7"/>
        <v>63.947914554734652</v>
      </c>
      <c r="K27">
        <f t="shared" ca="1" si="7"/>
        <v>64.276398458829547</v>
      </c>
      <c r="L27">
        <f t="shared" ca="1" si="7"/>
        <v>65.453828164767273</v>
      </c>
      <c r="M27">
        <f t="shared" ca="1" si="7"/>
        <v>66.074771368135274</v>
      </c>
      <c r="N27">
        <f t="shared" ca="1" si="7"/>
        <v>65.530508836660729</v>
      </c>
    </row>
    <row r="29" spans="1:16" x14ac:dyDescent="0.2">
      <c r="A29" s="282"/>
    </row>
  </sheetData>
  <pageMargins left="0.7" right="0.7" top="0.75" bottom="0.75" header="0.3" footer="0.3"/>
  <pageSetup orientation="portrait" horizontalDpi="0" verticalDpi="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BCC86-2F97-F145-8850-5293184C4D5D}">
  <sheetPr codeName="Sheet1">
    <tabColor rgb="FF00B0F0"/>
  </sheetPr>
  <dimension ref="A1:Y24"/>
  <sheetViews>
    <sheetView workbookViewId="0">
      <selection activeCell="L29" sqref="L28:L29"/>
    </sheetView>
  </sheetViews>
  <sheetFormatPr baseColWidth="10" defaultRowHeight="16" x14ac:dyDescent="0.2"/>
  <cols>
    <col min="1" max="1" width="49.5" customWidth="1"/>
    <col min="2" max="14" width="10.83203125" style="25"/>
  </cols>
  <sheetData>
    <row r="1" spans="1:25" s="184" customFormat="1" x14ac:dyDescent="0.2">
      <c r="A1" s="183" t="s">
        <v>37</v>
      </c>
      <c r="B1" s="185"/>
      <c r="C1" s="185">
        <f>'Ref Data'!F13</f>
        <v>2000</v>
      </c>
      <c r="D1" s="185">
        <f>'Ref Data'!G13</f>
        <v>2005</v>
      </c>
      <c r="E1" s="185">
        <f>'Ref Data'!H13</f>
        <v>2010</v>
      </c>
      <c r="F1" s="185">
        <f>'Ref Data'!I13</f>
        <v>2020</v>
      </c>
      <c r="G1" s="185">
        <f>'Ref Data'!J13</f>
        <v>2030</v>
      </c>
      <c r="H1" s="185">
        <f>'Ref Data'!K13</f>
        <v>2040</v>
      </c>
      <c r="I1" s="185">
        <f>'Ref Data'!L13</f>
        <v>2050</v>
      </c>
      <c r="J1" s="185">
        <f>'Ref Data'!M13</f>
        <v>2060</v>
      </c>
      <c r="K1" s="185">
        <f>'Ref Data'!N13</f>
        <v>2070</v>
      </c>
      <c r="L1" s="185">
        <f>'Ref Data'!O13</f>
        <v>2080</v>
      </c>
      <c r="M1" s="185">
        <f>'Ref Data'!P13</f>
        <v>2090</v>
      </c>
      <c r="N1" s="185">
        <f>'Ref Data'!Q13</f>
        <v>2100</v>
      </c>
      <c r="O1" s="185"/>
      <c r="P1" s="185"/>
      <c r="Q1" s="185"/>
      <c r="R1" s="185"/>
      <c r="S1" s="185"/>
      <c r="T1" s="185"/>
      <c r="U1" s="185"/>
      <c r="V1" s="185"/>
      <c r="W1" s="185"/>
    </row>
    <row r="2" spans="1:25" x14ac:dyDescent="0.2">
      <c r="A2" s="21" t="s">
        <v>42</v>
      </c>
      <c r="B2" s="178"/>
      <c r="C2" s="179"/>
      <c r="D2" s="179"/>
      <c r="E2" s="179"/>
      <c r="F2" s="179"/>
      <c r="G2" s="179"/>
      <c r="H2" s="179"/>
      <c r="I2" s="179"/>
      <c r="J2" s="179"/>
      <c r="K2" s="179"/>
      <c r="L2" s="179"/>
      <c r="M2" s="179"/>
      <c r="N2" s="179"/>
      <c r="O2" s="24"/>
      <c r="P2" s="24"/>
      <c r="Q2" s="24"/>
      <c r="R2" s="24"/>
      <c r="S2" s="24"/>
      <c r="T2" s="24"/>
      <c r="U2" s="24"/>
      <c r="V2" s="24"/>
      <c r="W2" s="24"/>
    </row>
    <row r="3" spans="1:25" ht="26" x14ac:dyDescent="0.3">
      <c r="A3" s="24" t="str">
        <f>'Ref Data'!D15</f>
        <v>Carbon Sequestration|CCS</v>
      </c>
      <c r="B3" s="179" t="str">
        <f>'Ref Data'!E15</f>
        <v>Mt CO2/yr</v>
      </c>
      <c r="C3" s="179">
        <f>'Ref Data'!F15</f>
        <v>0</v>
      </c>
      <c r="D3" s="179">
        <f ca="1">'Ref Data'!G15</f>
        <v>0</v>
      </c>
      <c r="E3" s="179">
        <f ca="1">'Ref Data'!H15</f>
        <v>0</v>
      </c>
      <c r="F3" s="179">
        <f ca="1">'Ref Data'!I15</f>
        <v>0</v>
      </c>
      <c r="G3" s="179">
        <f ca="1">'Ref Data'!J15</f>
        <v>0</v>
      </c>
      <c r="H3" s="179">
        <f ca="1">'Ref Data'!K15</f>
        <v>0</v>
      </c>
      <c r="I3" s="179">
        <f ca="1">'Ref Data'!L15</f>
        <v>0</v>
      </c>
      <c r="J3" s="179">
        <f ca="1">'Ref Data'!M15</f>
        <v>0</v>
      </c>
      <c r="K3" s="179">
        <f ca="1">'Ref Data'!N15</f>
        <v>0</v>
      </c>
      <c r="L3" s="179">
        <f ca="1">'Ref Data'!O15</f>
        <v>0</v>
      </c>
      <c r="M3" s="179">
        <f ca="1">'Ref Data'!P15</f>
        <v>0</v>
      </c>
      <c r="N3" s="179">
        <f ca="1">'Ref Data'!Q15</f>
        <v>0</v>
      </c>
      <c r="O3" s="24"/>
      <c r="P3" s="24"/>
      <c r="Q3" s="24"/>
      <c r="R3" s="24"/>
      <c r="S3" s="24"/>
      <c r="T3" s="24"/>
      <c r="U3" s="24"/>
      <c r="V3" s="24"/>
      <c r="W3" s="24"/>
      <c r="Y3" s="22"/>
    </row>
    <row r="4" spans="1:25" x14ac:dyDescent="0.2">
      <c r="A4" s="24" t="str">
        <f>'Ref Data'!D16</f>
        <v>Carbon Sequestration|CCS|Biomass</v>
      </c>
      <c r="B4" s="179" t="str">
        <f>'Ref Data'!E16</f>
        <v>Mt CO2/yr</v>
      </c>
      <c r="C4" s="179">
        <f>'Ref Data'!F16</f>
        <v>0</v>
      </c>
      <c r="D4" s="179">
        <f ca="1">'Ref Data'!G16</f>
        <v>0</v>
      </c>
      <c r="E4" s="179">
        <f ca="1">'Ref Data'!H16</f>
        <v>0</v>
      </c>
      <c r="F4" s="179">
        <f ca="1">'Ref Data'!I16</f>
        <v>0</v>
      </c>
      <c r="G4" s="179">
        <f ca="1">'Ref Data'!J16</f>
        <v>0</v>
      </c>
      <c r="H4" s="179">
        <f ca="1">'Ref Data'!K16</f>
        <v>0</v>
      </c>
      <c r="I4" s="179">
        <f ca="1">'Ref Data'!L16</f>
        <v>0</v>
      </c>
      <c r="J4" s="179">
        <f ca="1">'Ref Data'!M16</f>
        <v>0</v>
      </c>
      <c r="K4" s="179">
        <f ca="1">'Ref Data'!N16</f>
        <v>0</v>
      </c>
      <c r="L4" s="179">
        <f ca="1">'Ref Data'!O16</f>
        <v>0</v>
      </c>
      <c r="M4" s="179">
        <f ca="1">'Ref Data'!P16</f>
        <v>0</v>
      </c>
      <c r="N4" s="179">
        <f ca="1">'Ref Data'!Q16</f>
        <v>0</v>
      </c>
      <c r="O4" s="24"/>
      <c r="P4" s="24"/>
      <c r="Q4" s="24"/>
      <c r="R4" s="24"/>
      <c r="S4" s="24"/>
      <c r="T4" s="24"/>
      <c r="U4" s="24"/>
      <c r="V4" s="24"/>
      <c r="W4" s="24"/>
    </row>
    <row r="5" spans="1:25" s="21" customFormat="1" x14ac:dyDescent="0.2">
      <c r="A5" s="23" t="s">
        <v>41</v>
      </c>
      <c r="B5" s="180"/>
      <c r="C5" s="180">
        <f t="shared" ref="C5:N5" si="0">C3-C4</f>
        <v>0</v>
      </c>
      <c r="D5" s="180">
        <f t="shared" ca="1" si="0"/>
        <v>0</v>
      </c>
      <c r="E5" s="180">
        <f t="shared" ca="1" si="0"/>
        <v>0</v>
      </c>
      <c r="F5" s="180">
        <f t="shared" ca="1" si="0"/>
        <v>0</v>
      </c>
      <c r="G5" s="180">
        <f t="shared" ca="1" si="0"/>
        <v>0</v>
      </c>
      <c r="H5" s="180">
        <f t="shared" ca="1" si="0"/>
        <v>0</v>
      </c>
      <c r="I5" s="180">
        <f t="shared" ca="1" si="0"/>
        <v>0</v>
      </c>
      <c r="J5" s="180">
        <f t="shared" ca="1" si="0"/>
        <v>0</v>
      </c>
      <c r="K5" s="180">
        <f t="shared" ca="1" si="0"/>
        <v>0</v>
      </c>
      <c r="L5" s="180">
        <f t="shared" ca="1" si="0"/>
        <v>0</v>
      </c>
      <c r="M5" s="180">
        <f t="shared" ca="1" si="0"/>
        <v>0</v>
      </c>
      <c r="N5" s="180">
        <f t="shared" ca="1" si="0"/>
        <v>0</v>
      </c>
      <c r="O5" s="23"/>
      <c r="P5" s="23"/>
      <c r="Q5" s="23"/>
      <c r="R5" s="23"/>
      <c r="S5" s="23"/>
      <c r="T5" s="23"/>
      <c r="U5" s="23"/>
      <c r="V5" s="23"/>
      <c r="W5" s="23"/>
    </row>
    <row r="6" spans="1:25" x14ac:dyDescent="0.2">
      <c r="A6" t="str">
        <f>IndustryEmissionsAccountingRef!A3</f>
        <v>Carbon Sequestration|CCS|Fossil|Industrial Processes</v>
      </c>
      <c r="B6" s="25">
        <f>IndustryEmissionsAccountingRef!B3</f>
        <v>0</v>
      </c>
      <c r="C6" s="25">
        <f>IndustryEmissionsAccountingRef!C3</f>
        <v>0</v>
      </c>
      <c r="D6" s="25">
        <f ca="1">IndustryEmissionsAccountingRef!D3</f>
        <v>0</v>
      </c>
      <c r="E6" s="25">
        <f ca="1">IndustryEmissionsAccountingRef!E3</f>
        <v>0</v>
      </c>
      <c r="F6" s="25">
        <f ca="1">IndustryEmissionsAccountingRef!F3</f>
        <v>0</v>
      </c>
      <c r="G6" s="25">
        <f ca="1">IndustryEmissionsAccountingRef!G3</f>
        <v>0</v>
      </c>
      <c r="H6" s="25">
        <f ca="1">IndustryEmissionsAccountingRef!H3</f>
        <v>0</v>
      </c>
      <c r="I6" s="25">
        <f ca="1">IndustryEmissionsAccountingRef!I3</f>
        <v>0</v>
      </c>
      <c r="J6" s="25">
        <f ca="1">IndustryEmissionsAccountingRef!J3</f>
        <v>0</v>
      </c>
      <c r="K6" s="25">
        <f ca="1">IndustryEmissionsAccountingRef!K3</f>
        <v>0</v>
      </c>
      <c r="L6" s="25">
        <f ca="1">IndustryEmissionsAccountingRef!L3</f>
        <v>0</v>
      </c>
      <c r="M6" s="25">
        <f ca="1">IndustryEmissionsAccountingRef!M3</f>
        <v>0</v>
      </c>
      <c r="N6" s="25">
        <f ca="1">IndustryEmissionsAccountingRef!N3</f>
        <v>0</v>
      </c>
    </row>
    <row r="7" spans="1:25" s="23" customFormat="1" x14ac:dyDescent="0.2">
      <c r="A7" s="23" t="s">
        <v>36</v>
      </c>
      <c r="B7" s="180"/>
      <c r="C7" s="180">
        <f t="shared" ref="C7:N7" si="1">C5-C6</f>
        <v>0</v>
      </c>
      <c r="D7" s="180">
        <f t="shared" ca="1" si="1"/>
        <v>0</v>
      </c>
      <c r="E7" s="180">
        <f t="shared" ca="1" si="1"/>
        <v>0</v>
      </c>
      <c r="F7" s="180">
        <f t="shared" ca="1" si="1"/>
        <v>0</v>
      </c>
      <c r="G7" s="180">
        <f t="shared" ca="1" si="1"/>
        <v>0</v>
      </c>
      <c r="H7" s="180">
        <f t="shared" ca="1" si="1"/>
        <v>0</v>
      </c>
      <c r="I7" s="180">
        <f t="shared" ca="1" si="1"/>
        <v>0</v>
      </c>
      <c r="J7" s="180">
        <f t="shared" ca="1" si="1"/>
        <v>0</v>
      </c>
      <c r="K7" s="180">
        <f t="shared" ca="1" si="1"/>
        <v>0</v>
      </c>
      <c r="L7" s="180">
        <f t="shared" ca="1" si="1"/>
        <v>0</v>
      </c>
      <c r="M7" s="180">
        <f t="shared" ca="1" si="1"/>
        <v>0</v>
      </c>
      <c r="N7" s="180">
        <f t="shared" ca="1" si="1"/>
        <v>0</v>
      </c>
    </row>
    <row r="8" spans="1:25" x14ac:dyDescent="0.2">
      <c r="D8" s="25">
        <f ca="1">-1*D7*10^-3</f>
        <v>0</v>
      </c>
      <c r="E8" s="25">
        <f t="shared" ref="E8:N8" ca="1" si="2">-1*E7*10^-3</f>
        <v>0</v>
      </c>
      <c r="F8" s="25">
        <f t="shared" ca="1" si="2"/>
        <v>0</v>
      </c>
      <c r="G8" s="25">
        <f t="shared" ca="1" si="2"/>
        <v>0</v>
      </c>
      <c r="H8" s="25">
        <f t="shared" ca="1" si="2"/>
        <v>0</v>
      </c>
      <c r="I8" s="25">
        <f t="shared" ca="1" si="2"/>
        <v>0</v>
      </c>
      <c r="J8" s="25">
        <f t="shared" ca="1" si="2"/>
        <v>0</v>
      </c>
      <c r="K8" s="25">
        <f t="shared" ca="1" si="2"/>
        <v>0</v>
      </c>
      <c r="L8" s="25">
        <f t="shared" ca="1" si="2"/>
        <v>0</v>
      </c>
      <c r="M8" s="25">
        <f t="shared" ca="1" si="2"/>
        <v>0</v>
      </c>
      <c r="N8" s="25">
        <f t="shared" ca="1" si="2"/>
        <v>0</v>
      </c>
    </row>
    <row r="9" spans="1:25" x14ac:dyDescent="0.2">
      <c r="A9" s="24" t="str">
        <f>'Ref Data'!D16</f>
        <v>Carbon Sequestration|CCS|Biomass</v>
      </c>
      <c r="B9" s="179" t="str">
        <f>'Ref Data'!E16</f>
        <v>Mt CO2/yr</v>
      </c>
      <c r="C9" s="179">
        <f>'Ref Data'!F16</f>
        <v>0</v>
      </c>
      <c r="D9" s="179">
        <f ca="1">'Ref Data'!G16</f>
        <v>0</v>
      </c>
      <c r="E9" s="179">
        <f ca="1">'Ref Data'!H16</f>
        <v>0</v>
      </c>
      <c r="F9" s="179">
        <f ca="1">'Ref Data'!I16</f>
        <v>0</v>
      </c>
      <c r="G9" s="179">
        <f ca="1">'Ref Data'!J16</f>
        <v>0</v>
      </c>
      <c r="H9" s="179">
        <f ca="1">'Ref Data'!K16</f>
        <v>0</v>
      </c>
      <c r="I9" s="179">
        <f ca="1">'Ref Data'!L16</f>
        <v>0</v>
      </c>
      <c r="J9" s="179">
        <f ca="1">'Ref Data'!M16</f>
        <v>0</v>
      </c>
      <c r="K9" s="179">
        <f ca="1">'Ref Data'!N16</f>
        <v>0</v>
      </c>
      <c r="L9" s="179">
        <f ca="1">'Ref Data'!O16</f>
        <v>0</v>
      </c>
      <c r="M9" s="179">
        <f ca="1">'Ref Data'!P16</f>
        <v>0</v>
      </c>
      <c r="N9" s="179">
        <f ca="1">'Ref Data'!Q16</f>
        <v>0</v>
      </c>
      <c r="O9" s="24"/>
      <c r="P9" s="24"/>
      <c r="Q9" s="24"/>
      <c r="R9" s="24"/>
      <c r="S9" s="24"/>
      <c r="T9" s="24"/>
      <c r="U9" s="24"/>
      <c r="V9" s="24"/>
      <c r="W9" s="24"/>
    </row>
    <row r="10" spans="1:25" x14ac:dyDescent="0.2">
      <c r="A10" t="str">
        <f>IndustryEmissionsAccountingRef!A4</f>
        <v>Carbon Sequestration|CCS|Biomass|Industrial Processes</v>
      </c>
      <c r="C10" s="25">
        <f>IndustryEmissionsAccountingRef!C4</f>
        <v>0</v>
      </c>
      <c r="D10" s="25">
        <f ca="1">IndustryEmissionsAccountingRef!D4</f>
        <v>0</v>
      </c>
      <c r="E10" s="25">
        <f ca="1">IndustryEmissionsAccountingRef!E4</f>
        <v>0</v>
      </c>
      <c r="F10" s="25">
        <f ca="1">IndustryEmissionsAccountingRef!F4</f>
        <v>0</v>
      </c>
      <c r="G10" s="25">
        <f ca="1">IndustryEmissionsAccountingRef!G4</f>
        <v>0</v>
      </c>
      <c r="H10" s="25">
        <f ca="1">IndustryEmissionsAccountingRef!H4</f>
        <v>0</v>
      </c>
      <c r="I10" s="25">
        <f ca="1">IndustryEmissionsAccountingRef!I4</f>
        <v>0</v>
      </c>
      <c r="J10" s="25">
        <f ca="1">IndustryEmissionsAccountingRef!J4</f>
        <v>0</v>
      </c>
      <c r="K10" s="25">
        <f ca="1">IndustryEmissionsAccountingRef!K4</f>
        <v>0</v>
      </c>
      <c r="L10" s="25">
        <f ca="1">IndustryEmissionsAccountingRef!L4</f>
        <v>0</v>
      </c>
      <c r="M10" s="25">
        <f ca="1">IndustryEmissionsAccountingRef!M4</f>
        <v>0</v>
      </c>
      <c r="N10" s="25">
        <f ca="1">IndustryEmissionsAccountingRef!N4</f>
        <v>0</v>
      </c>
    </row>
    <row r="11" spans="1:25" s="23" customFormat="1" x14ac:dyDescent="0.2">
      <c r="A11" s="23" t="s">
        <v>225</v>
      </c>
      <c r="B11" s="180"/>
      <c r="C11" s="180">
        <f>C9-C10</f>
        <v>0</v>
      </c>
      <c r="D11" s="180">
        <f t="shared" ref="D11:N11" ca="1" si="3">D9-D10</f>
        <v>0</v>
      </c>
      <c r="E11" s="180">
        <f t="shared" ca="1" si="3"/>
        <v>0</v>
      </c>
      <c r="F11" s="180">
        <f t="shared" ca="1" si="3"/>
        <v>0</v>
      </c>
      <c r="G11" s="180">
        <f t="shared" ca="1" si="3"/>
        <v>0</v>
      </c>
      <c r="H11" s="180">
        <f t="shared" ca="1" si="3"/>
        <v>0</v>
      </c>
      <c r="I11" s="180">
        <f t="shared" ca="1" si="3"/>
        <v>0</v>
      </c>
      <c r="J11" s="180">
        <f t="shared" ca="1" si="3"/>
        <v>0</v>
      </c>
      <c r="K11" s="180">
        <f t="shared" ca="1" si="3"/>
        <v>0</v>
      </c>
      <c r="L11" s="180">
        <f t="shared" ca="1" si="3"/>
        <v>0</v>
      </c>
      <c r="M11" s="180">
        <f t="shared" ca="1" si="3"/>
        <v>0</v>
      </c>
      <c r="N11" s="180">
        <f t="shared" ca="1" si="3"/>
        <v>0</v>
      </c>
    </row>
    <row r="12" spans="1:25" s="134" customFormat="1" x14ac:dyDescent="0.2">
      <c r="B12" s="181"/>
      <c r="C12" s="181"/>
      <c r="D12" s="181"/>
      <c r="E12" s="181"/>
      <c r="F12" s="181"/>
      <c r="G12" s="181"/>
      <c r="H12" s="181"/>
      <c r="I12" s="181"/>
      <c r="J12" s="181"/>
      <c r="K12" s="181"/>
      <c r="L12" s="181"/>
      <c r="M12" s="181"/>
      <c r="N12" s="181"/>
    </row>
    <row r="13" spans="1:25" s="134" customFormat="1" x14ac:dyDescent="0.2">
      <c r="B13" s="181"/>
      <c r="C13" s="181"/>
      <c r="D13" s="181"/>
      <c r="E13" s="181"/>
      <c r="F13" s="181"/>
      <c r="G13" s="181"/>
      <c r="H13" s="181"/>
      <c r="I13" s="181"/>
      <c r="J13" s="181"/>
      <c r="K13" s="181"/>
      <c r="L13" s="181"/>
      <c r="M13" s="181"/>
      <c r="N13" s="181"/>
    </row>
    <row r="14" spans="1:25" s="134" customFormat="1" x14ac:dyDescent="0.2">
      <c r="B14" s="181"/>
      <c r="C14" s="181"/>
      <c r="D14" s="181"/>
      <c r="E14" s="181"/>
      <c r="F14" s="181"/>
      <c r="G14" s="181"/>
      <c r="H14" s="181"/>
      <c r="I14" s="181"/>
      <c r="J14" s="181"/>
      <c r="K14" s="181"/>
      <c r="L14" s="181"/>
      <c r="M14" s="181"/>
      <c r="N14" s="181"/>
    </row>
    <row r="16" spans="1:25" x14ac:dyDescent="0.2">
      <c r="A16" s="21" t="s">
        <v>46</v>
      </c>
    </row>
    <row r="17" spans="1:14" s="24" customFormat="1" x14ac:dyDescent="0.2">
      <c r="A17" s="24" t="str">
        <f>'Ref Data'!D17</f>
        <v>Emissions|CO2|Fossil Fuels and Industry</v>
      </c>
      <c r="B17" s="179" t="str">
        <f>'Ref Data'!E17</f>
        <v>Mt CO2/yr</v>
      </c>
      <c r="C17" s="179">
        <f>'Ref Data'!F17</f>
        <v>0</v>
      </c>
      <c r="D17" s="179">
        <f ca="1">'Ref Data'!G17</f>
        <v>29393.36868127187</v>
      </c>
      <c r="E17" s="179">
        <f ca="1">'Ref Data'!H17</f>
        <v>32110.274364550907</v>
      </c>
      <c r="F17" s="179">
        <f ca="1">'Ref Data'!I17</f>
        <v>38265.562772750854</v>
      </c>
      <c r="G17" s="179">
        <f ca="1">'Ref Data'!J17</f>
        <v>43193.502604961395</v>
      </c>
      <c r="H17" s="179">
        <f ca="1">'Ref Data'!K17</f>
        <v>46735.455910364784</v>
      </c>
      <c r="I17" s="179">
        <f ca="1">'Ref Data'!L17</f>
        <v>50944.303194681801</v>
      </c>
      <c r="J17" s="179">
        <f ca="1">'Ref Data'!M17</f>
        <v>56186.300555864967</v>
      </c>
      <c r="K17" s="179">
        <f ca="1">'Ref Data'!N17</f>
        <v>60140.393733978271</v>
      </c>
      <c r="L17" s="179">
        <f ca="1">'Ref Data'!O17</f>
        <v>63528.846879800156</v>
      </c>
      <c r="M17" s="179">
        <f ca="1">'Ref Data'!P17</f>
        <v>67952.497919400528</v>
      </c>
      <c r="N17" s="179">
        <f ca="1">'Ref Data'!Q17</f>
        <v>73019.277334213242</v>
      </c>
    </row>
    <row r="18" spans="1:14" x14ac:dyDescent="0.2">
      <c r="A18" t="str">
        <f>IndustryEmissionsAccountingRef!A7</f>
        <v>Total Industry CO2 (TIC)</v>
      </c>
      <c r="B18" s="25">
        <f>IndustryEmissionsAccountingRef!B7</f>
        <v>0</v>
      </c>
      <c r="C18" s="25">
        <f>IndustryEmissionsAccountingRef!C7</f>
        <v>0</v>
      </c>
      <c r="D18" s="25">
        <f ca="1">IndustryEmissionsAccountingRef!D7</f>
        <v>0</v>
      </c>
      <c r="E18" s="25">
        <f ca="1">IndustryEmissionsAccountingRef!E7</f>
        <v>1619.6451683839161</v>
      </c>
      <c r="F18" s="25">
        <f ca="1">IndustryEmissionsAccountingRef!F7</f>
        <v>1846.3895320892334</v>
      </c>
      <c r="G18" s="25">
        <f ca="1">IndustryEmissionsAccountingRef!G7</f>
        <v>2014.8549278577168</v>
      </c>
      <c r="H18" s="25">
        <f ca="1">IndustryEmissionsAccountingRef!H7</f>
        <v>2097.1979300181069</v>
      </c>
      <c r="I18" s="25">
        <f ca="1">IndustryEmissionsAccountingRef!I7</f>
        <v>2292.7681605021157</v>
      </c>
      <c r="J18" s="25">
        <f ca="1">IndustryEmissionsAccountingRef!J7</f>
        <v>2535.1934035619097</v>
      </c>
      <c r="K18" s="25">
        <f ca="1">IndustryEmissionsAccountingRef!K7</f>
        <v>2635.3624661763506</v>
      </c>
      <c r="L18" s="25">
        <f ca="1">IndustryEmissionsAccountingRef!L7</f>
        <v>2885.1141730944314</v>
      </c>
      <c r="M18" s="25">
        <f ca="1">IndustryEmissionsAccountingRef!M7</f>
        <v>3324.2319027582803</v>
      </c>
      <c r="N18" s="25">
        <f ca="1">IndustryEmissionsAccountingRef!N7</f>
        <v>3714.6559556325274</v>
      </c>
    </row>
    <row r="19" spans="1:14" x14ac:dyDescent="0.2">
      <c r="A19" s="21" t="s">
        <v>308</v>
      </c>
      <c r="C19" s="25">
        <f>C17+C7+C11+C6+C10-C18</f>
        <v>0</v>
      </c>
      <c r="D19" s="25">
        <f t="shared" ref="D19:N19" ca="1" si="4">D17+D7+D11+D6+D10-D18</f>
        <v>29393.36868127187</v>
      </c>
      <c r="E19" s="25">
        <f t="shared" ca="1" si="4"/>
        <v>30490.629196166992</v>
      </c>
      <c r="F19" s="25">
        <f t="shared" ca="1" si="4"/>
        <v>36419.173240661621</v>
      </c>
      <c r="G19" s="25">
        <f t="shared" ca="1" si="4"/>
        <v>41178.647677103676</v>
      </c>
      <c r="H19" s="25">
        <f t="shared" ca="1" si="4"/>
        <v>44638.25798034668</v>
      </c>
      <c r="I19" s="25">
        <f t="shared" ca="1" si="4"/>
        <v>48651.535034179688</v>
      </c>
      <c r="J19" s="25">
        <f t="shared" ca="1" si="4"/>
        <v>53651.107152303055</v>
      </c>
      <c r="K19" s="25">
        <f t="shared" ca="1" si="4"/>
        <v>57505.031267801918</v>
      </c>
      <c r="L19" s="25">
        <f t="shared" ca="1" si="4"/>
        <v>60643.732706705727</v>
      </c>
      <c r="M19" s="25">
        <f t="shared" ca="1" si="4"/>
        <v>64628.26601664225</v>
      </c>
      <c r="N19" s="25">
        <f t="shared" ca="1" si="4"/>
        <v>69304.621378580719</v>
      </c>
    </row>
    <row r="20" spans="1:14" x14ac:dyDescent="0.2">
      <c r="A20" s="21" t="s">
        <v>307</v>
      </c>
      <c r="C20" s="25">
        <f>C19-C7</f>
        <v>0</v>
      </c>
      <c r="D20" s="25">
        <f t="shared" ref="D20:N20" ca="1" si="5">D19-D7</f>
        <v>29393.36868127187</v>
      </c>
      <c r="E20" s="25">
        <f t="shared" ca="1" si="5"/>
        <v>30490.629196166992</v>
      </c>
      <c r="F20" s="25">
        <f t="shared" ca="1" si="5"/>
        <v>36419.173240661621</v>
      </c>
      <c r="G20" s="25">
        <f t="shared" ca="1" si="5"/>
        <v>41178.647677103676</v>
      </c>
      <c r="H20" s="25">
        <f t="shared" ca="1" si="5"/>
        <v>44638.25798034668</v>
      </c>
      <c r="I20" s="25">
        <f t="shared" ca="1" si="5"/>
        <v>48651.535034179688</v>
      </c>
      <c r="J20" s="25">
        <f t="shared" ca="1" si="5"/>
        <v>53651.107152303055</v>
      </c>
      <c r="K20" s="25">
        <f t="shared" ca="1" si="5"/>
        <v>57505.031267801918</v>
      </c>
      <c r="L20" s="25">
        <f t="shared" ca="1" si="5"/>
        <v>60643.732706705727</v>
      </c>
      <c r="M20" s="25">
        <f t="shared" ca="1" si="5"/>
        <v>64628.26601664225</v>
      </c>
      <c r="N20" s="25">
        <f t="shared" ca="1" si="5"/>
        <v>69304.621378580719</v>
      </c>
    </row>
    <row r="21" spans="1:14" x14ac:dyDescent="0.2">
      <c r="A21" t="s">
        <v>144</v>
      </c>
      <c r="D21" s="25">
        <f ca="1">(D20-D11)*10^-3</f>
        <v>29.39336868127187</v>
      </c>
      <c r="E21" s="25">
        <f t="shared" ref="E21:N21" ca="1" si="6">(E20-E11)*10^-3</f>
        <v>30.490629196166992</v>
      </c>
      <c r="F21" s="25">
        <f t="shared" ca="1" si="6"/>
        <v>36.419173240661621</v>
      </c>
      <c r="G21" s="25">
        <f t="shared" ca="1" si="6"/>
        <v>41.178647677103676</v>
      </c>
      <c r="H21" s="25">
        <f t="shared" ca="1" si="6"/>
        <v>44.63825798034668</v>
      </c>
      <c r="I21" s="25">
        <f t="shared" ca="1" si="6"/>
        <v>48.651535034179688</v>
      </c>
      <c r="J21" s="25">
        <f t="shared" ca="1" si="6"/>
        <v>53.651107152303055</v>
      </c>
      <c r="K21" s="25">
        <f t="shared" ca="1" si="6"/>
        <v>57.505031267801918</v>
      </c>
      <c r="L21" s="25">
        <f t="shared" ca="1" si="6"/>
        <v>60.643732706705727</v>
      </c>
      <c r="M21" s="25">
        <f t="shared" ca="1" si="6"/>
        <v>64.628266016642257</v>
      </c>
      <c r="N21" s="25">
        <f t="shared" ca="1" si="6"/>
        <v>69.30462137858072</v>
      </c>
    </row>
    <row r="23" spans="1:14" x14ac:dyDescent="0.2">
      <c r="A23" t="s">
        <v>188</v>
      </c>
    </row>
    <row r="24" spans="1:14" x14ac:dyDescent="0.2">
      <c r="A24" s="24" t="s">
        <v>187</v>
      </c>
    </row>
  </sheetData>
  <pageMargins left="0.7" right="0.7" top="0.75" bottom="0.75" header="0.3" footer="0.3"/>
  <pageSetup orientation="portrait" horizontalDpi="0" verticalDpi="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63278D-4D33-584A-AED8-58563CE85A88}">
  <sheetPr codeName="Sheet2">
    <tabColor rgb="FF00B0F0"/>
  </sheetPr>
  <dimension ref="A1:Y27"/>
  <sheetViews>
    <sheetView zoomScaleNormal="100" workbookViewId="0">
      <selection activeCell="C6" sqref="C6"/>
    </sheetView>
  </sheetViews>
  <sheetFormatPr baseColWidth="10" defaultRowHeight="16" x14ac:dyDescent="0.2"/>
  <cols>
    <col min="1" max="1" width="49.5" customWidth="1"/>
    <col min="3" max="15" width="10.83203125" style="25"/>
  </cols>
  <sheetData>
    <row r="1" spans="1:25" s="184" customFormat="1" x14ac:dyDescent="0.2">
      <c r="A1" s="183" t="s">
        <v>38</v>
      </c>
      <c r="C1" s="185">
        <f>'Int Data'!F13</f>
        <v>2000</v>
      </c>
      <c r="D1" s="185">
        <f>'Int Data'!G13</f>
        <v>2005</v>
      </c>
      <c r="E1" s="185">
        <f>'Int Data'!H13</f>
        <v>2010</v>
      </c>
      <c r="F1" s="185">
        <f>'Int Data'!I13</f>
        <v>2020</v>
      </c>
      <c r="G1" s="185">
        <f>'Int Data'!J13</f>
        <v>2030</v>
      </c>
      <c r="H1" s="185">
        <f>'Int Data'!K13</f>
        <v>2040</v>
      </c>
      <c r="I1" s="185">
        <f>'Int Data'!L13</f>
        <v>2050</v>
      </c>
      <c r="J1" s="185">
        <f>'Int Data'!M13</f>
        <v>2060</v>
      </c>
      <c r="K1" s="185">
        <f>'Int Data'!N13</f>
        <v>2070</v>
      </c>
      <c r="L1" s="185">
        <f>'Int Data'!O13</f>
        <v>2080</v>
      </c>
      <c r="M1" s="185">
        <f>'Int Data'!P13</f>
        <v>2090</v>
      </c>
      <c r="N1" s="185">
        <f>'Int Data'!Q13</f>
        <v>2100</v>
      </c>
      <c r="O1" s="185"/>
      <c r="P1" s="185"/>
      <c r="Q1" s="185"/>
      <c r="R1" s="185"/>
      <c r="S1" s="185"/>
      <c r="T1" s="185"/>
      <c r="U1" s="185"/>
      <c r="V1" s="185"/>
      <c r="W1" s="185"/>
    </row>
    <row r="2" spans="1:25" x14ac:dyDescent="0.2">
      <c r="A2" s="21" t="s">
        <v>42</v>
      </c>
      <c r="C2" s="179"/>
      <c r="D2" s="179"/>
      <c r="E2" s="179"/>
      <c r="F2" s="179"/>
      <c r="G2" s="179"/>
      <c r="H2" s="179"/>
      <c r="I2" s="179"/>
      <c r="J2" s="179"/>
      <c r="K2" s="179"/>
      <c r="L2" s="179"/>
      <c r="M2" s="179"/>
      <c r="N2" s="179"/>
      <c r="O2" s="179"/>
      <c r="P2" s="24"/>
      <c r="Q2" s="24"/>
      <c r="R2" s="24"/>
      <c r="S2" s="24"/>
      <c r="T2" s="24"/>
      <c r="U2" s="24"/>
      <c r="V2" s="24"/>
      <c r="W2" s="24"/>
    </row>
    <row r="3" spans="1:25" ht="26" x14ac:dyDescent="0.3">
      <c r="A3" s="24" t="str">
        <f>'Int Data'!D15</f>
        <v>Emissions|CO2|Carbon Capture and Storage</v>
      </c>
      <c r="B3" s="24" t="str">
        <f>'Int Data'!E15</f>
        <v>Mt CO2/yr</v>
      </c>
      <c r="C3" s="179">
        <f ca="1">'Int Data'!F15</f>
        <v>0</v>
      </c>
      <c r="D3" s="179">
        <f ca="1">'Int Data'!G15</f>
        <v>0</v>
      </c>
      <c r="E3" s="179">
        <f ca="1">'Int Data'!H15</f>
        <v>0</v>
      </c>
      <c r="F3" s="179">
        <f ca="1">'Int Data'!I15</f>
        <v>49.80255898889844</v>
      </c>
      <c r="G3" s="179">
        <f ca="1">'Int Data'!J15</f>
        <v>1965.4339275795755</v>
      </c>
      <c r="H3" s="179">
        <f ca="1">'Int Data'!K15</f>
        <v>3872.8929844200875</v>
      </c>
      <c r="I3" s="179">
        <f ca="1">'Int Data'!L15</f>
        <v>4421.5508918729975</v>
      </c>
      <c r="J3" s="179">
        <f ca="1">'Int Data'!M15</f>
        <v>5559.2962496692326</v>
      </c>
      <c r="K3" s="179">
        <f ca="1">'Int Data'!N15</f>
        <v>7657.0901329488879</v>
      </c>
      <c r="L3" s="179">
        <f ca="1">'Int Data'!O15</f>
        <v>7937.8159782010589</v>
      </c>
      <c r="M3" s="179">
        <f ca="1">'Int Data'!P15</f>
        <v>7165.1539469170311</v>
      </c>
      <c r="N3" s="179">
        <f ca="1">'Int Data'!Q15</f>
        <v>6845.0844417421267</v>
      </c>
      <c r="O3" s="179"/>
      <c r="P3" s="24"/>
      <c r="Q3" s="24"/>
      <c r="R3" s="24"/>
      <c r="S3" s="24"/>
      <c r="T3" s="24"/>
      <c r="U3" s="24"/>
      <c r="V3" s="24"/>
      <c r="W3" s="24"/>
      <c r="Y3" s="22"/>
    </row>
    <row r="4" spans="1:25" x14ac:dyDescent="0.2">
      <c r="A4" s="24" t="str">
        <f>'Int Data'!D16</f>
        <v>Emissions|CO2|Carbon Capture and Storage|Biomass</v>
      </c>
      <c r="B4" s="24" t="str">
        <f>'Int Data'!E16</f>
        <v>Mt CO2/yr</v>
      </c>
      <c r="C4" s="179">
        <f ca="1">'Int Data'!F16</f>
        <v>0</v>
      </c>
      <c r="D4" s="179">
        <f ca="1">'Int Data'!G16</f>
        <v>0</v>
      </c>
      <c r="E4" s="179">
        <f ca="1">'Int Data'!H16</f>
        <v>0</v>
      </c>
      <c r="F4" s="179">
        <f ca="1">'Int Data'!I16</f>
        <v>4.8386068484041956E-15</v>
      </c>
      <c r="G4" s="179">
        <f ca="1">'Int Data'!J16</f>
        <v>2.0047783663339151E-6</v>
      </c>
      <c r="H4" s="179">
        <f ca="1">'Int Data'!K16</f>
        <v>4.5750844565087795E-5</v>
      </c>
      <c r="I4" s="179">
        <f ca="1">'Int Data'!L16</f>
        <v>9.4639817689382691E-2</v>
      </c>
      <c r="J4" s="179">
        <f ca="1">'Int Data'!M16</f>
        <v>8.8683626624213474E-2</v>
      </c>
      <c r="K4" s="179">
        <f ca="1">'Int Data'!N16</f>
        <v>7.1516428154912617E-2</v>
      </c>
      <c r="L4" s="179">
        <f ca="1">'Int Data'!O16</f>
        <v>5.4543651837472375E-2</v>
      </c>
      <c r="M4" s="179">
        <f ca="1">'Int Data'!P16</f>
        <v>5.1858247085571442E-2</v>
      </c>
      <c r="N4" s="179">
        <f ca="1">'Int Data'!Q16</f>
        <v>0.33366896726268652</v>
      </c>
      <c r="O4" s="179"/>
      <c r="P4" s="24"/>
      <c r="Q4" s="24"/>
      <c r="R4" s="24"/>
      <c r="S4" s="24"/>
      <c r="T4" s="24"/>
      <c r="U4" s="24"/>
      <c r="V4" s="24"/>
      <c r="W4" s="24"/>
    </row>
    <row r="5" spans="1:25" s="21" customFormat="1" x14ac:dyDescent="0.2">
      <c r="A5" s="23" t="s">
        <v>41</v>
      </c>
      <c r="B5" s="23"/>
      <c r="C5" s="180">
        <f t="shared" ref="C5:N5" ca="1" si="0">C3-C4</f>
        <v>0</v>
      </c>
      <c r="D5" s="180">
        <f t="shared" ca="1" si="0"/>
        <v>0</v>
      </c>
      <c r="E5" s="180">
        <f t="shared" ca="1" si="0"/>
        <v>0</v>
      </c>
      <c r="F5" s="180">
        <f t="shared" ca="1" si="0"/>
        <v>49.802558988898433</v>
      </c>
      <c r="G5" s="180">
        <f t="shared" ca="1" si="0"/>
        <v>1965.4339255747973</v>
      </c>
      <c r="H5" s="180">
        <f t="shared" ca="1" si="0"/>
        <v>3872.892938669243</v>
      </c>
      <c r="I5" s="180">
        <f t="shared" ca="1" si="0"/>
        <v>4421.4562520553081</v>
      </c>
      <c r="J5" s="180">
        <f t="shared" ca="1" si="0"/>
        <v>5559.2075660426081</v>
      </c>
      <c r="K5" s="180">
        <f t="shared" ca="1" si="0"/>
        <v>7657.0186165207333</v>
      </c>
      <c r="L5" s="180">
        <f t="shared" ca="1" si="0"/>
        <v>7937.7614345492211</v>
      </c>
      <c r="M5" s="180">
        <f t="shared" ca="1" si="0"/>
        <v>7165.1020886699453</v>
      </c>
      <c r="N5" s="180">
        <f t="shared" ca="1" si="0"/>
        <v>6844.7507727748643</v>
      </c>
      <c r="O5" s="180"/>
      <c r="P5" s="23"/>
      <c r="Q5" s="23"/>
      <c r="R5" s="23"/>
      <c r="S5" s="23"/>
      <c r="T5" s="23"/>
      <c r="U5" s="23"/>
      <c r="V5" s="23"/>
      <c r="W5" s="23"/>
    </row>
    <row r="6" spans="1:25" x14ac:dyDescent="0.2">
      <c r="A6" t="str">
        <f>IndustryEmissionsAccountingInt!A3</f>
        <v>Carbon Sequestration|CCS|Fossil|Industrial Processes</v>
      </c>
      <c r="B6">
        <f>IndustryEmissionsAccountingInt!B3</f>
        <v>0</v>
      </c>
      <c r="C6" s="25">
        <f ca="1">IndustryEmissionsAccountingInt!C3</f>
        <v>0</v>
      </c>
      <c r="D6" s="25">
        <f ca="1">IndustryEmissionsAccountingInt!D3</f>
        <v>0</v>
      </c>
      <c r="E6" s="25">
        <f ca="1">IndustryEmissionsAccountingInt!E3</f>
        <v>0</v>
      </c>
      <c r="F6" s="25">
        <f ca="1">IndustryEmissionsAccountingInt!F3</f>
        <v>16.969379949538656</v>
      </c>
      <c r="G6" s="25">
        <f ca="1">IndustryEmissionsAccountingInt!G3</f>
        <v>722.02643627921736</v>
      </c>
      <c r="H6" s="25">
        <f ca="1">IndustryEmissionsAccountingInt!H3</f>
        <v>1417.5688984493413</v>
      </c>
      <c r="I6" s="25">
        <f ca="1">IndustryEmissionsAccountingInt!I3</f>
        <v>1381.148077857991</v>
      </c>
      <c r="J6" s="25">
        <f ca="1">IndustryEmissionsAccountingInt!J3</f>
        <v>1231.7259939057597</v>
      </c>
      <c r="K6" s="25">
        <f ca="1">IndustryEmissionsAccountingInt!K3</f>
        <v>1436.496980239705</v>
      </c>
      <c r="L6" s="25">
        <f ca="1">IndustryEmissionsAccountingInt!L3</f>
        <v>1699.0205631882418</v>
      </c>
      <c r="M6" s="25">
        <f ca="1">IndustryEmissionsAccountingInt!M3</f>
        <v>1543.7318396094875</v>
      </c>
      <c r="N6" s="25">
        <f ca="1">IndustryEmissionsAccountingInt!N3</f>
        <v>1124.2450335800336</v>
      </c>
    </row>
    <row r="7" spans="1:25" s="23" customFormat="1" x14ac:dyDescent="0.2">
      <c r="A7" s="23" t="s">
        <v>36</v>
      </c>
      <c r="C7" s="180">
        <f t="shared" ref="C7:N7" ca="1" si="1">C5-C6</f>
        <v>0</v>
      </c>
      <c r="D7" s="180">
        <f t="shared" ca="1" si="1"/>
        <v>0</v>
      </c>
      <c r="E7" s="180">
        <f t="shared" ca="1" si="1"/>
        <v>0</v>
      </c>
      <c r="F7" s="180">
        <f t="shared" ca="1" si="1"/>
        <v>32.833179039359777</v>
      </c>
      <c r="G7" s="180">
        <f t="shared" ca="1" si="1"/>
        <v>1243.40748929558</v>
      </c>
      <c r="H7" s="180">
        <f t="shared" ca="1" si="1"/>
        <v>2455.3240402199017</v>
      </c>
      <c r="I7" s="180">
        <f t="shared" ca="1" si="1"/>
        <v>3040.3081741973174</v>
      </c>
      <c r="J7" s="180">
        <f t="shared" ca="1" si="1"/>
        <v>4327.4815721368486</v>
      </c>
      <c r="K7" s="180">
        <f t="shared" ca="1" si="1"/>
        <v>6220.5216362810279</v>
      </c>
      <c r="L7" s="180">
        <f t="shared" ca="1" si="1"/>
        <v>6238.7408713609793</v>
      </c>
      <c r="M7" s="180">
        <f t="shared" ca="1" si="1"/>
        <v>5621.3702490604574</v>
      </c>
      <c r="N7" s="180">
        <f t="shared" ca="1" si="1"/>
        <v>5720.5057391948303</v>
      </c>
      <c r="O7" s="180"/>
    </row>
    <row r="8" spans="1:25" x14ac:dyDescent="0.2">
      <c r="D8" s="25">
        <f ca="1">-1*D7*10^-3</f>
        <v>0</v>
      </c>
      <c r="E8" s="25">
        <f t="shared" ref="E8:N8" ca="1" si="2">-1*E7*10^-3</f>
        <v>0</v>
      </c>
      <c r="F8" s="25">
        <f t="shared" ca="1" si="2"/>
        <v>-3.2833179039359776E-2</v>
      </c>
      <c r="G8" s="25">
        <f t="shared" ca="1" si="2"/>
        <v>-1.24340748929558</v>
      </c>
      <c r="H8" s="25">
        <f t="shared" ca="1" si="2"/>
        <v>-2.4553240402199017</v>
      </c>
      <c r="I8" s="25">
        <f t="shared" ca="1" si="2"/>
        <v>-3.0403081741973175</v>
      </c>
      <c r="J8" s="25">
        <f t="shared" ca="1" si="2"/>
        <v>-4.3274815721368487</v>
      </c>
      <c r="K8" s="25">
        <f t="shared" ca="1" si="2"/>
        <v>-6.2205216362810276</v>
      </c>
      <c r="L8" s="25">
        <f t="shared" ca="1" si="2"/>
        <v>-6.2387408713609798</v>
      </c>
      <c r="M8" s="25">
        <f t="shared" ca="1" si="2"/>
        <v>-5.6213702490604573</v>
      </c>
      <c r="N8" s="25">
        <f t="shared" ca="1" si="2"/>
        <v>-5.7205057391948309</v>
      </c>
    </row>
    <row r="9" spans="1:25" x14ac:dyDescent="0.2">
      <c r="A9" s="24" t="str">
        <f>'Int Data'!D16</f>
        <v>Emissions|CO2|Carbon Capture and Storage|Biomass</v>
      </c>
      <c r="B9" s="24" t="str">
        <f>'Int Data'!E16</f>
        <v>Mt CO2/yr</v>
      </c>
      <c r="C9" s="179">
        <f ca="1">'Int Data'!F16</f>
        <v>0</v>
      </c>
      <c r="D9" s="179">
        <f ca="1">'Int Data'!G16</f>
        <v>0</v>
      </c>
      <c r="E9" s="179">
        <f ca="1">'Int Data'!H16</f>
        <v>0</v>
      </c>
      <c r="F9" s="179">
        <f ca="1">'Int Data'!I16</f>
        <v>4.8386068484041956E-15</v>
      </c>
      <c r="G9" s="179">
        <f ca="1">'Int Data'!J16</f>
        <v>2.0047783663339151E-6</v>
      </c>
      <c r="H9" s="179">
        <f ca="1">'Int Data'!K16</f>
        <v>4.5750844565087795E-5</v>
      </c>
      <c r="I9" s="179">
        <f ca="1">'Int Data'!L16</f>
        <v>9.4639817689382691E-2</v>
      </c>
      <c r="J9" s="179">
        <f ca="1">'Int Data'!M16</f>
        <v>8.8683626624213474E-2</v>
      </c>
      <c r="K9" s="179">
        <f ca="1">'Int Data'!N16</f>
        <v>7.1516428154912617E-2</v>
      </c>
      <c r="L9" s="179">
        <f ca="1">'Int Data'!O16</f>
        <v>5.4543651837472375E-2</v>
      </c>
      <c r="M9" s="179">
        <f ca="1">'Int Data'!P16</f>
        <v>5.1858247085571442E-2</v>
      </c>
      <c r="N9" s="179">
        <f ca="1">'Int Data'!Q16</f>
        <v>0.33366896726268652</v>
      </c>
      <c r="O9" s="179"/>
      <c r="P9" s="24"/>
      <c r="Q9" s="24"/>
      <c r="R9" s="24"/>
      <c r="S9" s="24"/>
      <c r="T9" s="24"/>
      <c r="U9" s="24"/>
      <c r="V9" s="24"/>
      <c r="W9" s="24"/>
    </row>
    <row r="10" spans="1:25" x14ac:dyDescent="0.2">
      <c r="A10" t="str">
        <f>IndustryEmissionsAccountingInt!A4</f>
        <v>Carbon Sequestration|CCS|Biomass|Industrial Processes</v>
      </c>
      <c r="C10" s="25">
        <f ca="1">IndustryEmissionsAccountingInt!C4</f>
        <v>0</v>
      </c>
      <c r="D10" s="25">
        <f ca="1">IndustryEmissionsAccountingInt!D4</f>
        <v>0</v>
      </c>
      <c r="E10" s="25">
        <f ca="1">IndustryEmissionsAccountingInt!E4</f>
        <v>0</v>
      </c>
      <c r="F10" s="25">
        <f ca="1">IndustryEmissionsAccountingInt!F4</f>
        <v>0</v>
      </c>
      <c r="G10" s="25">
        <f ca="1">IndustryEmissionsAccountingInt!G4</f>
        <v>0</v>
      </c>
      <c r="H10" s="25">
        <f ca="1">IndustryEmissionsAccountingInt!H4</f>
        <v>0</v>
      </c>
      <c r="I10" s="25">
        <f ca="1">IndustryEmissionsAccountingInt!I4</f>
        <v>0</v>
      </c>
      <c r="J10" s="25">
        <f ca="1">IndustryEmissionsAccountingInt!J4</f>
        <v>0</v>
      </c>
      <c r="K10" s="25">
        <f ca="1">IndustryEmissionsAccountingInt!K4</f>
        <v>0</v>
      </c>
      <c r="L10" s="25">
        <f ca="1">IndustryEmissionsAccountingInt!L4</f>
        <v>0</v>
      </c>
      <c r="M10" s="25">
        <f ca="1">IndustryEmissionsAccountingInt!M4</f>
        <v>0</v>
      </c>
      <c r="N10" s="25">
        <f ca="1">IndustryEmissionsAccountingInt!N4</f>
        <v>0</v>
      </c>
    </row>
    <row r="11" spans="1:25" s="23" customFormat="1" x14ac:dyDescent="0.2">
      <c r="A11" s="23" t="s">
        <v>225</v>
      </c>
      <c r="C11" s="180">
        <f ca="1">C9-C10</f>
        <v>0</v>
      </c>
      <c r="D11" s="180">
        <f t="shared" ref="D11:N11" ca="1" si="3">D9-D10</f>
        <v>0</v>
      </c>
      <c r="E11" s="180">
        <f t="shared" ca="1" si="3"/>
        <v>0</v>
      </c>
      <c r="F11" s="180">
        <f t="shared" ca="1" si="3"/>
        <v>4.8386068484041956E-15</v>
      </c>
      <c r="G11" s="180">
        <f t="shared" ca="1" si="3"/>
        <v>2.0047783663339151E-6</v>
      </c>
      <c r="H11" s="180">
        <f t="shared" ca="1" si="3"/>
        <v>4.5750844565087795E-5</v>
      </c>
      <c r="I11" s="180">
        <f t="shared" ca="1" si="3"/>
        <v>9.4639817689382691E-2</v>
      </c>
      <c r="J11" s="180">
        <f t="shared" ca="1" si="3"/>
        <v>8.8683626624213474E-2</v>
      </c>
      <c r="K11" s="180">
        <f t="shared" ca="1" si="3"/>
        <v>7.1516428154912617E-2</v>
      </c>
      <c r="L11" s="180">
        <f t="shared" ca="1" si="3"/>
        <v>5.4543651837472375E-2</v>
      </c>
      <c r="M11" s="180">
        <f t="shared" ca="1" si="3"/>
        <v>5.1858247085571442E-2</v>
      </c>
      <c r="N11" s="180">
        <f t="shared" ca="1" si="3"/>
        <v>0.33366896726268652</v>
      </c>
      <c r="O11" s="180"/>
    </row>
    <row r="12" spans="1:25" s="134" customFormat="1" x14ac:dyDescent="0.2">
      <c r="A12" s="204" t="s">
        <v>228</v>
      </c>
      <c r="C12" s="181">
        <f ca="1">C11*-10^-3</f>
        <v>0</v>
      </c>
      <c r="D12" s="181">
        <f t="shared" ref="D12:N12" ca="1" si="4">D11*-10^-3</f>
        <v>0</v>
      </c>
      <c r="E12" s="181">
        <f t="shared" ca="1" si="4"/>
        <v>0</v>
      </c>
      <c r="F12" s="181">
        <f t="shared" ca="1" si="4"/>
        <v>-4.8386068484041956E-18</v>
      </c>
      <c r="G12" s="181">
        <f t="shared" ca="1" si="4"/>
        <v>-2.004778366333915E-9</v>
      </c>
      <c r="H12" s="181">
        <f t="shared" ca="1" si="4"/>
        <v>-4.5750844565087794E-8</v>
      </c>
      <c r="I12" s="181">
        <f t="shared" ca="1" si="4"/>
        <v>-9.4639817689382689E-5</v>
      </c>
      <c r="J12" s="181">
        <f t="shared" ca="1" si="4"/>
        <v>-8.8683626624213473E-5</v>
      </c>
      <c r="K12" s="181">
        <f t="shared" ca="1" si="4"/>
        <v>-7.1516428154912618E-5</v>
      </c>
      <c r="L12" s="181">
        <f t="shared" ca="1" si="4"/>
        <v>-5.4543651837472375E-5</v>
      </c>
      <c r="M12" s="181">
        <f t="shared" ca="1" si="4"/>
        <v>-5.1858247085571442E-5</v>
      </c>
      <c r="N12" s="181">
        <f t="shared" ca="1" si="4"/>
        <v>-3.3366896726268652E-4</v>
      </c>
      <c r="O12" s="181"/>
    </row>
    <row r="13" spans="1:25" x14ac:dyDescent="0.2">
      <c r="A13" t="s">
        <v>229</v>
      </c>
      <c r="C13" s="25">
        <f ca="1">C12/ExpKayaFactorsInt!$E$8</f>
        <v>0</v>
      </c>
      <c r="D13" s="25">
        <f ca="1">D12/ExpKayaFactorsInt!$E$8</f>
        <v>0</v>
      </c>
      <c r="E13" s="25">
        <f ca="1">E12/ExpKayaFactorsInt!$E$8</f>
        <v>0</v>
      </c>
      <c r="F13" s="25">
        <f ca="1">F12/ExpKayaFactorsInt!$E$8</f>
        <v>-1.5813554472271857E-19</v>
      </c>
      <c r="G13" s="25">
        <f ca="1">G12/ExpKayaFactorsInt!$E$8</f>
        <v>-6.5520247654155448E-11</v>
      </c>
      <c r="H13" s="25">
        <f ca="1">H12/ExpKayaFactorsInt!$E$8</f>
        <v>-1.4952309525231797E-9</v>
      </c>
      <c r="I13" s="25">
        <f ca="1">I12/ExpKayaFactorsInt!$E$8</f>
        <v>-3.0930223495436846E-6</v>
      </c>
      <c r="J13" s="25">
        <f ca="1">J12/ExpKayaFactorsInt!$E$8</f>
        <v>-2.8983618722466372E-6</v>
      </c>
      <c r="K13" s="25">
        <f ca="1">K12/ExpKayaFactorsInt!$E$8</f>
        <v>-2.3373027975253149E-6</v>
      </c>
      <c r="L13" s="25">
        <f ca="1">L12/ExpKayaFactorsInt!$E$8</f>
        <v>-1.782597835434735E-6</v>
      </c>
      <c r="M13" s="25">
        <f ca="1">M12/ExpKayaFactorsInt!$E$8</f>
        <v>-1.6948333287187395E-6</v>
      </c>
      <c r="N13" s="25">
        <f ca="1">N12/ExpKayaFactorsInt!$E$8</f>
        <v>-1.090498268371486E-5</v>
      </c>
    </row>
    <row r="14" spans="1:25" x14ac:dyDescent="0.2">
      <c r="A14" s="24" t="s">
        <v>227</v>
      </c>
      <c r="C14" s="25" t="e">
        <f ca="1">(ExpKayaFactorsInt!C8+FossilEneEmissionsAccountingInt!C12)/ExpKayaFactorsInt!C7</f>
        <v>#DIV/0!</v>
      </c>
      <c r="D14" s="25">
        <f ca="1">(ExpKayaFactorsInt!D8+FossilEneEmissionsAccountingInt!D12)/ExpKayaFactorsInt!D7</f>
        <v>1</v>
      </c>
      <c r="E14" s="25">
        <f ca="1">IFERROR((ExpKayaFactorsInt!E8+FossilEneEmissionsAccountingInt!E12)/ExpKayaFactorsInt!E7, NA())</f>
        <v>1</v>
      </c>
      <c r="F14" s="25">
        <f ca="1">IFERROR((ExpKayaFactorsInt!F8+FossilEneEmissionsAccountingInt!F12)/ExpKayaFactorsInt!F7, NA())</f>
        <v>0.99887410317676362</v>
      </c>
      <c r="G14" s="25">
        <f ca="1">IFERROR((ExpKayaFactorsInt!G8+FossilEneEmissionsAccountingInt!G12)/ExpKayaFactorsInt!G7, NA())</f>
        <v>0.93811122576436023</v>
      </c>
      <c r="H14" s="25">
        <f ca="1">IFERROR((ExpKayaFactorsInt!H8+FossilEneEmissionsAccountingInt!H12)/ExpKayaFactorsInt!H7, NA())</f>
        <v>0.78820663627824705</v>
      </c>
      <c r="I14" s="25">
        <f ca="1">IFERROR((ExpKayaFactorsInt!I8+FossilEneEmissionsAccountingInt!I12)/ExpKayaFactorsInt!I7, NA())</f>
        <v>0.6489168348714428</v>
      </c>
      <c r="J14" s="25">
        <f ca="1">(ExpKayaFactorsInt!J8+FossilEneEmissionsAccountingInt!J12)/ExpKayaFactorsInt!J7</f>
        <v>0.50146352330175292</v>
      </c>
      <c r="K14" s="25">
        <f ca="1">(ExpKayaFactorsInt!K8+FossilEneEmissionsAccountingInt!K12)/ExpKayaFactorsInt!K7</f>
        <v>0.36837189999305697</v>
      </c>
      <c r="L14" s="25">
        <f ca="1">(ExpKayaFactorsInt!L8+FossilEneEmissionsAccountingInt!L12)/ExpKayaFactorsInt!L7</f>
        <v>0.3284835453174012</v>
      </c>
      <c r="M14" s="25">
        <f ca="1">(ExpKayaFactorsInt!M8+FossilEneEmissionsAccountingInt!M12)/ExpKayaFactorsInt!M7</f>
        <v>0.336118202296389</v>
      </c>
      <c r="N14" s="25">
        <f ca="1">(ExpKayaFactorsInt!N8+FossilEneEmissionsAccountingInt!N12)/ExpKayaFactorsInt!N7</f>
        <v>0.34496515970277836</v>
      </c>
    </row>
    <row r="15" spans="1:25" x14ac:dyDescent="0.2">
      <c r="A15" s="24" t="s">
        <v>78</v>
      </c>
      <c r="C15" s="25" t="e">
        <f ca="1">C14/$E$14</f>
        <v>#DIV/0!</v>
      </c>
      <c r="D15" s="25">
        <f t="shared" ref="D15:N15" ca="1" si="5">D14/$E$14</f>
        <v>1</v>
      </c>
      <c r="E15" s="25">
        <f t="shared" ca="1" si="5"/>
        <v>1</v>
      </c>
      <c r="F15" s="25">
        <f t="shared" ca="1" si="5"/>
        <v>0.99887410317676362</v>
      </c>
      <c r="G15" s="25">
        <f t="shared" ca="1" si="5"/>
        <v>0.93811122576436023</v>
      </c>
      <c r="H15" s="25">
        <f t="shared" ca="1" si="5"/>
        <v>0.78820663627824705</v>
      </c>
      <c r="I15" s="25">
        <f t="shared" ca="1" si="5"/>
        <v>0.6489168348714428</v>
      </c>
      <c r="J15" s="25">
        <f t="shared" ca="1" si="5"/>
        <v>0.50146352330175292</v>
      </c>
      <c r="K15" s="25">
        <f t="shared" ca="1" si="5"/>
        <v>0.36837189999305697</v>
      </c>
      <c r="L15" s="25">
        <f t="shared" ca="1" si="5"/>
        <v>0.3284835453174012</v>
      </c>
      <c r="M15" s="25">
        <f t="shared" ca="1" si="5"/>
        <v>0.336118202296389</v>
      </c>
      <c r="N15" s="25">
        <f t="shared" ca="1" si="5"/>
        <v>0.34496515970277836</v>
      </c>
    </row>
    <row r="16" spans="1:25" x14ac:dyDescent="0.2">
      <c r="A16" s="21" t="s">
        <v>46</v>
      </c>
    </row>
    <row r="17" spans="1:15" s="24" customFormat="1" x14ac:dyDescent="0.2">
      <c r="A17" s="24" t="str">
        <f>'Int Data'!D17</f>
        <v>Emissions|CO2|Fossil Fuels and Industry</v>
      </c>
      <c r="B17" s="24" t="str">
        <f>'Int Data'!E17</f>
        <v>Mt CO2/yr</v>
      </c>
      <c r="C17" s="179">
        <f ca="1">'Int Data'!F17</f>
        <v>0</v>
      </c>
      <c r="D17" s="179">
        <f ca="1">'Int Data'!G17</f>
        <v>29390.234450499218</v>
      </c>
      <c r="E17" s="179">
        <f ca="1">'Int Data'!H17</f>
        <v>32216.963003079094</v>
      </c>
      <c r="F17" s="179">
        <f ca="1">'Int Data'!I17</f>
        <v>30726.31773352623</v>
      </c>
      <c r="G17" s="179">
        <f ca="1">'Int Data'!J17</f>
        <v>19882.220089435577</v>
      </c>
      <c r="H17" s="179">
        <f ca="1">'Int Data'!K17</f>
        <v>9517.6110168298073</v>
      </c>
      <c r="I17" s="179">
        <f ca="1">'Int Data'!L17</f>
        <v>5911.2969512740774</v>
      </c>
      <c r="J17" s="179">
        <f ca="1">'Int Data'!M17</f>
        <v>4605.7114973664275</v>
      </c>
      <c r="K17" s="179">
        <f ca="1">'Int Data'!N17</f>
        <v>3893.1852132081985</v>
      </c>
      <c r="L17" s="179">
        <f ca="1">'Int Data'!O17</f>
        <v>3338.7074768543243</v>
      </c>
      <c r="M17" s="179">
        <f ca="1">'Int Data'!P17</f>
        <v>3130.2996526161828</v>
      </c>
      <c r="N17" s="179">
        <f ca="1">'Int Data'!Q17</f>
        <v>3301.6272932291031</v>
      </c>
      <c r="O17" s="179"/>
    </row>
    <row r="18" spans="1:15" x14ac:dyDescent="0.2">
      <c r="A18" t="str">
        <f>IndustryEmissionsAccountingInt!A7</f>
        <v>Total Industry CO2 (TIC)</v>
      </c>
      <c r="B18">
        <f>IndustryEmissionsAccountingInt!B7</f>
        <v>0</v>
      </c>
      <c r="C18" s="25">
        <f ca="1">IndustryEmissionsAccountingInt!C7</f>
        <v>0</v>
      </c>
      <c r="D18" s="25">
        <f ca="1">IndustryEmissionsAccountingInt!D7</f>
        <v>0</v>
      </c>
      <c r="E18" s="25">
        <f ca="1">IndustryEmissionsAccountingInt!E7</f>
        <v>1619.1182434558868</v>
      </c>
      <c r="F18" s="25">
        <f ca="1">IndustryEmissionsAccountingInt!F7</f>
        <v>1614.3193514823604</v>
      </c>
      <c r="G18" s="25">
        <f ca="1">IndustryEmissionsAccountingInt!G7</f>
        <v>1756.6519466539221</v>
      </c>
      <c r="H18" s="25">
        <f ca="1">IndustryEmissionsAccountingInt!H7</f>
        <v>1797.4869074920812</v>
      </c>
      <c r="I18" s="25">
        <f ca="1">IndustryEmissionsAccountingInt!I7</f>
        <v>1672.7834595367312</v>
      </c>
      <c r="J18" s="25">
        <f ca="1">IndustryEmissionsAccountingInt!J7</f>
        <v>1484.4588643851844</v>
      </c>
      <c r="K18" s="25">
        <f ca="1">IndustryEmissionsAccountingInt!K7</f>
        <v>1701.7693144577302</v>
      </c>
      <c r="L18" s="25">
        <f ca="1">IndustryEmissionsAccountingInt!L7</f>
        <v>1985.9165436258384</v>
      </c>
      <c r="M18" s="25">
        <f ca="1">IndustryEmissionsAccountingInt!M7</f>
        <v>1827.9491028709645</v>
      </c>
      <c r="N18" s="25">
        <f ca="1">IndustryEmissionsAccountingInt!N7</f>
        <v>1413.0703219949887</v>
      </c>
    </row>
    <row r="19" spans="1:15" x14ac:dyDescent="0.2">
      <c r="A19" s="21" t="s">
        <v>305</v>
      </c>
      <c r="C19" s="25">
        <f ca="1">C17+C7+C11+C6+C10-C18</f>
        <v>0</v>
      </c>
      <c r="D19" s="25">
        <f t="shared" ref="D19:N19" ca="1" si="6">D17+D7+D11+D6+D10-D18</f>
        <v>29390.234450499218</v>
      </c>
      <c r="E19" s="25">
        <f t="shared" ca="1" si="6"/>
        <v>30597.844759623207</v>
      </c>
      <c r="F19" s="25">
        <f t="shared" ca="1" si="6"/>
        <v>29161.800941032769</v>
      </c>
      <c r="G19" s="25">
        <f t="shared" ca="1" si="6"/>
        <v>20091.002070361232</v>
      </c>
      <c r="H19" s="25">
        <f t="shared" ca="1" si="6"/>
        <v>11593.017093757813</v>
      </c>
      <c r="I19" s="25">
        <f t="shared" ca="1" si="6"/>
        <v>8660.0643836103445</v>
      </c>
      <c r="J19" s="25">
        <f t="shared" ca="1" si="6"/>
        <v>8680.5488826504752</v>
      </c>
      <c r="K19" s="25">
        <f t="shared" ca="1" si="6"/>
        <v>9848.5060316993568</v>
      </c>
      <c r="L19" s="25">
        <f t="shared" ca="1" si="6"/>
        <v>9290.6069114295442</v>
      </c>
      <c r="M19" s="25">
        <f t="shared" ca="1" si="6"/>
        <v>8467.5044966622481</v>
      </c>
      <c r="N19" s="25">
        <f t="shared" ca="1" si="6"/>
        <v>8733.6414129762416</v>
      </c>
    </row>
    <row r="20" spans="1:15" x14ac:dyDescent="0.2">
      <c r="A20" s="21" t="s">
        <v>306</v>
      </c>
      <c r="C20" s="25">
        <f t="shared" ref="C20:N20" ca="1" si="7">C19-C7</f>
        <v>0</v>
      </c>
      <c r="D20" s="25">
        <f t="shared" ca="1" si="7"/>
        <v>29390.234450499218</v>
      </c>
      <c r="E20" s="25">
        <f t="shared" ca="1" si="7"/>
        <v>30597.844759623207</v>
      </c>
      <c r="F20" s="25">
        <f t="shared" ca="1" si="7"/>
        <v>29128.967761993408</v>
      </c>
      <c r="G20" s="25">
        <f t="shared" ca="1" si="7"/>
        <v>18847.594581065652</v>
      </c>
      <c r="H20" s="25">
        <f t="shared" ca="1" si="7"/>
        <v>9137.6930535379106</v>
      </c>
      <c r="I20" s="25">
        <f t="shared" ca="1" si="7"/>
        <v>5619.7562094130271</v>
      </c>
      <c r="J20" s="25">
        <f t="shared" ca="1" si="7"/>
        <v>4353.0673105136266</v>
      </c>
      <c r="K20" s="25">
        <f t="shared" ca="1" si="7"/>
        <v>3627.9843954183289</v>
      </c>
      <c r="L20" s="25">
        <f t="shared" ca="1" si="7"/>
        <v>3051.8660400685649</v>
      </c>
      <c r="M20" s="25">
        <f t="shared" ca="1" si="7"/>
        <v>2846.1342476017908</v>
      </c>
      <c r="N20" s="25">
        <f t="shared" ca="1" si="7"/>
        <v>3013.1356737814112</v>
      </c>
    </row>
    <row r="21" spans="1:15" x14ac:dyDescent="0.2">
      <c r="A21" s="24" t="s">
        <v>227</v>
      </c>
      <c r="E21" s="25">
        <f ca="1">IFERROR((E20-E11)/E19, NA())</f>
        <v>1</v>
      </c>
      <c r="F21" s="25">
        <f t="shared" ref="F21:J21" ca="1" si="8">IFERROR((F20-F11)/F19, NA())</f>
        <v>0.99887410317676362</v>
      </c>
      <c r="G21" s="25">
        <f t="shared" ca="1" si="8"/>
        <v>0.93811122576436023</v>
      </c>
      <c r="H21" s="25">
        <f t="shared" ca="1" si="8"/>
        <v>0.78820663627824705</v>
      </c>
      <c r="I21" s="25">
        <f t="shared" ca="1" si="8"/>
        <v>0.64891683487144292</v>
      </c>
      <c r="J21" s="25">
        <f t="shared" ca="1" si="8"/>
        <v>0.50146352330175292</v>
      </c>
      <c r="K21" s="25">
        <f t="shared" ref="K21:N21" ca="1" si="9">(K20-K11)/K19</f>
        <v>0.36837189999305697</v>
      </c>
      <c r="L21" s="25">
        <f t="shared" ca="1" si="9"/>
        <v>0.3284835453174012</v>
      </c>
      <c r="M21" s="25">
        <f t="shared" ca="1" si="9"/>
        <v>0.33611820229638906</v>
      </c>
      <c r="N21" s="25">
        <f t="shared" ca="1" si="9"/>
        <v>0.34496515970277841</v>
      </c>
    </row>
    <row r="23" spans="1:15" x14ac:dyDescent="0.2">
      <c r="A23" t="s">
        <v>144</v>
      </c>
      <c r="E23" s="25">
        <f ca="1">(E20-E11)*10^-3</f>
        <v>30.597844759623207</v>
      </c>
      <c r="F23" s="25">
        <f t="shared" ref="F23:N23" ca="1" si="10">(F20-F11)*10^-3</f>
        <v>29.128967761993408</v>
      </c>
      <c r="G23" s="25">
        <f t="shared" ca="1" si="10"/>
        <v>18.847594579060875</v>
      </c>
      <c r="H23" s="25">
        <f t="shared" ca="1" si="10"/>
        <v>9.1376930077870657</v>
      </c>
      <c r="I23" s="25">
        <f t="shared" ca="1" si="10"/>
        <v>5.6196615695953378</v>
      </c>
      <c r="J23" s="25">
        <f t="shared" ca="1" si="10"/>
        <v>4.3529786268870021</v>
      </c>
      <c r="K23" s="25">
        <f t="shared" ca="1" si="10"/>
        <v>3.6279128789901738</v>
      </c>
      <c r="L23" s="25">
        <f t="shared" ca="1" si="10"/>
        <v>3.0518114964167276</v>
      </c>
      <c r="M23" s="25">
        <f t="shared" ca="1" si="10"/>
        <v>2.8460823893547054</v>
      </c>
      <c r="N23" s="25">
        <f t="shared" ca="1" si="10"/>
        <v>3.0128020048141484</v>
      </c>
    </row>
    <row r="26" spans="1:15" x14ac:dyDescent="0.2">
      <c r="A26" t="s">
        <v>188</v>
      </c>
    </row>
    <row r="27" spans="1:15" x14ac:dyDescent="0.2">
      <c r="A27" s="24" t="s">
        <v>187</v>
      </c>
    </row>
  </sheetData>
  <pageMargins left="0.7" right="0.7" top="0.75" bottom="0.75" header="0.3" footer="0.3"/>
  <pageSetup orientation="portrait" horizontalDpi="0" verticalDpi="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1BD717-0EBD-624B-96F9-570EE2C833EB}">
  <sheetPr codeName="Sheet6"/>
  <dimension ref="A1:T6"/>
  <sheetViews>
    <sheetView workbookViewId="0">
      <selection activeCell="H4" sqref="H4"/>
    </sheetView>
  </sheetViews>
  <sheetFormatPr baseColWidth="10" defaultRowHeight="16" x14ac:dyDescent="0.2"/>
  <cols>
    <col min="1" max="1" width="36.33203125" customWidth="1"/>
    <col min="3" max="19" width="10.83203125" style="25"/>
  </cols>
  <sheetData>
    <row r="1" spans="1:20" s="184" customFormat="1" x14ac:dyDescent="0.2">
      <c r="A1" s="184" t="s">
        <v>37</v>
      </c>
      <c r="C1" s="184">
        <f>'Ref Data'!F13</f>
        <v>2000</v>
      </c>
      <c r="D1" s="184">
        <f>'Ref Data'!G13</f>
        <v>2005</v>
      </c>
      <c r="E1" s="184">
        <f>'Ref Data'!H13</f>
        <v>2010</v>
      </c>
      <c r="F1" s="184">
        <f>'Ref Data'!I13</f>
        <v>2020</v>
      </c>
      <c r="G1" s="184">
        <f>'Ref Data'!J13</f>
        <v>2030</v>
      </c>
      <c r="H1" s="184">
        <f>'Ref Data'!K13</f>
        <v>2040</v>
      </c>
      <c r="I1" s="184">
        <f>'Ref Data'!L13</f>
        <v>2050</v>
      </c>
      <c r="J1" s="184">
        <f>'Ref Data'!M13</f>
        <v>2060</v>
      </c>
      <c r="K1" s="184">
        <f>'Ref Data'!N13</f>
        <v>2070</v>
      </c>
      <c r="L1" s="184">
        <f>'Ref Data'!O13</f>
        <v>2080</v>
      </c>
      <c r="M1" s="184">
        <f>'Ref Data'!P13</f>
        <v>2090</v>
      </c>
      <c r="N1" s="184">
        <f>'Ref Data'!Q13</f>
        <v>2100</v>
      </c>
      <c r="O1" s="184">
        <f>'Ref Data'!R13</f>
        <v>0</v>
      </c>
      <c r="P1" s="184">
        <f>'Ref Data'!S13</f>
        <v>0</v>
      </c>
      <c r="Q1" s="184">
        <f>'Ref Data'!T13</f>
        <v>0</v>
      </c>
      <c r="R1" s="184">
        <f>'Ref Data'!U13</f>
        <v>0</v>
      </c>
      <c r="S1" s="184">
        <f>'Ref Data'!V13</f>
        <v>0</v>
      </c>
      <c r="T1" s="184">
        <f>'Ref Data'!W13</f>
        <v>0</v>
      </c>
    </row>
    <row r="2" spans="1:20" x14ac:dyDescent="0.2">
      <c r="A2" t="e">
        <f>'Ref Data'!#REF!</f>
        <v>#REF!</v>
      </c>
      <c r="B2" t="str">
        <f>'Ref Data'!E24</f>
        <v>EJ/yr</v>
      </c>
      <c r="C2" s="25">
        <f>'Ref Data'!F24</f>
        <v>0</v>
      </c>
      <c r="D2" s="25">
        <f ca="1">'Ref Data'!G24</f>
        <v>459.0075938</v>
      </c>
      <c r="E2" s="25">
        <f ca="1">'Ref Data'!H24</f>
        <v>506.23181249999999</v>
      </c>
      <c r="F2" s="25">
        <f ca="1">'Ref Data'!I24</f>
        <v>594.26031250000005</v>
      </c>
      <c r="G2" s="25">
        <f ca="1">'Ref Data'!J24</f>
        <v>676.61637499999995</v>
      </c>
      <c r="H2" s="25">
        <f ca="1">'Ref Data'!K24</f>
        <v>755.57987500000002</v>
      </c>
      <c r="I2" s="25">
        <f ca="1">'Ref Data'!L24</f>
        <v>832.27637500000003</v>
      </c>
      <c r="J2" s="25">
        <f ca="1">'Ref Data'!M24</f>
        <v>910.11768749999999</v>
      </c>
      <c r="K2" s="25">
        <f ca="1">'Ref Data'!N24</f>
        <v>976.86431249999998</v>
      </c>
      <c r="L2" s="25">
        <f ca="1">'Ref Data'!O24</f>
        <v>1037.7739999999999</v>
      </c>
      <c r="M2" s="25">
        <f ca="1">'Ref Data'!P24</f>
        <v>1095.373</v>
      </c>
      <c r="N2" s="25">
        <f ca="1">'Ref Data'!Q24</f>
        <v>1151.866</v>
      </c>
      <c r="O2" s="25">
        <f>'Ref Data'!R24</f>
        <v>0</v>
      </c>
      <c r="P2" s="25">
        <f>'Ref Data'!S24</f>
        <v>0</v>
      </c>
      <c r="Q2" s="25">
        <f>'Ref Data'!T24</f>
        <v>0</v>
      </c>
      <c r="R2" s="25">
        <f>'Ref Data'!U24</f>
        <v>0</v>
      </c>
      <c r="S2" s="25">
        <f>'Ref Data'!V24</f>
        <v>0</v>
      </c>
      <c r="T2" s="25">
        <f>'Ref Data'!W24</f>
        <v>0</v>
      </c>
    </row>
    <row r="3" spans="1:20" x14ac:dyDescent="0.2">
      <c r="A3" t="str">
        <f>'Ref Data'!D25</f>
        <v>Primary Energy|Coal</v>
      </c>
      <c r="B3" t="str">
        <f>'Ref Data'!E25</f>
        <v>EJ/yr</v>
      </c>
      <c r="C3">
        <f>'Ref Data'!F25</f>
        <v>0</v>
      </c>
      <c r="D3">
        <f ca="1">'Ref Data'!G25</f>
        <v>117.48179690000001</v>
      </c>
      <c r="E3">
        <f ca="1">'Ref Data'!H25</f>
        <v>145.98440629999999</v>
      </c>
      <c r="F3">
        <f ca="1">'Ref Data'!I25</f>
        <v>172.32499999999999</v>
      </c>
      <c r="G3">
        <f ca="1">'Ref Data'!J25</f>
        <v>211.99509380000001</v>
      </c>
      <c r="H3">
        <f ca="1">'Ref Data'!K25</f>
        <v>240.01190629999999</v>
      </c>
      <c r="I3">
        <f ca="1">'Ref Data'!L25</f>
        <v>263.81950000000001</v>
      </c>
      <c r="J3">
        <f ca="1">'Ref Data'!M25</f>
        <v>289.18609379999998</v>
      </c>
      <c r="K3">
        <f ca="1">'Ref Data'!N25</f>
        <v>321.66659379999999</v>
      </c>
      <c r="L3">
        <f ca="1">'Ref Data'!O25</f>
        <v>366.5186875</v>
      </c>
      <c r="M3">
        <f ca="1">'Ref Data'!P25</f>
        <v>432.56718749999999</v>
      </c>
      <c r="N3">
        <f ca="1">'Ref Data'!Q25</f>
        <v>510.43531250000001</v>
      </c>
      <c r="O3">
        <f>'Ref Data'!R25</f>
        <v>0</v>
      </c>
      <c r="P3">
        <f>'Ref Data'!S25</f>
        <v>0</v>
      </c>
      <c r="Q3">
        <f>'Ref Data'!T25</f>
        <v>0</v>
      </c>
      <c r="R3">
        <f>'Ref Data'!U25</f>
        <v>0</v>
      </c>
      <c r="S3">
        <f>'Ref Data'!V25</f>
        <v>0</v>
      </c>
      <c r="T3">
        <f>'Ref Data'!W25</f>
        <v>0</v>
      </c>
    </row>
    <row r="4" spans="1:20" x14ac:dyDescent="0.2">
      <c r="A4" t="str">
        <f>'Ref Data'!D26</f>
        <v>Primary Energy|Gas</v>
      </c>
      <c r="B4" t="str">
        <f>'Ref Data'!E26</f>
        <v>EJ/yr</v>
      </c>
      <c r="C4">
        <f>'Ref Data'!F26</f>
        <v>0</v>
      </c>
      <c r="D4">
        <f ca="1">'Ref Data'!G26</f>
        <v>101.93460159999999</v>
      </c>
      <c r="E4">
        <f ca="1">'Ref Data'!H26</f>
        <v>112.7463984</v>
      </c>
      <c r="F4">
        <f ca="1">'Ref Data'!I26</f>
        <v>152.18899999999999</v>
      </c>
      <c r="G4">
        <f ca="1">'Ref Data'!J26</f>
        <v>187.71890629999999</v>
      </c>
      <c r="H4">
        <f ca="1">'Ref Data'!K26</f>
        <v>217.0180938</v>
      </c>
      <c r="I4">
        <f ca="1">'Ref Data'!L26</f>
        <v>236.3882969</v>
      </c>
      <c r="J4">
        <f ca="1">'Ref Data'!M26</f>
        <v>260.61790630000002</v>
      </c>
      <c r="K4">
        <f ca="1">'Ref Data'!N26</f>
        <v>270.75331249999999</v>
      </c>
      <c r="L4">
        <f ca="1">'Ref Data'!O26</f>
        <v>269.83550000000002</v>
      </c>
      <c r="M4">
        <f ca="1">'Ref Data'!P26</f>
        <v>245.80199999999999</v>
      </c>
      <c r="N4">
        <f ca="1">'Ref Data'!Q26</f>
        <v>215.65909379999999</v>
      </c>
      <c r="O4">
        <f>'Ref Data'!R26</f>
        <v>0</v>
      </c>
      <c r="P4">
        <f>'Ref Data'!S26</f>
        <v>0</v>
      </c>
      <c r="Q4">
        <f>'Ref Data'!T26</f>
        <v>0</v>
      </c>
      <c r="R4">
        <f>'Ref Data'!U26</f>
        <v>0</v>
      </c>
      <c r="S4">
        <f>'Ref Data'!V26</f>
        <v>0</v>
      </c>
      <c r="T4">
        <f>'Ref Data'!W26</f>
        <v>0</v>
      </c>
    </row>
    <row r="5" spans="1:20" x14ac:dyDescent="0.2">
      <c r="A5" t="str">
        <f>'Ref Data'!D27</f>
        <v>Primary Energy|Oil</v>
      </c>
      <c r="B5" t="str">
        <f>'Ref Data'!E27</f>
        <v>EJ/yr</v>
      </c>
      <c r="C5">
        <f>'Ref Data'!F27</f>
        <v>0</v>
      </c>
      <c r="D5">
        <f ca="1">'Ref Data'!G27</f>
        <v>174.8014063</v>
      </c>
      <c r="E5">
        <f ca="1">'Ref Data'!H27</f>
        <v>171.87170309999999</v>
      </c>
      <c r="F5">
        <f ca="1">'Ref Data'!I27</f>
        <v>176.6505938</v>
      </c>
      <c r="G5">
        <f ca="1">'Ref Data'!J27</f>
        <v>165.22149999999999</v>
      </c>
      <c r="H5">
        <f ca="1">'Ref Data'!K27</f>
        <v>158.09770309999999</v>
      </c>
      <c r="I5">
        <f ca="1">'Ref Data'!L27</f>
        <v>173.017</v>
      </c>
      <c r="J5">
        <f ca="1">'Ref Data'!M27</f>
        <v>198.71950000000001</v>
      </c>
      <c r="K5">
        <f ca="1">'Ref Data'!N27</f>
        <v>201.8860938</v>
      </c>
      <c r="L5">
        <f ca="1">'Ref Data'!O27</f>
        <v>191.60340629999999</v>
      </c>
      <c r="M5">
        <f ca="1">'Ref Data'!P27</f>
        <v>187.4747969</v>
      </c>
      <c r="N5">
        <f ca="1">'Ref Data'!Q27</f>
        <v>180.62559379999999</v>
      </c>
      <c r="O5">
        <f>'Ref Data'!R27</f>
        <v>0</v>
      </c>
      <c r="P5">
        <f>'Ref Data'!S27</f>
        <v>0</v>
      </c>
      <c r="Q5">
        <f>'Ref Data'!T27</f>
        <v>0</v>
      </c>
      <c r="R5">
        <f>'Ref Data'!U27</f>
        <v>0</v>
      </c>
      <c r="S5">
        <f>'Ref Data'!V27</f>
        <v>0</v>
      </c>
      <c r="T5">
        <f>'Ref Data'!W27</f>
        <v>0</v>
      </c>
    </row>
    <row r="6" spans="1:20" s="23" customFormat="1" ht="19" x14ac:dyDescent="0.2">
      <c r="A6" s="23" t="s">
        <v>48</v>
      </c>
      <c r="B6" s="23" t="s">
        <v>47</v>
      </c>
      <c r="C6" s="180">
        <f>SUM(C3:C5)</f>
        <v>0</v>
      </c>
      <c r="D6" s="180">
        <f t="shared" ref="D6:T6" ca="1" si="0">SUM(D3:D5)</f>
        <v>394.21780480000001</v>
      </c>
      <c r="E6" s="180">
        <f t="shared" ca="1" si="0"/>
        <v>430.60250780000001</v>
      </c>
      <c r="F6" s="180">
        <f t="shared" ca="1" si="0"/>
        <v>501.16459380000003</v>
      </c>
      <c r="G6" s="180">
        <f t="shared" ca="1" si="0"/>
        <v>564.93550010000001</v>
      </c>
      <c r="H6" s="180">
        <f t="shared" ca="1" si="0"/>
        <v>615.12770320000004</v>
      </c>
      <c r="I6" s="180">
        <f t="shared" ca="1" si="0"/>
        <v>673.2247969</v>
      </c>
      <c r="J6" s="180">
        <f t="shared" ca="1" si="0"/>
        <v>748.52350009999998</v>
      </c>
      <c r="K6" s="180">
        <f t="shared" ca="1" si="0"/>
        <v>794.30600010000001</v>
      </c>
      <c r="L6" s="180">
        <f t="shared" ca="1" si="0"/>
        <v>827.95759380000004</v>
      </c>
      <c r="M6" s="180">
        <f t="shared" ca="1" si="0"/>
        <v>865.84398439999995</v>
      </c>
      <c r="N6" s="180">
        <f t="shared" ca="1" si="0"/>
        <v>906.72000009999988</v>
      </c>
      <c r="O6" s="180">
        <f t="shared" si="0"/>
        <v>0</v>
      </c>
      <c r="P6" s="180">
        <f t="shared" si="0"/>
        <v>0</v>
      </c>
      <c r="Q6" s="180">
        <f t="shared" si="0"/>
        <v>0</v>
      </c>
      <c r="R6" s="180">
        <f t="shared" si="0"/>
        <v>0</v>
      </c>
      <c r="S6" s="180">
        <f t="shared" si="0"/>
        <v>0</v>
      </c>
      <c r="T6" s="180">
        <f t="shared" si="0"/>
        <v>0</v>
      </c>
    </row>
  </sheetData>
  <pageMargins left="0.7" right="0.7" top="0.75" bottom="0.75" header="0.3" footer="0.3"/>
  <pageSetup orientation="portrait" horizontalDpi="0" verticalDpi="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11861A-B8CE-B449-A6CF-76F68F3A54F6}">
  <sheetPr codeName="Sheet7"/>
  <dimension ref="A1:T12"/>
  <sheetViews>
    <sheetView topLeftCell="C1" workbookViewId="0">
      <selection activeCell="M6" sqref="M6:N6"/>
    </sheetView>
  </sheetViews>
  <sheetFormatPr baseColWidth="10" defaultRowHeight="16" x14ac:dyDescent="0.2"/>
  <cols>
    <col min="1" max="1" width="27.83203125" customWidth="1"/>
    <col min="3" max="19" width="10.83203125" style="25"/>
  </cols>
  <sheetData>
    <row r="1" spans="1:20" s="184" customFormat="1" x14ac:dyDescent="0.2">
      <c r="A1" s="184" t="s">
        <v>38</v>
      </c>
      <c r="C1" s="184">
        <f>'Int Data'!F13</f>
        <v>2000</v>
      </c>
      <c r="D1" s="184">
        <f>'Int Data'!G13</f>
        <v>2005</v>
      </c>
      <c r="E1" s="184">
        <f>'Int Data'!H13</f>
        <v>2010</v>
      </c>
      <c r="F1" s="184">
        <f>'Int Data'!I13</f>
        <v>2020</v>
      </c>
      <c r="G1" s="184">
        <f>'Int Data'!J13</f>
        <v>2030</v>
      </c>
      <c r="H1" s="184">
        <f>'Int Data'!K13</f>
        <v>2040</v>
      </c>
      <c r="I1" s="184">
        <f>'Int Data'!L13</f>
        <v>2050</v>
      </c>
      <c r="J1" s="184">
        <f>'Int Data'!M13</f>
        <v>2060</v>
      </c>
      <c r="K1" s="184">
        <f>'Int Data'!N13</f>
        <v>2070</v>
      </c>
      <c r="L1" s="184">
        <f>'Int Data'!O13</f>
        <v>2080</v>
      </c>
      <c r="M1" s="184">
        <f>'Int Data'!P13</f>
        <v>2090</v>
      </c>
      <c r="N1" s="184">
        <f>'Int Data'!Q13</f>
        <v>2100</v>
      </c>
      <c r="O1" s="184">
        <f>'Int Data'!R13</f>
        <v>0</v>
      </c>
      <c r="P1" s="184">
        <f>'Int Data'!S13</f>
        <v>0</v>
      </c>
      <c r="Q1" s="184">
        <f>'Int Data'!T13</f>
        <v>0</v>
      </c>
      <c r="R1" s="184">
        <f>'Int Data'!U13</f>
        <v>0</v>
      </c>
      <c r="S1" s="184">
        <f>'Int Data'!V13</f>
        <v>0</v>
      </c>
      <c r="T1" s="184">
        <f>'Int Data'!W13</f>
        <v>2020</v>
      </c>
    </row>
    <row r="2" spans="1:20" x14ac:dyDescent="0.2">
      <c r="A2" t="str">
        <f>'Int Data'!D24</f>
        <v>Primary Energy</v>
      </c>
      <c r="B2" t="str">
        <f>'Int Data'!E24</f>
        <v>EJ/yr</v>
      </c>
      <c r="C2" s="25">
        <f ca="1">'Int Data'!F24</f>
        <v>0</v>
      </c>
      <c r="D2" s="25">
        <f ca="1">'Int Data'!G24</f>
        <v>459.77009375</v>
      </c>
      <c r="E2" s="25">
        <f ca="1">'Int Data'!H24</f>
        <v>506.68</v>
      </c>
      <c r="F2" s="25">
        <f ca="1">'Int Data'!I24</f>
        <v>512.7355</v>
      </c>
      <c r="G2" s="25">
        <f ca="1">'Int Data'!J24</f>
        <v>403.00549999999998</v>
      </c>
      <c r="H2" s="25">
        <f ca="1">'Int Data'!K24</f>
        <v>330.416</v>
      </c>
      <c r="I2" s="25">
        <f ca="1">'Int Data'!L24</f>
        <v>351.27159375000002</v>
      </c>
      <c r="J2" s="25">
        <f ca="1">'Int Data'!M24</f>
        <v>383.64750000000004</v>
      </c>
      <c r="K2" s="25">
        <f ca="1">'Int Data'!N24</f>
        <v>437.46431250000001</v>
      </c>
      <c r="L2" s="25">
        <f ca="1">'Int Data'!O24</f>
        <v>470.06240625000004</v>
      </c>
      <c r="M2" s="25">
        <f ca="1">'Int Data'!P24</f>
        <v>479.11359375000001</v>
      </c>
      <c r="N2" s="25">
        <f ca="1">'Int Data'!Q24</f>
        <v>493.05181249999998</v>
      </c>
      <c r="O2" s="25">
        <f>'Int Data'!R24</f>
        <v>0</v>
      </c>
      <c r="P2" s="25">
        <f ca="1">'Int Data'!S24</f>
        <v>-9.1161918747045823E-3</v>
      </c>
      <c r="Q2" s="25">
        <f ca="1">'Int Data'!T24</f>
        <v>6.8041350426411018E-3</v>
      </c>
      <c r="R2" s="25">
        <f ca="1">'Int Data'!U24</f>
        <v>-3.0290273510169552E-4</v>
      </c>
      <c r="S2" s="25">
        <f>'Int Data'!V24</f>
        <v>0</v>
      </c>
      <c r="T2" s="25">
        <f>'Int Data'!W24</f>
        <v>0</v>
      </c>
    </row>
    <row r="3" spans="1:20" x14ac:dyDescent="0.2">
      <c r="A3" t="str">
        <f>'Int Data'!D25</f>
        <v>Primary Energy|Coal</v>
      </c>
      <c r="B3" t="str">
        <f>'Int Data'!E25</f>
        <v>EJ/yr</v>
      </c>
      <c r="C3">
        <f ca="1">'Int Data'!F25</f>
        <v>0</v>
      </c>
      <c r="D3">
        <f ca="1">'Int Data'!G25</f>
        <v>117.62070312500001</v>
      </c>
      <c r="E3">
        <f ca="1">'Int Data'!H25</f>
        <v>146.19859375000001</v>
      </c>
      <c r="F3">
        <f ca="1">'Int Data'!I25</f>
        <v>125.483796875</v>
      </c>
      <c r="G3">
        <f ca="1">'Int Data'!J25</f>
        <v>73.49790625</v>
      </c>
      <c r="H3">
        <f ca="1">'Int Data'!K25</f>
        <v>29.39501953125</v>
      </c>
      <c r="I3">
        <f ca="1">'Int Data'!L25</f>
        <v>21.23305078125</v>
      </c>
      <c r="J3">
        <f ca="1">'Int Data'!M25</f>
        <v>24.590289062500002</v>
      </c>
      <c r="K3">
        <f ca="1">'Int Data'!N25</f>
        <v>28.702580078124999</v>
      </c>
      <c r="L3">
        <f ca="1">'Int Data'!O25</f>
        <v>28.120359375</v>
      </c>
      <c r="M3">
        <f ca="1">'Int Data'!P25</f>
        <v>29.275259765625002</v>
      </c>
      <c r="N3">
        <f ca="1">'Int Data'!Q25</f>
        <v>35.63494140625</v>
      </c>
      <c r="O3">
        <f>'Int Data'!R25</f>
        <v>0</v>
      </c>
      <c r="P3">
        <f ca="1">'Int Data'!S25</f>
        <v>-4.7090338894822614E-2</v>
      </c>
      <c r="Q3">
        <f ca="1">'Int Data'!T25</f>
        <v>1.040915602669279E-2</v>
      </c>
      <c r="R3">
        <f ca="1">'Int Data'!U25</f>
        <v>-1.5562513662928379E-2</v>
      </c>
      <c r="S3">
        <f>'Int Data'!V25</f>
        <v>0</v>
      </c>
      <c r="T3">
        <f>'Int Data'!W25</f>
        <v>0</v>
      </c>
    </row>
    <row r="4" spans="1:20" x14ac:dyDescent="0.2">
      <c r="A4" t="str">
        <f>'Int Data'!D26</f>
        <v>Primary Energy|Gas</v>
      </c>
      <c r="B4" t="str">
        <f>'Int Data'!E26</f>
        <v>EJ/yr</v>
      </c>
      <c r="C4">
        <f ca="1">'Int Data'!F26</f>
        <v>0</v>
      </c>
      <c r="D4">
        <f ca="1">'Int Data'!G26</f>
        <v>103.10389843750001</v>
      </c>
      <c r="E4">
        <f ca="1">'Int Data'!H26</f>
        <v>115.0245</v>
      </c>
      <c r="F4">
        <f ca="1">'Int Data'!I26</f>
        <v>130.5745</v>
      </c>
      <c r="G4">
        <f ca="1">'Int Data'!J26</f>
        <v>122.8896015625</v>
      </c>
      <c r="H4">
        <f ca="1">'Int Data'!K26</f>
        <v>110.6118984375</v>
      </c>
      <c r="I4">
        <f ca="1">'Int Data'!L26</f>
        <v>106.8698984375</v>
      </c>
      <c r="J4">
        <f ca="1">'Int Data'!M26</f>
        <v>112.979203125</v>
      </c>
      <c r="K4">
        <f ca="1">'Int Data'!N26</f>
        <v>133.68299999999999</v>
      </c>
      <c r="L4">
        <f ca="1">'Int Data'!O26</f>
        <v>129.22939843750001</v>
      </c>
      <c r="M4">
        <f ca="1">'Int Data'!P26</f>
        <v>110.5868984375</v>
      </c>
      <c r="N4">
        <f ca="1">'Int Data'!Q26</f>
        <v>103.07579687500001</v>
      </c>
      <c r="O4">
        <f>'Int Data'!R26</f>
        <v>0</v>
      </c>
      <c r="P4">
        <f ca="1">'Int Data'!S26</f>
        <v>-1.8366352413028419E-3</v>
      </c>
      <c r="Q4">
        <f ca="1">'Int Data'!T26</f>
        <v>-7.2269038572536637E-4</v>
      </c>
      <c r="R4">
        <f ca="1">'Int Data'!U26</f>
        <v>-1.2179303818875553E-3</v>
      </c>
      <c r="S4">
        <f>'Int Data'!V26</f>
        <v>0</v>
      </c>
      <c r="T4">
        <f>'Int Data'!W26</f>
        <v>0</v>
      </c>
    </row>
    <row r="5" spans="1:20" x14ac:dyDescent="0.2">
      <c r="A5" t="str">
        <f>'Int Data'!D27</f>
        <v>Primary Energy|Oil</v>
      </c>
      <c r="B5" t="str">
        <f>'Int Data'!E27</f>
        <v>EJ/yr</v>
      </c>
      <c r="C5">
        <f ca="1">'Int Data'!F27</f>
        <v>0</v>
      </c>
      <c r="D5">
        <f ca="1">'Int Data'!G27</f>
        <v>173.72640625</v>
      </c>
      <c r="E5">
        <f ca="1">'Int Data'!H27</f>
        <v>171.381</v>
      </c>
      <c r="F5">
        <f ca="1">'Int Data'!I27</f>
        <v>153.987703125</v>
      </c>
      <c r="G5">
        <f ca="1">'Int Data'!J27</f>
        <v>100.05220312500001</v>
      </c>
      <c r="H5">
        <f ca="1">'Int Data'!K27</f>
        <v>50.275019531250003</v>
      </c>
      <c r="I5">
        <f ca="1">'Int Data'!L27</f>
        <v>27.937050781250001</v>
      </c>
      <c r="J5">
        <f ca="1">'Int Data'!M27</f>
        <v>21.388119140625001</v>
      </c>
      <c r="K5">
        <f ca="1">'Int Data'!N27</f>
        <v>17.311410156250002</v>
      </c>
      <c r="L5">
        <f ca="1">'Int Data'!O27</f>
        <v>14.932349609375001</v>
      </c>
      <c r="M5">
        <f ca="1">'Int Data'!P27</f>
        <v>15.9530400390625</v>
      </c>
      <c r="N5">
        <f ca="1">'Int Data'!Q27</f>
        <v>16.128769531250001</v>
      </c>
      <c r="O5">
        <f>'Int Data'!R27</f>
        <v>0</v>
      </c>
      <c r="P5">
        <f ca="1">'Int Data'!S27</f>
        <v>-4.4335514274690735E-2</v>
      </c>
      <c r="Q5">
        <f ca="1">'Int Data'!T27</f>
        <v>-1.0926847296550801E-2</v>
      </c>
      <c r="R5">
        <f ca="1">'Int Data'!U27</f>
        <v>-2.5916954982904805E-2</v>
      </c>
      <c r="S5">
        <f>'Int Data'!V27</f>
        <v>0</v>
      </c>
      <c r="T5">
        <f>'Int Data'!W27</f>
        <v>0</v>
      </c>
    </row>
    <row r="6" spans="1:20" s="23" customFormat="1" ht="19" x14ac:dyDescent="0.2">
      <c r="A6" s="23" t="s">
        <v>48</v>
      </c>
      <c r="B6" s="23" t="s">
        <v>47</v>
      </c>
      <c r="C6" s="180">
        <f ca="1">SUM(C3:C5)</f>
        <v>0</v>
      </c>
      <c r="D6" s="180">
        <f t="shared" ref="D6:T6" ca="1" si="0">SUM(D3:D5)</f>
        <v>394.45100781250005</v>
      </c>
      <c r="E6" s="180">
        <f t="shared" ca="1" si="0"/>
        <v>432.60409375000006</v>
      </c>
      <c r="F6" s="180">
        <f t="shared" ca="1" si="0"/>
        <v>410.04599999999999</v>
      </c>
      <c r="G6" s="180">
        <f t="shared" ca="1" si="0"/>
        <v>296.43971093750002</v>
      </c>
      <c r="H6" s="180">
        <f t="shared" ca="1" si="0"/>
        <v>190.2819375</v>
      </c>
      <c r="I6" s="180">
        <f t="shared" ca="1" si="0"/>
        <v>156.04</v>
      </c>
      <c r="J6" s="180">
        <f t="shared" ca="1" si="0"/>
        <v>158.95761132812501</v>
      </c>
      <c r="K6" s="180">
        <f t="shared" ca="1" si="0"/>
        <v>179.69699023437499</v>
      </c>
      <c r="L6" s="180">
        <f t="shared" ca="1" si="0"/>
        <v>172.282107421875</v>
      </c>
      <c r="M6" s="180">
        <f t="shared" ca="1" si="0"/>
        <v>155.81519824218751</v>
      </c>
      <c r="N6" s="180">
        <f t="shared" ca="1" si="0"/>
        <v>154.83950781250002</v>
      </c>
      <c r="O6" s="180">
        <f t="shared" si="0"/>
        <v>0</v>
      </c>
      <c r="P6" s="180">
        <f t="shared" ca="1" si="0"/>
        <v>-9.3262488410816191E-2</v>
      </c>
      <c r="Q6" s="180">
        <f t="shared" ca="1" si="0"/>
        <v>-1.240381655583378E-3</v>
      </c>
      <c r="R6" s="180">
        <f t="shared" ca="1" si="0"/>
        <v>-4.2697399027720739E-2</v>
      </c>
      <c r="S6" s="180">
        <f t="shared" si="0"/>
        <v>0</v>
      </c>
      <c r="T6" s="180">
        <f t="shared" si="0"/>
        <v>0</v>
      </c>
    </row>
    <row r="10" spans="1:20" x14ac:dyDescent="0.2">
      <c r="C10"/>
      <c r="D10"/>
      <c r="E10"/>
      <c r="F10"/>
      <c r="G10"/>
      <c r="H10"/>
      <c r="I10"/>
      <c r="J10"/>
      <c r="K10"/>
    </row>
    <row r="11" spans="1:20" x14ac:dyDescent="0.2">
      <c r="C11"/>
      <c r="D11"/>
      <c r="E11"/>
      <c r="F11"/>
      <c r="G11"/>
      <c r="H11"/>
      <c r="I11"/>
      <c r="J11"/>
      <c r="K11"/>
    </row>
    <row r="12" spans="1:20" x14ac:dyDescent="0.2">
      <c r="C12"/>
      <c r="D12"/>
      <c r="E12"/>
      <c r="F12"/>
      <c r="G12"/>
      <c r="H12"/>
      <c r="I12"/>
      <c r="J12"/>
      <c r="K12"/>
    </row>
  </sheetData>
  <pageMargins left="0.7" right="0.7" top="0.75" bottom="0.75" header="0.3" footer="0.3"/>
  <pageSetup orientation="portrait" horizontalDpi="0" verticalDpi="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679631-BA9F-5741-8192-4E76FE45B8DE}">
  <sheetPr codeName="Sheet12">
    <tabColor rgb="FF3465FC"/>
  </sheetPr>
  <dimension ref="A1:N34"/>
  <sheetViews>
    <sheetView workbookViewId="0">
      <selection activeCell="A30" sqref="A30"/>
    </sheetView>
  </sheetViews>
  <sheetFormatPr baseColWidth="10" defaultRowHeight="16" x14ac:dyDescent="0.2"/>
  <cols>
    <col min="3" max="14" width="10.83203125" style="25"/>
  </cols>
  <sheetData>
    <row r="1" spans="1:14" s="184" customFormat="1" x14ac:dyDescent="0.2">
      <c r="A1" s="184" t="s">
        <v>37</v>
      </c>
      <c r="C1" s="184">
        <f>'Ref Data'!F13</f>
        <v>2000</v>
      </c>
      <c r="D1" s="184">
        <f>'Ref Data'!G13</f>
        <v>2005</v>
      </c>
      <c r="E1" s="184">
        <f>'Ref Data'!H13</f>
        <v>2010</v>
      </c>
      <c r="F1" s="184">
        <f>'Ref Data'!I13</f>
        <v>2020</v>
      </c>
      <c r="G1" s="184">
        <f>'Ref Data'!J13</f>
        <v>2030</v>
      </c>
      <c r="H1" s="184">
        <f>'Ref Data'!K13</f>
        <v>2040</v>
      </c>
      <c r="I1" s="184">
        <f>'Ref Data'!L13</f>
        <v>2050</v>
      </c>
      <c r="J1" s="184">
        <f>'Ref Data'!M13</f>
        <v>2060</v>
      </c>
      <c r="K1" s="184">
        <f>'Ref Data'!N13</f>
        <v>2070</v>
      </c>
      <c r="L1" s="184">
        <f>'Ref Data'!O13</f>
        <v>2080</v>
      </c>
      <c r="M1" s="184">
        <f>'Ref Data'!P13</f>
        <v>2090</v>
      </c>
      <c r="N1" s="184">
        <f>'Ref Data'!Q13</f>
        <v>2100</v>
      </c>
    </row>
    <row r="2" spans="1:14" x14ac:dyDescent="0.2">
      <c r="A2" t="s">
        <v>49</v>
      </c>
      <c r="C2" s="25">
        <f>'Ref Data'!F23/1000</f>
        <v>0</v>
      </c>
      <c r="D2" s="25">
        <f ca="1">'Ref Data'!G23/1000</f>
        <v>6.5305478519999998</v>
      </c>
      <c r="E2" s="25">
        <f ca="1">'Ref Data'!H23/1000</f>
        <v>6.9217978520000001</v>
      </c>
      <c r="F2" s="25">
        <f ca="1">'Ref Data'!I23/1000</f>
        <v>7.6715019529999999</v>
      </c>
      <c r="G2" s="25">
        <f ca="1">'Ref Data'!J23/1000</f>
        <v>8.3276826170000007</v>
      </c>
      <c r="H2" s="25">
        <f ca="1">'Ref Data'!K23/1000</f>
        <v>8.8571757810000005</v>
      </c>
      <c r="I2" s="25">
        <f ca="1">'Ref Data'!L23/1000</f>
        <v>9.2425429690000005</v>
      </c>
      <c r="J2" s="25">
        <f ca="1">'Ref Data'!M23/1000</f>
        <v>9.4599677730000007</v>
      </c>
      <c r="K2" s="25">
        <f ca="1">'Ref Data'!N23/1000</f>
        <v>9.5310947269999993</v>
      </c>
      <c r="L2" s="25">
        <f ca="1">'Ref Data'!O23/1000</f>
        <v>9.4802275389999995</v>
      </c>
      <c r="M2" s="25">
        <f ca="1">'Ref Data'!P23/1000</f>
        <v>9.3257070310000003</v>
      </c>
      <c r="N2" s="25">
        <f ca="1">'Ref Data'!Q23/1000</f>
        <v>9.1032343749999995</v>
      </c>
    </row>
    <row r="3" spans="1:14" x14ac:dyDescent="0.2">
      <c r="A3" t="s">
        <v>456</v>
      </c>
      <c r="C3" s="25">
        <f>IF('Ref Data'!F22=0,'Ref Data'!F28,'Ref Data'!F22)/1000</f>
        <v>0</v>
      </c>
      <c r="D3" s="25">
        <f ca="1">IF('Ref Data'!G22=0,'Ref Data'!G28,'Ref Data'!G22)/1000</f>
        <v>63.148666800000001</v>
      </c>
      <c r="E3" s="25">
        <f ca="1">IF('Ref Data'!H22=0,'Ref Data'!H28,'Ref Data'!H22)/1000</f>
        <v>75.308071089999999</v>
      </c>
      <c r="F3" s="25">
        <f ca="1">IF('Ref Data'!I22=0,'Ref Data'!I28,'Ref Data'!I22)/1000</f>
        <v>111.7624234</v>
      </c>
      <c r="G3" s="25">
        <f ca="1">IF('Ref Data'!J22=0,'Ref Data'!J28,'Ref Data'!J22)/1000</f>
        <v>159.2941969</v>
      </c>
      <c r="H3" s="25">
        <f ca="1">IF('Ref Data'!K22=0,'Ref Data'!K28,'Ref Data'!K22)/1000</f>
        <v>207.34625310000001</v>
      </c>
      <c r="I3" s="25">
        <f ca="1">IF('Ref Data'!L22=0,'Ref Data'!L28,'Ref Data'!L22)/1000</f>
        <v>257.63474689999998</v>
      </c>
      <c r="J3" s="25">
        <f ca="1">IF('Ref Data'!M22=0,'Ref Data'!M28,'Ref Data'!M22)/1000</f>
        <v>311.57565310000001</v>
      </c>
      <c r="K3" s="25">
        <f ca="1">IF('Ref Data'!N22=0,'Ref Data'!N28,'Ref Data'!N22)/1000</f>
        <v>372.79275000000001</v>
      </c>
      <c r="L3" s="25">
        <f ca="1">IF('Ref Data'!O22=0,'Ref Data'!O28,'Ref Data'!O22)/1000</f>
        <v>439.6574531</v>
      </c>
      <c r="M3" s="25">
        <f ca="1">IF('Ref Data'!P22=0,'Ref Data'!P28,'Ref Data'!P22)/1000</f>
        <v>512.61739380000006</v>
      </c>
      <c r="N3" s="25">
        <f ca="1">IF('Ref Data'!Q22=0,'Ref Data'!Q28,'Ref Data'!Q22)/1000</f>
        <v>592.07046250000008</v>
      </c>
    </row>
    <row r="4" spans="1:14" x14ac:dyDescent="0.2">
      <c r="A4" t="s">
        <v>51</v>
      </c>
      <c r="C4" s="25">
        <f>'Ref Data'!F21</f>
        <v>0</v>
      </c>
      <c r="D4" s="25">
        <f ca="1">'Ref Data'!G21</f>
        <v>341.0729063</v>
      </c>
      <c r="E4" s="25">
        <f ca="1">'Ref Data'!H21</f>
        <v>368.1208125</v>
      </c>
      <c r="F4" s="25">
        <f ca="1">'Ref Data'!I21</f>
        <v>423.03090630000003</v>
      </c>
      <c r="G4" s="25">
        <f ca="1">'Ref Data'!J21</f>
        <v>479.42259380000002</v>
      </c>
      <c r="H4" s="25">
        <f ca="1">'Ref Data'!K21</f>
        <v>541.945875</v>
      </c>
      <c r="I4" s="25">
        <f ca="1">'Ref Data'!L21</f>
        <v>601.97268750000001</v>
      </c>
      <c r="J4" s="25">
        <f ca="1">'Ref Data'!M21</f>
        <v>664.53981250000004</v>
      </c>
      <c r="K4" s="25">
        <f ca="1">'Ref Data'!N21</f>
        <v>719.05137500000001</v>
      </c>
      <c r="L4" s="25">
        <f ca="1">'Ref Data'!O21</f>
        <v>765.49487499999998</v>
      </c>
      <c r="M4" s="25">
        <f ca="1">'Ref Data'!P21</f>
        <v>800.99437499999999</v>
      </c>
      <c r="N4" s="25">
        <f ca="1">'Ref Data'!Q21</f>
        <v>831.80218749999995</v>
      </c>
    </row>
    <row r="5" spans="1:14" ht="19" x14ac:dyDescent="0.2">
      <c r="A5" t="s">
        <v>52</v>
      </c>
      <c r="C5" s="25">
        <f>'Ref Data'!F24</f>
        <v>0</v>
      </c>
      <c r="D5" s="25">
        <f ca="1">'Ref Data'!G24</f>
        <v>459.0075938</v>
      </c>
      <c r="E5" s="25">
        <f ca="1">'Ref Data'!H24</f>
        <v>506.23181249999999</v>
      </c>
      <c r="F5" s="25">
        <f ca="1">'Ref Data'!I24</f>
        <v>594.26031250000005</v>
      </c>
      <c r="G5" s="25">
        <f ca="1">'Ref Data'!J24</f>
        <v>676.61637499999995</v>
      </c>
      <c r="H5" s="25">
        <f ca="1">'Ref Data'!K24</f>
        <v>755.57987500000002</v>
      </c>
      <c r="I5" s="25">
        <f ca="1">'Ref Data'!L24</f>
        <v>832.27637500000003</v>
      </c>
      <c r="J5" s="25">
        <f ca="1">'Ref Data'!M24</f>
        <v>910.11768749999999</v>
      </c>
      <c r="K5" s="25">
        <f ca="1">'Ref Data'!N24</f>
        <v>976.86431249999998</v>
      </c>
      <c r="L5" s="25">
        <f ca="1">'Ref Data'!O24</f>
        <v>1037.7739999999999</v>
      </c>
      <c r="M5" s="25">
        <f ca="1">'Ref Data'!P24</f>
        <v>1095.373</v>
      </c>
      <c r="N5" s="25">
        <f ca="1">'Ref Data'!Q24</f>
        <v>1151.866</v>
      </c>
    </row>
    <row r="6" spans="1:14" ht="18" x14ac:dyDescent="0.25">
      <c r="A6" t="s">
        <v>53</v>
      </c>
      <c r="C6" s="25">
        <f>PEfossilRef!C6</f>
        <v>0</v>
      </c>
      <c r="D6" s="25">
        <f ca="1">PEfossilRef!D6</f>
        <v>394.21780480000001</v>
      </c>
      <c r="E6" s="25">
        <f ca="1">PEfossilRef!E6</f>
        <v>430.60250780000001</v>
      </c>
      <c r="F6" s="25">
        <f ca="1">PEfossilRef!F6</f>
        <v>501.16459380000003</v>
      </c>
      <c r="G6" s="25">
        <f ca="1">PEfossilRef!G6</f>
        <v>564.93550010000001</v>
      </c>
      <c r="H6" s="25">
        <f ca="1">PEfossilRef!H6</f>
        <v>615.12770320000004</v>
      </c>
      <c r="I6" s="25">
        <f ca="1">PEfossilRef!I6</f>
        <v>673.2247969</v>
      </c>
      <c r="J6" s="25">
        <f ca="1">PEfossilRef!J6</f>
        <v>748.52350009999998</v>
      </c>
      <c r="K6" s="25">
        <f ca="1">PEfossilRef!K6</f>
        <v>794.30600010000001</v>
      </c>
      <c r="L6" s="25">
        <f ca="1">PEfossilRef!L6</f>
        <v>827.95759380000004</v>
      </c>
      <c r="M6" s="25">
        <f ca="1">PEfossilRef!M6</f>
        <v>865.84398439999995</v>
      </c>
      <c r="N6" s="25">
        <f ca="1">PEfossilRef!N6</f>
        <v>906.72000009999988</v>
      </c>
    </row>
    <row r="7" spans="1:14" x14ac:dyDescent="0.2">
      <c r="A7" t="s">
        <v>43</v>
      </c>
      <c r="C7" s="25">
        <f>FossilEneEmissionsAccountingRef!C19*10^-3</f>
        <v>0</v>
      </c>
      <c r="D7" s="25">
        <f ca="1">FossilEneEmissionsAccountingRef!D19*10^-3</f>
        <v>29.39336868127187</v>
      </c>
      <c r="E7" s="25">
        <f ca="1">FossilEneEmissionsAccountingRef!E19*10^-3</f>
        <v>30.490629196166992</v>
      </c>
      <c r="F7" s="25">
        <f ca="1">FossilEneEmissionsAccountingRef!F19*10^-3</f>
        <v>36.419173240661621</v>
      </c>
      <c r="G7" s="25">
        <f ca="1">FossilEneEmissionsAccountingRef!G19*10^-3</f>
        <v>41.178647677103676</v>
      </c>
      <c r="H7" s="25">
        <f ca="1">FossilEneEmissionsAccountingRef!H19*10^-3</f>
        <v>44.63825798034668</v>
      </c>
      <c r="I7" s="25">
        <f ca="1">FossilEneEmissionsAccountingRef!I19*10^-3</f>
        <v>48.651535034179688</v>
      </c>
      <c r="J7" s="25">
        <f ca="1">FossilEneEmissionsAccountingRef!J19*10^-3</f>
        <v>53.651107152303055</v>
      </c>
      <c r="K7" s="25">
        <f ca="1">FossilEneEmissionsAccountingRef!K19*10^-3</f>
        <v>57.505031267801918</v>
      </c>
      <c r="L7" s="25">
        <f ca="1">FossilEneEmissionsAccountingRef!L19*10^-3</f>
        <v>60.643732706705727</v>
      </c>
      <c r="M7" s="25">
        <f ca="1">FossilEneEmissionsAccountingRef!M19*10^-3</f>
        <v>64.628266016642257</v>
      </c>
      <c r="N7" s="25">
        <f ca="1">FossilEneEmissionsAccountingRef!N19*10^-3</f>
        <v>69.30462137858072</v>
      </c>
    </row>
    <row r="8" spans="1:14" x14ac:dyDescent="0.2">
      <c r="A8" t="s">
        <v>54</v>
      </c>
      <c r="C8" s="25">
        <f>FossilEneEmissionsAccountingRef!C20*10^-3</f>
        <v>0</v>
      </c>
      <c r="D8" s="25">
        <f ca="1">FossilEneEmissionsAccountingRef!D20*10^-3</f>
        <v>29.39336868127187</v>
      </c>
      <c r="E8" s="25">
        <f ca="1">FossilEneEmissionsAccountingRef!E20*10^-3</f>
        <v>30.490629196166992</v>
      </c>
      <c r="F8" s="25">
        <f ca="1">FossilEneEmissionsAccountingRef!F20*10^-3</f>
        <v>36.419173240661621</v>
      </c>
      <c r="G8" s="25">
        <f ca="1">FossilEneEmissionsAccountingRef!G20*10^-3</f>
        <v>41.178647677103676</v>
      </c>
      <c r="H8" s="25">
        <f ca="1">FossilEneEmissionsAccountingRef!H20*10^-3</f>
        <v>44.63825798034668</v>
      </c>
      <c r="I8" s="25">
        <f ca="1">FossilEneEmissionsAccountingRef!I20*10^-3</f>
        <v>48.651535034179688</v>
      </c>
      <c r="J8" s="25">
        <f ca="1">FossilEneEmissionsAccountingRef!J20*10^-3</f>
        <v>53.651107152303055</v>
      </c>
      <c r="K8" s="25">
        <f ca="1">FossilEneEmissionsAccountingRef!K20*10^-3</f>
        <v>57.505031267801918</v>
      </c>
      <c r="L8" s="25">
        <f ca="1">FossilEneEmissionsAccountingRef!L20*10^-3</f>
        <v>60.643732706705727</v>
      </c>
      <c r="M8" s="25">
        <f ca="1">FossilEneEmissionsAccountingRef!M20*10^-3</f>
        <v>64.628266016642257</v>
      </c>
      <c r="N8" s="25">
        <f ca="1">FossilEneEmissionsAccountingRef!N20*10^-3</f>
        <v>69.30462137858072</v>
      </c>
    </row>
    <row r="14" spans="1:14" x14ac:dyDescent="0.2">
      <c r="A14" s="21" t="s">
        <v>56</v>
      </c>
    </row>
    <row r="15" spans="1:14" x14ac:dyDescent="0.2">
      <c r="A15" t="s">
        <v>49</v>
      </c>
      <c r="C15" s="25">
        <f t="shared" ref="C15:C21" ca="1" si="0">C2/$E2</f>
        <v>0</v>
      </c>
      <c r="D15" s="25">
        <f t="shared" ref="D15:I21" ca="1" si="1">D2/$E2</f>
        <v>0.94347566797447691</v>
      </c>
      <c r="E15" s="25">
        <f t="shared" ca="1" si="1"/>
        <v>1</v>
      </c>
      <c r="F15" s="25">
        <f t="shared" ca="1" si="1"/>
        <v>1.1083106032608825</v>
      </c>
      <c r="G15" s="25">
        <f t="shared" ca="1" si="1"/>
        <v>1.2031097693200881</v>
      </c>
      <c r="H15" s="25">
        <f t="shared" ca="1" si="1"/>
        <v>1.2796062483160771</v>
      </c>
      <c r="I15" s="25">
        <f t="shared" ca="1" si="1"/>
        <v>1.3352806838081004</v>
      </c>
      <c r="J15" s="25">
        <f t="shared" ref="J15:N15" ca="1" si="2">J2/$E2</f>
        <v>1.3666922922729701</v>
      </c>
      <c r="K15" s="25">
        <f t="shared" ca="1" si="2"/>
        <v>1.3769680841294814</v>
      </c>
      <c r="L15" s="25">
        <f t="shared" ca="1" si="2"/>
        <v>1.3696192436854771</v>
      </c>
      <c r="M15" s="25">
        <f t="shared" ca="1" si="2"/>
        <v>1.3472954903335423</v>
      </c>
      <c r="N15" s="25">
        <f t="shared" ca="1" si="2"/>
        <v>1.3151546129550273</v>
      </c>
    </row>
    <row r="16" spans="1:14" x14ac:dyDescent="0.2">
      <c r="A16" t="s">
        <v>456</v>
      </c>
      <c r="C16" s="25">
        <f t="shared" ca="1" si="0"/>
        <v>0</v>
      </c>
      <c r="D16" s="25">
        <f t="shared" ref="D16:I16" ca="1" si="3">D3/$E3</f>
        <v>0.83853783380710412</v>
      </c>
      <c r="E16" s="25">
        <f t="shared" ca="1" si="3"/>
        <v>1</v>
      </c>
      <c r="F16" s="25">
        <f t="shared" ca="1" si="3"/>
        <v>1.4840696592325906</v>
      </c>
      <c r="G16" s="25">
        <f t="shared" ca="1" si="3"/>
        <v>2.1152340591704832</v>
      </c>
      <c r="H16" s="25">
        <f t="shared" ca="1" si="3"/>
        <v>2.7533071833987406</v>
      </c>
      <c r="I16" s="25">
        <f t="shared" ca="1" si="3"/>
        <v>3.4210774910447914</v>
      </c>
      <c r="J16" s="25">
        <f t="shared" ref="J16:N16" ca="1" si="4">J3/$E3</f>
        <v>4.1373474129703673</v>
      </c>
      <c r="K16" s="25">
        <f t="shared" ca="1" si="4"/>
        <v>4.9502363372775644</v>
      </c>
      <c r="L16" s="25">
        <f t="shared" ca="1" si="4"/>
        <v>5.8381186337194766</v>
      </c>
      <c r="M16" s="25">
        <f t="shared" ca="1" si="4"/>
        <v>6.8069383052896892</v>
      </c>
      <c r="N16" s="25">
        <f t="shared" ca="1" si="4"/>
        <v>7.8619788547288909</v>
      </c>
    </row>
    <row r="17" spans="1:14" x14ac:dyDescent="0.2">
      <c r="A17" t="s">
        <v>51</v>
      </c>
      <c r="C17" s="25">
        <f t="shared" ca="1" si="0"/>
        <v>0</v>
      </c>
      <c r="D17" s="25">
        <f t="shared" ca="1" si="1"/>
        <v>0.92652437655912212</v>
      </c>
      <c r="E17" s="25">
        <f t="shared" ca="1" si="1"/>
        <v>1</v>
      </c>
      <c r="F17" s="25">
        <f t="shared" ca="1" si="1"/>
        <v>1.149163241890867</v>
      </c>
      <c r="G17" s="25">
        <f t="shared" ca="1" si="1"/>
        <v>1.3023512323145272</v>
      </c>
      <c r="H17" s="25">
        <f t="shared" ca="1" si="1"/>
        <v>1.4721956939068748</v>
      </c>
      <c r="I17" s="25">
        <f t="shared" ca="1" si="1"/>
        <v>1.6352584995449015</v>
      </c>
      <c r="J17" s="25">
        <f t="shared" ref="J17:N17" ca="1" si="5">J4/$E4</f>
        <v>1.8052220627976585</v>
      </c>
      <c r="K17" s="25">
        <f t="shared" ca="1" si="5"/>
        <v>1.9533026946146925</v>
      </c>
      <c r="L17" s="25">
        <f t="shared" ca="1" si="5"/>
        <v>2.0794664387523594</v>
      </c>
      <c r="M17" s="25">
        <f t="shared" ca="1" si="5"/>
        <v>2.1759008124540635</v>
      </c>
      <c r="N17" s="25">
        <f t="shared" ca="1" si="5"/>
        <v>2.2595902194473179</v>
      </c>
    </row>
    <row r="18" spans="1:14" ht="19" x14ac:dyDescent="0.2">
      <c r="A18" t="s">
        <v>52</v>
      </c>
      <c r="C18" s="25">
        <f t="shared" ca="1" si="0"/>
        <v>0</v>
      </c>
      <c r="D18" s="25">
        <f t="shared" ca="1" si="1"/>
        <v>0.9067142413141015</v>
      </c>
      <c r="E18" s="25">
        <f t="shared" ca="1" si="1"/>
        <v>1</v>
      </c>
      <c r="F18" s="25">
        <f t="shared" ca="1" si="1"/>
        <v>1.1738897039387466</v>
      </c>
      <c r="G18" s="25">
        <f t="shared" ca="1" si="1"/>
        <v>1.3365741905048687</v>
      </c>
      <c r="H18" s="25">
        <f t="shared" ca="1" si="1"/>
        <v>1.4925570782851583</v>
      </c>
      <c r="I18" s="25">
        <f t="shared" ca="1" si="1"/>
        <v>1.6440617804911264</v>
      </c>
      <c r="J18" s="25">
        <f t="shared" ref="J18:N18" ca="1" si="6">J5/$E5</f>
        <v>1.7978279219660855</v>
      </c>
      <c r="K18" s="25">
        <f t="shared" ca="1" si="6"/>
        <v>1.9296778439818023</v>
      </c>
      <c r="L18" s="25">
        <f t="shared" ca="1" si="6"/>
        <v>2.0499975986791621</v>
      </c>
      <c r="M18" s="25">
        <f t="shared" ca="1" si="6"/>
        <v>2.1637774887962027</v>
      </c>
      <c r="N18" s="25">
        <f t="shared" ca="1" si="6"/>
        <v>2.2753726090653381</v>
      </c>
    </row>
    <row r="19" spans="1:14" ht="18" x14ac:dyDescent="0.25">
      <c r="A19" t="s">
        <v>53</v>
      </c>
      <c r="C19" s="25">
        <f t="shared" ca="1" si="0"/>
        <v>0</v>
      </c>
      <c r="D19" s="25">
        <f t="shared" ca="1" si="1"/>
        <v>0.91550280748272039</v>
      </c>
      <c r="E19" s="25">
        <f t="shared" ca="1" si="1"/>
        <v>1</v>
      </c>
      <c r="F19" s="25">
        <f t="shared" ca="1" si="1"/>
        <v>1.1638682653301538</v>
      </c>
      <c r="G19" s="25">
        <f t="shared" ca="1" si="1"/>
        <v>1.3119651880020937</v>
      </c>
      <c r="H19" s="25">
        <f t="shared" ca="1" si="1"/>
        <v>1.4285279162510256</v>
      </c>
      <c r="I19" s="25">
        <f t="shared" ca="1" si="1"/>
        <v>1.5634483884907835</v>
      </c>
      <c r="J19" s="25">
        <f t="shared" ref="J19:N19" ca="1" si="7">J6/$E6</f>
        <v>1.7383166297017092</v>
      </c>
      <c r="K19" s="25">
        <f t="shared" ca="1" si="7"/>
        <v>1.8446385836399442</v>
      </c>
      <c r="L19" s="25">
        <f t="shared" ca="1" si="7"/>
        <v>1.9227886015576987</v>
      </c>
      <c r="M19" s="25">
        <f t="shared" ca="1" si="7"/>
        <v>2.0107732043264237</v>
      </c>
      <c r="N19" s="25">
        <f t="shared" ca="1" si="7"/>
        <v>2.105700695364134</v>
      </c>
    </row>
    <row r="20" spans="1:14" x14ac:dyDescent="0.2">
      <c r="A20" t="s">
        <v>43</v>
      </c>
      <c r="C20" s="25">
        <f t="shared" ca="1" si="0"/>
        <v>0</v>
      </c>
      <c r="D20" s="25">
        <f t="shared" ca="1" si="1"/>
        <v>0.96401318884449061</v>
      </c>
      <c r="E20" s="25">
        <f t="shared" ca="1" si="1"/>
        <v>1</v>
      </c>
      <c r="F20" s="25">
        <f t="shared" ca="1" si="1"/>
        <v>1.1944382323615648</v>
      </c>
      <c r="G20" s="25">
        <f t="shared" ca="1" si="1"/>
        <v>1.3505345334848087</v>
      </c>
      <c r="H20" s="25">
        <f t="shared" ca="1" si="1"/>
        <v>1.4639992403291631</v>
      </c>
      <c r="I20" s="25">
        <f t="shared" ca="1" si="1"/>
        <v>1.5956225344243051</v>
      </c>
      <c r="J20" s="25">
        <f t="shared" ref="J20:N20" ca="1" si="8">J7/$E7</f>
        <v>1.7595933100340084</v>
      </c>
      <c r="K20" s="25">
        <f t="shared" ca="1" si="8"/>
        <v>1.8859903119031383</v>
      </c>
      <c r="L20" s="25">
        <f t="shared" ca="1" si="8"/>
        <v>1.9889301829930526</v>
      </c>
      <c r="M20" s="25">
        <f t="shared" ca="1" si="8"/>
        <v>2.1196107696185797</v>
      </c>
      <c r="N20" s="25">
        <f t="shared" ca="1" si="8"/>
        <v>2.2729810176332168</v>
      </c>
    </row>
    <row r="21" spans="1:14" x14ac:dyDescent="0.2">
      <c r="A21" t="s">
        <v>54</v>
      </c>
      <c r="C21" s="25">
        <f t="shared" ca="1" si="0"/>
        <v>0</v>
      </c>
      <c r="D21" s="25">
        <f t="shared" ca="1" si="1"/>
        <v>0.96401318884449061</v>
      </c>
      <c r="E21" s="25">
        <f t="shared" ca="1" si="1"/>
        <v>1</v>
      </c>
      <c r="F21" s="25">
        <f t="shared" ca="1" si="1"/>
        <v>1.1944382323615648</v>
      </c>
      <c r="G21" s="25">
        <f t="shared" ca="1" si="1"/>
        <v>1.3505345334848087</v>
      </c>
      <c r="H21" s="25">
        <f t="shared" ca="1" si="1"/>
        <v>1.4639992403291631</v>
      </c>
      <c r="I21" s="25">
        <f t="shared" ca="1" si="1"/>
        <v>1.5956225344243051</v>
      </c>
      <c r="J21" s="25">
        <f t="shared" ref="J21:N21" ca="1" si="9">J8/$E8</f>
        <v>1.7595933100340084</v>
      </c>
      <c r="K21" s="25">
        <f t="shared" ca="1" si="9"/>
        <v>1.8859903119031383</v>
      </c>
      <c r="L21" s="25">
        <f t="shared" ca="1" si="9"/>
        <v>1.9889301829930526</v>
      </c>
      <c r="M21" s="25">
        <f t="shared" ca="1" si="9"/>
        <v>2.1196107696185797</v>
      </c>
      <c r="N21" s="25">
        <f t="shared" ca="1" si="9"/>
        <v>2.2729810176332168</v>
      </c>
    </row>
    <row r="27" spans="1:14" x14ac:dyDescent="0.2">
      <c r="A27" s="21" t="s">
        <v>57</v>
      </c>
    </row>
    <row r="28" spans="1:14" x14ac:dyDescent="0.2">
      <c r="A28" t="s">
        <v>49</v>
      </c>
      <c r="F28" s="25">
        <f t="shared" ref="F28:I28" ca="1" si="10">((F2-E2)/(F$1-E$1))/$E2</f>
        <v>1.0831060326088238E-2</v>
      </c>
      <c r="G28" s="25">
        <f t="shared" ca="1" si="10"/>
        <v>9.4799166059205617E-3</v>
      </c>
      <c r="H28" s="25">
        <f t="shared" ca="1" si="10"/>
        <v>7.6496478995989005E-3</v>
      </c>
      <c r="I28" s="25">
        <f t="shared" ca="1" si="10"/>
        <v>5.5674435492023382E-3</v>
      </c>
      <c r="J28" s="25">
        <f t="shared" ref="J28:J34" ca="1" si="11">((J2-I2)/(J$1-I$1))/$E2</f>
        <v>3.1411608464869713E-3</v>
      </c>
      <c r="K28" s="25">
        <f t="shared" ref="K28:K34" ca="1" si="12">((K2-J2)/(K$1-J$1))/$E2</f>
        <v>1.0275791856511236E-3</v>
      </c>
      <c r="L28" s="25">
        <f t="shared" ref="L28:L34" ca="1" si="13">((L2-K2)/(L$1-K$1))/$E2</f>
        <v>-7.3488404440043135E-4</v>
      </c>
      <c r="M28" s="25">
        <f t="shared" ref="M28:M34" ca="1" si="14">((M2-L2)/(M$1-L$1))/$E2</f>
        <v>-2.2323753351934667E-3</v>
      </c>
      <c r="N28" s="25">
        <f t="shared" ref="N28:N34" ca="1" si="15">((N2-M2)/(N$1-M$1))/$E2</f>
        <v>-3.2140877378515034E-3</v>
      </c>
    </row>
    <row r="29" spans="1:14" x14ac:dyDescent="0.2">
      <c r="A29" t="s">
        <v>456</v>
      </c>
      <c r="F29" s="25">
        <f ca="1">((F3-E3)/(F$1-E$1))/$E3</f>
        <v>4.8406965923259056E-2</v>
      </c>
      <c r="G29" s="25">
        <f ca="1">((G3-F3)/(G$1-F$1))/$E3</f>
        <v>6.3116439993789242E-2</v>
      </c>
      <c r="H29" s="25">
        <f ca="1">((H3-G3)/(H$1-G$1))/$E3</f>
        <v>6.3807312422825738E-2</v>
      </c>
      <c r="I29" s="25">
        <f ca="1">((I3-H3)/(I$1-H$1))/$E3</f>
        <v>6.6777030764605089E-2</v>
      </c>
      <c r="J29" s="25">
        <f t="shared" ca="1" si="11"/>
        <v>7.1626992192557595E-2</v>
      </c>
      <c r="K29" s="25">
        <f t="shared" ca="1" si="12"/>
        <v>8.1288892430719684E-2</v>
      </c>
      <c r="L29" s="25">
        <f t="shared" ca="1" si="13"/>
        <v>8.8788229644191238E-2</v>
      </c>
      <c r="M29" s="25">
        <f t="shared" ca="1" si="14"/>
        <v>9.6881967157021312E-2</v>
      </c>
      <c r="N29" s="25">
        <f t="shared" ca="1" si="15"/>
        <v>0.10550405494392011</v>
      </c>
    </row>
    <row r="30" spans="1:14" x14ac:dyDescent="0.2">
      <c r="A30" t="s">
        <v>51</v>
      </c>
      <c r="F30" s="25">
        <f t="shared" ref="F30:I30" ca="1" si="16">((F4-E4)/(F$1-E$1))/$E4</f>
        <v>1.491632418908671E-2</v>
      </c>
      <c r="G30" s="25">
        <f t="shared" ca="1" si="16"/>
        <v>1.5318799042366013E-2</v>
      </c>
      <c r="H30" s="25">
        <f t="shared" ca="1" si="16"/>
        <v>1.6984446159234744E-2</v>
      </c>
      <c r="I30" s="25">
        <f t="shared" ca="1" si="16"/>
        <v>1.6306280563802678E-2</v>
      </c>
      <c r="J30" s="25">
        <f t="shared" ca="1" si="11"/>
        <v>1.6996356325275696E-2</v>
      </c>
      <c r="K30" s="25">
        <f t="shared" ca="1" si="12"/>
        <v>1.4808063181703416E-2</v>
      </c>
      <c r="L30" s="25">
        <f t="shared" ca="1" si="13"/>
        <v>1.261637441376667E-2</v>
      </c>
      <c r="M30" s="25">
        <f t="shared" ca="1" si="14"/>
        <v>9.6434373701704285E-3</v>
      </c>
      <c r="N30" s="25">
        <f t="shared" ca="1" si="15"/>
        <v>8.3689406993254292E-3</v>
      </c>
    </row>
    <row r="31" spans="1:14" ht="19" x14ac:dyDescent="0.2">
      <c r="A31" t="s">
        <v>52</v>
      </c>
      <c r="F31" s="25">
        <f t="shared" ref="F31:I31" ca="1" si="17">((F5-E5)/(F$1-E$1))/$E5</f>
        <v>1.7388970393874659E-2</v>
      </c>
      <c r="G31" s="25">
        <f t="shared" ca="1" si="17"/>
        <v>1.626844865661221E-2</v>
      </c>
      <c r="H31" s="25">
        <f t="shared" ca="1" si="17"/>
        <v>1.5598288778028954E-2</v>
      </c>
      <c r="I31" s="25">
        <f t="shared" ca="1" si="17"/>
        <v>1.5150470220596818E-2</v>
      </c>
      <c r="J31" s="25">
        <f t="shared" ca="1" si="11"/>
        <v>1.5376614147495908E-2</v>
      </c>
      <c r="K31" s="25">
        <f t="shared" ca="1" si="12"/>
        <v>1.3184992201571684E-2</v>
      </c>
      <c r="L31" s="25">
        <f t="shared" ca="1" si="13"/>
        <v>1.2031975469735992E-2</v>
      </c>
      <c r="M31" s="25">
        <f t="shared" ca="1" si="14"/>
        <v>1.1377989011704033E-2</v>
      </c>
      <c r="N31" s="25">
        <f t="shared" ca="1" si="15"/>
        <v>1.1159512026913548E-2</v>
      </c>
    </row>
    <row r="32" spans="1:14" ht="18" x14ac:dyDescent="0.25">
      <c r="A32" t="s">
        <v>53</v>
      </c>
      <c r="F32" s="25">
        <f t="shared" ref="F32:I32" ca="1" si="18">((F6-E6)/(F$1-E$1))/$E6</f>
        <v>1.6386826533015379E-2</v>
      </c>
      <c r="G32" s="25">
        <f t="shared" ca="1" si="18"/>
        <v>1.4809692267193985E-2</v>
      </c>
      <c r="H32" s="25">
        <f t="shared" ca="1" si="18"/>
        <v>1.1656272824893203E-2</v>
      </c>
      <c r="I32" s="25">
        <f t="shared" ca="1" si="18"/>
        <v>1.3492047223975772E-2</v>
      </c>
      <c r="J32" s="25">
        <f t="shared" ca="1" si="11"/>
        <v>1.7486824121092585E-2</v>
      </c>
      <c r="K32" s="25">
        <f t="shared" ca="1" si="12"/>
        <v>1.0632195393823487E-2</v>
      </c>
      <c r="L32" s="25">
        <f t="shared" ca="1" si="13"/>
        <v>7.8150017917754527E-3</v>
      </c>
      <c r="M32" s="25">
        <f t="shared" ca="1" si="14"/>
        <v>8.7984602768725242E-3</v>
      </c>
      <c r="N32" s="25">
        <f t="shared" ca="1" si="15"/>
        <v>9.4927491037709935E-3</v>
      </c>
    </row>
    <row r="33" spans="1:14" x14ac:dyDescent="0.2">
      <c r="A33" t="s">
        <v>43</v>
      </c>
      <c r="F33" s="25">
        <f t="shared" ref="F33:I33" ca="1" si="19">((F7-E7)/(F$1-E$1))/$E7</f>
        <v>1.9443823236156479E-2</v>
      </c>
      <c r="G33" s="25">
        <f t="shared" ca="1" si="19"/>
        <v>1.560963011232439E-2</v>
      </c>
      <c r="H33" s="25">
        <f t="shared" ca="1" si="19"/>
        <v>1.1346470684435448E-2</v>
      </c>
      <c r="I33" s="25">
        <f t="shared" ca="1" si="19"/>
        <v>1.3162329409514189E-2</v>
      </c>
      <c r="J33" s="25">
        <f t="shared" ca="1" si="11"/>
        <v>1.6397077560970336E-2</v>
      </c>
      <c r="K33" s="25">
        <f t="shared" ca="1" si="12"/>
        <v>1.263970018691298E-2</v>
      </c>
      <c r="L33" s="25">
        <f t="shared" ca="1" si="13"/>
        <v>1.0293987108991435E-2</v>
      </c>
      <c r="M33" s="25">
        <f t="shared" ca="1" si="14"/>
        <v>1.3068058662552723E-2</v>
      </c>
      <c r="N33" s="25">
        <f t="shared" ca="1" si="15"/>
        <v>1.5337024801463695E-2</v>
      </c>
    </row>
    <row r="34" spans="1:14" x14ac:dyDescent="0.2">
      <c r="A34" t="s">
        <v>54</v>
      </c>
      <c r="F34" s="25">
        <f t="shared" ref="F34:I34" ca="1" si="20">((F8-E8)/(F$1-E$1))/$E8</f>
        <v>1.9443823236156479E-2</v>
      </c>
      <c r="G34" s="25">
        <f t="shared" ca="1" si="20"/>
        <v>1.560963011232439E-2</v>
      </c>
      <c r="H34" s="25">
        <f t="shared" ca="1" si="20"/>
        <v>1.1346470684435448E-2</v>
      </c>
      <c r="I34" s="25">
        <f t="shared" ca="1" si="20"/>
        <v>1.3162329409514189E-2</v>
      </c>
      <c r="J34" s="25">
        <f t="shared" ca="1" si="11"/>
        <v>1.6397077560970336E-2</v>
      </c>
      <c r="K34" s="25">
        <f t="shared" ca="1" si="12"/>
        <v>1.263970018691298E-2</v>
      </c>
      <c r="L34" s="25">
        <f t="shared" ca="1" si="13"/>
        <v>1.0293987108991435E-2</v>
      </c>
      <c r="M34" s="25">
        <f t="shared" ca="1" si="14"/>
        <v>1.3068058662552723E-2</v>
      </c>
      <c r="N34" s="25">
        <f t="shared" ca="1" si="15"/>
        <v>1.5337024801463695E-2</v>
      </c>
    </row>
  </sheetData>
  <pageMargins left="0.7" right="0.7" top="0.75" bottom="0.75" header="0.3" footer="0.3"/>
  <pageSetup orientation="portrait" horizontalDpi="0" verticalDpi="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B16480-5B06-B347-9427-DD66C20C1FDE}">
  <sheetPr codeName="Sheet13">
    <tabColor rgb="FF3465FC"/>
  </sheetPr>
  <dimension ref="A1:N34"/>
  <sheetViews>
    <sheetView workbookViewId="0">
      <selection activeCell="A30" sqref="A30"/>
    </sheetView>
  </sheetViews>
  <sheetFormatPr baseColWidth="10" defaultRowHeight="16" x14ac:dyDescent="0.2"/>
  <cols>
    <col min="3" max="3" width="10.83203125" style="25"/>
    <col min="4" max="4" width="46.1640625" style="25" customWidth="1"/>
    <col min="5" max="14" width="10.83203125" style="25"/>
  </cols>
  <sheetData>
    <row r="1" spans="1:14" s="184" customFormat="1" x14ac:dyDescent="0.2">
      <c r="A1" s="184" t="s">
        <v>38</v>
      </c>
      <c r="C1" s="184">
        <f>'Int Data'!F13</f>
        <v>2000</v>
      </c>
      <c r="D1" s="184">
        <f>'Int Data'!G13</f>
        <v>2005</v>
      </c>
      <c r="E1" s="184">
        <f>'Int Data'!H13</f>
        <v>2010</v>
      </c>
      <c r="F1" s="184">
        <f>'Int Data'!I13</f>
        <v>2020</v>
      </c>
      <c r="G1" s="184">
        <f>'Int Data'!J13</f>
        <v>2030</v>
      </c>
      <c r="H1" s="184">
        <f>'Int Data'!K13</f>
        <v>2040</v>
      </c>
      <c r="I1" s="184">
        <f>'Int Data'!L13</f>
        <v>2050</v>
      </c>
      <c r="J1" s="184">
        <f>'Int Data'!M13</f>
        <v>2060</v>
      </c>
      <c r="K1" s="184">
        <f>'Int Data'!N13</f>
        <v>2070</v>
      </c>
      <c r="L1" s="184">
        <f>'Int Data'!O13</f>
        <v>2080</v>
      </c>
      <c r="M1" s="184">
        <f>'Int Data'!P13</f>
        <v>2090</v>
      </c>
      <c r="N1" s="184">
        <f>'Int Data'!Q13</f>
        <v>2100</v>
      </c>
    </row>
    <row r="2" spans="1:14" x14ac:dyDescent="0.2">
      <c r="A2" t="s">
        <v>49</v>
      </c>
      <c r="C2" s="25">
        <f ca="1">'Int Data'!F23/1000</f>
        <v>0</v>
      </c>
      <c r="D2" s="25">
        <f ca="1">'Int Data'!G23/1000</f>
        <v>6.5305478515625</v>
      </c>
      <c r="E2" s="25">
        <f ca="1">'Int Data'!H23/1000</f>
        <v>6.9217978515625003</v>
      </c>
      <c r="F2" s="25">
        <f ca="1">'Int Data'!I23/1000</f>
        <v>7.5761049804687497</v>
      </c>
      <c r="G2" s="25">
        <f ca="1">'Int Data'!J23/1000</f>
        <v>8.0619379882812492</v>
      </c>
      <c r="H2" s="25">
        <f ca="1">'Int Data'!K23/1000</f>
        <v>8.3887626953125007</v>
      </c>
      <c r="I2" s="25">
        <f ca="1">'Int Data'!L23/1000</f>
        <v>8.5305</v>
      </c>
      <c r="J2" s="25">
        <f ca="1">'Int Data'!M23/1000</f>
        <v>8.4921757812499994</v>
      </c>
      <c r="K2" s="25">
        <f ca="1">'Int Data'!N23/1000</f>
        <v>8.2989501953125</v>
      </c>
      <c r="L2" s="25">
        <f ca="1">'Int Data'!O23/1000</f>
        <v>7.9673872070312504</v>
      </c>
      <c r="M2" s="25">
        <f ca="1">'Int Data'!P23/1000</f>
        <v>7.5104541015624999</v>
      </c>
      <c r="N2" s="25">
        <f ca="1">'Int Data'!Q23/1000</f>
        <v>6.9579887695312497</v>
      </c>
    </row>
    <row r="3" spans="1:14" x14ac:dyDescent="0.2">
      <c r="A3" t="s">
        <v>456</v>
      </c>
      <c r="C3" s="25">
        <f ca="1">IF('Int Data'!F22=0,'Int Data'!F28,'Int Data'!F22)/1000</f>
        <v>0</v>
      </c>
      <c r="D3" s="25">
        <f ca="1">IF('Int Data'!G22=0,'Int Data'!G28,'Int Data'!G22)/1000</f>
        <v>63.593003779609376</v>
      </c>
      <c r="E3" s="25">
        <f ca="1">IF('Int Data'!H22=0,'Int Data'!H28,'Int Data'!H22)/1000</f>
        <v>75.837966066718735</v>
      </c>
      <c r="F3" s="25">
        <f ca="1">IF('Int Data'!I22=0,'Int Data'!I28,'Int Data'!I22)/1000</f>
        <v>111.96747734515625</v>
      </c>
      <c r="G3" s="25">
        <f ca="1">IF('Int Data'!J22=0,'Int Data'!J28,'Int Data'!J22)/1000</f>
        <v>157.9257319796875</v>
      </c>
      <c r="H3" s="25">
        <f ca="1">IF('Int Data'!K22=0,'Int Data'!K28,'Int Data'!K22)/1000</f>
        <v>203.05871166</v>
      </c>
      <c r="I3" s="25">
        <f ca="1">IF('Int Data'!L22=0,'Int Data'!L28,'Int Data'!L22)/1000</f>
        <v>248.12666354062497</v>
      </c>
      <c r="J3" s="25">
        <f ca="1">IF('Int Data'!M22=0,'Int Data'!M28,'Int Data'!M22)/1000</f>
        <v>293.61791056875001</v>
      </c>
      <c r="K3" s="25">
        <f ca="1">IF('Int Data'!N22=0,'Int Data'!N28,'Int Data'!N22)/1000</f>
        <v>341.65315174062499</v>
      </c>
      <c r="L3" s="25">
        <f ca="1">IF('Int Data'!O22=0,'Int Data'!O28,'Int Data'!O22)/1000</f>
        <v>388.87389246062497</v>
      </c>
      <c r="M3" s="25">
        <f ca="1">IF('Int Data'!P22=0,'Int Data'!P28,'Int Data'!P22)/1000</f>
        <v>433.17553057937499</v>
      </c>
      <c r="N3" s="25">
        <f ca="1">IF('Int Data'!Q22=0,'Int Data'!Q28,'Int Data'!Q22)/1000</f>
        <v>472.34587469999997</v>
      </c>
    </row>
    <row r="4" spans="1:14" x14ac:dyDescent="0.2">
      <c r="A4" t="s">
        <v>51</v>
      </c>
      <c r="C4" s="25">
        <f ca="1">'Int Data'!F21</f>
        <v>0</v>
      </c>
      <c r="D4" s="25">
        <f ca="1">'Int Data'!G21</f>
        <v>341.38299999999998</v>
      </c>
      <c r="E4" s="25">
        <f ca="1">'Int Data'!H21</f>
        <v>367.96281249999998</v>
      </c>
      <c r="F4" s="25">
        <f ca="1">'Int Data'!I21</f>
        <v>365.50040625000003</v>
      </c>
      <c r="G4" s="25">
        <f ca="1">'Int Data'!J21</f>
        <v>300.06131249999999</v>
      </c>
      <c r="H4" s="25">
        <f ca="1">'Int Data'!K21</f>
        <v>271.31318750000003</v>
      </c>
      <c r="I4" s="25">
        <f ca="1">'Int Data'!L21</f>
        <v>280.34949999999998</v>
      </c>
      <c r="J4" s="25">
        <f ca="1">'Int Data'!M21</f>
        <v>300.25481250000001</v>
      </c>
      <c r="K4" s="25">
        <f ca="1">'Int Data'!N21</f>
        <v>318.61040624999998</v>
      </c>
      <c r="L4" s="25">
        <f ca="1">'Int Data'!O21</f>
        <v>334.66849999999999</v>
      </c>
      <c r="M4" s="25">
        <f ca="1">'Int Data'!P21</f>
        <v>342.75731250000001</v>
      </c>
      <c r="N4" s="25">
        <f ca="1">'Int Data'!Q21</f>
        <v>346.15631250000001</v>
      </c>
    </row>
    <row r="5" spans="1:14" ht="19" x14ac:dyDescent="0.2">
      <c r="A5" t="s">
        <v>52</v>
      </c>
      <c r="C5" s="25">
        <f ca="1">'Int Data'!F24</f>
        <v>0</v>
      </c>
      <c r="D5" s="25">
        <f ca="1">'Int Data'!G24</f>
        <v>459.77009375</v>
      </c>
      <c r="E5" s="25">
        <f ca="1">'Int Data'!H24</f>
        <v>506.68</v>
      </c>
      <c r="F5" s="25">
        <f ca="1">'Int Data'!I24</f>
        <v>512.7355</v>
      </c>
      <c r="G5" s="25">
        <f ca="1">'Int Data'!J24</f>
        <v>403.00549999999998</v>
      </c>
      <c r="H5" s="25">
        <f ca="1">'Int Data'!K24</f>
        <v>330.416</v>
      </c>
      <c r="I5" s="25">
        <f ca="1">'Int Data'!L24</f>
        <v>351.27159375000002</v>
      </c>
      <c r="J5" s="25">
        <f ca="1">'Int Data'!M24</f>
        <v>383.64750000000004</v>
      </c>
      <c r="K5" s="25">
        <f ca="1">'Int Data'!N24</f>
        <v>437.46431250000001</v>
      </c>
      <c r="L5" s="25">
        <f ca="1">'Int Data'!O24</f>
        <v>470.06240625000004</v>
      </c>
      <c r="M5" s="25">
        <f ca="1">'Int Data'!P24</f>
        <v>479.11359375000001</v>
      </c>
      <c r="N5" s="25">
        <f ca="1">'Int Data'!Q24</f>
        <v>493.05181249999998</v>
      </c>
    </row>
    <row r="6" spans="1:14" ht="18" x14ac:dyDescent="0.25">
      <c r="A6" t="s">
        <v>53</v>
      </c>
      <c r="C6" s="25">
        <f ca="1">PEfossilInt!C6</f>
        <v>0</v>
      </c>
      <c r="D6" s="25">
        <f ca="1">PEfossilInt!D6</f>
        <v>394.45100781250005</v>
      </c>
      <c r="E6" s="25">
        <f ca="1">PEfossilInt!E6</f>
        <v>432.60409375000006</v>
      </c>
      <c r="F6" s="25">
        <f ca="1">PEfossilInt!F6</f>
        <v>410.04599999999999</v>
      </c>
      <c r="G6" s="25">
        <f ca="1">PEfossilInt!G6</f>
        <v>296.43971093750002</v>
      </c>
      <c r="H6" s="25">
        <f ca="1">PEfossilInt!H6</f>
        <v>190.2819375</v>
      </c>
      <c r="I6" s="25">
        <f ca="1">PEfossilInt!I6</f>
        <v>156.04</v>
      </c>
      <c r="J6" s="25">
        <f ca="1">PEfossilInt!J6</f>
        <v>158.95761132812501</v>
      </c>
      <c r="K6" s="25">
        <f ca="1">PEfossilInt!K6</f>
        <v>179.69699023437499</v>
      </c>
      <c r="L6" s="25">
        <f ca="1">PEfossilInt!L6</f>
        <v>172.282107421875</v>
      </c>
      <c r="M6" s="25">
        <f ca="1">PEfossilInt!M6</f>
        <v>155.81519824218751</v>
      </c>
      <c r="N6" s="25">
        <f ca="1">PEfossilInt!N6</f>
        <v>154.83950781250002</v>
      </c>
    </row>
    <row r="7" spans="1:14" x14ac:dyDescent="0.2">
      <c r="A7" t="s">
        <v>43</v>
      </c>
      <c r="C7" s="25">
        <f ca="1">FossilEneEmissionsAccountingInt!C19*10^-3</f>
        <v>0</v>
      </c>
      <c r="D7" s="25">
        <f ca="1">FossilEneEmissionsAccountingInt!D19*10^-3</f>
        <v>29.390234450499218</v>
      </c>
      <c r="E7" s="25">
        <f ca="1">FossilEneEmissionsAccountingInt!E19*10^-3</f>
        <v>30.597844759623207</v>
      </c>
      <c r="F7" s="25">
        <f ca="1">FossilEneEmissionsAccountingInt!F19*10^-3</f>
        <v>29.161800941032769</v>
      </c>
      <c r="G7" s="25">
        <f ca="1">FossilEneEmissionsAccountingInt!G19*10^-3</f>
        <v>20.091002070361231</v>
      </c>
      <c r="H7" s="25">
        <f ca="1">FossilEneEmissionsAccountingInt!H19*10^-3</f>
        <v>11.593017093757814</v>
      </c>
      <c r="I7" s="25">
        <f ca="1">FossilEneEmissionsAccountingInt!I19*10^-3</f>
        <v>8.6600643836103455</v>
      </c>
      <c r="J7" s="25">
        <f ca="1">FossilEneEmissionsAccountingInt!J19*10^-3</f>
        <v>8.6805488826504753</v>
      </c>
      <c r="K7" s="25">
        <f ca="1">FossilEneEmissionsAccountingInt!K19*10^-3</f>
        <v>9.8485060316993565</v>
      </c>
      <c r="L7" s="25">
        <f ca="1">FossilEneEmissionsAccountingInt!L19*10^-3</f>
        <v>9.2906069114295438</v>
      </c>
      <c r="M7" s="25">
        <f ca="1">FossilEneEmissionsAccountingInt!M19*10^-3</f>
        <v>8.467504496662249</v>
      </c>
      <c r="N7" s="25">
        <f ca="1">FossilEneEmissionsAccountingInt!N19*10^-3</f>
        <v>8.7336414129762421</v>
      </c>
    </row>
    <row r="8" spans="1:14" x14ac:dyDescent="0.2">
      <c r="A8" t="s">
        <v>54</v>
      </c>
      <c r="C8" s="25">
        <f ca="1">FossilEneEmissionsAccountingInt!C20*10^-3</f>
        <v>0</v>
      </c>
      <c r="D8" s="25">
        <f ca="1">FossilEneEmissionsAccountingInt!D20*10^-3</f>
        <v>29.390234450499218</v>
      </c>
      <c r="E8" s="25">
        <f ca="1">FossilEneEmissionsAccountingInt!E20*10^-3</f>
        <v>30.597844759623207</v>
      </c>
      <c r="F8" s="25">
        <f ca="1">FossilEneEmissionsAccountingInt!F20*10^-3</f>
        <v>29.128967761993408</v>
      </c>
      <c r="G8" s="25">
        <f ca="1">FossilEneEmissionsAccountingInt!G20*10^-3</f>
        <v>18.847594581065653</v>
      </c>
      <c r="H8" s="25">
        <f ca="1">FossilEneEmissionsAccountingInt!H20*10^-3</f>
        <v>9.1376930535379106</v>
      </c>
      <c r="I8" s="25">
        <f ca="1">FossilEneEmissionsAccountingInt!I20*10^-3</f>
        <v>5.6197562094130271</v>
      </c>
      <c r="J8" s="25">
        <f ca="1">FossilEneEmissionsAccountingInt!J20*10^-3</f>
        <v>4.3530673105136266</v>
      </c>
      <c r="K8" s="25">
        <f ca="1">FossilEneEmissionsAccountingInt!K20*10^-3</f>
        <v>3.6279843954183288</v>
      </c>
      <c r="L8" s="25">
        <f ca="1">FossilEneEmissionsAccountingInt!L20*10^-3</f>
        <v>3.0518660400685649</v>
      </c>
      <c r="M8" s="25">
        <f ca="1">FossilEneEmissionsAccountingInt!M20*10^-3</f>
        <v>2.8461342476017908</v>
      </c>
      <c r="N8" s="25">
        <f ca="1">FossilEneEmissionsAccountingInt!N20*10^-3</f>
        <v>3.0131356737814112</v>
      </c>
    </row>
    <row r="14" spans="1:14" x14ac:dyDescent="0.2">
      <c r="A14" s="21" t="s">
        <v>56</v>
      </c>
    </row>
    <row r="15" spans="1:14" x14ac:dyDescent="0.2">
      <c r="A15" t="s">
        <v>49</v>
      </c>
      <c r="C15" s="25">
        <f t="shared" ref="C15:C21" ca="1" si="0">C2/$E2</f>
        <v>0</v>
      </c>
      <c r="D15" s="25">
        <f t="shared" ref="D15:I21" ca="1" si="1">D2/$E2</f>
        <v>0.94347566797090421</v>
      </c>
      <c r="E15" s="25">
        <f t="shared" ca="1" si="1"/>
        <v>1</v>
      </c>
      <c r="F15" s="25">
        <f t="shared" ca="1" si="1"/>
        <v>1.0945284943215365</v>
      </c>
      <c r="G15" s="25">
        <f t="shared" ca="1" si="1"/>
        <v>1.1647173409523044</v>
      </c>
      <c r="H15" s="25">
        <f t="shared" ca="1" si="1"/>
        <v>1.2119340777076946</v>
      </c>
      <c r="I15" s="25">
        <f t="shared" ca="1" si="1"/>
        <v>1.2324110271545068</v>
      </c>
      <c r="J15" s="25">
        <f t="shared" ref="J15:N15" ca="1" si="2">J2/$E2</f>
        <v>1.2268742837286137</v>
      </c>
      <c r="K15" s="25">
        <f t="shared" ca="1" si="2"/>
        <v>1.1989587637898333</v>
      </c>
      <c r="L15" s="25">
        <f t="shared" ca="1" si="2"/>
        <v>1.1510574821587318</v>
      </c>
      <c r="M15" s="25">
        <f t="shared" ca="1" si="2"/>
        <v>1.085043837254958</v>
      </c>
      <c r="N15" s="25">
        <f t="shared" ca="1" si="2"/>
        <v>1.0052285430382195</v>
      </c>
    </row>
    <row r="16" spans="1:14" x14ac:dyDescent="0.2">
      <c r="A16" t="s">
        <v>456</v>
      </c>
      <c r="C16" s="25">
        <f t="shared" ca="1" si="0"/>
        <v>0</v>
      </c>
      <c r="D16" s="25">
        <f t="shared" ref="D16:I16" ca="1" si="3">D3/$E3</f>
        <v>0.83853783372385271</v>
      </c>
      <c r="E16" s="25">
        <f t="shared" ca="1" si="3"/>
        <v>1</v>
      </c>
      <c r="F16" s="25">
        <f t="shared" ca="1" si="3"/>
        <v>1.4764040117670409</v>
      </c>
      <c r="G16" s="25">
        <f t="shared" ca="1" si="3"/>
        <v>2.0824099085246002</v>
      </c>
      <c r="H16" s="25">
        <f t="shared" ca="1" si="3"/>
        <v>2.6775337234302716</v>
      </c>
      <c r="I16" s="25">
        <f t="shared" ca="1" si="3"/>
        <v>3.2718000812724144</v>
      </c>
      <c r="J16" s="25">
        <f t="shared" ref="J16:N16" ca="1" si="4">J3/$E3</f>
        <v>3.8716480121637038</v>
      </c>
      <c r="K16" s="25">
        <f t="shared" ca="1" si="4"/>
        <v>4.5050410692720098</v>
      </c>
      <c r="L16" s="25">
        <f t="shared" ca="1" si="4"/>
        <v>5.1276941171986561</v>
      </c>
      <c r="M16" s="25">
        <f t="shared" ca="1" si="4"/>
        <v>5.7118558559216526</v>
      </c>
      <c r="N16" s="25">
        <f t="shared" ca="1" si="4"/>
        <v>6.2283563127794315</v>
      </c>
    </row>
    <row r="17" spans="1:14" x14ac:dyDescent="0.2">
      <c r="A17" t="s">
        <v>51</v>
      </c>
      <c r="C17" s="25">
        <f t="shared" ca="1" si="0"/>
        <v>0</v>
      </c>
      <c r="D17" s="25">
        <f t="shared" ca="1" si="1"/>
        <v>0.92776494907348828</v>
      </c>
      <c r="E17" s="25">
        <f t="shared" ca="1" si="1"/>
        <v>1</v>
      </c>
      <c r="F17" s="25">
        <f t="shared" ca="1" si="1"/>
        <v>0.99330800242211992</v>
      </c>
      <c r="G17" s="25">
        <f t="shared" ca="1" si="1"/>
        <v>0.81546640667662573</v>
      </c>
      <c r="H17" s="25">
        <f t="shared" ca="1" si="1"/>
        <v>0.73733860673760354</v>
      </c>
      <c r="I17" s="25">
        <f t="shared" ca="1" si="1"/>
        <v>0.7618962853753054</v>
      </c>
      <c r="J17" s="25">
        <f t="shared" ref="J17:N17" ca="1" si="5">J4/$E4</f>
        <v>0.8159922750345866</v>
      </c>
      <c r="K17" s="25">
        <f t="shared" ca="1" si="5"/>
        <v>0.86587664684185983</v>
      </c>
      <c r="L17" s="25">
        <f t="shared" ca="1" si="5"/>
        <v>0.90951718116895308</v>
      </c>
      <c r="M17" s="25">
        <f t="shared" ca="1" si="5"/>
        <v>0.9314998713355036</v>
      </c>
      <c r="N17" s="25">
        <f t="shared" ca="1" si="5"/>
        <v>0.94073721784045783</v>
      </c>
    </row>
    <row r="18" spans="1:14" ht="19" x14ac:dyDescent="0.2">
      <c r="A18" t="s">
        <v>52</v>
      </c>
      <c r="C18" s="25">
        <f t="shared" ca="1" si="0"/>
        <v>0</v>
      </c>
      <c r="D18" s="25">
        <f t="shared" ca="1" si="1"/>
        <v>0.90741709510933921</v>
      </c>
      <c r="E18" s="25">
        <f t="shared" ca="1" si="1"/>
        <v>1</v>
      </c>
      <c r="F18" s="25">
        <f t="shared" ca="1" si="1"/>
        <v>1.011951330228152</v>
      </c>
      <c r="G18" s="25">
        <f t="shared" ca="1" si="1"/>
        <v>0.79538466092997551</v>
      </c>
      <c r="H18" s="25">
        <f t="shared" ca="1" si="1"/>
        <v>0.65211968106102469</v>
      </c>
      <c r="I18" s="25">
        <f t="shared" ca="1" si="1"/>
        <v>0.6932809539551591</v>
      </c>
      <c r="J18" s="25">
        <f t="shared" ref="J18:N18" ca="1" si="6">J5/$E5</f>
        <v>0.75717908739243711</v>
      </c>
      <c r="K18" s="25">
        <f t="shared" ca="1" si="6"/>
        <v>0.86339368536354311</v>
      </c>
      <c r="L18" s="25">
        <f t="shared" ca="1" si="6"/>
        <v>0.92773033522144155</v>
      </c>
      <c r="M18" s="25">
        <f t="shared" ca="1" si="6"/>
        <v>0.94559405097892157</v>
      </c>
      <c r="N18" s="25">
        <f t="shared" ca="1" si="6"/>
        <v>0.97310296932975449</v>
      </c>
    </row>
    <row r="19" spans="1:14" ht="18" x14ac:dyDescent="0.25">
      <c r="A19" t="s">
        <v>53</v>
      </c>
      <c r="C19" s="25">
        <f t="shared" ca="1" si="0"/>
        <v>0</v>
      </c>
      <c r="D19" s="25">
        <f t="shared" ca="1" si="1"/>
        <v>0.91180599885966751</v>
      </c>
      <c r="E19" s="25">
        <f t="shared" ca="1" si="1"/>
        <v>1</v>
      </c>
      <c r="F19" s="25">
        <f t="shared" ca="1" si="1"/>
        <v>0.94785510799387795</v>
      </c>
      <c r="G19" s="25">
        <f t="shared" ca="1" si="1"/>
        <v>0.68524481210483223</v>
      </c>
      <c r="H19" s="25">
        <f t="shared" ca="1" si="1"/>
        <v>0.43985237368087199</v>
      </c>
      <c r="I19" s="25">
        <f t="shared" ca="1" si="1"/>
        <v>0.36069931434854796</v>
      </c>
      <c r="J19" s="25">
        <f t="shared" ref="J19:N19" ca="1" si="7">J6/$E6</f>
        <v>0.3674436132820923</v>
      </c>
      <c r="K19" s="25">
        <f t="shared" ca="1" si="7"/>
        <v>0.41538439610379896</v>
      </c>
      <c r="L19" s="25">
        <f t="shared" ca="1" si="7"/>
        <v>0.39824428365542941</v>
      </c>
      <c r="M19" s="25">
        <f t="shared" ca="1" si="7"/>
        <v>0.36017966656652212</v>
      </c>
      <c r="N19" s="25">
        <f t="shared" ca="1" si="7"/>
        <v>0.35792427776233915</v>
      </c>
    </row>
    <row r="20" spans="1:14" x14ac:dyDescent="0.2">
      <c r="A20" t="s">
        <v>43</v>
      </c>
      <c r="C20" s="25">
        <f t="shared" ca="1" si="0"/>
        <v>0</v>
      </c>
      <c r="D20" s="25">
        <f t="shared" ca="1" si="1"/>
        <v>0.96053283103398357</v>
      </c>
      <c r="E20" s="25">
        <f t="shared" ca="1" si="1"/>
        <v>1</v>
      </c>
      <c r="F20" s="25">
        <f t="shared" ca="1" si="1"/>
        <v>0.95306715783833784</v>
      </c>
      <c r="G20" s="25">
        <f t="shared" ca="1" si="1"/>
        <v>0.65661494226786965</v>
      </c>
      <c r="H20" s="25">
        <f t="shared" ca="1" si="1"/>
        <v>0.37888345355147079</v>
      </c>
      <c r="I20" s="25">
        <f t="shared" ca="1" si="1"/>
        <v>0.28302857445169249</v>
      </c>
      <c r="J20" s="25">
        <f t="shared" ref="J20:N20" ca="1" si="8">J7/$E7</f>
        <v>0.28369804967784179</v>
      </c>
      <c r="K20" s="25">
        <f t="shared" ca="1" si="8"/>
        <v>0.32186927246246461</v>
      </c>
      <c r="L20" s="25">
        <f t="shared" ca="1" si="8"/>
        <v>0.30363599084891729</v>
      </c>
      <c r="M20" s="25">
        <f t="shared" ca="1" si="8"/>
        <v>0.27673532443814258</v>
      </c>
      <c r="N20" s="25">
        <f t="shared" ca="1" si="8"/>
        <v>0.28543322190133863</v>
      </c>
    </row>
    <row r="21" spans="1:14" x14ac:dyDescent="0.2">
      <c r="A21" t="s">
        <v>54</v>
      </c>
      <c r="C21" s="25">
        <f t="shared" ca="1" si="0"/>
        <v>0</v>
      </c>
      <c r="D21" s="25">
        <f t="shared" ca="1" si="1"/>
        <v>0.96053283103398357</v>
      </c>
      <c r="E21" s="25">
        <f t="shared" ca="1" si="1"/>
        <v>1</v>
      </c>
      <c r="F21" s="25">
        <f t="shared" ca="1" si="1"/>
        <v>0.95199410255299666</v>
      </c>
      <c r="G21" s="25">
        <f t="shared" ca="1" si="1"/>
        <v>0.61597784841162617</v>
      </c>
      <c r="H21" s="25">
        <f t="shared" ca="1" si="1"/>
        <v>0.29863845396052124</v>
      </c>
      <c r="I21" s="25">
        <f t="shared" ca="1" si="1"/>
        <v>0.18366509973371833</v>
      </c>
      <c r="J21" s="25">
        <f t="shared" ref="J21:N21" ca="1" si="9">J8/$E8</f>
        <v>0.14226712190715854</v>
      </c>
      <c r="K21" s="25">
        <f t="shared" ca="1" si="9"/>
        <v>0.11856993274917854</v>
      </c>
      <c r="L21" s="25">
        <f t="shared" ca="1" si="9"/>
        <v>9.9741209357849775E-2</v>
      </c>
      <c r="M21" s="25">
        <f t="shared" ca="1" si="9"/>
        <v>9.3017474595385161E-2</v>
      </c>
      <c r="N21" s="25">
        <f t="shared" ca="1" si="9"/>
        <v>9.8475421960357579E-2</v>
      </c>
    </row>
    <row r="27" spans="1:14" x14ac:dyDescent="0.2">
      <c r="A27" s="21" t="s">
        <v>57</v>
      </c>
    </row>
    <row r="28" spans="1:14" x14ac:dyDescent="0.2">
      <c r="A28" t="s">
        <v>49</v>
      </c>
      <c r="F28" s="25">
        <f t="shared" ref="F28:I28" ca="1" si="10">((F2-E2)/(F$1-E$1))/$E2</f>
        <v>9.4528494321536507E-3</v>
      </c>
      <c r="G28" s="25">
        <f t="shared" ca="1" si="10"/>
        <v>7.0188846630767961E-3</v>
      </c>
      <c r="H28" s="25">
        <f t="shared" ca="1" si="10"/>
        <v>4.7216736755390128E-3</v>
      </c>
      <c r="I28" s="25">
        <f t="shared" ca="1" si="10"/>
        <v>2.0476949446812287E-3</v>
      </c>
      <c r="J28" s="25">
        <f t="shared" ref="J28:J34" ca="1" si="11">((J2-I2)/(J$1-I$1))/$E2</f>
        <v>-5.5367434258932343E-4</v>
      </c>
      <c r="K28" s="25">
        <f t="shared" ref="K28:K34" ca="1" si="12">((K2-J2)/(K$1-J$1))/$E2</f>
        <v>-2.7915519938780265E-3</v>
      </c>
      <c r="L28" s="25">
        <f t="shared" ref="L28:L34" ca="1" si="13">((L2-K2)/(L$1-K$1))/$E2</f>
        <v>-4.7901281631101645E-3</v>
      </c>
      <c r="M28" s="25">
        <f t="shared" ref="M28:M34" ca="1" si="14">((M2-L2)/(M$1-L$1))/$E2</f>
        <v>-6.6013644903773682E-3</v>
      </c>
      <c r="N28" s="25">
        <f t="shared" ref="N28:N34" ca="1" si="15">((N2-M2)/(N$1-M$1))/$E2</f>
        <v>-7.9815294216738619E-3</v>
      </c>
    </row>
    <row r="29" spans="1:14" x14ac:dyDescent="0.2">
      <c r="A29" t="s">
        <v>456</v>
      </c>
      <c r="F29" s="25">
        <f t="shared" ref="F29:I29" ca="1" si="16">((F3-E3)/(F$1-E$1))/$E3</f>
        <v>4.7640401176704088E-2</v>
      </c>
      <c r="G29" s="25">
        <f t="shared" ca="1" si="16"/>
        <v>6.0600589675755934E-2</v>
      </c>
      <c r="H29" s="25">
        <f t="shared" ca="1" si="16"/>
        <v>5.9512381490567132E-2</v>
      </c>
      <c r="I29" s="25">
        <f t="shared" ca="1" si="16"/>
        <v>5.9426635784214303E-2</v>
      </c>
      <c r="J29" s="25">
        <f t="shared" ca="1" si="11"/>
        <v>5.9984793089128914E-2</v>
      </c>
      <c r="K29" s="25">
        <f t="shared" ca="1" si="12"/>
        <v>6.3339305710830643E-2</v>
      </c>
      <c r="L29" s="25">
        <f t="shared" ca="1" si="13"/>
        <v>6.2265304792664608E-2</v>
      </c>
      <c r="M29" s="25">
        <f t="shared" ca="1" si="14"/>
        <v>5.8416173872299644E-2</v>
      </c>
      <c r="N29" s="25">
        <f t="shared" ca="1" si="15"/>
        <v>5.1650045685777912E-2</v>
      </c>
    </row>
    <row r="30" spans="1:14" x14ac:dyDescent="0.2">
      <c r="A30" t="s">
        <v>51</v>
      </c>
      <c r="F30" s="25">
        <f t="shared" ref="F30:I30" ca="1" si="17">((F4-E4)/(F$1-E$1))/$E4</f>
        <v>-6.6919975778801245E-4</v>
      </c>
      <c r="G30" s="25">
        <f t="shared" ca="1" si="17"/>
        <v>-1.7784159574549409E-2</v>
      </c>
      <c r="H30" s="25">
        <f t="shared" ca="1" si="17"/>
        <v>-7.8127799939022267E-3</v>
      </c>
      <c r="I30" s="25">
        <f t="shared" ca="1" si="17"/>
        <v>2.4557678637701879E-3</v>
      </c>
      <c r="J30" s="25">
        <f t="shared" ca="1" si="11"/>
        <v>5.4095989659281229E-3</v>
      </c>
      <c r="K30" s="25">
        <f t="shared" ca="1" si="12"/>
        <v>4.9884371807273238E-3</v>
      </c>
      <c r="L30" s="25">
        <f t="shared" ca="1" si="13"/>
        <v>4.3640534327093212E-3</v>
      </c>
      <c r="M30" s="25">
        <f t="shared" ca="1" si="14"/>
        <v>2.1982690166550507E-3</v>
      </c>
      <c r="N30" s="25">
        <f t="shared" ca="1" si="15"/>
        <v>9.2373465049542234E-4</v>
      </c>
    </row>
    <row r="31" spans="1:14" ht="19" x14ac:dyDescent="0.2">
      <c r="A31" t="s">
        <v>52</v>
      </c>
      <c r="F31" s="25">
        <f t="shared" ref="F31:I34" ca="1" si="18">((F5-E5)/(F$1-E$1))/$E5</f>
        <v>1.195133022815188E-3</v>
      </c>
      <c r="G31" s="25">
        <f t="shared" ca="1" si="18"/>
        <v>-2.1656666929817641E-2</v>
      </c>
      <c r="H31" s="25">
        <f t="shared" ca="1" si="18"/>
        <v>-1.4326497986895078E-2</v>
      </c>
      <c r="I31" s="25">
        <f t="shared" ca="1" si="18"/>
        <v>4.1161272894134418E-3</v>
      </c>
      <c r="J31" s="25">
        <f t="shared" ca="1" si="11"/>
        <v>6.3898133437277991E-3</v>
      </c>
      <c r="K31" s="25">
        <f t="shared" ca="1" si="12"/>
        <v>1.0621459797110596E-2</v>
      </c>
      <c r="L31" s="25">
        <f t="shared" ca="1" si="13"/>
        <v>6.4336649857898538E-3</v>
      </c>
      <c r="M31" s="25">
        <f t="shared" ca="1" si="14"/>
        <v>1.7863715757480004E-3</v>
      </c>
      <c r="N31" s="25">
        <f t="shared" ca="1" si="15"/>
        <v>2.7508918350832826E-3</v>
      </c>
    </row>
    <row r="32" spans="1:14" ht="18" x14ac:dyDescent="0.25">
      <c r="A32" t="s">
        <v>53</v>
      </c>
      <c r="F32" s="25">
        <f t="shared" ca="1" si="18"/>
        <v>-5.2144892006122084E-3</v>
      </c>
      <c r="G32" s="25">
        <f t="shared" ca="1" si="18"/>
        <v>-2.6261029588904566E-2</v>
      </c>
      <c r="H32" s="25">
        <f t="shared" ca="1" si="18"/>
        <v>-2.4539243842396027E-2</v>
      </c>
      <c r="I32" s="25">
        <f t="shared" ca="1" si="18"/>
        <v>-7.9153059332323986E-3</v>
      </c>
      <c r="J32" s="25">
        <f t="shared" ca="1" si="11"/>
        <v>6.74429893354429E-4</v>
      </c>
      <c r="K32" s="25">
        <f t="shared" ca="1" si="12"/>
        <v>4.7940782821706664E-3</v>
      </c>
      <c r="L32" s="25">
        <f t="shared" ca="1" si="13"/>
        <v>-1.7140112448369533E-3</v>
      </c>
      <c r="M32" s="25">
        <f t="shared" ca="1" si="14"/>
        <v>-3.8064617088907258E-3</v>
      </c>
      <c r="N32" s="25">
        <f t="shared" ca="1" si="15"/>
        <v>-2.2553888041830145E-4</v>
      </c>
    </row>
    <row r="33" spans="1:14" x14ac:dyDescent="0.2">
      <c r="A33" t="s">
        <v>43</v>
      </c>
      <c r="F33" s="25">
        <f t="shared" ca="1" si="18"/>
        <v>-4.6932842161662167E-3</v>
      </c>
      <c r="G33" s="25">
        <f t="shared" ca="1" si="18"/>
        <v>-2.9645221557046814E-2</v>
      </c>
      <c r="H33" s="25">
        <f t="shared" ca="1" si="18"/>
        <v>-2.777314887163989E-2</v>
      </c>
      <c r="I33" s="25">
        <f t="shared" ca="1" si="18"/>
        <v>-9.5854879099778328E-3</v>
      </c>
      <c r="J33" s="25">
        <f t="shared" ca="1" si="11"/>
        <v>6.694752261492972E-5</v>
      </c>
      <c r="K33" s="25">
        <f t="shared" ca="1" si="12"/>
        <v>3.8171222784622815E-3</v>
      </c>
      <c r="L33" s="25">
        <f t="shared" ca="1" si="13"/>
        <v>-1.8233281613547309E-3</v>
      </c>
      <c r="M33" s="25">
        <f t="shared" ca="1" si="14"/>
        <v>-2.6900666410774698E-3</v>
      </c>
      <c r="N33" s="25">
        <f t="shared" ca="1" si="15"/>
        <v>8.6978974631960436E-4</v>
      </c>
    </row>
    <row r="34" spans="1:14" x14ac:dyDescent="0.2">
      <c r="A34" t="s">
        <v>54</v>
      </c>
      <c r="F34" s="25">
        <f t="shared" ca="1" si="18"/>
        <v>-4.8005897447003301E-3</v>
      </c>
      <c r="G34" s="25">
        <f t="shared" ca="1" si="18"/>
        <v>-3.3601625414137054E-2</v>
      </c>
      <c r="H34" s="25">
        <f t="shared" ca="1" si="18"/>
        <v>-3.1733939445110493E-2</v>
      </c>
      <c r="I34" s="25">
        <f t="shared" ca="1" si="18"/>
        <v>-1.1497335422680289E-2</v>
      </c>
      <c r="J34" s="25">
        <f t="shared" ca="1" si="11"/>
        <v>-4.1397977826559797E-3</v>
      </c>
      <c r="K34" s="25">
        <f t="shared" ca="1" si="12"/>
        <v>-2.3697189157979985E-3</v>
      </c>
      <c r="L34" s="25">
        <f t="shared" ca="1" si="13"/>
        <v>-1.8828723391328772E-3</v>
      </c>
      <c r="M34" s="25">
        <f t="shared" ca="1" si="14"/>
        <v>-6.7237347624646076E-4</v>
      </c>
      <c r="N34" s="25">
        <f t="shared" ca="1" si="15"/>
        <v>5.4579473649724129E-4</v>
      </c>
    </row>
  </sheetData>
  <pageMargins left="0.7" right="0.7" top="0.75" bottom="0.75" header="0.3" footer="0.3"/>
  <pageSetup orientation="portrait" horizontalDpi="0" verticalDpi="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4778F-9030-CE46-882D-EF97CB915CE0}">
  <sheetPr codeName="Sheet14">
    <tabColor rgb="FF00B050"/>
  </sheetPr>
  <dimension ref="A1:N38"/>
  <sheetViews>
    <sheetView workbookViewId="0">
      <selection activeCell="A29" sqref="A29:A37"/>
    </sheetView>
  </sheetViews>
  <sheetFormatPr baseColWidth="10" defaultRowHeight="16" x14ac:dyDescent="0.2"/>
  <cols>
    <col min="1" max="1" width="16.5" customWidth="1"/>
    <col min="2" max="2" width="21.6640625" customWidth="1"/>
    <col min="3" max="14" width="10.83203125" style="25"/>
  </cols>
  <sheetData>
    <row r="1" spans="1:14" s="184" customFormat="1" x14ac:dyDescent="0.2">
      <c r="A1" s="184" t="s">
        <v>37</v>
      </c>
      <c r="C1" s="184">
        <f>'Ref Data'!F13</f>
        <v>2000</v>
      </c>
      <c r="D1" s="184">
        <f>'Ref Data'!G13</f>
        <v>2005</v>
      </c>
      <c r="E1" s="184">
        <f>'Ref Data'!H13</f>
        <v>2010</v>
      </c>
      <c r="F1" s="184">
        <f>'Ref Data'!I13</f>
        <v>2020</v>
      </c>
      <c r="G1" s="184">
        <f>'Ref Data'!J13</f>
        <v>2030</v>
      </c>
      <c r="H1" s="184">
        <f>'Ref Data'!K13</f>
        <v>2040</v>
      </c>
      <c r="I1" s="184">
        <f>'Ref Data'!L13</f>
        <v>2050</v>
      </c>
      <c r="J1" s="184">
        <f>'Ref Data'!M13</f>
        <v>2060</v>
      </c>
      <c r="K1" s="184">
        <f>'Ref Data'!N13</f>
        <v>2070</v>
      </c>
      <c r="L1" s="184">
        <f>'Ref Data'!O13</f>
        <v>2080</v>
      </c>
      <c r="M1" s="184">
        <f>'Ref Data'!P13</f>
        <v>2090</v>
      </c>
      <c r="N1" s="184">
        <f>'Ref Data'!Q13</f>
        <v>2100</v>
      </c>
    </row>
    <row r="2" spans="1:14" x14ac:dyDescent="0.2">
      <c r="A2" t="s">
        <v>49</v>
      </c>
      <c r="B2" t="s">
        <v>55</v>
      </c>
      <c r="D2" s="25">
        <f ca="1">'Ref Data'!G23/1000</f>
        <v>6.5305478519999998</v>
      </c>
      <c r="E2" s="25">
        <f ca="1">'Ref Data'!H23/1000</f>
        <v>6.9217978520000001</v>
      </c>
      <c r="F2" s="25">
        <f ca="1">'Ref Data'!I23/1000</f>
        <v>7.6715019529999999</v>
      </c>
      <c r="G2" s="25">
        <f ca="1">'Ref Data'!J23/1000</f>
        <v>8.3276826170000007</v>
      </c>
      <c r="H2" s="25">
        <f ca="1">'Ref Data'!K23/1000</f>
        <v>8.8571757810000005</v>
      </c>
      <c r="I2" s="25">
        <f ca="1">'Ref Data'!L23/1000</f>
        <v>9.2425429690000005</v>
      </c>
      <c r="J2" s="25">
        <f ca="1">'Ref Data'!M23/1000</f>
        <v>9.4599677730000007</v>
      </c>
      <c r="K2" s="25">
        <f ca="1">'Ref Data'!N23/1000</f>
        <v>9.5310947269999993</v>
      </c>
      <c r="L2" s="25">
        <f ca="1">'Ref Data'!O23/1000</f>
        <v>9.4802275389999995</v>
      </c>
      <c r="M2" s="25">
        <f ca="1">'Ref Data'!P23/1000</f>
        <v>9.3257070310000003</v>
      </c>
      <c r="N2" s="25">
        <f ca="1">'Ref Data'!Q23/1000</f>
        <v>9.1032343749999995</v>
      </c>
    </row>
    <row r="3" spans="1:14" x14ac:dyDescent="0.2">
      <c r="A3" t="s">
        <v>459</v>
      </c>
      <c r="B3" t="s">
        <v>58</v>
      </c>
      <c r="C3" s="25" t="e">
        <f>IF('Ref Data'!F22=0,'Ref Data'!F28,'Ref Data'!F22)/('Ref Data'!F23*10^-3)</f>
        <v>#DIV/0!</v>
      </c>
      <c r="D3" s="25">
        <f ca="1">IF('Ref Data'!G22=0,'Ref Data'!G28,'Ref Data'!G22)/('Ref Data'!G23*10^-3)</f>
        <v>9669.7349489079279</v>
      </c>
      <c r="E3" s="25">
        <f ca="1">IF('Ref Data'!H22=0,'Ref Data'!H28,'Ref Data'!H22)/('Ref Data'!H23*10^-3)</f>
        <v>10879.842592952973</v>
      </c>
      <c r="F3" s="25">
        <f ca="1">IF('Ref Data'!I22=0,'Ref Data'!I28,'Ref Data'!I22)/('Ref Data'!I23*10^-3)</f>
        <v>14568.519187601125</v>
      </c>
      <c r="G3" s="25">
        <f ca="1">IF('Ref Data'!J22=0,'Ref Data'!J28,'Ref Data'!J22)/('Ref Data'!J23*10^-3)</f>
        <v>19128.274242202668</v>
      </c>
      <c r="H3" s="25">
        <f ca="1">IF('Ref Data'!K22=0,'Ref Data'!K28,'Ref Data'!K22)/('Ref Data'!K23*10^-3)</f>
        <v>23409.973814089757</v>
      </c>
      <c r="I3" s="25">
        <f ca="1">IF('Ref Data'!L22=0,'Ref Data'!L28,'Ref Data'!L22)/('Ref Data'!L23*10^-3)</f>
        <v>27874.876834667815</v>
      </c>
      <c r="J3" s="25">
        <f ca="1">IF('Ref Data'!M22=0,'Ref Data'!M28,'Ref Data'!M22)/('Ref Data'!M23*10^-3)</f>
        <v>32936.227752199971</v>
      </c>
      <c r="K3" s="25">
        <f ca="1">IF('Ref Data'!N22=0,'Ref Data'!N28,'Ref Data'!N22)/('Ref Data'!N23*10^-3)</f>
        <v>39113.319159858984</v>
      </c>
      <c r="L3" s="25">
        <f ca="1">IF('Ref Data'!O22=0,'Ref Data'!O28,'Ref Data'!O22)/('Ref Data'!O23*10^-3)</f>
        <v>46376.255347387611</v>
      </c>
      <c r="M3" s="25">
        <f ca="1">IF('Ref Data'!P22=0,'Ref Data'!P28,'Ref Data'!P22)/('Ref Data'!P23*10^-3)</f>
        <v>54968.206924792466</v>
      </c>
      <c r="N3" s="25">
        <f ca="1">IF('Ref Data'!Q22=0,'Ref Data'!Q28,'Ref Data'!Q22)/('Ref Data'!Q23*10^-3)</f>
        <v>65039.571443528832</v>
      </c>
    </row>
    <row r="4" spans="1:14" x14ac:dyDescent="0.2">
      <c r="A4" t="s">
        <v>460</v>
      </c>
      <c r="B4" t="s">
        <v>61</v>
      </c>
      <c r="C4" s="25" t="e">
        <f>'Ref Data'!F21/IF('Ref Data'!F22=0,'Ref Data'!F28,'Ref Data'!F22)</f>
        <v>#DIV/0!</v>
      </c>
      <c r="D4" s="25">
        <f ca="1">'Ref Data'!G21/(IF('Ref Data'!G22=0,'Ref Data'!G28,'Ref Data'!G22)*10^-3)</f>
        <v>5.4011101672220896</v>
      </c>
      <c r="E4" s="25">
        <f ca="1">'Ref Data'!H21/(IF('Ref Data'!H22=0,'Ref Data'!H28,'Ref Data'!H22)*10^-3)</f>
        <v>4.8881986641254178</v>
      </c>
      <c r="F4" s="25">
        <f ca="1">'Ref Data'!I21/(IF('Ref Data'!I22=0,'Ref Data'!I28,'Ref Data'!I22)*10^-3)</f>
        <v>3.785090672076461</v>
      </c>
      <c r="G4" s="25">
        <f ca="1">'Ref Data'!J21/(IF('Ref Data'!J22=0,'Ref Data'!J28,'Ref Data'!J22)*10^-3)</f>
        <v>3.0096676660541926</v>
      </c>
      <c r="H4" s="25">
        <f ca="1">'Ref Data'!K21/(IF('Ref Data'!K22=0,'Ref Data'!K28,'Ref Data'!K22)*10^-3)</f>
        <v>2.6137239853503771</v>
      </c>
      <c r="I4" s="25">
        <f ca="1">'Ref Data'!L21/(IF('Ref Data'!L22=0,'Ref Data'!L28,'Ref Data'!L22)*10^-3)</f>
        <v>2.3365353266329931</v>
      </c>
      <c r="J4" s="25">
        <f ca="1">'Ref Data'!M21/(IF('Ref Data'!M22=0,'Ref Data'!M28,'Ref Data'!M22)*10^-3)</f>
        <v>2.1328361375101297</v>
      </c>
      <c r="K4" s="25">
        <f ca="1">'Ref Data'!N21/(IF('Ref Data'!N22=0,'Ref Data'!N28,'Ref Data'!N22)*10^-3)</f>
        <v>1.9288233877938881</v>
      </c>
      <c r="L4" s="25">
        <f ca="1">'Ref Data'!O21/(IF('Ref Data'!O22=0,'Ref Data'!O28,'Ref Data'!O22)*10^-3)</f>
        <v>1.7411165660960337</v>
      </c>
      <c r="M4" s="25">
        <f ca="1">'Ref Data'!P21/(IF('Ref Data'!P22=0,'Ref Data'!P28,'Ref Data'!P22)*10^-3)</f>
        <v>1.5625579324616352</v>
      </c>
      <c r="N4" s="25">
        <f ca="1">'Ref Data'!Q21/(IF('Ref Data'!Q22=0,'Ref Data'!Q28,'Ref Data'!Q22)*10^-3)</f>
        <v>1.4049040446769456</v>
      </c>
    </row>
    <row r="5" spans="1:14" ht="19" x14ac:dyDescent="0.2">
      <c r="A5" t="s">
        <v>62</v>
      </c>
      <c r="C5" s="25" t="e">
        <f>'Ref Data'!F24/'Ref Data'!F21</f>
        <v>#DIV/0!</v>
      </c>
      <c r="D5" s="25">
        <f ca="1">'Ref Data'!G24/'Ref Data'!G21</f>
        <v>1.3457755961309554</v>
      </c>
      <c r="E5" s="25">
        <f ca="1">'Ref Data'!H24/'Ref Data'!H21</f>
        <v>1.375178461283006</v>
      </c>
      <c r="F5" s="25">
        <f ca="1">'Ref Data'!I24/'Ref Data'!I21</f>
        <v>1.4047680763981099</v>
      </c>
      <c r="G5" s="25">
        <f ca="1">'Ref Data'!J24/'Ref Data'!J21</f>
        <v>1.4113151606748491</v>
      </c>
      <c r="H5" s="25">
        <f ca="1">'Ref Data'!K24/'Ref Data'!K21</f>
        <v>1.3941980368427014</v>
      </c>
      <c r="I5" s="25">
        <f ca="1">'Ref Data'!L24/'Ref Data'!L21</f>
        <v>1.3825816225258558</v>
      </c>
      <c r="J5" s="25">
        <f ca="1">'Ref Data'!M24/'Ref Data'!M21</f>
        <v>1.3695457674328577</v>
      </c>
      <c r="K5" s="25">
        <f ca="1">'Ref Data'!N24/'Ref Data'!N21</f>
        <v>1.358545921005992</v>
      </c>
      <c r="L5" s="25">
        <f ca="1">'Ref Data'!O24/'Ref Data'!O21</f>
        <v>1.3556903303892138</v>
      </c>
      <c r="M5" s="25">
        <f ca="1">'Ref Data'!P24/'Ref Data'!P21</f>
        <v>1.3675164697629745</v>
      </c>
      <c r="N5" s="25">
        <f ca="1">'Ref Data'!Q24/'Ref Data'!Q21</f>
        <v>1.3847835667058763</v>
      </c>
    </row>
    <row r="6" spans="1:14" ht="19" x14ac:dyDescent="0.2">
      <c r="A6" t="s">
        <v>66</v>
      </c>
      <c r="C6" s="25" t="e">
        <f>PEfossilRef!C6/'Ref Data'!F24</f>
        <v>#DIV/0!</v>
      </c>
      <c r="D6" s="25">
        <f ca="1">PEfossilRef!D6/'Ref Data'!G24</f>
        <v>0.85884811084796486</v>
      </c>
      <c r="E6" s="25">
        <f ca="1">PEfossilRef!E6/'Ref Data'!H24</f>
        <v>0.85060341362881065</v>
      </c>
      <c r="F6" s="25">
        <f ca="1">PEfossilRef!F6/'Ref Data'!I24</f>
        <v>0.84334185416428931</v>
      </c>
      <c r="G6" s="25">
        <f ca="1">PEfossilRef!G6/'Ref Data'!J24</f>
        <v>0.83494210452710382</v>
      </c>
      <c r="H6" s="25">
        <f ca="1">PEfossilRef!H6/'Ref Data'!K24</f>
        <v>0.81411340290131473</v>
      </c>
      <c r="I6" s="25">
        <f ca="1">PEfossilRef!I6/'Ref Data'!L24</f>
        <v>0.80889571916540337</v>
      </c>
      <c r="J6" s="25">
        <f ca="1">PEfossilRef!J6/'Ref Data'!M24</f>
        <v>0.82244693228204069</v>
      </c>
      <c r="K6" s="25">
        <f ca="1">PEfossilRef!K6/'Ref Data'!N24</f>
        <v>0.81311804509185615</v>
      </c>
      <c r="L6" s="25">
        <f ca="1">PEfossilRef!L6/'Ref Data'!O24</f>
        <v>0.79782071414392741</v>
      </c>
      <c r="M6" s="25">
        <f ca="1">PEfossilRef!M6/'Ref Data'!P24</f>
        <v>0.79045583960897325</v>
      </c>
      <c r="N6" s="25">
        <f ca="1">PEfossilRef!N6/'Ref Data'!Q24</f>
        <v>0.78717489716685785</v>
      </c>
    </row>
    <row r="7" spans="1:14" ht="19" x14ac:dyDescent="0.2">
      <c r="A7" t="s">
        <v>64</v>
      </c>
      <c r="B7" t="s">
        <v>63</v>
      </c>
      <c r="C7" s="25" t="e">
        <f>FossilEneEmissionsAccountingRef!C19/PEfossilRef!C6</f>
        <v>#DIV/0!</v>
      </c>
      <c r="D7" s="25">
        <f ca="1">IFERROR(FossilEneEmissionsAccountingRef!D19/PEfossilRef!D6, NA())</f>
        <v>74.561240825193366</v>
      </c>
      <c r="E7" s="25">
        <f ca="1">IFERROR(FossilEneEmissionsAccountingRef!E19/PEfossilRef!E6, NA())</f>
        <v>70.809223457492806</v>
      </c>
      <c r="F7" s="25">
        <f ca="1">IFERROR(FossilEneEmissionsAccountingRef!F19/PEfossilRef!F6, NA())</f>
        <v>72.66908654603688</v>
      </c>
      <c r="G7" s="25">
        <f ca="1">IFERROR(FossilEneEmissionsAccountingRef!G19/PEfossilRef!G6, NA())</f>
        <v>72.890883419106402</v>
      </c>
      <c r="H7" s="25">
        <f ca="1">IFERROR(FossilEneEmissionsAccountingRef!H19/PEfossilRef!H6, NA())</f>
        <v>72.567464850194185</v>
      </c>
      <c r="I7" s="25">
        <f ca="1">IFERROR(FossilEneEmissionsAccountingRef!I19/PEfossilRef!I6, NA())</f>
        <v>72.266403819653618</v>
      </c>
      <c r="J7" s="25">
        <f ca="1">IFERROR(FossilEneEmissionsAccountingRef!J19/PEfossilRef!J6, NA())</f>
        <v>71.675915512519595</v>
      </c>
      <c r="K7" s="25">
        <f ca="1">IFERROR(FossilEneEmissionsAccountingRef!K19/PEfossilRef!K6, NA())</f>
        <v>72.396571674596771</v>
      </c>
      <c r="L7" s="25">
        <f ca="1">IFERROR(FossilEneEmissionsAccountingRef!L19/PEfossilRef!L6, NA())</f>
        <v>73.244974333014838</v>
      </c>
      <c r="M7" s="25">
        <f ca="1">IFERROR(FossilEneEmissionsAccountingRef!M19/PEfossilRef!M6, NA())</f>
        <v>74.641929933170829</v>
      </c>
      <c r="N7" s="25">
        <f ca="1">IFERROR(FossilEneEmissionsAccountingRef!N19/PEfossilRef!N6, NA())</f>
        <v>76.434424487093352</v>
      </c>
    </row>
    <row r="8" spans="1:14" x14ac:dyDescent="0.2">
      <c r="A8" t="s">
        <v>65</v>
      </c>
      <c r="C8" s="25" t="e">
        <f>FossilEneEmissionsAccountingRef!C20/FossilEneEmissionsAccountingRef!C19</f>
        <v>#DIV/0!</v>
      </c>
      <c r="D8" s="25">
        <f ca="1">FossilEneEmissionsAccountingRef!D20/FossilEneEmissionsAccountingRef!D19</f>
        <v>1</v>
      </c>
      <c r="E8" s="25">
        <f ca="1">FossilEneEmissionsAccountingRef!E20/FossilEneEmissionsAccountingRef!E19</f>
        <v>1</v>
      </c>
      <c r="F8" s="25">
        <f ca="1">FossilEneEmissionsAccountingRef!F20/FossilEneEmissionsAccountingRef!F19</f>
        <v>1</v>
      </c>
      <c r="G8" s="25">
        <f ca="1">FossilEneEmissionsAccountingRef!G20/FossilEneEmissionsAccountingRef!G19</f>
        <v>1</v>
      </c>
      <c r="H8" s="25">
        <f ca="1">FossilEneEmissionsAccountingRef!H20/FossilEneEmissionsAccountingRef!H19</f>
        <v>1</v>
      </c>
      <c r="I8" s="25">
        <f ca="1">FossilEneEmissionsAccountingRef!I20/FossilEneEmissionsAccountingRef!I19</f>
        <v>1</v>
      </c>
      <c r="J8" s="25">
        <f ca="1">FossilEneEmissionsAccountingRef!J20/FossilEneEmissionsAccountingRef!J19</f>
        <v>1</v>
      </c>
      <c r="K8" s="25">
        <f ca="1">FossilEneEmissionsAccountingRef!K20/FossilEneEmissionsAccountingRef!K19</f>
        <v>1</v>
      </c>
      <c r="L8" s="25">
        <f ca="1">FossilEneEmissionsAccountingRef!L20/FossilEneEmissionsAccountingRef!L19</f>
        <v>1</v>
      </c>
      <c r="M8" s="25">
        <f ca="1">FossilEneEmissionsAccountingRef!M20/FossilEneEmissionsAccountingRef!M19</f>
        <v>1</v>
      </c>
      <c r="N8" s="25">
        <f ca="1">FossilEneEmissionsAccountingRef!N20/FossilEneEmissionsAccountingRef!N19</f>
        <v>1</v>
      </c>
    </row>
    <row r="11" spans="1:14" ht="19" x14ac:dyDescent="0.2">
      <c r="A11" t="s">
        <v>463</v>
      </c>
      <c r="C11" s="25" t="e">
        <f>'Ref Data'!F24/(IF('Ref Data'!F22=0,'Ref Data'!F28,'Ref Data'!F22)*10^-3)</f>
        <v>#DIV/0!</v>
      </c>
      <c r="D11" s="25">
        <f ca="1">'Ref Data'!G24/(IF('Ref Data'!G22=0,'Ref Data'!G28,'Ref Data'!G22)*10^-3)</f>
        <v>7.2686822550622709</v>
      </c>
      <c r="E11" s="25">
        <f ca="1">'Ref Data'!H24/(IF('Ref Data'!H22=0,'Ref Data'!H28,'Ref Data'!H22)*10^-3)</f>
        <v>6.7221455173776379</v>
      </c>
      <c r="F11" s="25">
        <f ca="1">'Ref Data'!I24/(IF('Ref Data'!I22=0,'Ref Data'!I28,'Ref Data'!I22)*10^-3)</f>
        <v>5.3171745424052785</v>
      </c>
      <c r="G11" s="25">
        <f ca="1">'Ref Data'!J24/(IF('Ref Data'!J22=0,'Ref Data'!J28,'Ref Data'!J22)*10^-3)</f>
        <v>4.247589605695171</v>
      </c>
      <c r="H11" s="25">
        <f ca="1">'Ref Data'!K24/(IF('Ref Data'!K22=0,'Ref Data'!K28,'Ref Data'!K22)*10^-3)</f>
        <v>3.6440488492241769</v>
      </c>
      <c r="I11" s="25">
        <f ca="1">'Ref Data'!L24/(IF('Ref Data'!L22=0,'Ref Data'!L28,'Ref Data'!L22)*10^-3)</f>
        <v>3.2304508029852244</v>
      </c>
      <c r="J11" s="25">
        <f ca="1">'Ref Data'!M24/(IF('Ref Data'!M22=0,'Ref Data'!M28,'Ref Data'!M22)*10^-3)</f>
        <v>2.9210167047548428</v>
      </c>
      <c r="K11" s="25">
        <f ca="1">'Ref Data'!N24/(IF('Ref Data'!N22=0,'Ref Data'!N28,'Ref Data'!N22)*10^-3)</f>
        <v>2.6203951458283457</v>
      </c>
      <c r="L11" s="25">
        <f ca="1">'Ref Data'!O24/(IF('Ref Data'!O22=0,'Ref Data'!O28,'Ref Data'!O22)*10^-3)</f>
        <v>2.3604148927368653</v>
      </c>
      <c r="M11" s="25">
        <f ca="1">'Ref Data'!P24/(IF('Ref Data'!P22=0,'Ref Data'!P28,'Ref Data'!P22)*10^-3)</f>
        <v>2.1368237076000676</v>
      </c>
      <c r="N11" s="25">
        <f ca="1">'Ref Data'!Q24/(IF('Ref Data'!Q22=0,'Ref Data'!Q28,'Ref Data'!Q22)*10^-3)</f>
        <v>1.9454880338672524</v>
      </c>
    </row>
    <row r="12" spans="1:14" ht="19" x14ac:dyDescent="0.2">
      <c r="A12" t="s">
        <v>68</v>
      </c>
      <c r="C12" s="25" t="e">
        <f>FossilEneEmissionsAccountingRef!C19/'Ref Data'!F24</f>
        <v>#DIV/0!</v>
      </c>
      <c r="D12" s="25">
        <f ca="1">FossilEneEmissionsAccountingRef!D19/'Ref Data'!G24</f>
        <v>64.036780825197468</v>
      </c>
      <c r="E12" s="25">
        <f ca="1">FossilEneEmissionsAccountingRef!E19/'Ref Data'!H24</f>
        <v>60.230567189348641</v>
      </c>
      <c r="F12" s="25">
        <f ca="1">FossilEneEmissionsAccountingRef!F19/'Ref Data'!I24</f>
        <v>61.284882188159955</v>
      </c>
      <c r="G12" s="25">
        <f ca="1">FossilEneEmissionsAccountingRef!G19/'Ref Data'!J24</f>
        <v>60.859667602788477</v>
      </c>
      <c r="H12" s="25">
        <f ca="1">FossilEneEmissionsAccountingRef!H19/'Ref Data'!K24</f>
        <v>59.078145749113126</v>
      </c>
      <c r="I12" s="25">
        <f ca="1">FossilEneEmissionsAccountingRef!I19/'Ref Data'!L24</f>
        <v>58.455984689196164</v>
      </c>
      <c r="J12" s="25">
        <f ca="1">FossilEneEmissionsAccountingRef!J19/'Ref Data'!M24</f>
        <v>58.949636831778477</v>
      </c>
      <c r="K12" s="25">
        <f ca="1">FossilEneEmissionsAccountingRef!K19/'Ref Data'!N24</f>
        <v>58.866958831400567</v>
      </c>
      <c r="L12" s="25">
        <f ca="1">FossilEneEmissionsAccountingRef!L19/'Ref Data'!O24</f>
        <v>58.436357729819534</v>
      </c>
      <c r="M12" s="25">
        <f ca="1">FossilEneEmissionsAccountingRef!M19/'Ref Data'!P24</f>
        <v>59.001149395358702</v>
      </c>
      <c r="N12" s="25">
        <f ca="1">FossilEneEmissionsAccountingRef!N19/'Ref Data'!Q24</f>
        <v>60.167260235635673</v>
      </c>
    </row>
    <row r="14" spans="1:14" x14ac:dyDescent="0.2">
      <c r="A14" s="21" t="s">
        <v>56</v>
      </c>
    </row>
    <row r="15" spans="1:14" x14ac:dyDescent="0.2">
      <c r="A15" t="s">
        <v>49</v>
      </c>
      <c r="C15" s="25">
        <f t="shared" ref="C15:I15" ca="1" si="0">C2/$E2</f>
        <v>0</v>
      </c>
      <c r="D15" s="25">
        <f t="shared" ca="1" si="0"/>
        <v>0.94347566797447691</v>
      </c>
      <c r="E15" s="25">
        <f t="shared" ca="1" si="0"/>
        <v>1</v>
      </c>
      <c r="F15" s="25">
        <f t="shared" ca="1" si="0"/>
        <v>1.1083106032608825</v>
      </c>
      <c r="G15" s="25">
        <f t="shared" ca="1" si="0"/>
        <v>1.2031097693200881</v>
      </c>
      <c r="H15" s="25">
        <f t="shared" ca="1" si="0"/>
        <v>1.2796062483160771</v>
      </c>
      <c r="I15" s="25">
        <f t="shared" ca="1" si="0"/>
        <v>1.3352806838081004</v>
      </c>
      <c r="J15" s="25">
        <f t="shared" ref="J15:N15" ca="1" si="1">J2/$E2</f>
        <v>1.3666922922729701</v>
      </c>
      <c r="K15" s="25">
        <f t="shared" ca="1" si="1"/>
        <v>1.3769680841294814</v>
      </c>
      <c r="L15" s="25">
        <f t="shared" ca="1" si="1"/>
        <v>1.3696192436854771</v>
      </c>
      <c r="M15" s="25">
        <f t="shared" ca="1" si="1"/>
        <v>1.3472954903335423</v>
      </c>
      <c r="N15" s="25">
        <f t="shared" ca="1" si="1"/>
        <v>1.3151546129550273</v>
      </c>
    </row>
    <row r="16" spans="1:14" x14ac:dyDescent="0.2">
      <c r="A16" t="s">
        <v>459</v>
      </c>
      <c r="C16" s="25" t="e">
        <f t="shared" ref="C16:I16" ca="1" si="2">C3/$E3</f>
        <v>#DIV/0!</v>
      </c>
      <c r="D16" s="25">
        <f t="shared" ca="1" si="2"/>
        <v>0.88877526180122779</v>
      </c>
      <c r="E16" s="25">
        <f t="shared" ca="1" si="2"/>
        <v>1</v>
      </c>
      <c r="F16" s="25">
        <f t="shared" ca="1" si="2"/>
        <v>1.3390376802911983</v>
      </c>
      <c r="G16" s="25">
        <f t="shared" ca="1" si="2"/>
        <v>1.7581388773576854</v>
      </c>
      <c r="H16" s="25">
        <f t="shared" ca="1" si="2"/>
        <v>2.1516831345751939</v>
      </c>
      <c r="I16" s="25">
        <f t="shared" ca="1" si="2"/>
        <v>2.5620661876783735</v>
      </c>
      <c r="J16" s="25">
        <f t="shared" ref="J16:N16" ca="1" si="3">J3/$E3</f>
        <v>3.0272706126771749</v>
      </c>
      <c r="K16" s="25">
        <f t="shared" ca="1" si="3"/>
        <v>3.5950261987423633</v>
      </c>
      <c r="L16" s="25">
        <f t="shared" ca="1" si="3"/>
        <v>4.2625851386329945</v>
      </c>
      <c r="M16" s="25">
        <f t="shared" ca="1" si="3"/>
        <v>5.0522979955974865</v>
      </c>
      <c r="N16" s="25">
        <f t="shared" ca="1" si="3"/>
        <v>5.977988273989908</v>
      </c>
    </row>
    <row r="17" spans="1:14" x14ac:dyDescent="0.2">
      <c r="A17" t="s">
        <v>460</v>
      </c>
      <c r="C17" s="25" t="e">
        <f t="shared" ref="C17:I17" ca="1" si="4">C4/$E4</f>
        <v>#DIV/0!</v>
      </c>
      <c r="D17" s="25">
        <f t="shared" ca="1" si="4"/>
        <v>1.1049285305977719</v>
      </c>
      <c r="E17" s="25">
        <f t="shared" ca="1" si="4"/>
        <v>1</v>
      </c>
      <c r="F17" s="25">
        <f t="shared" ca="1" si="4"/>
        <v>0.77433241407623488</v>
      </c>
      <c r="G17" s="25">
        <f t="shared" ca="1" si="4"/>
        <v>0.6157007668575748</v>
      </c>
      <c r="H17" s="25">
        <f t="shared" ca="1" si="4"/>
        <v>0.5347008509561092</v>
      </c>
      <c r="I17" s="25">
        <f t="shared" ca="1" si="4"/>
        <v>0.47799516492258587</v>
      </c>
      <c r="J17" s="25">
        <f t="shared" ref="J17:N17" ca="1" si="5">J4/$E4</f>
        <v>0.43632353839524862</v>
      </c>
      <c r="K17" s="25">
        <f t="shared" ca="1" si="5"/>
        <v>0.39458776541746537</v>
      </c>
      <c r="L17" s="25">
        <f t="shared" ca="1" si="5"/>
        <v>0.35618776685041897</v>
      </c>
      <c r="M17" s="25">
        <f t="shared" ca="1" si="5"/>
        <v>0.31965925278963747</v>
      </c>
      <c r="N17" s="25">
        <f t="shared" ca="1" si="5"/>
        <v>0.28740731324763108</v>
      </c>
    </row>
    <row r="18" spans="1:14" ht="19" x14ac:dyDescent="0.2">
      <c r="A18" t="s">
        <v>62</v>
      </c>
      <c r="C18" s="25" t="e">
        <f t="shared" ref="C18:I18" ca="1" si="6">C5/$E5</f>
        <v>#DIV/0!</v>
      </c>
      <c r="D18" s="25">
        <f t="shared" ca="1" si="6"/>
        <v>0.97861887312820584</v>
      </c>
      <c r="E18" s="25">
        <f t="shared" ca="1" si="6"/>
        <v>1</v>
      </c>
      <c r="F18" s="25">
        <f t="shared" ca="1" si="6"/>
        <v>1.0215169274011879</v>
      </c>
      <c r="G18" s="25">
        <f t="shared" ca="1" si="6"/>
        <v>1.026277825321761</v>
      </c>
      <c r="H18" s="25">
        <f t="shared" ca="1" si="6"/>
        <v>1.0138306235119117</v>
      </c>
      <c r="I18" s="25">
        <f t="shared" ca="1" si="6"/>
        <v>1.0053834185535038</v>
      </c>
      <c r="J18" s="25">
        <f t="shared" ref="J18:N18" ca="1" si="7">J5/$E5</f>
        <v>0.99590402699814451</v>
      </c>
      <c r="K18" s="25">
        <f t="shared" ca="1" si="7"/>
        <v>0.98790517685864843</v>
      </c>
      <c r="L18" s="25">
        <f t="shared" ca="1" si="7"/>
        <v>0.9858286531948659</v>
      </c>
      <c r="M18" s="25">
        <f t="shared" ca="1" si="7"/>
        <v>0.99442836567343917</v>
      </c>
      <c r="N18" s="25">
        <f t="shared" ca="1" si="7"/>
        <v>1.0069846246820278</v>
      </c>
    </row>
    <row r="19" spans="1:14" ht="19" x14ac:dyDescent="0.2">
      <c r="A19" t="s">
        <v>66</v>
      </c>
      <c r="C19" s="25" t="e">
        <f t="shared" ref="C19:I19" ca="1" si="8">C6/$E6</f>
        <v>#DIV/0!</v>
      </c>
      <c r="D19" s="25">
        <f t="shared" ca="1" si="8"/>
        <v>1.0096927629104862</v>
      </c>
      <c r="E19" s="25">
        <f t="shared" ca="1" si="8"/>
        <v>1</v>
      </c>
      <c r="F19" s="25">
        <f t="shared" ca="1" si="8"/>
        <v>0.99146304923284712</v>
      </c>
      <c r="G19" s="25">
        <f t="shared" ca="1" si="8"/>
        <v>0.98158800111688571</v>
      </c>
      <c r="H19" s="25">
        <f t="shared" ca="1" si="8"/>
        <v>0.95710102952464804</v>
      </c>
      <c r="I19" s="25">
        <f t="shared" ca="1" si="8"/>
        <v>0.95096693265610632</v>
      </c>
      <c r="J19" s="25">
        <f t="shared" ref="J19:N19" ca="1" si="9">J6/$E6</f>
        <v>0.96689822672278036</v>
      </c>
      <c r="K19" s="25">
        <f t="shared" ca="1" si="9"/>
        <v>0.95593085104486486</v>
      </c>
      <c r="L19" s="25">
        <f t="shared" ca="1" si="9"/>
        <v>0.93794675798477722</v>
      </c>
      <c r="M19" s="25">
        <f t="shared" ca="1" si="9"/>
        <v>0.92928834630084756</v>
      </c>
      <c r="N19" s="25">
        <f t="shared" ca="1" si="9"/>
        <v>0.92543115223185324</v>
      </c>
    </row>
    <row r="20" spans="1:14" ht="19" x14ac:dyDescent="0.2">
      <c r="A20" t="s">
        <v>64</v>
      </c>
      <c r="C20" s="25" t="e">
        <f t="shared" ref="C20:I20" ca="1" si="10">C7/$E7</f>
        <v>#DIV/0!</v>
      </c>
      <c r="D20" s="25">
        <f t="shared" ca="1" si="10"/>
        <v>1.0529876926266946</v>
      </c>
      <c r="E20" s="25">
        <f t="shared" ca="1" si="10"/>
        <v>1</v>
      </c>
      <c r="F20" s="25">
        <f t="shared" ca="1" si="10"/>
        <v>1.0262658308865731</v>
      </c>
      <c r="G20" s="25">
        <f t="shared" ca="1" si="10"/>
        <v>1.0293981470205393</v>
      </c>
      <c r="H20" s="25">
        <f t="shared" ca="1" si="10"/>
        <v>1.0248306831631455</v>
      </c>
      <c r="I20" s="25">
        <f t="shared" ca="1" si="10"/>
        <v>1.0205789626126258</v>
      </c>
      <c r="J20" s="25">
        <f t="shared" ref="J20:N20" ca="1" si="11">J7/$E7</f>
        <v>1.0122398186663786</v>
      </c>
      <c r="K20" s="25">
        <f t="shared" ca="1" si="11"/>
        <v>1.0224172521544013</v>
      </c>
      <c r="L20" s="25">
        <f t="shared" ca="1" si="11"/>
        <v>1.0343987796587577</v>
      </c>
      <c r="M20" s="25">
        <f t="shared" ca="1" si="11"/>
        <v>1.054127220841206</v>
      </c>
      <c r="N20" s="25">
        <f t="shared" ca="1" si="11"/>
        <v>1.0794416426975419</v>
      </c>
    </row>
    <row r="21" spans="1:14" x14ac:dyDescent="0.2">
      <c r="A21" t="s">
        <v>65</v>
      </c>
      <c r="C21" s="25" t="e">
        <f t="shared" ref="C21:I21" ca="1" si="12">C8/$E8</f>
        <v>#DIV/0!</v>
      </c>
      <c r="D21" s="25">
        <f t="shared" ca="1" si="12"/>
        <v>1</v>
      </c>
      <c r="E21" s="25">
        <f t="shared" ca="1" si="12"/>
        <v>1</v>
      </c>
      <c r="F21" s="25">
        <f t="shared" ca="1" si="12"/>
        <v>1</v>
      </c>
      <c r="G21" s="25">
        <f t="shared" ca="1" si="12"/>
        <v>1</v>
      </c>
      <c r="H21" s="25">
        <f t="shared" ca="1" si="12"/>
        <v>1</v>
      </c>
      <c r="I21" s="25">
        <f t="shared" ca="1" si="12"/>
        <v>1</v>
      </c>
      <c r="J21" s="25">
        <f t="shared" ref="J21:N21" ca="1" si="13">J8/$E8</f>
        <v>1</v>
      </c>
      <c r="K21" s="25">
        <f t="shared" ca="1" si="13"/>
        <v>1</v>
      </c>
      <c r="L21" s="25">
        <f t="shared" ca="1" si="13"/>
        <v>1</v>
      </c>
      <c r="M21" s="25">
        <f t="shared" ca="1" si="13"/>
        <v>1</v>
      </c>
      <c r="N21" s="25">
        <f t="shared" ca="1" si="13"/>
        <v>1</v>
      </c>
    </row>
    <row r="24" spans="1:14" ht="19" x14ac:dyDescent="0.2">
      <c r="A24" t="s">
        <v>463</v>
      </c>
      <c r="C24" s="25" t="e">
        <f t="shared" ref="C24:I25" ca="1" si="14">C11/$E11</f>
        <v>#DIV/0!</v>
      </c>
      <c r="D24" s="25">
        <f t="shared" ca="1" si="14"/>
        <v>1.0813039135007958</v>
      </c>
      <c r="E24" s="25">
        <f t="shared" ca="1" si="14"/>
        <v>1</v>
      </c>
      <c r="F24" s="25">
        <f t="shared" ca="1" si="14"/>
        <v>0.79099366841429974</v>
      </c>
      <c r="G24" s="25">
        <f t="shared" ca="1" si="14"/>
        <v>0.63188004405953258</v>
      </c>
      <c r="H24" s="25">
        <f t="shared" ca="1" si="14"/>
        <v>0.54209609711718187</v>
      </c>
      <c r="I24" s="25">
        <f t="shared" ca="1" si="14"/>
        <v>0.48056841296191527</v>
      </c>
      <c r="J24" s="25">
        <f t="shared" ref="J24:N24" ca="1" si="15">J11/$E11</f>
        <v>0.43453636896190762</v>
      </c>
      <c r="K24" s="25">
        <f t="shared" ca="1" si="15"/>
        <v>0.38981529618100003</v>
      </c>
      <c r="L24" s="25">
        <f t="shared" ca="1" si="15"/>
        <v>0.35114010647863536</v>
      </c>
      <c r="M24" s="25">
        <f t="shared" ca="1" si="15"/>
        <v>0.31787822832399193</v>
      </c>
      <c r="N24" s="25">
        <f t="shared" ca="1" si="15"/>
        <v>0.28941474546153573</v>
      </c>
    </row>
    <row r="25" spans="1:14" ht="19" x14ac:dyDescent="0.2">
      <c r="A25" t="s">
        <v>68</v>
      </c>
      <c r="C25" s="25" t="e">
        <f t="shared" ca="1" si="14"/>
        <v>#DIV/0!</v>
      </c>
      <c r="D25" s="25">
        <f t="shared" ca="1" si="14"/>
        <v>1.0631940526789847</v>
      </c>
      <c r="E25" s="25">
        <f t="shared" ca="1" si="14"/>
        <v>1</v>
      </c>
      <c r="F25" s="25">
        <f t="shared" ca="1" si="14"/>
        <v>1.0175046500142833</v>
      </c>
      <c r="G25" s="25">
        <f t="shared" ca="1" si="14"/>
        <v>1.0104448694873172</v>
      </c>
      <c r="H25" s="25">
        <f t="shared" ca="1" si="14"/>
        <v>0.9808665019438948</v>
      </c>
      <c r="I25" s="25">
        <f t="shared" ca="1" si="14"/>
        <v>0.97053684560907971</v>
      </c>
      <c r="J25" s="25">
        <f t="shared" ref="J25:N25" ca="1" si="16">J12/$E12</f>
        <v>0.97873288568671013</v>
      </c>
      <c r="K25" s="25">
        <f t="shared" ca="1" si="16"/>
        <v>0.97736019397490881</v>
      </c>
      <c r="L25" s="25">
        <f t="shared" ca="1" si="16"/>
        <v>0.97021098184434162</v>
      </c>
      <c r="M25" s="25">
        <f t="shared" ca="1" si="16"/>
        <v>0.97958814184623266</v>
      </c>
      <c r="N25" s="25">
        <f t="shared" ca="1" si="16"/>
        <v>0.99894892316863049</v>
      </c>
    </row>
    <row r="27" spans="1:14" x14ac:dyDescent="0.2">
      <c r="A27" s="21" t="s">
        <v>57</v>
      </c>
    </row>
    <row r="28" spans="1:14" x14ac:dyDescent="0.2">
      <c r="A28" t="s">
        <v>49</v>
      </c>
      <c r="F28" s="25">
        <f t="shared" ref="F28:I28" ca="1" si="17">((F2-E2)/(F$1-E$1))/$E2</f>
        <v>1.0831060326088238E-2</v>
      </c>
      <c r="G28" s="25">
        <f t="shared" ca="1" si="17"/>
        <v>9.4799166059205617E-3</v>
      </c>
      <c r="H28" s="25">
        <f t="shared" ca="1" si="17"/>
        <v>7.6496478995989005E-3</v>
      </c>
      <c r="I28" s="25">
        <f t="shared" ca="1" si="17"/>
        <v>5.5674435492023382E-3</v>
      </c>
      <c r="J28" s="25">
        <f t="shared" ref="J28" ca="1" si="18">((J2-I2)/(J$1-I$1))/$E2</f>
        <v>3.1411608464869713E-3</v>
      </c>
      <c r="K28" s="25">
        <f t="shared" ref="K28" ca="1" si="19">((K2-J2)/(K$1-J$1))/$E2</f>
        <v>1.0275791856511236E-3</v>
      </c>
      <c r="L28" s="25">
        <f t="shared" ref="L28" ca="1" si="20">((L2-K2)/(L$1-K$1))/$E2</f>
        <v>-7.3488404440043135E-4</v>
      </c>
      <c r="M28" s="25">
        <f t="shared" ref="M28" ca="1" si="21">((M2-L2)/(M$1-L$1))/$E2</f>
        <v>-2.2323753351934667E-3</v>
      </c>
      <c r="N28" s="25">
        <f t="shared" ref="N28" ca="1" si="22">((N2-M2)/(N$1-M$1))/$E2</f>
        <v>-3.2140877378515034E-3</v>
      </c>
    </row>
    <row r="29" spans="1:14" x14ac:dyDescent="0.2">
      <c r="A29" t="s">
        <v>459</v>
      </c>
      <c r="F29" s="25">
        <f t="shared" ref="F29:I34" ca="1" si="23">((F3-E3)/(F$1-E$1))/$E3</f>
        <v>3.3903768029119825E-2</v>
      </c>
      <c r="G29" s="25">
        <f t="shared" ca="1" si="23"/>
        <v>4.1910119706648701E-2</v>
      </c>
      <c r="H29" s="25">
        <f t="shared" ca="1" si="23"/>
        <v>3.9354425721750852E-2</v>
      </c>
      <c r="I29" s="25">
        <f t="shared" ca="1" si="23"/>
        <v>4.1038305310317991E-2</v>
      </c>
      <c r="J29" s="25">
        <f t="shared" ref="J29:N29" ca="1" si="24">((J3-I3)/(J$1-I$1))/$E3</f>
        <v>4.6520442499880139E-2</v>
      </c>
      <c r="K29" s="25">
        <f t="shared" ca="1" si="24"/>
        <v>5.6775558606518825E-2</v>
      </c>
      <c r="L29" s="25">
        <f t="shared" ca="1" si="24"/>
        <v>6.6755893989063161E-2</v>
      </c>
      <c r="M29" s="25">
        <f t="shared" ca="1" si="24"/>
        <v>7.8971285696449164E-2</v>
      </c>
      <c r="N29" s="25">
        <f t="shared" ca="1" si="24"/>
        <v>9.2569027839242174E-2</v>
      </c>
    </row>
    <row r="30" spans="1:14" x14ac:dyDescent="0.2">
      <c r="A30" t="s">
        <v>460</v>
      </c>
      <c r="F30" s="25">
        <f t="shared" ca="1" si="23"/>
        <v>-2.2566758592376519E-2</v>
      </c>
      <c r="G30" s="25">
        <f t="shared" ca="1" si="23"/>
        <v>-1.5863164721866004E-2</v>
      </c>
      <c r="H30" s="25">
        <f t="shared" ca="1" si="23"/>
        <v>-8.0999915901465627E-3</v>
      </c>
      <c r="I30" s="25">
        <f t="shared" ca="1" si="23"/>
        <v>-5.6705686033523299E-3</v>
      </c>
      <c r="J30" s="25">
        <f t="shared" ref="J30:N30" ca="1" si="25">((J4-I4)/(J$1-I$1))/$E4</f>
        <v>-4.1671626527337285E-3</v>
      </c>
      <c r="K30" s="25">
        <f t="shared" ca="1" si="25"/>
        <v>-4.1735772977783215E-3</v>
      </c>
      <c r="L30" s="25">
        <f t="shared" ca="1" si="25"/>
        <v>-3.839999856704644E-3</v>
      </c>
      <c r="M30" s="25">
        <f t="shared" ca="1" si="25"/>
        <v>-3.6528514060781467E-3</v>
      </c>
      <c r="N30" s="25">
        <f t="shared" ca="1" si="25"/>
        <v>-3.2251939542006433E-3</v>
      </c>
    </row>
    <row r="31" spans="1:14" ht="19" x14ac:dyDescent="0.2">
      <c r="A31" t="s">
        <v>62</v>
      </c>
      <c r="F31" s="25">
        <f t="shared" ca="1" si="23"/>
        <v>2.1516927401187976E-3</v>
      </c>
      <c r="G31" s="25">
        <f t="shared" ca="1" si="23"/>
        <v>4.7608979205731325E-4</v>
      </c>
      <c r="H31" s="25">
        <f t="shared" ca="1" si="23"/>
        <v>-1.2447201809849364E-3</v>
      </c>
      <c r="I31" s="25">
        <f t="shared" ca="1" si="23"/>
        <v>-8.4472049584079104E-4</v>
      </c>
      <c r="J31" s="25">
        <f t="shared" ref="J31:N31" ca="1" si="26">((J5-I5)/(J$1-I$1))/$E5</f>
        <v>-9.4793915553592796E-4</v>
      </c>
      <c r="K31" s="25">
        <f t="shared" ca="1" si="26"/>
        <v>-7.9988501394961616E-4</v>
      </c>
      <c r="L31" s="25">
        <f t="shared" ca="1" si="26"/>
        <v>-2.0765236637825251E-4</v>
      </c>
      <c r="M31" s="25">
        <f t="shared" ca="1" si="26"/>
        <v>8.5997124785732642E-4</v>
      </c>
      <c r="N31" s="25">
        <f t="shared" ca="1" si="26"/>
        <v>1.2556259008588669E-3</v>
      </c>
    </row>
    <row r="32" spans="1:14" ht="19" x14ac:dyDescent="0.2">
      <c r="A32" t="s">
        <v>66</v>
      </c>
      <c r="F32" s="25">
        <f t="shared" ca="1" si="23"/>
        <v>-8.5369507671528865E-4</v>
      </c>
      <c r="G32" s="25">
        <f t="shared" ca="1" si="23"/>
        <v>-9.8750481159613529E-4</v>
      </c>
      <c r="H32" s="25">
        <f t="shared" ca="1" si="23"/>
        <v>-2.4486971592237688E-3</v>
      </c>
      <c r="I32" s="25">
        <f t="shared" ca="1" si="23"/>
        <v>-6.1340968685416912E-4</v>
      </c>
      <c r="J32" s="25">
        <f t="shared" ref="J32:N32" ca="1" si="27">((J6-I6)/(J$1-I$1))/$E6</f>
        <v>1.5931294066673994E-3</v>
      </c>
      <c r="K32" s="25">
        <f t="shared" ca="1" si="27"/>
        <v>-1.0967375677915531E-3</v>
      </c>
      <c r="L32" s="25">
        <f t="shared" ca="1" si="27"/>
        <v>-1.7984093060087621E-3</v>
      </c>
      <c r="M32" s="25">
        <f t="shared" ca="1" si="27"/>
        <v>-8.6584116839296722E-4</v>
      </c>
      <c r="N32" s="25">
        <f t="shared" ca="1" si="27"/>
        <v>-3.8571940689943648E-4</v>
      </c>
    </row>
    <row r="33" spans="1:14" ht="19" x14ac:dyDescent="0.2">
      <c r="A33" t="s">
        <v>64</v>
      </c>
      <c r="F33" s="25">
        <f t="shared" ca="1" si="23"/>
        <v>2.6265830886573146E-3</v>
      </c>
      <c r="G33" s="25">
        <f t="shared" ca="1" si="23"/>
        <v>3.1323161339661895E-4</v>
      </c>
      <c r="H33" s="25">
        <f t="shared" ca="1" si="23"/>
        <v>-4.5674638573937643E-4</v>
      </c>
      <c r="I33" s="25">
        <f t="shared" ca="1" si="23"/>
        <v>-4.2517205505197364E-4</v>
      </c>
      <c r="J33" s="25">
        <f t="shared" ref="J33:N33" ca="1" si="28">((J7-I7)/(J$1-I$1))/$E7</f>
        <v>-8.339143946247303E-4</v>
      </c>
      <c r="K33" s="25">
        <f t="shared" ca="1" si="28"/>
        <v>1.0177433488022794E-3</v>
      </c>
      <c r="L33" s="25">
        <f t="shared" ca="1" si="28"/>
        <v>1.1981527504356377E-3</v>
      </c>
      <c r="M33" s="25">
        <f t="shared" ca="1" si="28"/>
        <v>1.9728441182448376E-3</v>
      </c>
      <c r="N33" s="25">
        <f t="shared" ca="1" si="28"/>
        <v>2.5314421856335828E-3</v>
      </c>
    </row>
    <row r="34" spans="1:14" x14ac:dyDescent="0.2">
      <c r="A34" t="s">
        <v>65</v>
      </c>
      <c r="F34" s="25">
        <f t="shared" ca="1" si="23"/>
        <v>0</v>
      </c>
      <c r="G34" s="25">
        <f t="shared" ca="1" si="23"/>
        <v>0</v>
      </c>
      <c r="H34" s="25">
        <f t="shared" ca="1" si="23"/>
        <v>0</v>
      </c>
      <c r="I34" s="25">
        <f t="shared" ca="1" si="23"/>
        <v>0</v>
      </c>
      <c r="J34" s="25">
        <f t="shared" ref="J34:N34" ca="1" si="29">((J8-I8)/(J$1-I$1))/$E8</f>
        <v>0</v>
      </c>
      <c r="K34" s="25">
        <f t="shared" ca="1" si="29"/>
        <v>0</v>
      </c>
      <c r="L34" s="25">
        <f t="shared" ca="1" si="29"/>
        <v>0</v>
      </c>
      <c r="M34" s="25">
        <f t="shared" ca="1" si="29"/>
        <v>0</v>
      </c>
      <c r="N34" s="25">
        <f t="shared" ca="1" si="29"/>
        <v>0</v>
      </c>
    </row>
    <row r="37" spans="1:14" ht="19" x14ac:dyDescent="0.2">
      <c r="A37" t="s">
        <v>463</v>
      </c>
      <c r="F37" s="25">
        <f t="shared" ref="F37:I38" ca="1" si="30">((F11-E11)/(F$1-E$1))/$E11</f>
        <v>-2.0900633158570027E-2</v>
      </c>
      <c r="G37" s="25">
        <f t="shared" ca="1" si="30"/>
        <v>-1.5911362435476719E-2</v>
      </c>
      <c r="H37" s="25">
        <f t="shared" ca="1" si="30"/>
        <v>-8.9783946942350642E-3</v>
      </c>
      <c r="I37" s="25">
        <f t="shared" ca="1" si="30"/>
        <v>-6.1527684155266611E-3</v>
      </c>
      <c r="J37" s="25">
        <f t="shared" ref="J37:N37" ca="1" si="31">((J11-I11)/(J$1-I$1))/$E11</f>
        <v>-4.6032044000007648E-3</v>
      </c>
      <c r="K37" s="25">
        <f t="shared" ca="1" si="31"/>
        <v>-4.47210727809076E-3</v>
      </c>
      <c r="L37" s="25">
        <f t="shared" ca="1" si="31"/>
        <v>-3.8675189702364649E-3</v>
      </c>
      <c r="M37" s="25">
        <f t="shared" ca="1" si="31"/>
        <v>-3.3261878154643466E-3</v>
      </c>
      <c r="N37" s="25">
        <f t="shared" ca="1" si="31"/>
        <v>-2.8463482862456195E-3</v>
      </c>
    </row>
    <row r="38" spans="1:14" ht="19" x14ac:dyDescent="0.2">
      <c r="A38" t="s">
        <v>68</v>
      </c>
      <c r="F38" s="25">
        <f t="shared" ca="1" si="30"/>
        <v>1.7504650014283157E-3</v>
      </c>
      <c r="G38" s="25">
        <f t="shared" ca="1" si="30"/>
        <v>-7.0597805269659525E-4</v>
      </c>
      <c r="H38" s="25">
        <f t="shared" ca="1" si="30"/>
        <v>-2.9578367543422377E-3</v>
      </c>
      <c r="I38" s="25">
        <f t="shared" ca="1" si="30"/>
        <v>-1.032965633481511E-3</v>
      </c>
      <c r="J38" s="25">
        <f t="shared" ref="J38:N38" ca="1" si="32">((J12-I12)/(J$1-I$1))/$E12</f>
        <v>8.1960400776304166E-4</v>
      </c>
      <c r="K38" s="25">
        <f t="shared" ca="1" si="32"/>
        <v>-1.372691711801307E-4</v>
      </c>
      <c r="L38" s="25">
        <f t="shared" ca="1" si="32"/>
        <v>-7.1492121305671776E-4</v>
      </c>
      <c r="M38" s="25">
        <f t="shared" ca="1" si="32"/>
        <v>9.3771600018909961E-4</v>
      </c>
      <c r="N38" s="25">
        <f t="shared" ca="1" si="32"/>
        <v>1.9360781322397872E-3</v>
      </c>
    </row>
  </sheetData>
  <pageMargins left="0.7" right="0.7" top="0.75" bottom="0.75" header="0.3" footer="0.3"/>
  <pageSetup orientation="portrait" horizontalDpi="0" verticalDpi="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2AAE1D-D3EB-8F44-BEAA-174991EB7944}">
  <sheetPr codeName="Sheet15">
    <tabColor rgb="FF00B050"/>
  </sheetPr>
  <dimension ref="A1:R38"/>
  <sheetViews>
    <sheetView topLeftCell="A9" workbookViewId="0">
      <selection activeCell="A29" sqref="A29:A37"/>
    </sheetView>
  </sheetViews>
  <sheetFormatPr baseColWidth="10" defaultRowHeight="16" x14ac:dyDescent="0.2"/>
  <cols>
    <col min="1" max="1" width="16.5" customWidth="1"/>
    <col min="2" max="2" width="21.6640625" customWidth="1"/>
    <col min="3" max="15" width="10.83203125" style="25"/>
  </cols>
  <sheetData>
    <row r="1" spans="1:18" s="184" customFormat="1" x14ac:dyDescent="0.2">
      <c r="A1" s="184" t="s">
        <v>226</v>
      </c>
      <c r="C1" s="184">
        <f>'Int Data'!F13</f>
        <v>2000</v>
      </c>
      <c r="D1" s="184">
        <f>'Int Data'!G13</f>
        <v>2005</v>
      </c>
      <c r="E1" s="184">
        <f>'Int Data'!H13</f>
        <v>2010</v>
      </c>
      <c r="F1" s="184">
        <f>'Int Data'!I13</f>
        <v>2020</v>
      </c>
      <c r="G1" s="184">
        <f>'Int Data'!J13</f>
        <v>2030</v>
      </c>
      <c r="H1" s="184">
        <f>'Int Data'!K13</f>
        <v>2040</v>
      </c>
      <c r="I1" s="184">
        <f>'Int Data'!L13</f>
        <v>2050</v>
      </c>
      <c r="J1" s="184">
        <f>'Int Data'!M13</f>
        <v>2060</v>
      </c>
      <c r="K1" s="184">
        <f>'Int Data'!N13</f>
        <v>2070</v>
      </c>
      <c r="L1" s="184">
        <f>'Int Data'!O13</f>
        <v>2080</v>
      </c>
      <c r="M1" s="184">
        <f>'Int Data'!P13</f>
        <v>2090</v>
      </c>
      <c r="N1" s="184">
        <f>'Int Data'!Q13</f>
        <v>2100</v>
      </c>
    </row>
    <row r="2" spans="1:18" x14ac:dyDescent="0.2">
      <c r="A2" t="s">
        <v>49</v>
      </c>
      <c r="B2" t="s">
        <v>55</v>
      </c>
      <c r="D2" s="25">
        <f ca="1">'Int Data'!G23/1000</f>
        <v>6.5305478515625</v>
      </c>
      <c r="E2" s="25">
        <f ca="1">'Int Data'!H23/1000</f>
        <v>6.9217978515625003</v>
      </c>
      <c r="F2" s="25">
        <f ca="1">'Int Data'!I23/1000</f>
        <v>7.5761049804687497</v>
      </c>
      <c r="G2" s="25">
        <f ca="1">'Int Data'!J23/1000</f>
        <v>8.0619379882812492</v>
      </c>
      <c r="H2" s="25">
        <f ca="1">'Int Data'!K23/1000</f>
        <v>8.3887626953125007</v>
      </c>
      <c r="I2" s="25">
        <f ca="1">'Int Data'!L23/1000</f>
        <v>8.5305</v>
      </c>
      <c r="J2" s="25">
        <f ca="1">'Int Data'!M23/1000</f>
        <v>8.4921757812499994</v>
      </c>
      <c r="K2" s="25">
        <f ca="1">'Int Data'!N23/1000</f>
        <v>8.2989501953125</v>
      </c>
      <c r="L2" s="25">
        <f ca="1">'Int Data'!O23/1000</f>
        <v>7.9673872070312504</v>
      </c>
      <c r="M2" s="25">
        <f ca="1">'Int Data'!P23/1000</f>
        <v>7.5104541015624999</v>
      </c>
      <c r="N2" s="25">
        <f ca="1">'Int Data'!Q23/1000</f>
        <v>6.9579887695312497</v>
      </c>
    </row>
    <row r="3" spans="1:18" x14ac:dyDescent="0.2">
      <c r="A3" t="s">
        <v>459</v>
      </c>
      <c r="B3" t="s">
        <v>58</v>
      </c>
      <c r="E3" s="25">
        <f ca="1">IF('Int Data'!H22=0,'Int Data'!H28,'Int Data'!H22)/('Int Data'!H23*10^-3)</f>
        <v>10956.397122981476</v>
      </c>
      <c r="F3" s="25">
        <f ca="1">IF('Int Data'!I22=0,'Int Data'!I28,'Int Data'!I22)/('Int Data'!I23*10^-3)</f>
        <v>14779.029281379964</v>
      </c>
      <c r="G3" s="25">
        <f ca="1">IF('Int Data'!J22=0,'Int Data'!J28,'Int Data'!J22)/('Int Data'!J23*10^-3)</f>
        <v>19589.053179179336</v>
      </c>
      <c r="H3" s="25">
        <f ca="1">IF('Int Data'!K22=0,'Int Data'!K28,'Int Data'!K22)/('Int Data'!K23*10^-3)</f>
        <v>24206.038367668429</v>
      </c>
      <c r="I3" s="25">
        <f ca="1">IF('Int Data'!L22=0,'Int Data'!L28,'Int Data'!L22)/('Int Data'!L23*10^-3)</f>
        <v>29087.001177026548</v>
      </c>
      <c r="J3" s="25">
        <f ca="1">IF('Int Data'!M22=0,'Int Data'!M28,'Int Data'!M22)/('Int Data'!M23*10^-3)</f>
        <v>34575.109857833289</v>
      </c>
      <c r="K3" s="25">
        <f ca="1">IF('Int Data'!N22=0,'Int Data'!N28,'Int Data'!N22)/('Int Data'!N23*10^-3)</f>
        <v>41168.237391471645</v>
      </c>
      <c r="L3" s="25">
        <f ca="1">IF('Int Data'!O22=0,'Int Data'!O28,'Int Data'!O22)/('Int Data'!O23*10^-3)</f>
        <v>48808.208055639901</v>
      </c>
      <c r="M3" s="25">
        <f ca="1">IF('Int Data'!P22=0,'Int Data'!P28,'Int Data'!P22)/('Int Data'!P23*10^-3)</f>
        <v>57676.343496893976</v>
      </c>
      <c r="N3" s="25">
        <f ca="1">IF('Int Data'!Q22=0,'Int Data'!Q28,'Int Data'!Q22)/('Int Data'!Q23*10^-3)</f>
        <v>67885.403432725172</v>
      </c>
    </row>
    <row r="4" spans="1:18" x14ac:dyDescent="0.2">
      <c r="A4" t="s">
        <v>460</v>
      </c>
      <c r="B4" t="s">
        <v>61</v>
      </c>
      <c r="E4" s="25">
        <f ca="1">'Int Data'!H21/(IF('Int Data'!H22=0,'Int Data'!H28,'Int Data'!H22)*10^-3)</f>
        <v>4.8519604570655712</v>
      </c>
      <c r="F4" s="25">
        <f ca="1">'Int Data'!I21/(IF('Int Data'!I22=0,'Int Data'!I28,'Int Data'!I22)*10^-3)</f>
        <v>3.2643443874625411</v>
      </c>
      <c r="G4" s="25">
        <f ca="1">'Int Data'!J21/(IF('Int Data'!J22=0,'Int Data'!J28,'Int Data'!J22)*10^-3)</f>
        <v>1.9000153346675261</v>
      </c>
      <c r="H4" s="25">
        <f ca="1">'Int Data'!K21/(IF('Int Data'!K22=0,'Int Data'!K28,'Int Data'!K22)*10^-3)</f>
        <v>1.3361317290059675</v>
      </c>
      <c r="I4" s="25">
        <f ca="1">'Int Data'!L21/(IF('Int Data'!L22=0,'Int Data'!L28,'Int Data'!L22)*10^-3)</f>
        <v>1.1298644651871492</v>
      </c>
      <c r="J4" s="25">
        <f ca="1">'Int Data'!M21/(IF('Int Data'!M22=0,'Int Data'!M28,'Int Data'!M22)*10^-3)</f>
        <v>1.0226038728986051</v>
      </c>
      <c r="K4" s="25">
        <f ca="1">'Int Data'!N21/(IF('Int Data'!N22=0,'Int Data'!N28,'Int Data'!N22)*10^-3)</f>
        <v>0.93255515023576152</v>
      </c>
      <c r="L4" s="25">
        <f ca="1">'Int Data'!O21/(IF('Int Data'!O22=0,'Int Data'!O28,'Int Data'!O22)*10^-3)</f>
        <v>0.8606093298842028</v>
      </c>
      <c r="M4" s="25">
        <f ca="1">'Int Data'!P21/(IF('Int Data'!P22=0,'Int Data'!P28,'Int Data'!P22)*10^-3)</f>
        <v>0.79126656125187855</v>
      </c>
      <c r="N4" s="25">
        <f ca="1">'Int Data'!Q21/(IF('Int Data'!Q22=0,'Int Data'!Q28,'Int Data'!Q22)*10^-3)</f>
        <v>0.73284499990574392</v>
      </c>
    </row>
    <row r="5" spans="1:18" ht="19" x14ac:dyDescent="0.2">
      <c r="A5" t="s">
        <v>62</v>
      </c>
      <c r="E5" s="25">
        <f ca="1">'Int Data'!H24/'Int Data'!H21</f>
        <v>1.3769869747367474</v>
      </c>
      <c r="F5" s="25">
        <f ca="1">'Int Data'!I24/'Int Data'!I21</f>
        <v>1.4028315461003675</v>
      </c>
      <c r="G5" s="25">
        <f ca="1">'Int Data'!J24/'Int Data'!J21</f>
        <v>1.3430771752689712</v>
      </c>
      <c r="H5" s="25">
        <f ca="1">'Int Data'!K24/'Int Data'!K21</f>
        <v>1.2178398073628469</v>
      </c>
      <c r="I5" s="25">
        <f ca="1">'Int Data'!L24/'Int Data'!L21</f>
        <v>1.2529774219322669</v>
      </c>
      <c r="J5" s="25">
        <f ca="1">'Int Data'!M24/'Int Data'!M21</f>
        <v>1.2777397198254734</v>
      </c>
      <c r="K5" s="25">
        <f ca="1">'Int Data'!N24/'Int Data'!N21</f>
        <v>1.3730383688621282</v>
      </c>
      <c r="L5" s="25">
        <f ca="1">'Int Data'!O24/'Int Data'!O21</f>
        <v>1.4045612486684587</v>
      </c>
      <c r="M5" s="25">
        <f ca="1">'Int Data'!P24/'Int Data'!P21</f>
        <v>1.3978216547896407</v>
      </c>
      <c r="N5" s="25">
        <f ca="1">'Int Data'!Q24/'Int Data'!Q21</f>
        <v>1.4243617542002791</v>
      </c>
      <c r="R5" s="25"/>
    </row>
    <row r="6" spans="1:18" ht="19" x14ac:dyDescent="0.2">
      <c r="A6" t="s">
        <v>66</v>
      </c>
      <c r="E6" s="25">
        <f ca="1">PEfossilInt!E6/'Int Data'!H24</f>
        <v>0.8538014007855057</v>
      </c>
      <c r="F6" s="25">
        <f ca="1">PEfossilInt!F6/'Int Data'!I24</f>
        <v>0.79972227395996565</v>
      </c>
      <c r="G6" s="25">
        <f ca="1">PEfossilInt!G6/'Int Data'!J24</f>
        <v>0.73557237044531665</v>
      </c>
      <c r="H6" s="25">
        <f ca="1">PEfossilInt!H6/'Int Data'!K24</f>
        <v>0.57588596647862089</v>
      </c>
      <c r="I6" s="25">
        <f ca="1">PEfossilInt!I6/'Int Data'!L24</f>
        <v>0.44421468395492764</v>
      </c>
      <c r="J6" s="25">
        <f ca="1">PEfossilInt!J6/'Int Data'!M24</f>
        <v>0.41433245708137029</v>
      </c>
      <c r="K6" s="25">
        <f ca="1">PEfossilInt!K6/'Int Data'!N24</f>
        <v>0.41076948473225455</v>
      </c>
      <c r="L6" s="25">
        <f ca="1">PEfossilInt!L6/'Int Data'!O24</f>
        <v>0.36650901057219992</v>
      </c>
      <c r="M6" s="25">
        <f ca="1">PEfossilInt!M6/'Int Data'!P24</f>
        <v>0.32521556531641932</v>
      </c>
      <c r="N6" s="25">
        <f ca="1">PEfossilInt!N6/'Int Data'!Q24</f>
        <v>0.31404307597490078</v>
      </c>
    </row>
    <row r="7" spans="1:18" ht="19" x14ac:dyDescent="0.2">
      <c r="A7" t="s">
        <v>64</v>
      </c>
      <c r="B7" t="s">
        <v>63</v>
      </c>
      <c r="E7" s="25">
        <f ca="1">IFERROR(FossilEneEmissionsAccountingInt!E19/PEfossilInt!E6,NA())</f>
        <v>70.729438767876204</v>
      </c>
      <c r="F7" s="25">
        <f ca="1">IFERROR(FossilEneEmissionsAccountingInt!F19/PEfossilInt!F6,NA())</f>
        <v>71.118364625024441</v>
      </c>
      <c r="G7" s="25">
        <f ca="1">IFERROR(FossilEneEmissionsAccountingInt!G19/PEfossilInt!G6,NA())</f>
        <v>67.77432755828427</v>
      </c>
      <c r="H7" s="25">
        <f ca="1">IFERROR(FossilEneEmissionsAccountingInt!H19/PEfossilInt!H6,NA())</f>
        <v>60.925473253381256</v>
      </c>
      <c r="I7" s="25">
        <f ca="1">IFERROR(FossilEneEmissionsAccountingInt!I19/PEfossilInt!I6,NA())</f>
        <v>55.499002714754837</v>
      </c>
      <c r="J7" s="25">
        <f ca="1">IFERROR(FossilEneEmissionsAccountingInt!J19/PEfossilInt!J6,NA())</f>
        <v>54.609205624836854</v>
      </c>
      <c r="K7" s="25">
        <f ca="1">IFERROR(FossilEneEmissionsAccountingInt!K19/PEfossilInt!K6,NA())</f>
        <v>54.806182445538781</v>
      </c>
      <c r="L7" s="25">
        <f ca="1">IFERROR(FossilEneEmissionsAccountingInt!L19/PEfossilInt!L6,NA())</f>
        <v>53.926708063067828</v>
      </c>
      <c r="M7" s="25">
        <f ca="1">IFERROR(FossilEneEmissionsAccountingInt!M19/PEfossilInt!M6,NA())</f>
        <v>54.34325144265447</v>
      </c>
      <c r="N7" s="25">
        <f ca="1">IFERROR(FossilEneEmissionsAccountingInt!N19/PEfossilInt!N6,NA())</f>
        <v>56.404476715025986</v>
      </c>
      <c r="P7" s="25">
        <f ca="1">ExpKayaRatiosRef!N7-ExpKayaRatiosInt!N7</f>
        <v>20.029947772067366</v>
      </c>
    </row>
    <row r="8" spans="1:18" x14ac:dyDescent="0.2">
      <c r="A8" t="s">
        <v>65</v>
      </c>
      <c r="E8" s="25">
        <f ca="1">IFERROR(FossilEneEmissionsAccountingInt!E20/FossilEneEmissionsAccountingInt!E19, NA())</f>
        <v>1</v>
      </c>
      <c r="F8" s="25">
        <f ca="1">IFERROR(FossilEneEmissionsAccountingInt!F20/FossilEneEmissionsAccountingInt!F19, NA())</f>
        <v>0.99887410317676362</v>
      </c>
      <c r="G8" s="25">
        <f ca="1">IFERROR(FossilEneEmissionsAccountingInt!G20/FossilEneEmissionsAccountingInt!G19, NA())</f>
        <v>0.93811122586414508</v>
      </c>
      <c r="H8" s="25">
        <f ca="1">IFERROR(FossilEneEmissionsAccountingInt!H20/FossilEneEmissionsAccountingInt!H19, NA())</f>
        <v>0.78820664022466103</v>
      </c>
      <c r="I8" s="25">
        <f ca="1">IFERROR(FossilEneEmissionsAccountingInt!I20/FossilEneEmissionsAccountingInt!I19, NA())</f>
        <v>0.64892776317560985</v>
      </c>
      <c r="J8" s="25">
        <f ca="1">IFERROR(FossilEneEmissionsAccountingInt!J20/FossilEneEmissionsAccountingInt!J19, NA())</f>
        <v>0.50147373966339359</v>
      </c>
      <c r="K8" s="25">
        <f ca="1">IFERROR(FossilEneEmissionsAccountingInt!K20/FossilEneEmissionsAccountingInt!K19, NA())</f>
        <v>0.36837916164552736</v>
      </c>
      <c r="L8" s="25">
        <f ca="1">IFERROR(FossilEneEmissionsAccountingInt!L20/FossilEneEmissionsAccountingInt!L19, NA())</f>
        <v>0.32848941615580363</v>
      </c>
      <c r="M8" s="25">
        <f ca="1">IFERROR(FossilEneEmissionsAccountingInt!M20/FossilEneEmissionsAccountingInt!M19, NA())</f>
        <v>0.3361243266801559</v>
      </c>
      <c r="N8" s="25">
        <f ca="1">IFERROR(FossilEneEmissionsAccountingInt!N20/FossilEneEmissionsAccountingInt!N19, NA())</f>
        <v>0.34500336472534404</v>
      </c>
    </row>
    <row r="11" spans="1:18" ht="19" x14ac:dyDescent="0.2">
      <c r="A11" s="292" t="s">
        <v>464</v>
      </c>
      <c r="E11" s="25">
        <f ca="1">'Int Data'!H24/(IF('Int Data'!H22=0,'Int Data'!H28,'Int Data'!H22)*10^-3)</f>
        <v>6.6810863513170471</v>
      </c>
      <c r="F11" s="25">
        <f ca="1">'Int Data'!I24/(IF('Int Data'!I22=0,'Int Data'!I28,'Int Data'!I22)*10^-3)</f>
        <v>4.5793252840681342</v>
      </c>
      <c r="G11" s="25">
        <f ca="1">'Int Data'!J24/(IF('Int Data'!J22=0,'Int Data'!J28,'Int Data'!J22)*10^-3)</f>
        <v>2.55186722865299</v>
      </c>
      <c r="H11" s="25">
        <f ca="1">'Int Data'!K24/(IF('Int Data'!K22=0,'Int Data'!K28,'Int Data'!K22)*10^-3)</f>
        <v>1.627194407464015</v>
      </c>
      <c r="I11" s="25">
        <f ca="1">'Int Data'!L24/(IF('Int Data'!L22=0,'Int Data'!L28,'Int Data'!L22)*10^-3)</f>
        <v>1.4156946647230737</v>
      </c>
      <c r="J11" s="25">
        <f ca="1">'Int Data'!M24/(IF('Int Data'!M22=0,'Int Data'!M28,'Int Data'!M22)*10^-3)</f>
        <v>1.3066215860499075</v>
      </c>
      <c r="K11" s="25">
        <f ca="1">'Int Data'!N24/(IF('Int Data'!N22=0,'Int Data'!N28,'Int Data'!N22)*10^-3)</f>
        <v>1.2804340023536871</v>
      </c>
      <c r="L11" s="25">
        <f ca="1">'Int Data'!O24/(IF('Int Data'!O22=0,'Int Data'!O28,'Int Data'!O22)*10^-3)</f>
        <v>1.2087785149978814</v>
      </c>
      <c r="M11" s="25">
        <f ca="1">'Int Data'!P24/(IF('Int Data'!P22=0,'Int Data'!P28,'Int Data'!P22)*10^-3)</f>
        <v>1.1060495340288095</v>
      </c>
      <c r="N11" s="25">
        <f ca="1">'Int Data'!Q24/(IF('Int Data'!Q22=0,'Int Data'!Q28,'Int Data'!Q22)*10^-3)</f>
        <v>1.0438363896226488</v>
      </c>
    </row>
    <row r="12" spans="1:18" ht="19" x14ac:dyDescent="0.2">
      <c r="A12" t="s">
        <v>68</v>
      </c>
      <c r="E12" s="25">
        <f ca="1">FossilEneEmissionsAccountingInt!E19/'Int Data'!H24</f>
        <v>60.388893896785362</v>
      </c>
      <c r="F12" s="25">
        <f ca="1">FossilEneEmissionsAccountingInt!F19/'Int Data'!I24</f>
        <v>56.874940278238526</v>
      </c>
      <c r="G12" s="25">
        <f ca="1">FossilEneEmissionsAccountingInt!G19/'Int Data'!J24</f>
        <v>49.852922777384507</v>
      </c>
      <c r="H12" s="25">
        <f ca="1">FossilEneEmissionsAccountingInt!H19/'Int Data'!K24</f>
        <v>35.086125047690828</v>
      </c>
      <c r="I12" s="25">
        <f ca="1">FossilEneEmissionsAccountingInt!I19/'Int Data'!L24</f>
        <v>24.653471950748489</v>
      </c>
      <c r="J12" s="25">
        <f ca="1">FossilEneEmissionsAccountingInt!J19/'Int Data'!M24</f>
        <v>22.626366345800442</v>
      </c>
      <c r="K12" s="25">
        <f ca="1">FossilEneEmissionsAccountingInt!K19/'Int Data'!N24</f>
        <v>22.512707323295903</v>
      </c>
      <c r="L12" s="25">
        <f ca="1">FossilEneEmissionsAccountingInt!L19/'Int Data'!O24</f>
        <v>19.764624415610864</v>
      </c>
      <c r="M12" s="25">
        <f ca="1">FossilEneEmissionsAccountingInt!M19/'Int Data'!P24</f>
        <v>17.67327123905519</v>
      </c>
      <c r="N12" s="25">
        <f ca="1">FossilEneEmissionsAccountingInt!N19/'Int Data'!Q24</f>
        <v>17.713435366341425</v>
      </c>
    </row>
    <row r="14" spans="1:18" x14ac:dyDescent="0.2">
      <c r="A14" s="21" t="s">
        <v>56</v>
      </c>
    </row>
    <row r="15" spans="1:18" x14ac:dyDescent="0.2">
      <c r="A15" t="s">
        <v>49</v>
      </c>
      <c r="E15" s="25">
        <f t="shared" ref="E15:I15" ca="1" si="0">E2/$E2</f>
        <v>1</v>
      </c>
      <c r="F15" s="25">
        <f t="shared" ca="1" si="0"/>
        <v>1.0945284943215365</v>
      </c>
      <c r="G15" s="25">
        <f t="shared" ca="1" si="0"/>
        <v>1.1647173409523044</v>
      </c>
      <c r="H15" s="25">
        <f t="shared" ca="1" si="0"/>
        <v>1.2119340777076946</v>
      </c>
      <c r="I15" s="25">
        <f t="shared" ca="1" si="0"/>
        <v>1.2324110271545068</v>
      </c>
      <c r="J15" s="25">
        <f t="shared" ref="J15:N15" ca="1" si="1">J2/$E2</f>
        <v>1.2268742837286137</v>
      </c>
      <c r="K15" s="25">
        <f t="shared" ca="1" si="1"/>
        <v>1.1989587637898333</v>
      </c>
      <c r="L15" s="25">
        <f t="shared" ca="1" si="1"/>
        <v>1.1510574821587318</v>
      </c>
      <c r="M15" s="25">
        <f t="shared" ca="1" si="1"/>
        <v>1.085043837254958</v>
      </c>
      <c r="N15" s="25">
        <f t="shared" ca="1" si="1"/>
        <v>1.0052285430382195</v>
      </c>
    </row>
    <row r="16" spans="1:18" x14ac:dyDescent="0.2">
      <c r="A16" t="s">
        <v>459</v>
      </c>
      <c r="E16" s="25">
        <f t="shared" ref="E16:I16" ca="1" si="2">E3/$E3</f>
        <v>1</v>
      </c>
      <c r="F16" s="25">
        <f t="shared" ca="1" si="2"/>
        <v>1.3488949985557175</v>
      </c>
      <c r="G16" s="25">
        <f t="shared" ca="1" si="2"/>
        <v>1.7879101094364791</v>
      </c>
      <c r="H16" s="25">
        <f t="shared" ca="1" si="2"/>
        <v>2.2093064075685342</v>
      </c>
      <c r="I16" s="25">
        <f t="shared" ca="1" si="2"/>
        <v>2.6547961752878977</v>
      </c>
      <c r="J16" s="25">
        <f t="shared" ref="J16:N16" ca="1" si="3">J3/$E3</f>
        <v>3.1557006805924028</v>
      </c>
      <c r="K16" s="25">
        <f t="shared" ca="1" si="3"/>
        <v>3.7574612283010116</v>
      </c>
      <c r="L16" s="25">
        <f t="shared" ca="1" si="3"/>
        <v>4.4547680690820117</v>
      </c>
      <c r="M16" s="25">
        <f t="shared" ca="1" si="3"/>
        <v>5.2641705890630384</v>
      </c>
      <c r="N16" s="25">
        <f t="shared" ca="1" si="3"/>
        <v>6.1959604668155785</v>
      </c>
    </row>
    <row r="17" spans="1:14" x14ac:dyDescent="0.2">
      <c r="A17" t="s">
        <v>460</v>
      </c>
      <c r="E17" s="25">
        <f t="shared" ref="E17:I17" ca="1" si="4">E4/$E4</f>
        <v>1</v>
      </c>
      <c r="F17" s="25">
        <f t="shared" ca="1" si="4"/>
        <v>0.67278874515741449</v>
      </c>
      <c r="G17" s="25">
        <f t="shared" ca="1" si="4"/>
        <v>0.39159744838824201</v>
      </c>
      <c r="H17" s="25">
        <f t="shared" ca="1" si="4"/>
        <v>0.27537976470114306</v>
      </c>
      <c r="I17" s="25">
        <f t="shared" ca="1" si="4"/>
        <v>0.23286761612861179</v>
      </c>
      <c r="J17" s="25">
        <f t="shared" ref="J17:N17" ca="1" si="5">J4/$E4</f>
        <v>0.21076096599457206</v>
      </c>
      <c r="K17" s="25">
        <f t="shared" ca="1" si="5"/>
        <v>0.19220172103376204</v>
      </c>
      <c r="L17" s="25">
        <f t="shared" ca="1" si="5"/>
        <v>0.1773735250935439</v>
      </c>
      <c r="M17" s="25">
        <f t="shared" ca="1" si="5"/>
        <v>0.16308182398717044</v>
      </c>
      <c r="N17" s="25">
        <f t="shared" ca="1" si="5"/>
        <v>0.15104100834922365</v>
      </c>
    </row>
    <row r="18" spans="1:14" ht="19" x14ac:dyDescent="0.2">
      <c r="A18" t="s">
        <v>62</v>
      </c>
      <c r="E18" s="25">
        <f t="shared" ref="E18:I18" ca="1" si="6">E5/$E5</f>
        <v>1</v>
      </c>
      <c r="F18" s="25">
        <f t="shared" ca="1" si="6"/>
        <v>1.0187689294363595</v>
      </c>
      <c r="G18" s="25">
        <f t="shared" ca="1" si="6"/>
        <v>0.97537391414013985</v>
      </c>
      <c r="H18" s="25">
        <f t="shared" ca="1" si="6"/>
        <v>0.88442362179618572</v>
      </c>
      <c r="I18" s="25">
        <f t="shared" ca="1" si="6"/>
        <v>0.90994137556879318</v>
      </c>
      <c r="J18" s="25">
        <f t="shared" ref="J18:N18" ca="1" si="7">J5/$E5</f>
        <v>0.92792433281349807</v>
      </c>
      <c r="K18" s="25">
        <f t="shared" ca="1" si="7"/>
        <v>0.9971324304825947</v>
      </c>
      <c r="L18" s="25">
        <f t="shared" ca="1" si="7"/>
        <v>1.0200250797121613</v>
      </c>
      <c r="M18" s="25">
        <f t="shared" ca="1" si="7"/>
        <v>1.0151306297264551</v>
      </c>
      <c r="N18" s="25">
        <f t="shared" ca="1" si="7"/>
        <v>1.0344046678238106</v>
      </c>
    </row>
    <row r="19" spans="1:14" ht="19" x14ac:dyDescent="0.2">
      <c r="A19" t="s">
        <v>66</v>
      </c>
      <c r="E19" s="25">
        <f t="shared" ref="E19:I19" ca="1" si="8">E6/$E6</f>
        <v>1</v>
      </c>
      <c r="F19" s="25">
        <f t="shared" ca="1" si="8"/>
        <v>0.9366607658692212</v>
      </c>
      <c r="G19" s="25">
        <f t="shared" ca="1" si="8"/>
        <v>0.86152631018007564</v>
      </c>
      <c r="H19" s="25">
        <f t="shared" ca="1" si="8"/>
        <v>0.67449639453484167</v>
      </c>
      <c r="I19" s="25">
        <f t="shared" ca="1" si="8"/>
        <v>0.52027870128374787</v>
      </c>
      <c r="J19" s="25">
        <f t="shared" ref="J19:N19" ca="1" si="9">J6/$E6</f>
        <v>0.48527966421720597</v>
      </c>
      <c r="K19" s="25">
        <f t="shared" ca="1" si="9"/>
        <v>0.48110659499310093</v>
      </c>
      <c r="L19" s="25">
        <f t="shared" ca="1" si="9"/>
        <v>0.42926728655517316</v>
      </c>
      <c r="M19" s="25">
        <f t="shared" ca="1" si="9"/>
        <v>0.38090305897509397</v>
      </c>
      <c r="N19" s="25">
        <f t="shared" ca="1" si="9"/>
        <v>0.36781747568694317</v>
      </c>
    </row>
    <row r="20" spans="1:14" ht="19" x14ac:dyDescent="0.2">
      <c r="A20" t="s">
        <v>64</v>
      </c>
      <c r="E20" s="25">
        <f t="shared" ref="E20:I20" ca="1" si="10">E7/$E7</f>
        <v>1</v>
      </c>
      <c r="F20" s="25">
        <f t="shared" ca="1" si="10"/>
        <v>1.0054987833061229</v>
      </c>
      <c r="G20" s="25">
        <f t="shared" ca="1" si="10"/>
        <v>0.9582195015106767</v>
      </c>
      <c r="H20" s="25">
        <f t="shared" ca="1" si="10"/>
        <v>0.86138776603798395</v>
      </c>
      <c r="I20" s="25">
        <f t="shared" ca="1" si="10"/>
        <v>0.78466623914399414</v>
      </c>
      <c r="J20" s="25">
        <f t="shared" ref="J20:N20" ca="1" si="11">J7/$E7</f>
        <v>0.77208594576943235</v>
      </c>
      <c r="K20" s="25">
        <f t="shared" ca="1" si="11"/>
        <v>0.77487087979596092</v>
      </c>
      <c r="L20" s="25">
        <f t="shared" ca="1" si="11"/>
        <v>0.76243653282825408</v>
      </c>
      <c r="M20" s="25">
        <f t="shared" ca="1" si="11"/>
        <v>0.76832578328524803</v>
      </c>
      <c r="N20" s="25">
        <f t="shared" ca="1" si="11"/>
        <v>0.79746817870473041</v>
      </c>
    </row>
    <row r="21" spans="1:14" x14ac:dyDescent="0.2">
      <c r="A21" t="s">
        <v>65</v>
      </c>
      <c r="E21" s="25">
        <f t="shared" ref="E21:I21" ca="1" si="12">E8/$E8</f>
        <v>1</v>
      </c>
      <c r="F21" s="25">
        <f t="shared" ca="1" si="12"/>
        <v>0.99887410317676362</v>
      </c>
      <c r="G21" s="25">
        <f t="shared" ca="1" si="12"/>
        <v>0.93811122586414508</v>
      </c>
      <c r="H21" s="25">
        <f t="shared" ca="1" si="12"/>
        <v>0.78820664022466103</v>
      </c>
      <c r="I21" s="25">
        <f t="shared" ca="1" si="12"/>
        <v>0.64892776317560985</v>
      </c>
      <c r="J21" s="25">
        <f t="shared" ref="J21:N21" ca="1" si="13">J8/$E8</f>
        <v>0.50147373966339359</v>
      </c>
      <c r="K21" s="25">
        <f t="shared" ca="1" si="13"/>
        <v>0.36837916164552736</v>
      </c>
      <c r="L21" s="25">
        <f t="shared" ca="1" si="13"/>
        <v>0.32848941615580363</v>
      </c>
      <c r="M21" s="25">
        <f t="shared" ca="1" si="13"/>
        <v>0.3361243266801559</v>
      </c>
      <c r="N21" s="25">
        <f t="shared" ca="1" si="13"/>
        <v>0.34500336472534404</v>
      </c>
    </row>
    <row r="24" spans="1:14" ht="19" x14ac:dyDescent="0.2">
      <c r="A24" s="292" t="s">
        <v>464</v>
      </c>
      <c r="E24" s="25">
        <f t="shared" ref="E24:I24" ca="1" si="14">E11/$E11</f>
        <v>1</v>
      </c>
      <c r="F24" s="25">
        <f t="shared" ca="1" si="14"/>
        <v>0.68541626964085101</v>
      </c>
      <c r="G24" s="25">
        <f t="shared" ca="1" si="14"/>
        <v>0.381953936001731</v>
      </c>
      <c r="H24" s="25">
        <f t="shared" ca="1" si="14"/>
        <v>0.24355236886636633</v>
      </c>
      <c r="I24" s="25">
        <f t="shared" ca="1" si="14"/>
        <v>0.21189587894549466</v>
      </c>
      <c r="J24" s="25">
        <f t="shared" ref="J24:N24" ca="1" si="15">J11/$E11</f>
        <v>0.19557022875364158</v>
      </c>
      <c r="K24" s="25">
        <f t="shared" ca="1" si="15"/>
        <v>0.19165056923733284</v>
      </c>
      <c r="L24" s="25">
        <f t="shared" ca="1" si="15"/>
        <v>0.18092544407236916</v>
      </c>
      <c r="M24" s="25">
        <f t="shared" ca="1" si="15"/>
        <v>0.16554935468103524</v>
      </c>
      <c r="N24" s="25">
        <f t="shared" ca="1" si="15"/>
        <v>0.15623752406925209</v>
      </c>
    </row>
    <row r="25" spans="1:14" ht="19" x14ac:dyDescent="0.2">
      <c r="A25" t="s">
        <v>68</v>
      </c>
      <c r="E25" s="25">
        <f t="shared" ref="E25:I25" ca="1" si="16">E12/$E12</f>
        <v>1</v>
      </c>
      <c r="F25" s="25">
        <f t="shared" ca="1" si="16"/>
        <v>0.94181126045208308</v>
      </c>
      <c r="G25" s="25">
        <f t="shared" ca="1" si="16"/>
        <v>0.82553131147908454</v>
      </c>
      <c r="H25" s="25">
        <f t="shared" ca="1" si="16"/>
        <v>0.58100294248904172</v>
      </c>
      <c r="I25" s="25">
        <f t="shared" ca="1" si="16"/>
        <v>0.40824513184303995</v>
      </c>
      <c r="J25" s="25">
        <f t="shared" ref="J25:N25" ca="1" si="17">J12/$E12</f>
        <v>0.37467760850981402</v>
      </c>
      <c r="K25" s="25">
        <f t="shared" ca="1" si="17"/>
        <v>0.3727954905379432</v>
      </c>
      <c r="L25" s="25">
        <f t="shared" ca="1" si="17"/>
        <v>0.32728906161771876</v>
      </c>
      <c r="M25" s="25">
        <f t="shared" ca="1" si="17"/>
        <v>0.29265764114278597</v>
      </c>
      <c r="N25" s="25">
        <f t="shared" ca="1" si="17"/>
        <v>0.29332273243183798</v>
      </c>
    </row>
    <row r="27" spans="1:14" x14ac:dyDescent="0.2">
      <c r="A27" s="21" t="s">
        <v>57</v>
      </c>
    </row>
    <row r="28" spans="1:14" x14ac:dyDescent="0.2">
      <c r="A28" t="s">
        <v>49</v>
      </c>
      <c r="F28" s="25">
        <f t="shared" ref="F28:I28" ca="1" si="18">((F2-E2)/(F$1-E$1))/$E2</f>
        <v>9.4528494321536507E-3</v>
      </c>
      <c r="G28" s="25">
        <f t="shared" ca="1" si="18"/>
        <v>7.0188846630767961E-3</v>
      </c>
      <c r="H28" s="25">
        <f t="shared" ca="1" si="18"/>
        <v>4.7216736755390128E-3</v>
      </c>
      <c r="I28" s="25">
        <f t="shared" ca="1" si="18"/>
        <v>2.0476949446812287E-3</v>
      </c>
      <c r="J28" s="25">
        <f t="shared" ref="J28:J34" ca="1" si="19">((J2-I2)/(J$1-I$1))/$E2</f>
        <v>-5.5367434258932343E-4</v>
      </c>
      <c r="K28" s="25">
        <f t="shared" ref="K28:K34" ca="1" si="20">((K2-J2)/(K$1-J$1))/$E2</f>
        <v>-2.7915519938780265E-3</v>
      </c>
      <c r="L28" s="25">
        <f t="shared" ref="L28:L34" ca="1" si="21">((L2-K2)/(L$1-K$1))/$E2</f>
        <v>-4.7901281631101645E-3</v>
      </c>
      <c r="M28" s="25">
        <f t="shared" ref="M28:M34" ca="1" si="22">((M2-L2)/(M$1-L$1))/$E2</f>
        <v>-6.6013644903773682E-3</v>
      </c>
      <c r="N28" s="25">
        <f t="shared" ref="N28:N34" ca="1" si="23">((N2-M2)/(N$1-M$1))/$E2</f>
        <v>-7.9815294216738619E-3</v>
      </c>
    </row>
    <row r="29" spans="1:14" x14ac:dyDescent="0.2">
      <c r="A29" t="s">
        <v>459</v>
      </c>
      <c r="F29" s="25">
        <f t="shared" ref="F29:I38" ca="1" si="24">((F3-E3)/(F$1-E$1))/$E3</f>
        <v>3.4889499855571743E-2</v>
      </c>
      <c r="G29" s="25">
        <f t="shared" ca="1" si="24"/>
        <v>4.3901511088076182E-2</v>
      </c>
      <c r="H29" s="25">
        <f t="shared" ca="1" si="24"/>
        <v>4.2139629813205501E-2</v>
      </c>
      <c r="I29" s="25">
        <f t="shared" ca="1" si="24"/>
        <v>4.4548976771936338E-2</v>
      </c>
      <c r="J29" s="25">
        <f t="shared" ca="1" si="19"/>
        <v>5.0090450530450532E-2</v>
      </c>
      <c r="K29" s="25">
        <f t="shared" ca="1" si="20"/>
        <v>6.0176054770860854E-2</v>
      </c>
      <c r="L29" s="25">
        <f t="shared" ca="1" si="21"/>
        <v>6.9730684078100055E-2</v>
      </c>
      <c r="M29" s="25">
        <f t="shared" ca="1" si="22"/>
        <v>8.0940251998102647E-2</v>
      </c>
      <c r="N29" s="25">
        <f t="shared" ca="1" si="23"/>
        <v>9.3178987775254046E-2</v>
      </c>
    </row>
    <row r="30" spans="1:14" x14ac:dyDescent="0.2">
      <c r="A30" t="s">
        <v>460</v>
      </c>
      <c r="F30" s="25">
        <f t="shared" ca="1" si="24"/>
        <v>-3.2721125484258547E-2</v>
      </c>
      <c r="G30" s="25">
        <f t="shared" ca="1" si="24"/>
        <v>-2.8119129676917251E-2</v>
      </c>
      <c r="H30" s="25">
        <f t="shared" ca="1" si="24"/>
        <v>-1.1621768368709894E-2</v>
      </c>
      <c r="I30" s="25">
        <f t="shared" ca="1" si="24"/>
        <v>-4.2512148572531275E-3</v>
      </c>
      <c r="J30" s="25">
        <f t="shared" ca="1" si="19"/>
        <v>-2.2106650134039738E-3</v>
      </c>
      <c r="K30" s="25">
        <f t="shared" ca="1" si="20"/>
        <v>-1.8559244960809997E-3</v>
      </c>
      <c r="L30" s="25">
        <f t="shared" ca="1" si="21"/>
        <v>-1.4828195940218153E-3</v>
      </c>
      <c r="M30" s="25">
        <f t="shared" ca="1" si="22"/>
        <v>-1.4291701106373448E-3</v>
      </c>
      <c r="N30" s="25">
        <f t="shared" ca="1" si="23"/>
        <v>-1.2040815637946799E-3</v>
      </c>
    </row>
    <row r="31" spans="1:14" ht="19" x14ac:dyDescent="0.2">
      <c r="A31" t="s">
        <v>62</v>
      </c>
      <c r="F31" s="25">
        <f t="shared" ca="1" si="24"/>
        <v>1.8768929436359515E-3</v>
      </c>
      <c r="G31" s="25">
        <f t="shared" ca="1" si="24"/>
        <v>-4.3395015296219626E-3</v>
      </c>
      <c r="H31" s="25">
        <f t="shared" ca="1" si="24"/>
        <v>-9.0950292343954207E-3</v>
      </c>
      <c r="I31" s="25">
        <f t="shared" ca="1" si="24"/>
        <v>2.5517753772607479E-3</v>
      </c>
      <c r="J31" s="25">
        <f t="shared" ca="1" si="19"/>
        <v>1.7982957244704915E-3</v>
      </c>
      <c r="K31" s="25">
        <f t="shared" ca="1" si="20"/>
        <v>6.920809766909666E-3</v>
      </c>
      <c r="L31" s="25">
        <f t="shared" ca="1" si="21"/>
        <v>2.2892649229566647E-3</v>
      </c>
      <c r="M31" s="25">
        <f t="shared" ca="1" si="22"/>
        <v>-4.8944499857062388E-4</v>
      </c>
      <c r="N31" s="25">
        <f t="shared" ca="1" si="23"/>
        <v>1.9274038097355521E-3</v>
      </c>
    </row>
    <row r="32" spans="1:14" ht="19" x14ac:dyDescent="0.2">
      <c r="A32" t="s">
        <v>66</v>
      </c>
      <c r="F32" s="25">
        <f t="shared" ca="1" si="24"/>
        <v>-6.33392341307788E-3</v>
      </c>
      <c r="G32" s="25">
        <f t="shared" ca="1" si="24"/>
        <v>-7.5134455689145566E-3</v>
      </c>
      <c r="H32" s="25">
        <f t="shared" ca="1" si="24"/>
        <v>-1.8702991564523399E-2</v>
      </c>
      <c r="I32" s="25">
        <f t="shared" ca="1" si="24"/>
        <v>-1.5421769325109372E-2</v>
      </c>
      <c r="J32" s="25">
        <f t="shared" ca="1" si="19"/>
        <v>-3.4999037066541943E-3</v>
      </c>
      <c r="K32" s="25">
        <f t="shared" ca="1" si="20"/>
        <v>-4.1730692241050013E-4</v>
      </c>
      <c r="L32" s="25">
        <f t="shared" ca="1" si="21"/>
        <v>-5.1839308437927794E-3</v>
      </c>
      <c r="M32" s="25">
        <f t="shared" ca="1" si="22"/>
        <v>-4.8364227580079194E-3</v>
      </c>
      <c r="N32" s="25">
        <f t="shared" ca="1" si="23"/>
        <v>-1.3085583288150785E-3</v>
      </c>
    </row>
    <row r="33" spans="1:14" ht="19" x14ac:dyDescent="0.2">
      <c r="A33" t="s">
        <v>64</v>
      </c>
      <c r="F33" s="25">
        <f t="shared" ca="1" si="24"/>
        <v>5.4987833061228674E-4</v>
      </c>
      <c r="G33" s="25">
        <f t="shared" ca="1" si="24"/>
        <v>-4.7279281795446128E-3</v>
      </c>
      <c r="H33" s="25">
        <f t="shared" ca="1" si="24"/>
        <v>-9.6831735472692835E-3</v>
      </c>
      <c r="I33" s="25">
        <f t="shared" ca="1" si="24"/>
        <v>-7.6721526893989787E-3</v>
      </c>
      <c r="J33" s="25">
        <f t="shared" ca="1" si="19"/>
        <v>-1.2580293374561747E-3</v>
      </c>
      <c r="K33" s="25">
        <f t="shared" ca="1" si="20"/>
        <v>2.7849340265285663E-4</v>
      </c>
      <c r="L33" s="25">
        <f t="shared" ca="1" si="21"/>
        <v>-1.2434346967706907E-3</v>
      </c>
      <c r="M33" s="25">
        <f t="shared" ca="1" si="22"/>
        <v>5.8892504569939708E-4</v>
      </c>
      <c r="N33" s="25">
        <f t="shared" ca="1" si="23"/>
        <v>2.9142395419482392E-3</v>
      </c>
    </row>
    <row r="34" spans="1:14" x14ac:dyDescent="0.2">
      <c r="A34" t="s">
        <v>65</v>
      </c>
      <c r="F34" s="25">
        <f t="shared" ca="1" si="24"/>
        <v>-1.1258968232363831E-4</v>
      </c>
      <c r="G34" s="25">
        <f t="shared" ca="1" si="24"/>
        <v>-6.0762877312618537E-3</v>
      </c>
      <c r="H34" s="25">
        <f t="shared" ca="1" si="24"/>
        <v>-1.4990458563948405E-2</v>
      </c>
      <c r="I34" s="25">
        <f t="shared" ca="1" si="24"/>
        <v>-1.3927887704905117E-2</v>
      </c>
      <c r="J34" s="25">
        <f t="shared" ca="1" si="19"/>
        <v>-1.4745402351221626E-2</v>
      </c>
      <c r="K34" s="25">
        <f t="shared" ca="1" si="20"/>
        <v>-1.3309457801786623E-2</v>
      </c>
      <c r="L34" s="25">
        <f t="shared" ca="1" si="21"/>
        <v>-3.9889745489723738E-3</v>
      </c>
      <c r="M34" s="25">
        <f t="shared" ca="1" si="22"/>
        <v>7.6349105243522786E-4</v>
      </c>
      <c r="N34" s="25">
        <f t="shared" ca="1" si="23"/>
        <v>8.8790380451881366E-4</v>
      </c>
    </row>
    <row r="37" spans="1:14" ht="19" x14ac:dyDescent="0.2">
      <c r="A37" s="292" t="s">
        <v>464</v>
      </c>
      <c r="F37" s="25">
        <f t="shared" ca="1" si="24"/>
        <v>-3.1458373035914908E-2</v>
      </c>
      <c r="G37" s="25">
        <f t="shared" ca="1" si="24"/>
        <v>-3.0346233363911995E-2</v>
      </c>
      <c r="H37" s="25">
        <f t="shared" ca="1" si="24"/>
        <v>-1.3840156713536469E-2</v>
      </c>
      <c r="I37" s="25">
        <f t="shared" ca="1" si="24"/>
        <v>-3.165648992087166E-3</v>
      </c>
      <c r="J37" s="25">
        <f t="shared" ref="J37:J38" ca="1" si="25">((J11-I11)/(J$1-I$1))/$E11</f>
        <v>-1.6325650191853084E-3</v>
      </c>
      <c r="K37" s="25">
        <f t="shared" ref="K37:K38" ca="1" si="26">((K11-J11)/(K$1-J$1))/$E11</f>
        <v>-3.9196595163087586E-4</v>
      </c>
      <c r="L37" s="25">
        <f t="shared" ref="L37:L38" ca="1" si="27">((L11-K11)/(L$1-K$1))/$E11</f>
        <v>-1.0725125164963666E-3</v>
      </c>
      <c r="M37" s="25">
        <f t="shared" ref="M37:M38" ca="1" si="28">((M11-L11)/(M$1-L$1))/$E11</f>
        <v>-1.5376089391333919E-3</v>
      </c>
      <c r="N37" s="25">
        <f t="shared" ref="N37:N38" ca="1" si="29">((N11-M11)/(N$1-M$1))/$E11</f>
        <v>-9.3118306117831473E-4</v>
      </c>
    </row>
    <row r="38" spans="1:14" ht="19" x14ac:dyDescent="0.2">
      <c r="A38" t="s">
        <v>68</v>
      </c>
      <c r="F38" s="25">
        <f t="shared" ca="1" si="24"/>
        <v>-5.8188739547916958E-3</v>
      </c>
      <c r="G38" s="25">
        <f t="shared" ca="1" si="24"/>
        <v>-1.1627994897299846E-2</v>
      </c>
      <c r="H38" s="25">
        <f t="shared" ca="1" si="24"/>
        <v>-2.4452836899004286E-2</v>
      </c>
      <c r="I38" s="25">
        <f t="shared" ca="1" si="24"/>
        <v>-1.727578106460018E-2</v>
      </c>
      <c r="J38" s="25">
        <f t="shared" ca="1" si="25"/>
        <v>-3.3567523333225937E-3</v>
      </c>
      <c r="K38" s="25">
        <f t="shared" ca="1" si="26"/>
        <v>-1.8821179718708043E-4</v>
      </c>
      <c r="L38" s="25">
        <f t="shared" ca="1" si="27"/>
        <v>-4.5506428920224435E-3</v>
      </c>
      <c r="M38" s="25">
        <f t="shared" ca="1" si="28"/>
        <v>-3.4631420474932765E-3</v>
      </c>
      <c r="N38" s="25">
        <f t="shared" ca="1" si="29"/>
        <v>6.6509128905197033E-5</v>
      </c>
    </row>
  </sheetData>
  <pageMargins left="0.7" right="0.7" top="0.75" bottom="0.75" header="0.3" footer="0.3"/>
  <pageSetup orientation="portrait" horizontalDpi="0" verticalDpi="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74106D-761B-1D4D-85D4-969D6320D0AC}">
  <sheetPr codeName="Sheet21">
    <tabColor theme="7" tint="-0.249977111117893"/>
  </sheetPr>
  <dimension ref="A1:G14"/>
  <sheetViews>
    <sheetView workbookViewId="0">
      <selection activeCell="I20" sqref="I20"/>
    </sheetView>
  </sheetViews>
  <sheetFormatPr baseColWidth="10" defaultRowHeight="16" x14ac:dyDescent="0.2"/>
  <cols>
    <col min="2" max="2" width="12.1640625" bestFit="1" customWidth="1"/>
    <col min="3" max="3" width="12.83203125" bestFit="1" customWidth="1"/>
  </cols>
  <sheetData>
    <row r="1" spans="1:7" x14ac:dyDescent="0.2">
      <c r="B1" t="s">
        <v>44</v>
      </c>
      <c r="C1" t="s">
        <v>45</v>
      </c>
      <c r="D1" t="s">
        <v>81</v>
      </c>
    </row>
    <row r="2" spans="1:7" x14ac:dyDescent="0.2">
      <c r="A2" t="s">
        <v>49</v>
      </c>
      <c r="B2" s="27">
        <f ca="1">(INDEX(ratioDataRef,1,COLUMNS(ratioDataRef))/INDEX(ratioDataRef,1,1))^(1/(INDEX(ratioYearschng,1,COLUMNS(ratioYearschng))-INDEX(ratioYearschng,1,1)))-1</f>
        <v>3.0485734228860029E-3</v>
      </c>
      <c r="C2" s="27">
        <f ca="1">(INDEX(ratioDataInt,1,COLUMNS(ratioDataInt))/INDEX(ratioDataInt,1,1))^(1/(INDEX(ratioYearschng,1,COLUMNS(ratioYearschng))-INDEX(ratioYearschng,1,1)))-1</f>
        <v>5.7945252832425354E-5</v>
      </c>
      <c r="D2" s="27">
        <f ca="1">C2-B2</f>
        <v>-2.9906281700535775E-3</v>
      </c>
    </row>
    <row r="3" spans="1:7" x14ac:dyDescent="0.2">
      <c r="A3" t="s">
        <v>59</v>
      </c>
      <c r="B3" s="27">
        <f ca="1">(INDEX(ratioDataRef,2,COLUMNS(ratioDataRef))/INDEX(ratioDataRef,2,1))^(1/(INDEX(ratioYearschng,1,COLUMNS(ratioYearschng))-INDEX(ratioYearschng,1,1)))-1</f>
        <v>2.0066275470728145E-2</v>
      </c>
      <c r="C3" s="27">
        <f ca="1">(INDEX(ratioDataInt,2,COLUMNS(ratioDataInt))/INDEX(ratioDataInt,2,1))^(1/(INDEX(ratioYearschng,1,COLUMNS(ratioYearschng))-INDEX(ratioYearschng,1,1)))-1</f>
        <v>2.0472268266619853E-2</v>
      </c>
      <c r="D3" s="27">
        <f t="shared" ref="D3:D14" ca="1" si="0">C3-B3</f>
        <v>4.0599279589170756E-4</v>
      </c>
    </row>
    <row r="4" spans="1:7" x14ac:dyDescent="0.2">
      <c r="A4" t="s">
        <v>60</v>
      </c>
      <c r="B4" s="27">
        <f ca="1">(INDEX(ratioDataRef,3,COLUMNS(ratioDataRef))/INDEX(ratioDataRef,3,1))^(1/(INDEX(ratioYearschng,1,COLUMNS(ratioYearschng))-INDEX(ratioYearschng,1,1)))-1</f>
        <v>-1.3758418653706972E-2</v>
      </c>
      <c r="C4" s="27">
        <f ca="1">(INDEX(ratioDataInt,3,COLUMNS(ratioDataInt))/INDEX(ratioDataInt,3,1))^(1/(INDEX(ratioYearsInt,1,COLUMNS(ratioYearsInt))-INDEX(ratioYearsInt,1,1)))-1</f>
        <v>-4.6155956692186972E-2</v>
      </c>
      <c r="D4" s="27">
        <f t="shared" ca="1" si="0"/>
        <v>-3.239753803848E-2</v>
      </c>
    </row>
    <row r="5" spans="1:7" ht="19" x14ac:dyDescent="0.2">
      <c r="A5" t="s">
        <v>62</v>
      </c>
      <c r="B5" s="27">
        <f ca="1">(INDEX(ratioDataRef,4,COLUMNS(ratioDataRef))/INDEX(ratioDataRef,4,1))^(1/(INDEX(ratioYearschng,1,COLUMNS(ratioYearschng))-INDEX(ratioYearschng,1,1)))-1</f>
        <v>7.734015927329807E-5</v>
      </c>
      <c r="C5" s="27">
        <f ca="1">(INDEX(ratioDataInt,4,COLUMNS(ratioDataInt))/INDEX(ratioDataInt,4,1))^(1/(INDEX(ratioYearschng,1,COLUMNS(ratioYearschng))-INDEX(ratioYearschng,1,1)))-1</f>
        <v>3.7591576147222305E-4</v>
      </c>
      <c r="D5" s="27">
        <f t="shared" ca="1" si="0"/>
        <v>2.9857560219892498E-4</v>
      </c>
    </row>
    <row r="6" spans="1:7" ht="19" x14ac:dyDescent="0.2">
      <c r="A6" t="s">
        <v>66</v>
      </c>
      <c r="B6" s="27">
        <f ca="1">(INDEX(ratioDataRef,5,COLUMNS(ratioDataRef))/INDEX(ratioDataRef,5,1))^(1/(INDEX(ratioYearschng,1,COLUMNS(ratioYearschng))-INDEX(ratioYearschng,1,1)))-1</f>
        <v>-8.6069094337770657E-4</v>
      </c>
      <c r="C6" s="27">
        <f ca="1">(INDEX(ratioDataInt,5,COLUMNS(ratioDataInt))/INDEX(ratioDataInt,5,1))^(1/(INDEX(ratioYearschng,1,COLUMNS(ratioYearschng))-INDEX(ratioYearschng,1,1)))-1</f>
        <v>-1.1051461731997891E-2</v>
      </c>
      <c r="D6" s="27">
        <f t="shared" ca="1" si="0"/>
        <v>-1.0190770788620185E-2</v>
      </c>
      <c r="G6" s="27"/>
    </row>
    <row r="7" spans="1:7" ht="19" x14ac:dyDescent="0.2">
      <c r="A7" t="s">
        <v>64</v>
      </c>
      <c r="B7" s="27">
        <f ca="1">(INDEX(ratioDataRef,6,COLUMNS(ratioDataRef))/INDEX(ratioDataRef,6,1))^(1/(INDEX(ratioYearschng,1,COLUMNS(ratioYearschng))-INDEX(ratioYearschng,1,1)))-1</f>
        <v>8.49737599767586E-4</v>
      </c>
      <c r="C7" s="27">
        <f ca="1">(INDEX(ratioDataInt,6,COLUMNS(ratioDataInt))/INDEX(ratioDataInt,6,1))^(1/(INDEX(ratioYearschng,1,COLUMNS(ratioYearschng))-INDEX(ratioYearschng,1,1)))-1</f>
        <v>-2.5114337981613222E-3</v>
      </c>
      <c r="D7" s="27">
        <f t="shared" ca="1" si="0"/>
        <v>-3.3611713979289082E-3</v>
      </c>
    </row>
    <row r="8" spans="1:7" x14ac:dyDescent="0.2">
      <c r="A8" t="s">
        <v>65</v>
      </c>
      <c r="B8" s="27">
        <f ca="1">(INDEX(ratioDataRef,7,COLUMNS(ratioDataRef))/INDEX(ratioDataRef,7,1))^(1/(INDEX(ratioYearschng,1,COLUMNS(ratioYearschng))-INDEX(ratioYearschng,1,1)))-1</f>
        <v>0</v>
      </c>
      <c r="C8" s="27">
        <f ca="1">(INDEX(ratioDataInt,7,COLUMNS(ratioDataInt))/INDEX(ratioDataInt,7,1))^(1/(INDEX(ratioYearschng,1,COLUMNS(ratioYearschng))-INDEX(ratioYearschng,1,1)))-1</f>
        <v>-1.1754822611892313E-2</v>
      </c>
      <c r="D8" s="27">
        <f t="shared" ca="1" si="0"/>
        <v>-1.1754822611892313E-2</v>
      </c>
    </row>
    <row r="9" spans="1:7" x14ac:dyDescent="0.2">
      <c r="B9" s="27"/>
      <c r="C9" s="27"/>
      <c r="D9" s="27"/>
    </row>
    <row r="10" spans="1:7" x14ac:dyDescent="0.2">
      <c r="B10" s="27"/>
      <c r="C10" s="27"/>
      <c r="D10" s="27"/>
    </row>
    <row r="11" spans="1:7" ht="19" x14ac:dyDescent="0.2">
      <c r="A11" t="s">
        <v>67</v>
      </c>
      <c r="B11" s="27">
        <f ca="1">(INDEX(ratioDataRef,10,COLUMNS(ratioDataRef))/INDEX(ratioDataRef,10,1))^(1/(INDEX(ratioYearschng,1,COLUMNS(ratioYearschng))-INDEX(ratioYearschng,1,1)))-1</f>
        <v>-1.368214257272371E-2</v>
      </c>
      <c r="C11" s="27">
        <f ca="1">(INDEX(ratioDataInt,10,COLUMNS(ratioDataInt))/INDEX(ratioDataInt,10,1))^(1/(INDEX(ratioYearschng,1,COLUMNS(ratioYearschng))-INDEX(ratioYearschng,1,1)))-1</f>
        <v>-2.0415150900400802E-2</v>
      </c>
      <c r="D11" s="27">
        <f t="shared" ca="1" si="0"/>
        <v>-6.7330083276770925E-3</v>
      </c>
    </row>
    <row r="12" spans="1:7" ht="19" x14ac:dyDescent="0.2">
      <c r="A12" t="s">
        <v>68</v>
      </c>
      <c r="B12" s="27">
        <f ca="1">(INDEX(ratioDataRef,11,COLUMNS(ratioDataRef))/INDEX(ratioDataRef,11,1))^(1/(INDEX(ratioYearschng,1,COLUMNS(ratioYearschng))-INDEX(ratioYearschng,1,1)))-1</f>
        <v>-1.1684705066516976E-5</v>
      </c>
      <c r="C12" s="27">
        <f ca="1">(INDEX(ratioDataInt,15,COLUMNS(ratioDataInt))/INDEX(ratioDataInt,15,1))^(1/(INDEX(ratioYearschng,1,COLUMNS(ratioYearschng))-INDEX(ratioYearschng,1,1)))-1</f>
        <v>2.0472268266619853E-2</v>
      </c>
      <c r="D12" s="27">
        <f t="shared" ca="1" si="0"/>
        <v>2.048395297168637E-2</v>
      </c>
    </row>
    <row r="13" spans="1:7" x14ac:dyDescent="0.2">
      <c r="D13" s="27"/>
    </row>
    <row r="14" spans="1:7" x14ac:dyDescent="0.2">
      <c r="A14" t="s">
        <v>54</v>
      </c>
      <c r="B14" s="27">
        <f ca="1">(INDEX(FactorDataRef,7,COLUMNS(FactorDataRef))/INDEX(FactorDataRef,7,1))^(1/(INDEX(ratioYearschng,1,COLUMNS(ratioYearschng))-INDEX(ratioYearschng,1,1)))-1</f>
        <v>9.1649902590760224E-3</v>
      </c>
      <c r="C14" s="27">
        <f ca="1">(INDEX(FactorDataInt,7,COLUMNS(FactorDataInt))/INDEX(FactorDataInt,7,1))^(1/(INDEX(ratioYearschng,1,COLUMNS(ratioYearschng))-INDEX(ratioYearschng,1,1)))-1</f>
        <v>-2.5426150480637011E-2</v>
      </c>
      <c r="D14" s="27">
        <f t="shared" ca="1" si="0"/>
        <v>-3.4591140739713033E-2</v>
      </c>
    </row>
  </sheetData>
  <pageMargins left="0.7" right="0.7" top="0.75" bottom="0.75" header="0.3" footer="0.3"/>
  <pageSetup orientation="portrait" horizontalDpi="0" verticalDpi="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8687A-E9AE-F844-8FF1-F6D6FB31B04B}">
  <sheetPr codeName="Sheet16"/>
  <dimension ref="A1:T94"/>
  <sheetViews>
    <sheetView topLeftCell="B1" workbookViewId="0">
      <selection activeCell="E53" sqref="E53"/>
    </sheetView>
  </sheetViews>
  <sheetFormatPr baseColWidth="10" defaultRowHeight="16" x14ac:dyDescent="0.2"/>
  <sheetData>
    <row r="1" spans="1:20" x14ac:dyDescent="0.2">
      <c r="A1" t="s">
        <v>79</v>
      </c>
    </row>
    <row r="2" spans="1:20" x14ac:dyDescent="0.2">
      <c r="A2" s="21" t="s">
        <v>69</v>
      </c>
      <c r="D2">
        <f>'Int Data'!G13</f>
        <v>2005</v>
      </c>
      <c r="E2">
        <f>'Int Data'!H13</f>
        <v>2010</v>
      </c>
      <c r="F2">
        <f>'Int Data'!I13</f>
        <v>2020</v>
      </c>
      <c r="G2">
        <f>'Int Data'!J13</f>
        <v>2030</v>
      </c>
      <c r="H2">
        <f>'Int Data'!K13</f>
        <v>2040</v>
      </c>
      <c r="I2">
        <f>'Int Data'!L13</f>
        <v>2050</v>
      </c>
      <c r="J2">
        <f>'Int Data'!M13</f>
        <v>2060</v>
      </c>
      <c r="K2">
        <f>'Int Data'!N13</f>
        <v>2070</v>
      </c>
      <c r="L2">
        <f>'Int Data'!O13</f>
        <v>2080</v>
      </c>
      <c r="M2">
        <f>'Int Data'!P13</f>
        <v>2090</v>
      </c>
      <c r="N2">
        <f>'Int Data'!Q13</f>
        <v>2100</v>
      </c>
    </row>
    <row r="3" spans="1:20" x14ac:dyDescent="0.2">
      <c r="A3" t="s">
        <v>49</v>
      </c>
      <c r="B3" s="28">
        <v>1.33397307876435E-2</v>
      </c>
      <c r="E3" s="29">
        <f ca="1">IF(E$2&gt;MAX([0]!yearsRef),NA(),$B3)</f>
        <v>1.33397307876435E-2</v>
      </c>
      <c r="F3" s="29">
        <f ca="1">IF(F$2&gt;MAX([0]!yearsRef),NA(),$B3)</f>
        <v>1.33397307876435E-2</v>
      </c>
      <c r="G3" s="29">
        <f ca="1">IF(G$2&gt;MAX([0]!yearsRef),NA(),$B3)</f>
        <v>1.33397307876435E-2</v>
      </c>
      <c r="H3" s="29">
        <f ca="1">IF(H$2&gt;MAX([0]!yearsRef),NA(),$B3)</f>
        <v>1.33397307876435E-2</v>
      </c>
      <c r="I3" s="29">
        <f ca="1">IF(I$2&gt;MAX([0]!yearsRef),NA(),$B3)</f>
        <v>1.33397307876435E-2</v>
      </c>
      <c r="J3" s="29">
        <f ca="1">IF(J$2&gt;MAX([0]!yearsRef),NA(),$B3)</f>
        <v>1.33397307876435E-2</v>
      </c>
      <c r="K3" s="29">
        <f ca="1">IF(K$2&gt;MAX([0]!yearsRef),NA(),$B3)</f>
        <v>1.33397307876435E-2</v>
      </c>
      <c r="L3" s="29">
        <f ca="1">IF(L$2&gt;MAX([0]!yearsRef),NA(),$B3)</f>
        <v>1.33397307876435E-2</v>
      </c>
      <c r="M3" s="29">
        <f ca="1">IF(M$2&gt;MAX([0]!yearsRef),NA(),$B3)</f>
        <v>1.33397307876435E-2</v>
      </c>
      <c r="N3" s="29">
        <f ca="1">IF(N$2&gt;MAX([0]!yearsRef),NA(),$B3)</f>
        <v>1.33397307876435E-2</v>
      </c>
      <c r="O3" s="29">
        <f ca="1">IF(O$2&gt;MAX([0]!yearsRef),NA(),$B3)</f>
        <v>1.33397307876435E-2</v>
      </c>
      <c r="P3" s="29">
        <f ca="1">IF(P$2&gt;MAX([0]!yearsRef),NA(),$B3)</f>
        <v>1.33397307876435E-2</v>
      </c>
      <c r="Q3" s="29">
        <f ca="1">IF(Q$2&gt;MAX([0]!yearsRef),NA(),$B3)</f>
        <v>1.33397307876435E-2</v>
      </c>
      <c r="R3" s="29">
        <f ca="1">IF(R$2&gt;MAX([0]!yearsRef),NA(),$B3)</f>
        <v>1.33397307876435E-2</v>
      </c>
      <c r="S3" s="29">
        <f ca="1">IF(S$2&gt;MAX([0]!yearsRef),NA(),$B3)</f>
        <v>1.33397307876435E-2</v>
      </c>
      <c r="T3" s="29">
        <f ca="1">IF(T$2&gt;MAX([0]!yearsRef),NA(),$B3)</f>
        <v>1.33397307876435E-2</v>
      </c>
    </row>
    <row r="4" spans="1:20" x14ac:dyDescent="0.2">
      <c r="B4" s="28">
        <v>1.2523115485857383E-2</v>
      </c>
      <c r="E4" s="29">
        <f ca="1">IF(E$2&gt;MAX([0]!yearsRef),NA(),$B4)</f>
        <v>1.2523115485857383E-2</v>
      </c>
      <c r="F4" s="29">
        <f ca="1">IF(F$2&gt;MAX([0]!yearsRef),NA(),$B4)</f>
        <v>1.2523115485857383E-2</v>
      </c>
      <c r="G4" s="29">
        <f ca="1">IF(G$2&gt;MAX([0]!yearsRef),NA(),$B4)</f>
        <v>1.2523115485857383E-2</v>
      </c>
      <c r="H4" s="29">
        <f ca="1">IF(H$2&gt;MAX([0]!yearsRef),NA(),$B4)</f>
        <v>1.2523115485857383E-2</v>
      </c>
      <c r="I4" s="29">
        <f ca="1">IF(I$2&gt;MAX([0]!yearsRef),NA(),$B4)</f>
        <v>1.2523115485857383E-2</v>
      </c>
      <c r="J4" s="29">
        <f ca="1">IF(J$2&gt;MAX([0]!yearsRef),NA(),$B4)</f>
        <v>1.2523115485857383E-2</v>
      </c>
      <c r="K4" s="29">
        <f ca="1">IF(K$2&gt;MAX([0]!yearsRef),NA(),$B4)</f>
        <v>1.2523115485857383E-2</v>
      </c>
      <c r="L4" s="29">
        <f ca="1">IF(L$2&gt;MAX([0]!yearsRef),NA(),$B4)</f>
        <v>1.2523115485857383E-2</v>
      </c>
      <c r="M4" s="29">
        <f ca="1">IF(M$2&gt;MAX([0]!yearsRef),NA(),$B4)</f>
        <v>1.2523115485857383E-2</v>
      </c>
      <c r="N4" s="29">
        <f ca="1">IF(N$2&gt;MAX([0]!yearsRef),NA(),$B4)</f>
        <v>1.2523115485857383E-2</v>
      </c>
      <c r="O4" s="29">
        <f ca="1">IF(O$2&gt;MAX([0]!yearsRef),NA(),$B4)</f>
        <v>1.2523115485857383E-2</v>
      </c>
      <c r="P4" s="29">
        <f ca="1">IF(P$2&gt;MAX([0]!yearsRef),NA(),$B4)</f>
        <v>1.2523115485857383E-2</v>
      </c>
      <c r="Q4" s="29">
        <f ca="1">IF(Q$2&gt;MAX([0]!yearsRef),NA(),$B4)</f>
        <v>1.2523115485857383E-2</v>
      </c>
      <c r="R4" s="29">
        <f ca="1">IF(R$2&gt;MAX([0]!yearsRef),NA(),$B4)</f>
        <v>1.2523115485857383E-2</v>
      </c>
      <c r="S4" s="29">
        <f ca="1">IF(S$2&gt;MAX([0]!yearsRef),NA(),$B4)</f>
        <v>1.2523115485857383E-2</v>
      </c>
      <c r="T4" s="29">
        <f ca="1">IF(T$2&gt;MAX([0]!yearsRef),NA(),$B4)</f>
        <v>1.2523115485857383E-2</v>
      </c>
    </row>
    <row r="5" spans="1:20" x14ac:dyDescent="0.2">
      <c r="A5" t="s">
        <v>50</v>
      </c>
      <c r="B5" s="28">
        <v>3.0635576805107867E-2</v>
      </c>
      <c r="E5" s="29">
        <f ca="1">IF(E$2&gt;MAX([0]!yearsRef),NA(),$B5)</f>
        <v>3.0635576805107867E-2</v>
      </c>
      <c r="F5" s="29">
        <f ca="1">IF(F$2&gt;MAX([0]!yearsRef),NA(),$B5)</f>
        <v>3.0635576805107867E-2</v>
      </c>
      <c r="G5" s="29">
        <f ca="1">IF(G$2&gt;MAX([0]!yearsRef),NA(),$B5)</f>
        <v>3.0635576805107867E-2</v>
      </c>
      <c r="H5" s="29">
        <f ca="1">IF(H$2&gt;MAX([0]!yearsRef),NA(),$B5)</f>
        <v>3.0635576805107867E-2</v>
      </c>
      <c r="I5" s="29">
        <f ca="1">IF(I$2&gt;MAX([0]!yearsRef),NA(),$B5)</f>
        <v>3.0635576805107867E-2</v>
      </c>
      <c r="J5" s="29">
        <f ca="1">IF(J$2&gt;MAX([0]!yearsRef),NA(),$B5)</f>
        <v>3.0635576805107867E-2</v>
      </c>
      <c r="K5" s="29">
        <f ca="1">IF(K$2&gt;MAX([0]!yearsRef),NA(),$B5)</f>
        <v>3.0635576805107867E-2</v>
      </c>
      <c r="L5" s="29">
        <f ca="1">IF(L$2&gt;MAX([0]!yearsRef),NA(),$B5)</f>
        <v>3.0635576805107867E-2</v>
      </c>
      <c r="M5" s="29">
        <f ca="1">IF(M$2&gt;MAX([0]!yearsRef),NA(),$B5)</f>
        <v>3.0635576805107867E-2</v>
      </c>
      <c r="N5" s="29">
        <f ca="1">IF(N$2&gt;MAX([0]!yearsRef),NA(),$B5)</f>
        <v>3.0635576805107867E-2</v>
      </c>
      <c r="O5" s="29">
        <f ca="1">IF(O$2&gt;MAX([0]!yearsRef),NA(),$B5)</f>
        <v>3.0635576805107867E-2</v>
      </c>
      <c r="P5" s="29">
        <f ca="1">IF(P$2&gt;MAX([0]!yearsRef),NA(),$B5)</f>
        <v>3.0635576805107867E-2</v>
      </c>
      <c r="Q5" s="29">
        <f ca="1">IF(Q$2&gt;MAX([0]!yearsRef),NA(),$B5)</f>
        <v>3.0635576805107867E-2</v>
      </c>
      <c r="R5" s="29">
        <f ca="1">IF(R$2&gt;MAX([0]!yearsRef),NA(),$B5)</f>
        <v>3.0635576805107867E-2</v>
      </c>
      <c r="S5" s="29">
        <f ca="1">IF(S$2&gt;MAX([0]!yearsRef),NA(),$B5)</f>
        <v>3.0635576805107867E-2</v>
      </c>
      <c r="T5" s="29">
        <f ca="1">IF(T$2&gt;MAX([0]!yearsRef),NA(),$B5)</f>
        <v>3.0635576805107867E-2</v>
      </c>
    </row>
    <row r="6" spans="1:20" x14ac:dyDescent="0.2">
      <c r="B6" s="28">
        <v>3.7463680533559307E-2</v>
      </c>
      <c r="E6" s="29">
        <f ca="1">IF(E$2&gt;MAX([0]!yearsRef),NA(),$B6)</f>
        <v>3.7463680533559307E-2</v>
      </c>
      <c r="F6" s="29">
        <f ca="1">IF(F$2&gt;MAX([0]!yearsRef),NA(),$B6)</f>
        <v>3.7463680533559307E-2</v>
      </c>
      <c r="G6" s="29">
        <f ca="1">IF(G$2&gt;MAX([0]!yearsRef),NA(),$B6)</f>
        <v>3.7463680533559307E-2</v>
      </c>
      <c r="H6" s="29">
        <f ca="1">IF(H$2&gt;MAX([0]!yearsRef),NA(),$B6)</f>
        <v>3.7463680533559307E-2</v>
      </c>
      <c r="I6" s="29">
        <f ca="1">IF(I$2&gt;MAX([0]!yearsRef),NA(),$B6)</f>
        <v>3.7463680533559307E-2</v>
      </c>
      <c r="J6" s="29">
        <f ca="1">IF(J$2&gt;MAX([0]!yearsRef),NA(),$B6)</f>
        <v>3.7463680533559307E-2</v>
      </c>
      <c r="K6" s="29">
        <f ca="1">IF(K$2&gt;MAX([0]!yearsRef),NA(),$B6)</f>
        <v>3.7463680533559307E-2</v>
      </c>
      <c r="L6" s="29">
        <f ca="1">IF(L$2&gt;MAX([0]!yearsRef),NA(),$B6)</f>
        <v>3.7463680533559307E-2</v>
      </c>
      <c r="M6" s="29">
        <f ca="1">IF(M$2&gt;MAX([0]!yearsRef),NA(),$B6)</f>
        <v>3.7463680533559307E-2</v>
      </c>
      <c r="N6" s="29">
        <f ca="1">IF(N$2&gt;MAX([0]!yearsRef),NA(),$B6)</f>
        <v>3.7463680533559307E-2</v>
      </c>
      <c r="O6" s="29">
        <f ca="1">IF(O$2&gt;MAX([0]!yearsRef),NA(),$B6)</f>
        <v>3.7463680533559307E-2</v>
      </c>
      <c r="P6" s="29">
        <f ca="1">IF(P$2&gt;MAX([0]!yearsRef),NA(),$B6)</f>
        <v>3.7463680533559307E-2</v>
      </c>
      <c r="Q6" s="29">
        <f ca="1">IF(Q$2&gt;MAX([0]!yearsRef),NA(),$B6)</f>
        <v>3.7463680533559307E-2</v>
      </c>
      <c r="R6" s="29">
        <f ca="1">IF(R$2&gt;MAX([0]!yearsRef),NA(),$B6)</f>
        <v>3.7463680533559307E-2</v>
      </c>
      <c r="S6" s="29">
        <f ca="1">IF(S$2&gt;MAX([0]!yearsRef),NA(),$B6)</f>
        <v>3.7463680533559307E-2</v>
      </c>
      <c r="T6" s="29">
        <f ca="1">IF(T$2&gt;MAX([0]!yearsRef),NA(),$B6)</f>
        <v>3.7463680533559307E-2</v>
      </c>
    </row>
    <row r="7" spans="1:20" x14ac:dyDescent="0.2">
      <c r="A7" t="s">
        <v>51</v>
      </c>
      <c r="B7" s="28">
        <v>2.2275292137704517E-2</v>
      </c>
      <c r="E7" s="29">
        <f ca="1">IF(E$2&gt;MAX([0]!yearsRef),NA(),$B7)</f>
        <v>2.2275292137704517E-2</v>
      </c>
      <c r="F7" s="29">
        <f ca="1">IF(F$2&gt;MAX([0]!yearsRef),NA(),$B7)</f>
        <v>2.2275292137704517E-2</v>
      </c>
      <c r="G7" s="29">
        <f ca="1">IF(G$2&gt;MAX([0]!yearsRef),NA(),$B7)</f>
        <v>2.2275292137704517E-2</v>
      </c>
      <c r="H7" s="29">
        <f ca="1">IF(H$2&gt;MAX([0]!yearsRef),NA(),$B7)</f>
        <v>2.2275292137704517E-2</v>
      </c>
      <c r="I7" s="29">
        <f ca="1">IF(I$2&gt;MAX([0]!yearsRef),NA(),$B7)</f>
        <v>2.2275292137704517E-2</v>
      </c>
      <c r="J7" s="29">
        <f ca="1">IF(J$2&gt;MAX([0]!yearsRef),NA(),$B7)</f>
        <v>2.2275292137704517E-2</v>
      </c>
      <c r="K7" s="29">
        <f ca="1">IF(K$2&gt;MAX([0]!yearsRef),NA(),$B7)</f>
        <v>2.2275292137704517E-2</v>
      </c>
      <c r="L7" s="29">
        <f ca="1">IF(L$2&gt;MAX([0]!yearsRef),NA(),$B7)</f>
        <v>2.2275292137704517E-2</v>
      </c>
      <c r="M7" s="29">
        <f ca="1">IF(M$2&gt;MAX([0]!yearsRef),NA(),$B7)</f>
        <v>2.2275292137704517E-2</v>
      </c>
      <c r="N7" s="29">
        <f ca="1">IF(N$2&gt;MAX([0]!yearsRef),NA(),$B7)</f>
        <v>2.2275292137704517E-2</v>
      </c>
      <c r="O7" s="29">
        <f ca="1">IF(O$2&gt;MAX([0]!yearsRef),NA(),$B7)</f>
        <v>2.2275292137704517E-2</v>
      </c>
      <c r="P7" s="29">
        <f ca="1">IF(P$2&gt;MAX([0]!yearsRef),NA(),$B7)</f>
        <v>2.2275292137704517E-2</v>
      </c>
      <c r="Q7" s="29">
        <f ca="1">IF(Q$2&gt;MAX([0]!yearsRef),NA(),$B7)</f>
        <v>2.2275292137704517E-2</v>
      </c>
      <c r="R7" s="29">
        <f ca="1">IF(R$2&gt;MAX([0]!yearsRef),NA(),$B7)</f>
        <v>2.2275292137704517E-2</v>
      </c>
      <c r="S7" s="29">
        <f ca="1">IF(S$2&gt;MAX([0]!yearsRef),NA(),$B7)</f>
        <v>2.2275292137704517E-2</v>
      </c>
      <c r="T7" s="29">
        <f ca="1">IF(T$2&gt;MAX([0]!yearsRef),NA(),$B7)</f>
        <v>2.2275292137704517E-2</v>
      </c>
    </row>
    <row r="8" spans="1:20" x14ac:dyDescent="0.2">
      <c r="B8" s="30">
        <v>1.9094858133720694E-2</v>
      </c>
      <c r="E8" s="29">
        <f ca="1">IF(E$2&gt;MAX([0]!yearsRef),NA(),$B8)</f>
        <v>1.9094858133720694E-2</v>
      </c>
      <c r="F8" s="29">
        <f ca="1">IF(F$2&gt;MAX([0]!yearsRef),NA(),$B8)</f>
        <v>1.9094858133720694E-2</v>
      </c>
      <c r="G8" s="29">
        <f ca="1">IF(G$2&gt;MAX([0]!yearsRef),NA(),$B8)</f>
        <v>1.9094858133720694E-2</v>
      </c>
      <c r="H8" s="29">
        <f ca="1">IF(H$2&gt;MAX([0]!yearsRef),NA(),$B8)</f>
        <v>1.9094858133720694E-2</v>
      </c>
      <c r="I8" s="29">
        <f ca="1">IF(I$2&gt;MAX([0]!yearsRef),NA(),$B8)</f>
        <v>1.9094858133720694E-2</v>
      </c>
      <c r="J8" s="29">
        <f ca="1">IF(J$2&gt;MAX([0]!yearsRef),NA(),$B8)</f>
        <v>1.9094858133720694E-2</v>
      </c>
      <c r="K8" s="29">
        <f ca="1">IF(K$2&gt;MAX([0]!yearsRef),NA(),$B8)</f>
        <v>1.9094858133720694E-2</v>
      </c>
      <c r="L8" s="29">
        <f ca="1">IF(L$2&gt;MAX([0]!yearsRef),NA(),$B8)</f>
        <v>1.9094858133720694E-2</v>
      </c>
      <c r="M8" s="29">
        <f ca="1">IF(M$2&gt;MAX([0]!yearsRef),NA(),$B8)</f>
        <v>1.9094858133720694E-2</v>
      </c>
      <c r="N8" s="29">
        <f ca="1">IF(N$2&gt;MAX([0]!yearsRef),NA(),$B8)</f>
        <v>1.9094858133720694E-2</v>
      </c>
      <c r="O8" s="29">
        <f ca="1">IF(O$2&gt;MAX([0]!yearsRef),NA(),$B8)</f>
        <v>1.9094858133720694E-2</v>
      </c>
      <c r="P8" s="29">
        <f ca="1">IF(P$2&gt;MAX([0]!yearsRef),NA(),$B8)</f>
        <v>1.9094858133720694E-2</v>
      </c>
      <c r="Q8" s="29">
        <f ca="1">IF(Q$2&gt;MAX([0]!yearsRef),NA(),$B8)</f>
        <v>1.9094858133720694E-2</v>
      </c>
      <c r="R8" s="29">
        <f ca="1">IF(R$2&gt;MAX([0]!yearsRef),NA(),$B8)</f>
        <v>1.9094858133720694E-2</v>
      </c>
      <c r="S8" s="29">
        <f ca="1">IF(S$2&gt;MAX([0]!yearsRef),NA(),$B8)</f>
        <v>1.9094858133720694E-2</v>
      </c>
      <c r="T8" s="29">
        <f ca="1">IF(T$2&gt;MAX([0]!yearsRef),NA(),$B8)</f>
        <v>1.9094858133720694E-2</v>
      </c>
    </row>
    <row r="9" spans="1:20" ht="19" x14ac:dyDescent="0.2">
      <c r="A9" t="s">
        <v>52</v>
      </c>
      <c r="B9" s="31">
        <v>2.4420680554374075E-2</v>
      </c>
      <c r="E9" s="29">
        <f ca="1">IF(E$2&gt;MAX([0]!yearsRef),NA(),$B9)</f>
        <v>2.4420680554374075E-2</v>
      </c>
      <c r="F9" s="29">
        <f ca="1">IF(F$2&gt;MAX([0]!yearsRef),NA(),$B9)</f>
        <v>2.4420680554374075E-2</v>
      </c>
      <c r="G9" s="29">
        <f ca="1">IF(G$2&gt;MAX([0]!yearsRef),NA(),$B9)</f>
        <v>2.4420680554374075E-2</v>
      </c>
      <c r="H9" s="29">
        <f ca="1">IF(H$2&gt;MAX([0]!yearsRef),NA(),$B9)</f>
        <v>2.4420680554374075E-2</v>
      </c>
      <c r="I9" s="29">
        <f ca="1">IF(I$2&gt;MAX([0]!yearsRef),NA(),$B9)</f>
        <v>2.4420680554374075E-2</v>
      </c>
      <c r="J9" s="29">
        <f ca="1">IF(J$2&gt;MAX([0]!yearsRef),NA(),$B9)</f>
        <v>2.4420680554374075E-2</v>
      </c>
      <c r="K9" s="29">
        <f ca="1">IF(K$2&gt;MAX([0]!yearsRef),NA(),$B9)</f>
        <v>2.4420680554374075E-2</v>
      </c>
      <c r="L9" s="29">
        <f ca="1">IF(L$2&gt;MAX([0]!yearsRef),NA(),$B9)</f>
        <v>2.4420680554374075E-2</v>
      </c>
      <c r="M9" s="29">
        <f ca="1">IF(M$2&gt;MAX([0]!yearsRef),NA(),$B9)</f>
        <v>2.4420680554374075E-2</v>
      </c>
      <c r="N9" s="29">
        <f ca="1">IF(N$2&gt;MAX([0]!yearsRef),NA(),$B9)</f>
        <v>2.4420680554374075E-2</v>
      </c>
      <c r="O9" s="29">
        <f ca="1">IF(O$2&gt;MAX([0]!yearsRef),NA(),$B9)</f>
        <v>2.4420680554374075E-2</v>
      </c>
      <c r="P9" s="29">
        <f ca="1">IF(P$2&gt;MAX([0]!yearsRef),NA(),$B9)</f>
        <v>2.4420680554374075E-2</v>
      </c>
      <c r="Q9" s="29">
        <f ca="1">IF(Q$2&gt;MAX([0]!yearsRef),NA(),$B9)</f>
        <v>2.4420680554374075E-2</v>
      </c>
      <c r="R9" s="29">
        <f ca="1">IF(R$2&gt;MAX([0]!yearsRef),NA(),$B9)</f>
        <v>2.4420680554374075E-2</v>
      </c>
      <c r="S9" s="29">
        <f ca="1">IF(S$2&gt;MAX([0]!yearsRef),NA(),$B9)</f>
        <v>2.4420680554374075E-2</v>
      </c>
      <c r="T9" s="29">
        <f ca="1">IF(T$2&gt;MAX([0]!yearsRef),NA(),$B9)</f>
        <v>2.4420680554374075E-2</v>
      </c>
    </row>
    <row r="10" spans="1:20" x14ac:dyDescent="0.2">
      <c r="B10" s="31">
        <v>2.1935227844802618E-2</v>
      </c>
      <c r="E10" s="29">
        <f ca="1">IF(E$2&gt;MAX([0]!yearsRef),NA(),$B10)</f>
        <v>2.1935227844802618E-2</v>
      </c>
      <c r="F10" s="29">
        <f ca="1">IF(F$2&gt;MAX([0]!yearsRef),NA(),$B10)</f>
        <v>2.1935227844802618E-2</v>
      </c>
      <c r="G10" s="29">
        <f ca="1">IF(G$2&gt;MAX([0]!yearsRef),NA(),$B10)</f>
        <v>2.1935227844802618E-2</v>
      </c>
      <c r="H10" s="29">
        <f ca="1">IF(H$2&gt;MAX([0]!yearsRef),NA(),$B10)</f>
        <v>2.1935227844802618E-2</v>
      </c>
      <c r="I10" s="29">
        <f ca="1">IF(I$2&gt;MAX([0]!yearsRef),NA(),$B10)</f>
        <v>2.1935227844802618E-2</v>
      </c>
      <c r="J10" s="29">
        <f ca="1">IF(J$2&gt;MAX([0]!yearsRef),NA(),$B10)</f>
        <v>2.1935227844802618E-2</v>
      </c>
      <c r="K10" s="29">
        <f ca="1">IF(K$2&gt;MAX([0]!yearsRef),NA(),$B10)</f>
        <v>2.1935227844802618E-2</v>
      </c>
      <c r="L10" s="29">
        <f ca="1">IF(L$2&gt;MAX([0]!yearsRef),NA(),$B10)</f>
        <v>2.1935227844802618E-2</v>
      </c>
      <c r="M10" s="29">
        <f ca="1">IF(M$2&gt;MAX([0]!yearsRef),NA(),$B10)</f>
        <v>2.1935227844802618E-2</v>
      </c>
      <c r="N10" s="29">
        <f ca="1">IF(N$2&gt;MAX([0]!yearsRef),NA(),$B10)</f>
        <v>2.1935227844802618E-2</v>
      </c>
      <c r="O10" s="29">
        <f ca="1">IF(O$2&gt;MAX([0]!yearsRef),NA(),$B10)</f>
        <v>2.1935227844802618E-2</v>
      </c>
      <c r="P10" s="29">
        <f ca="1">IF(P$2&gt;MAX([0]!yearsRef),NA(),$B10)</f>
        <v>2.1935227844802618E-2</v>
      </c>
      <c r="Q10" s="29">
        <f ca="1">IF(Q$2&gt;MAX([0]!yearsRef),NA(),$B10)</f>
        <v>2.1935227844802618E-2</v>
      </c>
      <c r="R10" s="29">
        <f ca="1">IF(R$2&gt;MAX([0]!yearsRef),NA(),$B10)</f>
        <v>2.1935227844802618E-2</v>
      </c>
      <c r="S10" s="29">
        <f ca="1">IF(S$2&gt;MAX([0]!yearsRef),NA(),$B10)</f>
        <v>2.1935227844802618E-2</v>
      </c>
      <c r="T10" s="29">
        <f ca="1">IF(T$2&gt;MAX([0]!yearsRef),NA(),$B10)</f>
        <v>2.1935227844802618E-2</v>
      </c>
    </row>
    <row r="11" spans="1:20" ht="18" x14ac:dyDescent="0.25">
      <c r="A11" t="s">
        <v>53</v>
      </c>
      <c r="B11" s="31">
        <v>2.3994128114132485E-2</v>
      </c>
      <c r="E11" s="29">
        <f ca="1">IF(E$2&gt;MAX([0]!yearsRef),NA(),$B11)</f>
        <v>2.3994128114132485E-2</v>
      </c>
      <c r="F11" s="29">
        <f ca="1">IF(F$2&gt;MAX([0]!yearsRef),NA(),$B11)</f>
        <v>2.3994128114132485E-2</v>
      </c>
      <c r="G11" s="29">
        <f ca="1">IF(G$2&gt;MAX([0]!yearsRef),NA(),$B11)</f>
        <v>2.3994128114132485E-2</v>
      </c>
      <c r="H11" s="29">
        <f ca="1">IF(H$2&gt;MAX([0]!yearsRef),NA(),$B11)</f>
        <v>2.3994128114132485E-2</v>
      </c>
      <c r="I11" s="29">
        <f ca="1">IF(I$2&gt;MAX([0]!yearsRef),NA(),$B11)</f>
        <v>2.3994128114132485E-2</v>
      </c>
      <c r="J11" s="29">
        <f ca="1">IF(J$2&gt;MAX([0]!yearsRef),NA(),$B11)</f>
        <v>2.3994128114132485E-2</v>
      </c>
      <c r="K11" s="29">
        <f ca="1">IF(K$2&gt;MAX([0]!yearsRef),NA(),$B11)</f>
        <v>2.3994128114132485E-2</v>
      </c>
      <c r="L11" s="29">
        <f ca="1">IF(L$2&gt;MAX([0]!yearsRef),NA(),$B11)</f>
        <v>2.3994128114132485E-2</v>
      </c>
      <c r="M11" s="29">
        <f ca="1">IF(M$2&gt;MAX([0]!yearsRef),NA(),$B11)</f>
        <v>2.3994128114132485E-2</v>
      </c>
      <c r="N11" s="29">
        <f ca="1">IF(N$2&gt;MAX([0]!yearsRef),NA(),$B11)</f>
        <v>2.3994128114132485E-2</v>
      </c>
      <c r="O11" s="29">
        <f ca="1">IF(O$2&gt;MAX([0]!yearsRef),NA(),$B11)</f>
        <v>2.3994128114132485E-2</v>
      </c>
      <c r="P11" s="29">
        <f ca="1">IF(P$2&gt;MAX([0]!yearsRef),NA(),$B11)</f>
        <v>2.3994128114132485E-2</v>
      </c>
      <c r="Q11" s="29">
        <f ca="1">IF(Q$2&gt;MAX([0]!yearsRef),NA(),$B11)</f>
        <v>2.3994128114132485E-2</v>
      </c>
      <c r="R11" s="29">
        <f ca="1">IF(R$2&gt;MAX([0]!yearsRef),NA(),$B11)</f>
        <v>2.3994128114132485E-2</v>
      </c>
      <c r="S11" s="29">
        <f ca="1">IF(S$2&gt;MAX([0]!yearsRef),NA(),$B11)</f>
        <v>2.3994128114132485E-2</v>
      </c>
      <c r="T11" s="29">
        <f ca="1">IF(T$2&gt;MAX([0]!yearsRef),NA(),$B11)</f>
        <v>2.3994128114132485E-2</v>
      </c>
    </row>
    <row r="12" spans="1:20" x14ac:dyDescent="0.2">
      <c r="B12" s="31">
        <v>2.1944931549882751E-2</v>
      </c>
      <c r="E12" s="29">
        <f ca="1">IF(E$2&gt;MAX([0]!yearsRef),NA(),$B12)</f>
        <v>2.1944931549882751E-2</v>
      </c>
      <c r="F12" s="29">
        <f ca="1">IF(F$2&gt;MAX([0]!yearsRef),NA(),$B12)</f>
        <v>2.1944931549882751E-2</v>
      </c>
      <c r="G12" s="29">
        <f ca="1">IF(G$2&gt;MAX([0]!yearsRef),NA(),$B12)</f>
        <v>2.1944931549882751E-2</v>
      </c>
      <c r="H12" s="29">
        <f ca="1">IF(H$2&gt;MAX([0]!yearsRef),NA(),$B12)</f>
        <v>2.1944931549882751E-2</v>
      </c>
      <c r="I12" s="29">
        <f ca="1">IF(I$2&gt;MAX([0]!yearsRef),NA(),$B12)</f>
        <v>2.1944931549882751E-2</v>
      </c>
      <c r="J12" s="29">
        <f ca="1">IF(J$2&gt;MAX([0]!yearsRef),NA(),$B12)</f>
        <v>2.1944931549882751E-2</v>
      </c>
      <c r="K12" s="29">
        <f ca="1">IF(K$2&gt;MAX([0]!yearsRef),NA(),$B12)</f>
        <v>2.1944931549882751E-2</v>
      </c>
      <c r="L12" s="29">
        <f ca="1">IF(L$2&gt;MAX([0]!yearsRef),NA(),$B12)</f>
        <v>2.1944931549882751E-2</v>
      </c>
      <c r="M12" s="29">
        <f ca="1">IF(M$2&gt;MAX([0]!yearsRef),NA(),$B12)</f>
        <v>2.1944931549882751E-2</v>
      </c>
      <c r="N12" s="29">
        <f ca="1">IF(N$2&gt;MAX([0]!yearsRef),NA(),$B12)</f>
        <v>2.1944931549882751E-2</v>
      </c>
      <c r="O12" s="29">
        <f ca="1">IF(O$2&gt;MAX([0]!yearsRef),NA(),$B12)</f>
        <v>2.1944931549882751E-2</v>
      </c>
      <c r="P12" s="29">
        <f ca="1">IF(P$2&gt;MAX([0]!yearsRef),NA(),$B12)</f>
        <v>2.1944931549882751E-2</v>
      </c>
      <c r="Q12" s="29">
        <f ca="1">IF(Q$2&gt;MAX([0]!yearsRef),NA(),$B12)</f>
        <v>2.1944931549882751E-2</v>
      </c>
      <c r="R12" s="29">
        <f ca="1">IF(R$2&gt;MAX([0]!yearsRef),NA(),$B12)</f>
        <v>2.1944931549882751E-2</v>
      </c>
      <c r="S12" s="29">
        <f ca="1">IF(S$2&gt;MAX([0]!yearsRef),NA(),$B12)</f>
        <v>2.1944931549882751E-2</v>
      </c>
      <c r="T12" s="29">
        <f ca="1">IF(T$2&gt;MAX([0]!yearsRef),NA(),$B12)</f>
        <v>2.1944931549882751E-2</v>
      </c>
    </row>
    <row r="13" spans="1:20" x14ac:dyDescent="0.2">
      <c r="A13" t="s">
        <v>43</v>
      </c>
      <c r="B13" s="32">
        <v>2.5412266804053729E-2</v>
      </c>
      <c r="E13" s="29">
        <f ca="1">IF(E$2&gt;MAX([0]!yearsRef),NA(),$B13)</f>
        <v>2.5412266804053729E-2</v>
      </c>
      <c r="F13" s="29">
        <f ca="1">IF(F$2&gt;MAX([0]!yearsRef),NA(),$B13)</f>
        <v>2.5412266804053729E-2</v>
      </c>
      <c r="G13" s="29">
        <f ca="1">IF(G$2&gt;MAX([0]!yearsRef),NA(),$B13)</f>
        <v>2.5412266804053729E-2</v>
      </c>
      <c r="H13" s="29">
        <f ca="1">IF(H$2&gt;MAX([0]!yearsRef),NA(),$B13)</f>
        <v>2.5412266804053729E-2</v>
      </c>
      <c r="I13" s="29">
        <f ca="1">IF(I$2&gt;MAX([0]!yearsRef),NA(),$B13)</f>
        <v>2.5412266804053729E-2</v>
      </c>
      <c r="J13" s="29">
        <f ca="1">IF(J$2&gt;MAX([0]!yearsRef),NA(),$B13)</f>
        <v>2.5412266804053729E-2</v>
      </c>
      <c r="K13" s="29">
        <f ca="1">IF(K$2&gt;MAX([0]!yearsRef),NA(),$B13)</f>
        <v>2.5412266804053729E-2</v>
      </c>
      <c r="L13" s="29">
        <f ca="1">IF(L$2&gt;MAX([0]!yearsRef),NA(),$B13)</f>
        <v>2.5412266804053729E-2</v>
      </c>
      <c r="M13" s="29">
        <f ca="1">IF(M$2&gt;MAX([0]!yearsRef),NA(),$B13)</f>
        <v>2.5412266804053729E-2</v>
      </c>
      <c r="N13" s="29">
        <f ca="1">IF(N$2&gt;MAX([0]!yearsRef),NA(),$B13)</f>
        <v>2.5412266804053729E-2</v>
      </c>
      <c r="O13" s="29">
        <f ca="1">IF(O$2&gt;MAX([0]!yearsRef),NA(),$B13)</f>
        <v>2.5412266804053729E-2</v>
      </c>
      <c r="P13" s="29">
        <f ca="1">IF(P$2&gt;MAX([0]!yearsRef),NA(),$B13)</f>
        <v>2.5412266804053729E-2</v>
      </c>
      <c r="Q13" s="29">
        <f ca="1">IF(Q$2&gt;MAX([0]!yearsRef),NA(),$B13)</f>
        <v>2.5412266804053729E-2</v>
      </c>
      <c r="R13" s="29">
        <f ca="1">IF(R$2&gt;MAX([0]!yearsRef),NA(),$B13)</f>
        <v>2.5412266804053729E-2</v>
      </c>
      <c r="S13" s="29">
        <f ca="1">IF(S$2&gt;MAX([0]!yearsRef),NA(),$B13)</f>
        <v>2.5412266804053729E-2</v>
      </c>
      <c r="T13" s="29">
        <f ca="1">IF(T$2&gt;MAX([0]!yearsRef),NA(),$B13)</f>
        <v>2.5412266804053729E-2</v>
      </c>
    </row>
    <row r="14" spans="1:20" x14ac:dyDescent="0.2">
      <c r="B14" s="31">
        <v>2.1907298758519156E-2</v>
      </c>
      <c r="E14" s="29">
        <f ca="1">IF(E$2&gt;MAX([0]!yearsRef),NA(),$B14)</f>
        <v>2.1907298758519156E-2</v>
      </c>
      <c r="F14" s="29">
        <f ca="1">IF(F$2&gt;MAX([0]!yearsRef),NA(),$B14)</f>
        <v>2.1907298758519156E-2</v>
      </c>
      <c r="G14" s="29">
        <f ca="1">IF(G$2&gt;MAX([0]!yearsRef),NA(),$B14)</f>
        <v>2.1907298758519156E-2</v>
      </c>
      <c r="H14" s="29">
        <f ca="1">IF(H$2&gt;MAX([0]!yearsRef),NA(),$B14)</f>
        <v>2.1907298758519156E-2</v>
      </c>
      <c r="I14" s="29">
        <f ca="1">IF(I$2&gt;MAX([0]!yearsRef),NA(),$B14)</f>
        <v>2.1907298758519156E-2</v>
      </c>
      <c r="J14" s="29">
        <f ca="1">IF(J$2&gt;MAX([0]!yearsRef),NA(),$B14)</f>
        <v>2.1907298758519156E-2</v>
      </c>
      <c r="K14" s="29">
        <f ca="1">IF(K$2&gt;MAX([0]!yearsRef),NA(),$B14)</f>
        <v>2.1907298758519156E-2</v>
      </c>
      <c r="L14" s="29">
        <f ca="1">IF(L$2&gt;MAX([0]!yearsRef),NA(),$B14)</f>
        <v>2.1907298758519156E-2</v>
      </c>
      <c r="M14" s="29">
        <f ca="1">IF(M$2&gt;MAX([0]!yearsRef),NA(),$B14)</f>
        <v>2.1907298758519156E-2</v>
      </c>
      <c r="N14" s="29">
        <f ca="1">IF(N$2&gt;MAX([0]!yearsRef),NA(),$B14)</f>
        <v>2.1907298758519156E-2</v>
      </c>
      <c r="O14" s="29">
        <f ca="1">IF(O$2&gt;MAX([0]!yearsRef),NA(),$B14)</f>
        <v>2.1907298758519156E-2</v>
      </c>
      <c r="P14" s="29">
        <f ca="1">IF(P$2&gt;MAX([0]!yearsRef),NA(),$B14)</f>
        <v>2.1907298758519156E-2</v>
      </c>
      <c r="Q14" s="29">
        <f ca="1">IF(Q$2&gt;MAX([0]!yearsRef),NA(),$B14)</f>
        <v>2.1907298758519156E-2</v>
      </c>
      <c r="R14" s="29">
        <f ca="1">IF(R$2&gt;MAX([0]!yearsRef),NA(),$B14)</f>
        <v>2.1907298758519156E-2</v>
      </c>
      <c r="S14" s="29">
        <f ca="1">IF(S$2&gt;MAX([0]!yearsRef),NA(),$B14)</f>
        <v>2.1907298758519156E-2</v>
      </c>
      <c r="T14" s="29">
        <f ca="1">IF(T$2&gt;MAX([0]!yearsRef),NA(),$B14)</f>
        <v>2.1907298758519156E-2</v>
      </c>
    </row>
    <row r="15" spans="1:20" x14ac:dyDescent="0.2">
      <c r="A15" s="21" t="s">
        <v>70</v>
      </c>
      <c r="E15" s="29"/>
      <c r="F15" s="29"/>
      <c r="G15" s="29"/>
      <c r="H15" s="29"/>
      <c r="I15" s="29"/>
      <c r="J15" s="29"/>
      <c r="K15" s="29"/>
      <c r="L15" s="29"/>
      <c r="M15" s="29"/>
      <c r="N15" s="29"/>
      <c r="O15" s="29"/>
      <c r="P15" s="29"/>
      <c r="Q15" s="29"/>
      <c r="R15" s="29"/>
      <c r="S15" s="29"/>
      <c r="T15" s="29"/>
    </row>
    <row r="16" spans="1:20" x14ac:dyDescent="0.2">
      <c r="A16" t="s">
        <v>49</v>
      </c>
      <c r="B16" s="28">
        <v>1.33397307876435E-2</v>
      </c>
      <c r="E16" s="29">
        <f ca="1">IF(E$2&gt;MAX([0]!yearsRef),NA(),$B16)</f>
        <v>1.33397307876435E-2</v>
      </c>
      <c r="F16" s="29">
        <f ca="1">IF(F$2&gt;MAX([0]!yearsRef),NA(),$B16)</f>
        <v>1.33397307876435E-2</v>
      </c>
      <c r="G16" s="29">
        <f ca="1">IF(G$2&gt;MAX([0]!yearsRef),NA(),$B16)</f>
        <v>1.33397307876435E-2</v>
      </c>
      <c r="H16" s="29">
        <f ca="1">IF(H$2&gt;MAX([0]!yearsRef),NA(),$B16)</f>
        <v>1.33397307876435E-2</v>
      </c>
      <c r="I16" s="29">
        <f ca="1">IF(I$2&gt;MAX([0]!yearsRef),NA(),$B16)</f>
        <v>1.33397307876435E-2</v>
      </c>
      <c r="J16" s="29">
        <f ca="1">IF(J$2&gt;MAX([0]!yearsRef),NA(),$B16)</f>
        <v>1.33397307876435E-2</v>
      </c>
      <c r="K16" s="29">
        <f ca="1">IF(K$2&gt;MAX([0]!yearsRef),NA(),$B16)</f>
        <v>1.33397307876435E-2</v>
      </c>
      <c r="L16" s="29">
        <f ca="1">IF(L$2&gt;MAX([0]!yearsRef),NA(),$B16)</f>
        <v>1.33397307876435E-2</v>
      </c>
      <c r="M16" s="29">
        <f ca="1">IF(M$2&gt;MAX([0]!yearsRef),NA(),$B16)</f>
        <v>1.33397307876435E-2</v>
      </c>
      <c r="N16" s="29">
        <f ca="1">IF(N$2&gt;MAX([0]!yearsRef),NA(),$B16)</f>
        <v>1.33397307876435E-2</v>
      </c>
      <c r="O16" s="29">
        <f ca="1">IF(O$2&gt;MAX([0]!yearsRef),NA(),$B16)</f>
        <v>1.33397307876435E-2</v>
      </c>
      <c r="P16" s="29">
        <f ca="1">IF(P$2&gt;MAX([0]!yearsRef),NA(),$B16)</f>
        <v>1.33397307876435E-2</v>
      </c>
      <c r="Q16" s="29">
        <f ca="1">IF(Q$2&gt;MAX([0]!yearsRef),NA(),$B16)</f>
        <v>1.33397307876435E-2</v>
      </c>
      <c r="R16" s="29">
        <f ca="1">IF(R$2&gt;MAX([0]!yearsRef),NA(),$B16)</f>
        <v>1.33397307876435E-2</v>
      </c>
      <c r="S16" s="29">
        <f ca="1">IF(S$2&gt;MAX([0]!yearsRef),NA(),$B16)</f>
        <v>1.33397307876435E-2</v>
      </c>
      <c r="T16" s="29">
        <f ca="1">IF(T$2&gt;MAX([0]!yearsRef),NA(),$B16)</f>
        <v>1.33397307876435E-2</v>
      </c>
    </row>
    <row r="17" spans="1:20" x14ac:dyDescent="0.2">
      <c r="B17" s="28">
        <v>1.2523115485857383E-2</v>
      </c>
      <c r="E17" s="29">
        <f ca="1">IF(E$2&gt;MAX([0]!yearsRef),NA(),$B17)</f>
        <v>1.2523115485857383E-2</v>
      </c>
      <c r="F17" s="29">
        <f ca="1">IF(F$2&gt;MAX([0]!yearsRef),NA(),$B17)</f>
        <v>1.2523115485857383E-2</v>
      </c>
      <c r="G17" s="29">
        <f ca="1">IF(G$2&gt;MAX([0]!yearsRef),NA(),$B17)</f>
        <v>1.2523115485857383E-2</v>
      </c>
      <c r="H17" s="29">
        <f ca="1">IF(H$2&gt;MAX([0]!yearsRef),NA(),$B17)</f>
        <v>1.2523115485857383E-2</v>
      </c>
      <c r="I17" s="29">
        <f ca="1">IF(I$2&gt;MAX([0]!yearsRef),NA(),$B17)</f>
        <v>1.2523115485857383E-2</v>
      </c>
      <c r="J17" s="29">
        <f ca="1">IF(J$2&gt;MAX([0]!yearsRef),NA(),$B17)</f>
        <v>1.2523115485857383E-2</v>
      </c>
      <c r="K17" s="29">
        <f ca="1">IF(K$2&gt;MAX([0]!yearsRef),NA(),$B17)</f>
        <v>1.2523115485857383E-2</v>
      </c>
      <c r="L17" s="29">
        <f ca="1">IF(L$2&gt;MAX([0]!yearsRef),NA(),$B17)</f>
        <v>1.2523115485857383E-2</v>
      </c>
      <c r="M17" s="29">
        <f ca="1">IF(M$2&gt;MAX([0]!yearsRef),NA(),$B17)</f>
        <v>1.2523115485857383E-2</v>
      </c>
      <c r="N17" s="29">
        <f ca="1">IF(N$2&gt;MAX([0]!yearsRef),NA(),$B17)</f>
        <v>1.2523115485857383E-2</v>
      </c>
      <c r="O17" s="29">
        <f ca="1">IF(O$2&gt;MAX([0]!yearsRef),NA(),$B17)</f>
        <v>1.2523115485857383E-2</v>
      </c>
      <c r="P17" s="29">
        <f ca="1">IF(P$2&gt;MAX([0]!yearsRef),NA(),$B17)</f>
        <v>1.2523115485857383E-2</v>
      </c>
      <c r="Q17" s="29">
        <f ca="1">IF(Q$2&gt;MAX([0]!yearsRef),NA(),$B17)</f>
        <v>1.2523115485857383E-2</v>
      </c>
      <c r="R17" s="29">
        <f ca="1">IF(R$2&gt;MAX([0]!yearsRef),NA(),$B17)</f>
        <v>1.2523115485857383E-2</v>
      </c>
      <c r="S17" s="29">
        <f ca="1">IF(S$2&gt;MAX([0]!yearsRef),NA(),$B17)</f>
        <v>1.2523115485857383E-2</v>
      </c>
      <c r="T17" s="29">
        <f ca="1">IF(T$2&gt;MAX([0]!yearsRef),NA(),$B17)</f>
        <v>1.2523115485857383E-2</v>
      </c>
    </row>
    <row r="18" spans="1:20" x14ac:dyDescent="0.2">
      <c r="A18" t="s">
        <v>59</v>
      </c>
      <c r="B18" s="28">
        <v>1.7068161340146881E-2</v>
      </c>
      <c r="E18" s="29">
        <f ca="1">IF(E$2&gt;MAX([0]!yearsRef),NA(),$B18)</f>
        <v>1.7068161340146881E-2</v>
      </c>
      <c r="F18" s="29">
        <f ca="1">IF(F$2&gt;MAX([0]!yearsRef),NA(),$B18)</f>
        <v>1.7068161340146881E-2</v>
      </c>
      <c r="G18" s="29">
        <f ca="1">IF(G$2&gt;MAX([0]!yearsRef),NA(),$B18)</f>
        <v>1.7068161340146881E-2</v>
      </c>
      <c r="H18" s="29">
        <f ca="1">IF(H$2&gt;MAX([0]!yearsRef),NA(),$B18)</f>
        <v>1.7068161340146881E-2</v>
      </c>
      <c r="I18" s="29">
        <f ca="1">IF(I$2&gt;MAX([0]!yearsRef),NA(),$B18)</f>
        <v>1.7068161340146881E-2</v>
      </c>
      <c r="J18" s="29">
        <f ca="1">IF(J$2&gt;MAX([0]!yearsRef),NA(),$B18)</f>
        <v>1.7068161340146881E-2</v>
      </c>
      <c r="K18" s="29">
        <f ca="1">IF(K$2&gt;MAX([0]!yearsRef),NA(),$B18)</f>
        <v>1.7068161340146881E-2</v>
      </c>
      <c r="L18" s="29">
        <f ca="1">IF(L$2&gt;MAX([0]!yearsRef),NA(),$B18)</f>
        <v>1.7068161340146881E-2</v>
      </c>
      <c r="M18" s="29">
        <f ca="1">IF(M$2&gt;MAX([0]!yearsRef),NA(),$B18)</f>
        <v>1.7068161340146881E-2</v>
      </c>
      <c r="N18" s="29">
        <f ca="1">IF(N$2&gt;MAX([0]!yearsRef),NA(),$B18)</f>
        <v>1.7068161340146881E-2</v>
      </c>
      <c r="O18" s="29">
        <f ca="1">IF(O$2&gt;MAX([0]!yearsRef),NA(),$B18)</f>
        <v>1.7068161340146881E-2</v>
      </c>
      <c r="P18" s="29">
        <f ca="1">IF(P$2&gt;MAX([0]!yearsRef),NA(),$B18)</f>
        <v>1.7068161340146881E-2</v>
      </c>
      <c r="Q18" s="29">
        <f ca="1">IF(Q$2&gt;MAX([0]!yearsRef),NA(),$B18)</f>
        <v>1.7068161340146881E-2</v>
      </c>
      <c r="R18" s="29">
        <f ca="1">IF(R$2&gt;MAX([0]!yearsRef),NA(),$B18)</f>
        <v>1.7068161340146881E-2</v>
      </c>
      <c r="S18" s="29">
        <f ca="1">IF(S$2&gt;MAX([0]!yearsRef),NA(),$B18)</f>
        <v>1.7068161340146881E-2</v>
      </c>
      <c r="T18" s="29">
        <f ca="1">IF(T$2&gt;MAX([0]!yearsRef),NA(),$B18)</f>
        <v>1.7068161340146881E-2</v>
      </c>
    </row>
    <row r="19" spans="1:20" x14ac:dyDescent="0.2">
      <c r="B19" s="28">
        <v>2.5565099356545273E-2</v>
      </c>
      <c r="E19" s="29">
        <f ca="1">IF(E$2&gt;MAX([0]!yearsRef),NA(),$B19)</f>
        <v>2.5565099356545273E-2</v>
      </c>
      <c r="F19" s="29">
        <f ca="1">IF(F$2&gt;MAX([0]!yearsRef),NA(),$B19)</f>
        <v>2.5565099356545273E-2</v>
      </c>
      <c r="G19" s="29">
        <f ca="1">IF(G$2&gt;MAX([0]!yearsRef),NA(),$B19)</f>
        <v>2.5565099356545273E-2</v>
      </c>
      <c r="H19" s="29">
        <f ca="1">IF(H$2&gt;MAX([0]!yearsRef),NA(),$B19)</f>
        <v>2.5565099356545273E-2</v>
      </c>
      <c r="I19" s="29">
        <f ca="1">IF(I$2&gt;MAX([0]!yearsRef),NA(),$B19)</f>
        <v>2.5565099356545273E-2</v>
      </c>
      <c r="J19" s="29">
        <f ca="1">IF(J$2&gt;MAX([0]!yearsRef),NA(),$B19)</f>
        <v>2.5565099356545273E-2</v>
      </c>
      <c r="K19" s="29">
        <f ca="1">IF(K$2&gt;MAX([0]!yearsRef),NA(),$B19)</f>
        <v>2.5565099356545273E-2</v>
      </c>
      <c r="L19" s="29">
        <f ca="1">IF(L$2&gt;MAX([0]!yearsRef),NA(),$B19)</f>
        <v>2.5565099356545273E-2</v>
      </c>
      <c r="M19" s="29">
        <f ca="1">IF(M$2&gt;MAX([0]!yearsRef),NA(),$B19)</f>
        <v>2.5565099356545273E-2</v>
      </c>
      <c r="N19" s="29">
        <f ca="1">IF(N$2&gt;MAX([0]!yearsRef),NA(),$B19)</f>
        <v>2.5565099356545273E-2</v>
      </c>
      <c r="O19" s="29">
        <f ca="1">IF(O$2&gt;MAX([0]!yearsRef),NA(),$B19)</f>
        <v>2.5565099356545273E-2</v>
      </c>
      <c r="P19" s="29">
        <f ca="1">IF(P$2&gt;MAX([0]!yearsRef),NA(),$B19)</f>
        <v>2.5565099356545273E-2</v>
      </c>
      <c r="Q19" s="29">
        <f ca="1">IF(Q$2&gt;MAX([0]!yearsRef),NA(),$B19)</f>
        <v>2.5565099356545273E-2</v>
      </c>
      <c r="R19" s="29">
        <f ca="1">IF(R$2&gt;MAX([0]!yearsRef),NA(),$B19)</f>
        <v>2.5565099356545273E-2</v>
      </c>
      <c r="S19" s="29">
        <f ca="1">IF(S$2&gt;MAX([0]!yearsRef),NA(),$B19)</f>
        <v>2.5565099356545273E-2</v>
      </c>
      <c r="T19" s="29">
        <f ca="1">IF(T$2&gt;MAX([0]!yearsRef),NA(),$B19)</f>
        <v>2.5565099356545273E-2</v>
      </c>
    </row>
    <row r="20" spans="1:20" x14ac:dyDescent="0.2">
      <c r="A20" t="s">
        <v>60</v>
      </c>
      <c r="B20" s="28">
        <v>-8.1117757387337841E-3</v>
      </c>
      <c r="E20" s="29">
        <f ca="1">IF(E$2&gt;MAX([0]!yearsRef),NA(),$B20)</f>
        <v>-8.1117757387337841E-3</v>
      </c>
      <c r="F20" s="29">
        <f ca="1">IF(F$2&gt;MAX([0]!yearsRef),NA(),$B20)</f>
        <v>-8.1117757387337841E-3</v>
      </c>
      <c r="G20" s="29">
        <f ca="1">IF(G$2&gt;MAX([0]!yearsRef),NA(),$B20)</f>
        <v>-8.1117757387337841E-3</v>
      </c>
      <c r="H20" s="29">
        <f ca="1">IF(H$2&gt;MAX([0]!yearsRef),NA(),$B20)</f>
        <v>-8.1117757387337841E-3</v>
      </c>
      <c r="I20" s="29">
        <f ca="1">IF(I$2&gt;MAX([0]!yearsRef),NA(),$B20)</f>
        <v>-8.1117757387337841E-3</v>
      </c>
      <c r="J20" s="29">
        <f ca="1">IF(J$2&gt;MAX([0]!yearsRef),NA(),$B20)</f>
        <v>-8.1117757387337841E-3</v>
      </c>
      <c r="K20" s="29">
        <f ca="1">IF(K$2&gt;MAX([0]!yearsRef),NA(),$B20)</f>
        <v>-8.1117757387337841E-3</v>
      </c>
      <c r="L20" s="29">
        <f ca="1">IF(L$2&gt;MAX([0]!yearsRef),NA(),$B20)</f>
        <v>-8.1117757387337841E-3</v>
      </c>
      <c r="M20" s="29">
        <f ca="1">IF(M$2&gt;MAX([0]!yearsRef),NA(),$B20)</f>
        <v>-8.1117757387337841E-3</v>
      </c>
      <c r="N20" s="29">
        <f ca="1">IF(N$2&gt;MAX([0]!yearsRef),NA(),$B20)</f>
        <v>-8.1117757387337841E-3</v>
      </c>
      <c r="O20" s="29">
        <f ca="1">IF(O$2&gt;MAX([0]!yearsRef),NA(),$B20)</f>
        <v>-8.1117757387337841E-3</v>
      </c>
      <c r="P20" s="29">
        <f ca="1">IF(P$2&gt;MAX([0]!yearsRef),NA(),$B20)</f>
        <v>-8.1117757387337841E-3</v>
      </c>
      <c r="Q20" s="29">
        <f ca="1">IF(Q$2&gt;MAX([0]!yearsRef),NA(),$B20)</f>
        <v>-8.1117757387337841E-3</v>
      </c>
      <c r="R20" s="29">
        <f ca="1">IF(R$2&gt;MAX([0]!yearsRef),NA(),$B20)</f>
        <v>-8.1117757387337841E-3</v>
      </c>
      <c r="S20" s="29">
        <f ca="1">IF(S$2&gt;MAX([0]!yearsRef),NA(),$B20)</f>
        <v>-8.1117757387337841E-3</v>
      </c>
      <c r="T20" s="29">
        <f ca="1">IF(T$2&gt;MAX([0]!yearsRef),NA(),$B20)</f>
        <v>-8.1117757387337841E-3</v>
      </c>
    </row>
    <row r="21" spans="1:20" x14ac:dyDescent="0.2">
      <c r="B21" s="30">
        <v>-1.8257046810357003E-2</v>
      </c>
      <c r="E21" s="29">
        <f ca="1">IF(E$2&gt;MAX([0]!yearsRef),NA(),$B21)</f>
        <v>-1.8257046810357003E-2</v>
      </c>
      <c r="F21" s="29">
        <f ca="1">IF(F$2&gt;MAX([0]!yearsRef),NA(),$B21)</f>
        <v>-1.8257046810357003E-2</v>
      </c>
      <c r="G21" s="29">
        <f ca="1">IF(G$2&gt;MAX([0]!yearsRef),NA(),$B21)</f>
        <v>-1.8257046810357003E-2</v>
      </c>
      <c r="H21" s="29">
        <f ca="1">IF(H$2&gt;MAX([0]!yearsRef),NA(),$B21)</f>
        <v>-1.8257046810357003E-2</v>
      </c>
      <c r="I21" s="29">
        <f ca="1">IF(I$2&gt;MAX([0]!yearsRef),NA(),$B21)</f>
        <v>-1.8257046810357003E-2</v>
      </c>
      <c r="J21" s="29">
        <f ca="1">IF(J$2&gt;MAX([0]!yearsRef),NA(),$B21)</f>
        <v>-1.8257046810357003E-2</v>
      </c>
      <c r="K21" s="29">
        <f ca="1">IF(K$2&gt;MAX([0]!yearsRef),NA(),$B21)</f>
        <v>-1.8257046810357003E-2</v>
      </c>
      <c r="L21" s="29">
        <f ca="1">IF(L$2&gt;MAX([0]!yearsRef),NA(),$B21)</f>
        <v>-1.8257046810357003E-2</v>
      </c>
      <c r="M21" s="29">
        <f ca="1">IF(M$2&gt;MAX([0]!yearsRef),NA(),$B21)</f>
        <v>-1.8257046810357003E-2</v>
      </c>
      <c r="N21" s="29">
        <f ca="1">IF(N$2&gt;MAX([0]!yearsRef),NA(),$B21)</f>
        <v>-1.8257046810357003E-2</v>
      </c>
      <c r="O21" s="29">
        <f ca="1">IF(O$2&gt;MAX([0]!yearsRef),NA(),$B21)</f>
        <v>-1.8257046810357003E-2</v>
      </c>
      <c r="P21" s="29">
        <f ca="1">IF(P$2&gt;MAX([0]!yearsRef),NA(),$B21)</f>
        <v>-1.8257046810357003E-2</v>
      </c>
      <c r="Q21" s="29">
        <f ca="1">IF(Q$2&gt;MAX([0]!yearsRef),NA(),$B21)</f>
        <v>-1.8257046810357003E-2</v>
      </c>
      <c r="R21" s="29">
        <f ca="1">IF(R$2&gt;MAX([0]!yearsRef),NA(),$B21)</f>
        <v>-1.8257046810357003E-2</v>
      </c>
      <c r="S21" s="29">
        <f ca="1">IF(S$2&gt;MAX([0]!yearsRef),NA(),$B21)</f>
        <v>-1.8257046810357003E-2</v>
      </c>
      <c r="T21" s="29">
        <f ca="1">IF(T$2&gt;MAX([0]!yearsRef),NA(),$B21)</f>
        <v>-1.8257046810357003E-2</v>
      </c>
    </row>
    <row r="22" spans="1:20" ht="19" x14ac:dyDescent="0.2">
      <c r="A22" t="s">
        <v>62</v>
      </c>
      <c r="B22" s="32">
        <v>2.0153774592224227E-3</v>
      </c>
      <c r="E22" s="29">
        <f ca="1">IF(E$2&gt;MAX([0]!yearsRef),NA(),$B22)</f>
        <v>2.0153774592224227E-3</v>
      </c>
      <c r="F22" s="29">
        <f ca="1">IF(F$2&gt;MAX([0]!yearsRef),NA(),$B22)</f>
        <v>2.0153774592224227E-3</v>
      </c>
      <c r="G22" s="29">
        <f ca="1">IF(G$2&gt;MAX([0]!yearsRef),NA(),$B22)</f>
        <v>2.0153774592224227E-3</v>
      </c>
      <c r="H22" s="29">
        <f ca="1">IF(H$2&gt;MAX([0]!yearsRef),NA(),$B22)</f>
        <v>2.0153774592224227E-3</v>
      </c>
      <c r="I22" s="29">
        <f ca="1">IF(I$2&gt;MAX([0]!yearsRef),NA(),$B22)</f>
        <v>2.0153774592224227E-3</v>
      </c>
      <c r="J22" s="29">
        <f ca="1">IF(J$2&gt;MAX([0]!yearsRef),NA(),$B22)</f>
        <v>2.0153774592224227E-3</v>
      </c>
      <c r="K22" s="29">
        <f ca="1">IF(K$2&gt;MAX([0]!yearsRef),NA(),$B22)</f>
        <v>2.0153774592224227E-3</v>
      </c>
      <c r="L22" s="29">
        <f ca="1">IF(L$2&gt;MAX([0]!yearsRef),NA(),$B22)</f>
        <v>2.0153774592224227E-3</v>
      </c>
      <c r="M22" s="29">
        <f ca="1">IF(M$2&gt;MAX([0]!yearsRef),NA(),$B22)</f>
        <v>2.0153774592224227E-3</v>
      </c>
      <c r="N22" s="29">
        <f ca="1">IF(N$2&gt;MAX([0]!yearsRef),NA(),$B22)</f>
        <v>2.0153774592224227E-3</v>
      </c>
      <c r="O22" s="29">
        <f ca="1">IF(O$2&gt;MAX([0]!yearsRef),NA(),$B22)</f>
        <v>2.0153774592224227E-3</v>
      </c>
      <c r="P22" s="29">
        <f ca="1">IF(P$2&gt;MAX([0]!yearsRef),NA(),$B22)</f>
        <v>2.0153774592224227E-3</v>
      </c>
      <c r="Q22" s="29">
        <f ca="1">IF(Q$2&gt;MAX([0]!yearsRef),NA(),$B22)</f>
        <v>2.0153774592224227E-3</v>
      </c>
      <c r="R22" s="29">
        <f ca="1">IF(R$2&gt;MAX([0]!yearsRef),NA(),$B22)</f>
        <v>2.0153774592224227E-3</v>
      </c>
      <c r="S22" s="29">
        <f ca="1">IF(S$2&gt;MAX([0]!yearsRef),NA(),$B22)</f>
        <v>2.0153774592224227E-3</v>
      </c>
      <c r="T22" s="29">
        <f ca="1">IF(T$2&gt;MAX([0]!yearsRef),NA(),$B22)</f>
        <v>2.0153774592224227E-3</v>
      </c>
    </row>
    <row r="23" spans="1:20" x14ac:dyDescent="0.2">
      <c r="B23" s="31">
        <v>2.4377147280183475E-3</v>
      </c>
      <c r="E23" s="29">
        <f ca="1">IF(E$2&gt;MAX([0]!yearsRef),NA(),$B23)</f>
        <v>2.4377147280183475E-3</v>
      </c>
      <c r="F23" s="29">
        <f ca="1">IF(F$2&gt;MAX([0]!yearsRef),NA(),$B23)</f>
        <v>2.4377147280183475E-3</v>
      </c>
      <c r="G23" s="29">
        <f ca="1">IF(G$2&gt;MAX([0]!yearsRef),NA(),$B23)</f>
        <v>2.4377147280183475E-3</v>
      </c>
      <c r="H23" s="29">
        <f ca="1">IF(H$2&gt;MAX([0]!yearsRef),NA(),$B23)</f>
        <v>2.4377147280183475E-3</v>
      </c>
      <c r="I23" s="29">
        <f ca="1">IF(I$2&gt;MAX([0]!yearsRef),NA(),$B23)</f>
        <v>2.4377147280183475E-3</v>
      </c>
      <c r="J23" s="29">
        <f ca="1">IF(J$2&gt;MAX([0]!yearsRef),NA(),$B23)</f>
        <v>2.4377147280183475E-3</v>
      </c>
      <c r="K23" s="29">
        <f ca="1">IF(K$2&gt;MAX([0]!yearsRef),NA(),$B23)</f>
        <v>2.4377147280183475E-3</v>
      </c>
      <c r="L23" s="29">
        <f ca="1">IF(L$2&gt;MAX([0]!yearsRef),NA(),$B23)</f>
        <v>2.4377147280183475E-3</v>
      </c>
      <c r="M23" s="29">
        <f ca="1">IF(M$2&gt;MAX([0]!yearsRef),NA(),$B23)</f>
        <v>2.4377147280183475E-3</v>
      </c>
      <c r="N23" s="29">
        <f ca="1">IF(N$2&gt;MAX([0]!yearsRef),NA(),$B23)</f>
        <v>2.4377147280183475E-3</v>
      </c>
      <c r="O23" s="29">
        <f ca="1">IF(O$2&gt;MAX([0]!yearsRef),NA(),$B23)</f>
        <v>2.4377147280183475E-3</v>
      </c>
      <c r="P23" s="29">
        <f ca="1">IF(P$2&gt;MAX([0]!yearsRef),NA(),$B23)</f>
        <v>2.4377147280183475E-3</v>
      </c>
      <c r="Q23" s="29">
        <f ca="1">IF(Q$2&gt;MAX([0]!yearsRef),NA(),$B23)</f>
        <v>2.4377147280183475E-3</v>
      </c>
      <c r="R23" s="29">
        <f ca="1">IF(R$2&gt;MAX([0]!yearsRef),NA(),$B23)</f>
        <v>2.4377147280183475E-3</v>
      </c>
      <c r="S23" s="29">
        <f ca="1">IF(S$2&gt;MAX([0]!yearsRef),NA(),$B23)</f>
        <v>2.4377147280183475E-3</v>
      </c>
      <c r="T23" s="29">
        <f ca="1">IF(T$2&gt;MAX([0]!yearsRef),NA(),$B23)</f>
        <v>2.4377147280183475E-3</v>
      </c>
    </row>
    <row r="24" spans="1:20" ht="19" x14ac:dyDescent="0.2">
      <c r="A24" t="s">
        <v>66</v>
      </c>
      <c r="B24" s="33">
        <v>-4.1638405816923907E-4</v>
      </c>
      <c r="E24" s="29">
        <f ca="1">IF(E$2&gt;MAX([0]!yearsRef),NA(),$B24)</f>
        <v>-4.1638405816923907E-4</v>
      </c>
      <c r="F24" s="29">
        <f ca="1">IF(F$2&gt;MAX([0]!yearsRef),NA(),$B24)</f>
        <v>-4.1638405816923907E-4</v>
      </c>
      <c r="G24" s="29">
        <f ca="1">IF(G$2&gt;MAX([0]!yearsRef),NA(),$B24)</f>
        <v>-4.1638405816923907E-4</v>
      </c>
      <c r="H24" s="29">
        <f ca="1">IF(H$2&gt;MAX([0]!yearsRef),NA(),$B24)</f>
        <v>-4.1638405816923907E-4</v>
      </c>
      <c r="I24" s="29">
        <f ca="1">IF(I$2&gt;MAX([0]!yearsRef),NA(),$B24)</f>
        <v>-4.1638405816923907E-4</v>
      </c>
      <c r="J24" s="29">
        <f ca="1">IF(J$2&gt;MAX([0]!yearsRef),NA(),$B24)</f>
        <v>-4.1638405816923907E-4</v>
      </c>
      <c r="K24" s="29">
        <f ca="1">IF(K$2&gt;MAX([0]!yearsRef),NA(),$B24)</f>
        <v>-4.1638405816923907E-4</v>
      </c>
      <c r="L24" s="29">
        <f ca="1">IF(L$2&gt;MAX([0]!yearsRef),NA(),$B24)</f>
        <v>-4.1638405816923907E-4</v>
      </c>
      <c r="M24" s="29">
        <f ca="1">IF(M$2&gt;MAX([0]!yearsRef),NA(),$B24)</f>
        <v>-4.1638405816923907E-4</v>
      </c>
      <c r="N24" s="29">
        <f ca="1">IF(N$2&gt;MAX([0]!yearsRef),NA(),$B24)</f>
        <v>-4.1638405816923907E-4</v>
      </c>
      <c r="O24" s="29">
        <f ca="1">IF(O$2&gt;MAX([0]!yearsRef),NA(),$B24)</f>
        <v>-4.1638405816923907E-4</v>
      </c>
      <c r="P24" s="29">
        <f ca="1">IF(P$2&gt;MAX([0]!yearsRef),NA(),$B24)</f>
        <v>-4.1638405816923907E-4</v>
      </c>
      <c r="Q24" s="29">
        <f ca="1">IF(Q$2&gt;MAX([0]!yearsRef),NA(),$B24)</f>
        <v>-4.1638405816923907E-4</v>
      </c>
      <c r="R24" s="29">
        <f ca="1">IF(R$2&gt;MAX([0]!yearsRef),NA(),$B24)</f>
        <v>-4.1638405816923907E-4</v>
      </c>
      <c r="S24" s="29">
        <f ca="1">IF(S$2&gt;MAX([0]!yearsRef),NA(),$B24)</f>
        <v>-4.1638405816923907E-4</v>
      </c>
      <c r="T24" s="29">
        <f ca="1">IF(T$2&gt;MAX([0]!yearsRef),NA(),$B24)</f>
        <v>-4.1638405816923907E-4</v>
      </c>
    </row>
    <row r="25" spans="1:20" x14ac:dyDescent="0.2">
      <c r="B25" s="27">
        <v>9.4954208600395162E-6</v>
      </c>
      <c r="E25" s="29">
        <f ca="1">IF(E$2&gt;MAX([0]!yearsRef),NA(),$B25)</f>
        <v>9.4954208600395162E-6</v>
      </c>
      <c r="F25" s="29">
        <f ca="1">IF(F$2&gt;MAX([0]!yearsRef),NA(),$B25)</f>
        <v>9.4954208600395162E-6</v>
      </c>
      <c r="G25" s="29">
        <f ca="1">IF(G$2&gt;MAX([0]!yearsRef),NA(),$B25)</f>
        <v>9.4954208600395162E-6</v>
      </c>
      <c r="H25" s="29">
        <f ca="1">IF(H$2&gt;MAX([0]!yearsRef),NA(),$B25)</f>
        <v>9.4954208600395162E-6</v>
      </c>
      <c r="I25" s="29">
        <f ca="1">IF(I$2&gt;MAX([0]!yearsRef),NA(),$B25)</f>
        <v>9.4954208600395162E-6</v>
      </c>
      <c r="J25" s="29">
        <f ca="1">IF(J$2&gt;MAX([0]!yearsRef),NA(),$B25)</f>
        <v>9.4954208600395162E-6</v>
      </c>
      <c r="K25" s="29">
        <f ca="1">IF(K$2&gt;MAX([0]!yearsRef),NA(),$B25)</f>
        <v>9.4954208600395162E-6</v>
      </c>
      <c r="L25" s="29">
        <f ca="1">IF(L$2&gt;MAX([0]!yearsRef),NA(),$B25)</f>
        <v>9.4954208600395162E-6</v>
      </c>
      <c r="M25" s="29">
        <f ca="1">IF(M$2&gt;MAX([0]!yearsRef),NA(),$B25)</f>
        <v>9.4954208600395162E-6</v>
      </c>
      <c r="N25" s="29">
        <f ca="1">IF(N$2&gt;MAX([0]!yearsRef),NA(),$B25)</f>
        <v>9.4954208600395162E-6</v>
      </c>
      <c r="O25" s="29">
        <f ca="1">IF(O$2&gt;MAX([0]!yearsRef),NA(),$B25)</f>
        <v>9.4954208600395162E-6</v>
      </c>
      <c r="P25" s="29">
        <f ca="1">IF(P$2&gt;MAX([0]!yearsRef),NA(),$B25)</f>
        <v>9.4954208600395162E-6</v>
      </c>
      <c r="Q25" s="29">
        <f ca="1">IF(Q$2&gt;MAX([0]!yearsRef),NA(),$B25)</f>
        <v>9.4954208600395162E-6</v>
      </c>
      <c r="R25" s="29">
        <f ca="1">IF(R$2&gt;MAX([0]!yearsRef),NA(),$B25)</f>
        <v>9.4954208600395162E-6</v>
      </c>
      <c r="S25" s="29">
        <f ca="1">IF(S$2&gt;MAX([0]!yearsRef),NA(),$B25)</f>
        <v>9.4954208600395162E-6</v>
      </c>
      <c r="T25" s="29">
        <f ca="1">IF(T$2&gt;MAX([0]!yearsRef),NA(),$B25)</f>
        <v>9.4954208600395162E-6</v>
      </c>
    </row>
    <row r="26" spans="1:20" ht="19" x14ac:dyDescent="0.2">
      <c r="A26" t="s">
        <v>64</v>
      </c>
      <c r="B26" s="32">
        <v>1.5451450911869724E-3</v>
      </c>
      <c r="E26" s="29">
        <f ca="1">IF(E$2&gt;MAX([0]!yearsRef),NA(),$B26)</f>
        <v>1.5451450911869724E-3</v>
      </c>
      <c r="F26" s="29">
        <f ca="1">IF(F$2&gt;MAX([0]!yearsRef),NA(),$B26)</f>
        <v>1.5451450911869724E-3</v>
      </c>
      <c r="G26" s="29">
        <f ca="1">IF(G$2&gt;MAX([0]!yearsRef),NA(),$B26)</f>
        <v>1.5451450911869724E-3</v>
      </c>
      <c r="H26" s="29">
        <f ca="1">IF(H$2&gt;MAX([0]!yearsRef),NA(),$B26)</f>
        <v>1.5451450911869724E-3</v>
      </c>
      <c r="I26" s="29">
        <f ca="1">IF(I$2&gt;MAX([0]!yearsRef),NA(),$B26)</f>
        <v>1.5451450911869724E-3</v>
      </c>
      <c r="J26" s="29">
        <f ca="1">IF(J$2&gt;MAX([0]!yearsRef),NA(),$B26)</f>
        <v>1.5451450911869724E-3</v>
      </c>
      <c r="K26" s="29">
        <f ca="1">IF(K$2&gt;MAX([0]!yearsRef),NA(),$B26)</f>
        <v>1.5451450911869724E-3</v>
      </c>
      <c r="L26" s="29">
        <f ca="1">IF(L$2&gt;MAX([0]!yearsRef),NA(),$B26)</f>
        <v>1.5451450911869724E-3</v>
      </c>
      <c r="M26" s="29">
        <f ca="1">IF(M$2&gt;MAX([0]!yearsRef),NA(),$B26)</f>
        <v>1.5451450911869724E-3</v>
      </c>
      <c r="N26" s="29">
        <f ca="1">IF(N$2&gt;MAX([0]!yearsRef),NA(),$B26)</f>
        <v>1.5451450911869724E-3</v>
      </c>
      <c r="O26" s="29">
        <f ca="1">IF(O$2&gt;MAX([0]!yearsRef),NA(),$B26)</f>
        <v>1.5451450911869724E-3</v>
      </c>
      <c r="P26" s="29">
        <f ca="1">IF(P$2&gt;MAX([0]!yearsRef),NA(),$B26)</f>
        <v>1.5451450911869724E-3</v>
      </c>
      <c r="Q26" s="29">
        <f ca="1">IF(Q$2&gt;MAX([0]!yearsRef),NA(),$B26)</f>
        <v>1.5451450911869724E-3</v>
      </c>
      <c r="R26" s="29">
        <f ca="1">IF(R$2&gt;MAX([0]!yearsRef),NA(),$B26)</f>
        <v>1.5451450911869724E-3</v>
      </c>
      <c r="S26" s="29">
        <f ca="1">IF(S$2&gt;MAX([0]!yearsRef),NA(),$B26)</f>
        <v>1.5451450911869724E-3</v>
      </c>
      <c r="T26" s="29">
        <f ca="1">IF(T$2&gt;MAX([0]!yearsRef),NA(),$B26)</f>
        <v>1.5451450911869724E-3</v>
      </c>
    </row>
    <row r="27" spans="1:20" x14ac:dyDescent="0.2">
      <c r="B27" s="31">
        <v>7.7771181949937152E-4</v>
      </c>
      <c r="E27" s="29">
        <f ca="1">IF(E$2&gt;MAX([0]!yearsRef),NA(),$B27)</f>
        <v>7.7771181949937152E-4</v>
      </c>
      <c r="F27" s="29">
        <f ca="1">IF(F$2&gt;MAX([0]!yearsRef),NA(),$B27)</f>
        <v>7.7771181949937152E-4</v>
      </c>
      <c r="G27" s="29">
        <f ca="1">IF(G$2&gt;MAX([0]!yearsRef),NA(),$B27)</f>
        <v>7.7771181949937152E-4</v>
      </c>
      <c r="H27" s="29">
        <f ca="1">IF(H$2&gt;MAX([0]!yearsRef),NA(),$B27)</f>
        <v>7.7771181949937152E-4</v>
      </c>
      <c r="I27" s="29">
        <f ca="1">IF(I$2&gt;MAX([0]!yearsRef),NA(),$B27)</f>
        <v>7.7771181949937152E-4</v>
      </c>
      <c r="J27" s="29">
        <f ca="1">IF(J$2&gt;MAX([0]!yearsRef),NA(),$B27)</f>
        <v>7.7771181949937152E-4</v>
      </c>
      <c r="K27" s="29">
        <f ca="1">IF(K$2&gt;MAX([0]!yearsRef),NA(),$B27)</f>
        <v>7.7771181949937152E-4</v>
      </c>
      <c r="L27" s="29">
        <f ca="1">IF(L$2&gt;MAX([0]!yearsRef),NA(),$B27)</f>
        <v>7.7771181949937152E-4</v>
      </c>
      <c r="M27" s="29">
        <f ca="1">IF(M$2&gt;MAX([0]!yearsRef),NA(),$B27)</f>
        <v>7.7771181949937152E-4</v>
      </c>
      <c r="N27" s="29">
        <f ca="1">IF(N$2&gt;MAX([0]!yearsRef),NA(),$B27)</f>
        <v>7.7771181949937152E-4</v>
      </c>
      <c r="O27" s="29">
        <f ca="1">IF(O$2&gt;MAX([0]!yearsRef),NA(),$B27)</f>
        <v>7.7771181949937152E-4</v>
      </c>
      <c r="P27" s="29">
        <f ca="1">IF(P$2&gt;MAX([0]!yearsRef),NA(),$B27)</f>
        <v>7.7771181949937152E-4</v>
      </c>
      <c r="Q27" s="29">
        <f ca="1">IF(Q$2&gt;MAX([0]!yearsRef),NA(),$B27)</f>
        <v>7.7771181949937152E-4</v>
      </c>
      <c r="R27" s="29">
        <f ca="1">IF(R$2&gt;MAX([0]!yearsRef),NA(),$B27)</f>
        <v>7.7771181949937152E-4</v>
      </c>
      <c r="S27" s="29">
        <f ca="1">IF(S$2&gt;MAX([0]!yearsRef),NA(),$B27)</f>
        <v>7.7771181949937152E-4</v>
      </c>
      <c r="T27" s="29">
        <f ca="1">IF(T$2&gt;MAX([0]!yearsRef),NA(),$B27)</f>
        <v>7.7771181949937152E-4</v>
      </c>
    </row>
    <row r="28" spans="1:20" ht="19" x14ac:dyDescent="0.2">
      <c r="A28" t="s">
        <v>67</v>
      </c>
      <c r="B28" s="31">
        <v>-6.116178491340829E-3</v>
      </c>
      <c r="E28" s="29">
        <f ca="1">IF(E$2&gt;MAX([0]!yearsRef),NA(),$B28)</f>
        <v>-6.116178491340829E-3</v>
      </c>
      <c r="F28" s="29">
        <f ca="1">IF(F$2&gt;MAX([0]!yearsRef),NA(),$B28)</f>
        <v>-6.116178491340829E-3</v>
      </c>
      <c r="G28" s="29">
        <f ca="1">IF(G$2&gt;MAX([0]!yearsRef),NA(),$B28)</f>
        <v>-6.116178491340829E-3</v>
      </c>
      <c r="H28" s="29">
        <f ca="1">IF(H$2&gt;MAX([0]!yearsRef),NA(),$B28)</f>
        <v>-6.116178491340829E-3</v>
      </c>
      <c r="I28" s="29">
        <f ca="1">IF(I$2&gt;MAX([0]!yearsRef),NA(),$B28)</f>
        <v>-6.116178491340829E-3</v>
      </c>
      <c r="J28" s="29">
        <f ca="1">IF(J$2&gt;MAX([0]!yearsRef),NA(),$B28)</f>
        <v>-6.116178491340829E-3</v>
      </c>
      <c r="K28" s="29">
        <f ca="1">IF(K$2&gt;MAX([0]!yearsRef),NA(),$B28)</f>
        <v>-6.116178491340829E-3</v>
      </c>
      <c r="L28" s="29">
        <f ca="1">IF(L$2&gt;MAX([0]!yearsRef),NA(),$B28)</f>
        <v>-6.116178491340829E-3</v>
      </c>
      <c r="M28" s="29">
        <f ca="1">IF(M$2&gt;MAX([0]!yearsRef),NA(),$B28)</f>
        <v>-6.116178491340829E-3</v>
      </c>
      <c r="N28" s="29">
        <f ca="1">IF(N$2&gt;MAX([0]!yearsRef),NA(),$B28)</f>
        <v>-6.116178491340829E-3</v>
      </c>
      <c r="O28" s="29">
        <f ca="1">IF(O$2&gt;MAX([0]!yearsRef),NA(),$B28)</f>
        <v>-6.116178491340829E-3</v>
      </c>
      <c r="P28" s="29">
        <f ca="1">IF(P$2&gt;MAX([0]!yearsRef),NA(),$B28)</f>
        <v>-6.116178491340829E-3</v>
      </c>
      <c r="Q28" s="29">
        <f ca="1">IF(Q$2&gt;MAX([0]!yearsRef),NA(),$B28)</f>
        <v>-6.116178491340829E-3</v>
      </c>
      <c r="R28" s="29">
        <f ca="1">IF(R$2&gt;MAX([0]!yearsRef),NA(),$B28)</f>
        <v>-6.116178491340829E-3</v>
      </c>
      <c r="S28" s="29">
        <f ca="1">IF(S$2&gt;MAX([0]!yearsRef),NA(),$B28)</f>
        <v>-6.116178491340829E-3</v>
      </c>
      <c r="T28" s="29">
        <f ca="1">IF(T$2&gt;MAX([0]!yearsRef),NA(),$B28)</f>
        <v>-6.116178491340829E-3</v>
      </c>
    </row>
    <row r="29" spans="1:20" x14ac:dyDescent="0.2">
      <c r="B29" s="31">
        <v>-1.5863837554238369E-2</v>
      </c>
      <c r="E29" s="29">
        <f ca="1">IF(E$2&gt;MAX([0]!yearsRef),NA(),$B29)</f>
        <v>-1.5863837554238369E-2</v>
      </c>
      <c r="F29" s="29">
        <f ca="1">IF(F$2&gt;MAX([0]!yearsRef),NA(),$B29)</f>
        <v>-1.5863837554238369E-2</v>
      </c>
      <c r="G29" s="29">
        <f ca="1">IF(G$2&gt;MAX([0]!yearsRef),NA(),$B29)</f>
        <v>-1.5863837554238369E-2</v>
      </c>
      <c r="H29" s="29">
        <f ca="1">IF(H$2&gt;MAX([0]!yearsRef),NA(),$B29)</f>
        <v>-1.5863837554238369E-2</v>
      </c>
      <c r="I29" s="29">
        <f ca="1">IF(I$2&gt;MAX([0]!yearsRef),NA(),$B29)</f>
        <v>-1.5863837554238369E-2</v>
      </c>
      <c r="J29" s="29">
        <f ca="1">IF(J$2&gt;MAX([0]!yearsRef),NA(),$B29)</f>
        <v>-1.5863837554238369E-2</v>
      </c>
      <c r="K29" s="29">
        <f ca="1">IF(K$2&gt;MAX([0]!yearsRef),NA(),$B29)</f>
        <v>-1.5863837554238369E-2</v>
      </c>
      <c r="L29" s="29">
        <f ca="1">IF(L$2&gt;MAX([0]!yearsRef),NA(),$B29)</f>
        <v>-1.5863837554238369E-2</v>
      </c>
      <c r="M29" s="29">
        <f ca="1">IF(M$2&gt;MAX([0]!yearsRef),NA(),$B29)</f>
        <v>-1.5863837554238369E-2</v>
      </c>
      <c r="N29" s="29">
        <f ca="1">IF(N$2&gt;MAX([0]!yearsRef),NA(),$B29)</f>
        <v>-1.5863837554238369E-2</v>
      </c>
      <c r="O29" s="29">
        <f ca="1">IF(O$2&gt;MAX([0]!yearsRef),NA(),$B29)</f>
        <v>-1.5863837554238369E-2</v>
      </c>
      <c r="P29" s="29">
        <f ca="1">IF(P$2&gt;MAX([0]!yearsRef),NA(),$B29)</f>
        <v>-1.5863837554238369E-2</v>
      </c>
      <c r="Q29" s="29">
        <f ca="1">IF(Q$2&gt;MAX([0]!yearsRef),NA(),$B29)</f>
        <v>-1.5863837554238369E-2</v>
      </c>
      <c r="R29" s="29">
        <f ca="1">IF(R$2&gt;MAX([0]!yearsRef),NA(),$B29)</f>
        <v>-1.5863837554238369E-2</v>
      </c>
      <c r="S29" s="29">
        <f ca="1">IF(S$2&gt;MAX([0]!yearsRef),NA(),$B29)</f>
        <v>-1.5863837554238369E-2</v>
      </c>
      <c r="T29" s="29">
        <f ca="1">IF(T$2&gt;MAX([0]!yearsRef),NA(),$B29)</f>
        <v>-1.5863837554238369E-2</v>
      </c>
    </row>
    <row r="30" spans="1:20" ht="19" x14ac:dyDescent="0.2">
      <c r="A30" t="s">
        <v>68</v>
      </c>
      <c r="B30" s="32">
        <v>1.1281176592341513E-3</v>
      </c>
      <c r="E30" s="29">
        <f ca="1">IF(E$2&gt;MAX([0]!yearsRef),NA(),$B30)</f>
        <v>1.1281176592341513E-3</v>
      </c>
      <c r="F30" s="29">
        <f ca="1">IF(F$2&gt;MAX([0]!yearsRef),NA(),$B30)</f>
        <v>1.1281176592341513E-3</v>
      </c>
      <c r="G30" s="29">
        <f ca="1">IF(G$2&gt;MAX([0]!yearsRef),NA(),$B30)</f>
        <v>1.1281176592341513E-3</v>
      </c>
      <c r="H30" s="29">
        <f ca="1">IF(H$2&gt;MAX([0]!yearsRef),NA(),$B30)</f>
        <v>1.1281176592341513E-3</v>
      </c>
      <c r="I30" s="29">
        <f ca="1">IF(I$2&gt;MAX([0]!yearsRef),NA(),$B30)</f>
        <v>1.1281176592341513E-3</v>
      </c>
      <c r="J30" s="29">
        <f ca="1">IF(J$2&gt;MAX([0]!yearsRef),NA(),$B30)</f>
        <v>1.1281176592341513E-3</v>
      </c>
      <c r="K30" s="29">
        <f ca="1">IF(K$2&gt;MAX([0]!yearsRef),NA(),$B30)</f>
        <v>1.1281176592341513E-3</v>
      </c>
      <c r="L30" s="29">
        <f ca="1">IF(L$2&gt;MAX([0]!yearsRef),NA(),$B30)</f>
        <v>1.1281176592341513E-3</v>
      </c>
      <c r="M30" s="29">
        <f ca="1">IF(M$2&gt;MAX([0]!yearsRef),NA(),$B30)</f>
        <v>1.1281176592341513E-3</v>
      </c>
      <c r="N30" s="29">
        <f ca="1">IF(N$2&gt;MAX([0]!yearsRef),NA(),$B30)</f>
        <v>1.1281176592341513E-3</v>
      </c>
      <c r="O30" s="29">
        <f ca="1">IF(O$2&gt;MAX([0]!yearsRef),NA(),$B30)</f>
        <v>1.1281176592341513E-3</v>
      </c>
      <c r="P30" s="29">
        <f ca="1">IF(P$2&gt;MAX([0]!yearsRef),NA(),$B30)</f>
        <v>1.1281176592341513E-3</v>
      </c>
      <c r="Q30" s="29">
        <f ca="1">IF(Q$2&gt;MAX([0]!yearsRef),NA(),$B30)</f>
        <v>1.1281176592341513E-3</v>
      </c>
      <c r="R30" s="29">
        <f ca="1">IF(R$2&gt;MAX([0]!yearsRef),NA(),$B30)</f>
        <v>1.1281176592341513E-3</v>
      </c>
      <c r="S30" s="29">
        <f ca="1">IF(S$2&gt;MAX([0]!yearsRef),NA(),$B30)</f>
        <v>1.1281176592341513E-3</v>
      </c>
      <c r="T30" s="29">
        <f ca="1">IF(T$2&gt;MAX([0]!yearsRef),NA(),$B30)</f>
        <v>1.1281176592341513E-3</v>
      </c>
    </row>
    <row r="31" spans="1:20" x14ac:dyDescent="0.2">
      <c r="B31" s="31">
        <v>7.872146250604839E-4</v>
      </c>
      <c r="E31" s="29">
        <f ca="1">IF(E$2&gt;MAX([0]!yearsRef),NA(),$B31)</f>
        <v>7.872146250604839E-4</v>
      </c>
      <c r="F31" s="29">
        <f ca="1">IF(F$2&gt;MAX([0]!yearsRef),NA(),$B31)</f>
        <v>7.872146250604839E-4</v>
      </c>
      <c r="G31" s="29">
        <f ca="1">IF(G$2&gt;MAX([0]!yearsRef),NA(),$B31)</f>
        <v>7.872146250604839E-4</v>
      </c>
      <c r="H31" s="29">
        <f ca="1">IF(H$2&gt;MAX([0]!yearsRef),NA(),$B31)</f>
        <v>7.872146250604839E-4</v>
      </c>
      <c r="I31" s="29">
        <f ca="1">IF(I$2&gt;MAX([0]!yearsRef),NA(),$B31)</f>
        <v>7.872146250604839E-4</v>
      </c>
      <c r="J31" s="29">
        <f ca="1">IF(J$2&gt;MAX([0]!yearsRef),NA(),$B31)</f>
        <v>7.872146250604839E-4</v>
      </c>
      <c r="K31" s="29">
        <f ca="1">IF(K$2&gt;MAX([0]!yearsRef),NA(),$B31)</f>
        <v>7.872146250604839E-4</v>
      </c>
      <c r="L31" s="29">
        <f ca="1">IF(L$2&gt;MAX([0]!yearsRef),NA(),$B31)</f>
        <v>7.872146250604839E-4</v>
      </c>
      <c r="M31" s="29">
        <f ca="1">IF(M$2&gt;MAX([0]!yearsRef),NA(),$B31)</f>
        <v>7.872146250604839E-4</v>
      </c>
      <c r="N31" s="29">
        <f ca="1">IF(N$2&gt;MAX([0]!yearsRef),NA(),$B31)</f>
        <v>7.872146250604839E-4</v>
      </c>
      <c r="O31" s="29">
        <f ca="1">IF(O$2&gt;MAX([0]!yearsRef),NA(),$B31)</f>
        <v>7.872146250604839E-4</v>
      </c>
      <c r="P31" s="29">
        <f ca="1">IF(P$2&gt;MAX([0]!yearsRef),NA(),$B31)</f>
        <v>7.872146250604839E-4</v>
      </c>
      <c r="Q31" s="29">
        <f ca="1">IF(Q$2&gt;MAX([0]!yearsRef),NA(),$B31)</f>
        <v>7.872146250604839E-4</v>
      </c>
      <c r="R31" s="29">
        <f ca="1">IF(R$2&gt;MAX([0]!yearsRef),NA(),$B31)</f>
        <v>7.872146250604839E-4</v>
      </c>
      <c r="S31" s="29">
        <f ca="1">IF(S$2&gt;MAX([0]!yearsRef),NA(),$B31)</f>
        <v>7.872146250604839E-4</v>
      </c>
      <c r="T31" s="29">
        <f ca="1">IF(T$2&gt;MAX([0]!yearsRef),NA(),$B31)</f>
        <v>7.872146250604839E-4</v>
      </c>
    </row>
    <row r="34" spans="1:20" x14ac:dyDescent="0.2">
      <c r="A34" s="21" t="s">
        <v>69</v>
      </c>
    </row>
    <row r="35" spans="1:20" x14ac:dyDescent="0.2">
      <c r="A35" t="s">
        <v>49</v>
      </c>
      <c r="E35">
        <f ca="1">ExpKayaFactorsRef!E2</f>
        <v>6.9217978520000001</v>
      </c>
      <c r="F35">
        <f ca="1">IF(F$2&gt;MAX([0]!yearsRef),NA(),E35*(1+$B3)^(F$2-E$2))</f>
        <v>7.9025930608181971</v>
      </c>
      <c r="G35">
        <f ca="1">IF(G$2&gt;MAX([0]!yearsRef),NA(),F35*(1+$B3)^(G$2-F$2))</f>
        <v>9.0223636142230301</v>
      </c>
      <c r="H35">
        <f ca="1">IF(H$2&gt;MAX([0]!yearsRef),NA(),G35*(1+$B3)^(H$2-G$2))</f>
        <v>10.300801845771312</v>
      </c>
      <c r="I35">
        <f ca="1">IF(I$2&gt;MAX([0]!yearsRef),NA(),H35*(1+$B3)^(I$2-H$2))</f>
        <v>11.760390425694803</v>
      </c>
      <c r="J35">
        <f ca="1">IF(J$2&gt;MAX([0]!yearsRef),NA(),I35*(1+$B3)^(J$2-I$2))</f>
        <v>13.426797742114777</v>
      </c>
      <c r="K35">
        <f ca="1">IF(K$2&gt;MAX([0]!yearsRef),NA(),J35*(1+$B3)^(K$2-J$2))</f>
        <v>15.32932930642969</v>
      </c>
      <c r="L35">
        <f ca="1">IF(L$2&gt;MAX([0]!yearsRef),NA(),K35*(1+$B3)^(L$2-K$2))</f>
        <v>17.501443121310658</v>
      </c>
      <c r="M35">
        <f ca="1">IF(M$2&gt;MAX([0]!yearsRef),NA(),L35*(1+$B3)^(M$2-L$2))</f>
        <v>19.981338074588713</v>
      </c>
      <c r="N35">
        <f ca="1">IF(N$2&gt;MAX([0]!yearsRef),NA(),M35*(1+$B3)^(N$2-M$2))</f>
        <v>22.81262570655425</v>
      </c>
      <c r="O35">
        <f ca="1">IF(O$2&gt;MAX([0]!yearsRef),NA(),N35*(1+$B3)^(O$2-N$2))</f>
        <v>1.8729526619159995E-11</v>
      </c>
      <c r="P35">
        <f ca="1">IF(P$2&gt;MAX([0]!yearsRef),NA(),O35*(1+$B3)^(P$2-O$2))</f>
        <v>1.8729526619159995E-11</v>
      </c>
      <c r="Q35">
        <f ca="1">IF(Q$2&gt;MAX([0]!yearsRef),NA(),P35*(1+$B3)^(Q$2-P$2))</f>
        <v>1.8729526619159995E-11</v>
      </c>
      <c r="R35">
        <f ca="1">IF(R$2&gt;MAX([0]!yearsRef),NA(),Q35*(1+$B3)^(R$2-Q$2))</f>
        <v>1.8729526619159995E-11</v>
      </c>
      <c r="S35">
        <f ca="1">IF(S$2&gt;MAX([0]!yearsRef),NA(),R35*(1+$B3)^(S$2-R$2))</f>
        <v>1.8729526619159995E-11</v>
      </c>
      <c r="T35">
        <f ca="1">IF(T$2&gt;MAX([0]!yearsRef),NA(),S35*(1+$B3)^(T$2-S$2))</f>
        <v>1.8729526619159995E-11</v>
      </c>
    </row>
    <row r="36" spans="1:20" x14ac:dyDescent="0.2">
      <c r="E36">
        <f ca="1">ExpKayaFactorsRef!E2</f>
        <v>6.9217978520000001</v>
      </c>
      <c r="F36">
        <f ca="1">IF(F$2&gt;MAX([0]!yearsRef),NA(),E36*(1+$B4)^(F$2-E$2))</f>
        <v>7.839139256025204</v>
      </c>
      <c r="G36">
        <f ca="1">IF(G$2&gt;MAX([0]!yearsRef),NA(),F36*(1+$B4)^(G$2-F$2))</f>
        <v>8.8780553245424922</v>
      </c>
      <c r="H36">
        <f ca="1">IF(H$2&gt;MAX([0]!yearsRef),NA(),G36*(1+$B4)^(H$2-G$2))</f>
        <v>10.054658269408332</v>
      </c>
      <c r="I36">
        <f ca="1">IF(I$2&gt;MAX([0]!yearsRef),NA(),H36*(1+$B4)^(I$2-H$2))</f>
        <v>11.387195643522427</v>
      </c>
      <c r="J36">
        <f ca="1">IF(J$2&gt;MAX([0]!yearsRef),NA(),I36*(1+$B4)^(J$2-I$2))</f>
        <v>12.896333336198655</v>
      </c>
      <c r="K36">
        <f ca="1">IF(K$2&gt;MAX([0]!yearsRef),NA(),J36*(1+$B4)^(K$2-J$2))</f>
        <v>14.60547607372995</v>
      </c>
      <c r="L36">
        <f ca="1">IF(L$2&gt;MAX([0]!yearsRef),NA(),K36*(1+$B4)^(L$2-K$2))</f>
        <v>16.541130395686295</v>
      </c>
      <c r="M36">
        <f ca="1">IF(M$2&gt;MAX([0]!yearsRef),NA(),L36*(1+$B4)^(M$2-L$2))</f>
        <v>18.733315736227333</v>
      </c>
      <c r="N36">
        <f ca="1">IF(N$2&gt;MAX([0]!yearsRef),NA(),M36*(1+$B4)^(N$2-M$2))</f>
        <v>21.21602998575613</v>
      </c>
      <c r="O36">
        <f ca="1">IF(O$2&gt;MAX([0]!yearsRef),NA(),N36*(1+$B4)^(O$2-N$2))</f>
        <v>9.4683851567081045E-11</v>
      </c>
      <c r="P36">
        <f ca="1">IF(P$2&gt;MAX([0]!yearsRef),NA(),O36*(1+$B4)^(P$2-O$2))</f>
        <v>9.4683851567081045E-11</v>
      </c>
      <c r="Q36">
        <f ca="1">IF(Q$2&gt;MAX([0]!yearsRef),NA(),P36*(1+$B4)^(Q$2-P$2))</f>
        <v>9.4683851567081045E-11</v>
      </c>
      <c r="R36">
        <f ca="1">IF(R$2&gt;MAX([0]!yearsRef),NA(),Q36*(1+$B4)^(R$2-Q$2))</f>
        <v>9.4683851567081045E-11</v>
      </c>
      <c r="S36">
        <f ca="1">IF(S$2&gt;MAX([0]!yearsRef),NA(),R36*(1+$B4)^(S$2-R$2))</f>
        <v>9.4683851567081045E-11</v>
      </c>
      <c r="T36">
        <f ca="1">IF(T$2&gt;MAX([0]!yearsRef),NA(),S36*(1+$B4)^(T$2-S$2))</f>
        <v>9.4683851567081045E-11</v>
      </c>
    </row>
    <row r="37" spans="1:20" x14ac:dyDescent="0.2">
      <c r="A37" t="s">
        <v>50</v>
      </c>
      <c r="E37">
        <f ca="1">ExpKayaFactorsRef!E3</f>
        <v>75.308071089999999</v>
      </c>
      <c r="F37">
        <f ca="1">IF(F$2&gt;MAX([0]!yearsRef),NA(),E37*(1+$B5)^(F$2-E$2))</f>
        <v>101.83400470793208</v>
      </c>
      <c r="G37">
        <f ca="1">IF(G$2&gt;MAX([0]!yearsRef),NA(),F37*(1+$B5)^(G$2-F$2))</f>
        <v>137.70322841574102</v>
      </c>
      <c r="H37">
        <f ca="1">IF(H$2&gt;MAX([0]!yearsRef),NA(),G37*(1+$B5)^(H$2-G$2))</f>
        <v>186.20675058888989</v>
      </c>
      <c r="I37">
        <f ca="1">IF(I$2&gt;MAX([0]!yearsRef),NA(),H37*(1+$B5)^(I$2-H$2))</f>
        <v>251.79477898798152</v>
      </c>
      <c r="J37">
        <f ca="1">IF(J$2&gt;MAX([0]!yearsRef),NA(),I37*(1+$B5)^(J$2-I$2))</f>
        <v>340.48502820170734</v>
      </c>
      <c r="K37">
        <f ca="1">IF(K$2&gt;MAX([0]!yearsRef),NA(),J37*(1+$B5)^(K$2-J$2))</f>
        <v>460.41484615155952</v>
      </c>
      <c r="L37">
        <f ca="1">IF(L$2&gt;MAX([0]!yearsRef),NA(),K37*(1+$B5)^(L$2-K$2))</f>
        <v>622.58781737440643</v>
      </c>
      <c r="M37">
        <f ca="1">IF(M$2&gt;MAX([0]!yearsRef),NA(),L37*(1+$B5)^(M$2-L$2))</f>
        <v>841.88334408189746</v>
      </c>
      <c r="N37">
        <f ca="1">IF(N$2&gt;MAX([0]!yearsRef),NA(),M37*(1+$B5)^(N$2-M$2))</f>
        <v>1138.4218342587421</v>
      </c>
      <c r="O37">
        <f ca="1">IF(O$2&gt;MAX([0]!yearsRef),NA(),N37*(1+$B5)^(O$2-N$2))</f>
        <v>3.4318665007471442E-25</v>
      </c>
      <c r="P37">
        <f ca="1">IF(P$2&gt;MAX([0]!yearsRef),NA(),O37*(1+$B5)^(P$2-O$2))</f>
        <v>3.4318665007471442E-25</v>
      </c>
      <c r="Q37">
        <f ca="1">IF(Q$2&gt;MAX([0]!yearsRef),NA(),P37*(1+$B5)^(Q$2-P$2))</f>
        <v>3.4318665007471442E-25</v>
      </c>
      <c r="R37">
        <f ca="1">IF(R$2&gt;MAX([0]!yearsRef),NA(),Q37*(1+$B5)^(R$2-Q$2))</f>
        <v>3.4318665007471442E-25</v>
      </c>
      <c r="S37">
        <f ca="1">IF(S$2&gt;MAX([0]!yearsRef),NA(),R37*(1+$B5)^(S$2-R$2))</f>
        <v>3.4318665007471442E-25</v>
      </c>
      <c r="T37">
        <f ca="1">IF(T$2&gt;MAX([0]!yearsRef),NA(),S37*(1+$B5)^(T$2-S$2))</f>
        <v>3.4318665007471442E-25</v>
      </c>
    </row>
    <row r="38" spans="1:20" x14ac:dyDescent="0.2">
      <c r="E38">
        <f ca="1">ExpKayaFactorsRef!E3</f>
        <v>75.308071089999999</v>
      </c>
      <c r="F38">
        <f ca="1">IF(F$2&gt;MAX([0]!yearsRef),NA(),E38*(1+$B6)^(F$2-E$2))</f>
        <v>108.7853824381605</v>
      </c>
      <c r="G38">
        <f ca="1">IF(G$2&gt;MAX([0]!yearsRef),NA(),F38*(1+$B6)^(G$2-F$2))</f>
        <v>157.14463617151767</v>
      </c>
      <c r="H38">
        <f ca="1">IF(H$2&gt;MAX([0]!yearsRef),NA(),G38*(1+$B6)^(H$2-G$2))</f>
        <v>227.00142357376291</v>
      </c>
      <c r="I38">
        <f ca="1">IF(I$2&gt;MAX([0]!yearsRef),NA(),H38*(1+$B6)^(I$2-H$2))</f>
        <v>327.91221870450721</v>
      </c>
      <c r="J38">
        <f ca="1">IF(J$2&gt;MAX([0]!yearsRef),NA(),I38*(1+$B6)^(J$2-I$2))</f>
        <v>473.68171301697777</v>
      </c>
      <c r="K38">
        <f ca="1">IF(K$2&gt;MAX([0]!yearsRef),NA(),J38*(1+$B6)^(K$2-J$2))</f>
        <v>684.25131010104212</v>
      </c>
      <c r="L38">
        <f ca="1">IF(L$2&gt;MAX([0]!yearsRef),NA(),K38*(1+$B6)^(L$2-K$2))</f>
        <v>988.42712840428192</v>
      </c>
      <c r="M38">
        <f ca="1">IF(M$2&gt;MAX([0]!yearsRef),NA(),L38*(1+$B6)^(M$2-L$2))</f>
        <v>1427.8207052629023</v>
      </c>
      <c r="N38">
        <f ca="1">IF(N$2&gt;MAX([0]!yearsRef),NA(),M38*(1+$B6)^(N$2-M$2))</f>
        <v>2062.5414942512621</v>
      </c>
      <c r="O38">
        <f ca="1">IF(O$2&gt;MAX([0]!yearsRef),NA(),N38*(1+$B6)^(O$2-N$2))</f>
        <v>5.9062076925223813E-31</v>
      </c>
      <c r="P38">
        <f ca="1">IF(P$2&gt;MAX([0]!yearsRef),NA(),O38*(1+$B6)^(P$2-O$2))</f>
        <v>5.9062076925223813E-31</v>
      </c>
      <c r="Q38">
        <f ca="1">IF(Q$2&gt;MAX([0]!yearsRef),NA(),P38*(1+$B6)^(Q$2-P$2))</f>
        <v>5.9062076925223813E-31</v>
      </c>
      <c r="R38">
        <f ca="1">IF(R$2&gt;MAX([0]!yearsRef),NA(),Q38*(1+$B6)^(R$2-Q$2))</f>
        <v>5.9062076925223813E-31</v>
      </c>
      <c r="S38">
        <f ca="1">IF(S$2&gt;MAX([0]!yearsRef),NA(),R38*(1+$B6)^(S$2-R$2))</f>
        <v>5.9062076925223813E-31</v>
      </c>
      <c r="T38">
        <f ca="1">IF(T$2&gt;MAX([0]!yearsRef),NA(),S38*(1+$B6)^(T$2-S$2))</f>
        <v>5.9062076925223813E-31</v>
      </c>
    </row>
    <row r="39" spans="1:20" x14ac:dyDescent="0.2">
      <c r="A39" t="s">
        <v>51</v>
      </c>
      <c r="E39">
        <f ca="1">ExpKayaFactorsRef!E4</f>
        <v>368.1208125</v>
      </c>
      <c r="F39">
        <f ca="1">IF(F$2&gt;MAX([0]!yearsRef),NA(),E39*(1+$B7)^(F$2-E$2))</f>
        <v>458.84818102691577</v>
      </c>
      <c r="G39">
        <f ca="1">IF(G$2&gt;MAX([0]!yearsRef),NA(),F39*(1+$B7)^(G$2-F$2))</f>
        <v>571.93629396248616</v>
      </c>
      <c r="H39">
        <f ca="1">IF(H$2&gt;MAX([0]!yearsRef),NA(),G39*(1+$B7)^(H$2-G$2))</f>
        <v>712.89619939095985</v>
      </c>
      <c r="I39">
        <f ca="1">IF(I$2&gt;MAX([0]!yearsRef),NA(),H39*(1+$B7)^(I$2-H$2))</f>
        <v>888.59720299444734</v>
      </c>
      <c r="J39">
        <f ca="1">IF(J$2&gt;MAX([0]!yearsRef),NA(),I39*(1+$B7)^(J$2-I$2))</f>
        <v>1107.6016253756561</v>
      </c>
      <c r="K39">
        <f ca="1">IF(K$2&gt;MAX([0]!yearsRef),NA(),J39*(1+$B7)^(K$2-J$2))</f>
        <v>1380.5820639550914</v>
      </c>
      <c r="L39">
        <f ca="1">IF(L$2&gt;MAX([0]!yearsRef),NA(),K39*(1+$B7)^(L$2-K$2))</f>
        <v>1720.8414935903108</v>
      </c>
      <c r="M39">
        <f ca="1">IF(M$2&gt;MAX([0]!yearsRef),NA(),L39*(1+$B7)^(M$2-L$2))</f>
        <v>2144.9615516361359</v>
      </c>
      <c r="N39">
        <f ca="1">IF(N$2&gt;MAX([0]!yearsRef),NA(),M39*(1+$B7)^(N$2-M$2))</f>
        <v>2673.610599892153</v>
      </c>
      <c r="O39">
        <f ca="1">IF(O$2&gt;MAX([0]!yearsRef),NA(),N39*(1+$B7)^(O$2-N$2))</f>
        <v>2.1606440713181551E-17</v>
      </c>
      <c r="P39">
        <f ca="1">IF(P$2&gt;MAX([0]!yearsRef),NA(),O39*(1+$B7)^(P$2-O$2))</f>
        <v>2.1606440713181551E-17</v>
      </c>
      <c r="Q39">
        <f ca="1">IF(Q$2&gt;MAX([0]!yearsRef),NA(),P39*(1+$B7)^(Q$2-P$2))</f>
        <v>2.1606440713181551E-17</v>
      </c>
      <c r="R39">
        <f ca="1">IF(R$2&gt;MAX([0]!yearsRef),NA(),Q39*(1+$B7)^(R$2-Q$2))</f>
        <v>2.1606440713181551E-17</v>
      </c>
      <c r="S39">
        <f ca="1">IF(S$2&gt;MAX([0]!yearsRef),NA(),R39*(1+$B7)^(S$2-R$2))</f>
        <v>2.1606440713181551E-17</v>
      </c>
      <c r="T39">
        <f ca="1">IF(T$2&gt;MAX([0]!yearsRef),NA(),S39*(1+$B7)^(T$2-S$2))</f>
        <v>2.1606440713181551E-17</v>
      </c>
    </row>
    <row r="40" spans="1:20" x14ac:dyDescent="0.2">
      <c r="E40">
        <f ca="1">ExpKayaFactorsRef!E4</f>
        <v>368.1208125</v>
      </c>
      <c r="F40">
        <f ca="1">IF(F$2&gt;MAX([0]!yearsRef),NA(),E40*(1+$B8)^(F$2-E$2))</f>
        <v>444.77101315844578</v>
      </c>
      <c r="G40">
        <f ca="1">IF(G$2&gt;MAX([0]!yearsRef),NA(),F40*(1+$B8)^(G$2-F$2))</f>
        <v>537.38133631330709</v>
      </c>
      <c r="H40">
        <f ca="1">IF(H$2&gt;MAX([0]!yearsRef),NA(),G40*(1+$B8)^(H$2-G$2))</f>
        <v>649.27500235947423</v>
      </c>
      <c r="I40">
        <f ca="1">IF(I$2&gt;MAX([0]!yearsRef),NA(),H40*(1+$B8)^(I$2-H$2))</f>
        <v>784.46719341052096</v>
      </c>
      <c r="J40">
        <f ca="1">IF(J$2&gt;MAX([0]!yearsRef),NA(),I40*(1+$B8)^(J$2-I$2))</f>
        <v>947.80913372769385</v>
      </c>
      <c r="K40">
        <f ca="1">IF(K$2&gt;MAX([0]!yearsRef),NA(),J40*(1+$B8)^(K$2-J$2))</f>
        <v>1145.1621706091264</v>
      </c>
      <c r="L40">
        <f ca="1">IF(L$2&gt;MAX([0]!yearsRef),NA(),K40*(1+$B8)^(L$2-K$2))</f>
        <v>1383.6081024420375</v>
      </c>
      <c r="M40">
        <f ca="1">IF(M$2&gt;MAX([0]!yearsRef),NA(),L40*(1+$B8)^(M$2-L$2))</f>
        <v>1671.7033013105709</v>
      </c>
      <c r="N40">
        <f ca="1">IF(N$2&gt;MAX([0]!yearsRef),NA(),M40*(1+$B8)^(N$2-M$2))</f>
        <v>2019.7857490717702</v>
      </c>
      <c r="O40">
        <f ca="1">IF(O$2&gt;MAX([0]!yearsRef),NA(),N40*(1+$B8)^(O$2-N$2))</f>
        <v>1.1340274400847776E-14</v>
      </c>
      <c r="P40">
        <f ca="1">IF(P$2&gt;MAX([0]!yearsRef),NA(),O40*(1+$B8)^(P$2-O$2))</f>
        <v>1.1340274400847776E-14</v>
      </c>
      <c r="Q40">
        <f ca="1">IF(Q$2&gt;MAX([0]!yearsRef),NA(),P40*(1+$B8)^(Q$2-P$2))</f>
        <v>1.1340274400847776E-14</v>
      </c>
      <c r="R40">
        <f ca="1">IF(R$2&gt;MAX([0]!yearsRef),NA(),Q40*(1+$B8)^(R$2-Q$2))</f>
        <v>1.1340274400847776E-14</v>
      </c>
      <c r="S40">
        <f ca="1">IF(S$2&gt;MAX([0]!yearsRef),NA(),R40*(1+$B8)^(S$2-R$2))</f>
        <v>1.1340274400847776E-14</v>
      </c>
      <c r="T40">
        <f ca="1">IF(T$2&gt;MAX([0]!yearsRef),NA(),S40*(1+$B8)^(T$2-S$2))</f>
        <v>1.1340274400847776E-14</v>
      </c>
    </row>
    <row r="41" spans="1:20" ht="19" x14ac:dyDescent="0.2">
      <c r="A41" t="s">
        <v>52</v>
      </c>
      <c r="E41">
        <f ca="1">ExpKayaFactorsRef!E5</f>
        <v>506.23181249999999</v>
      </c>
      <c r="F41">
        <f ca="1">IF(F$2&gt;MAX([0]!yearsRef),NA(),E41*(1+$B9)^(F$2-E$2))</f>
        <v>644.36628047469526</v>
      </c>
      <c r="G41">
        <f ca="1">IF(G$2&gt;MAX([0]!yearsRef),NA(),F41*(1+$B9)^(G$2-F$2))</f>
        <v>820.1932260288238</v>
      </c>
      <c r="H41">
        <f ca="1">IF(H$2&gt;MAX([0]!yearsRef),NA(),G41*(1+$B9)^(H$2-G$2))</f>
        <v>1043.99772056351</v>
      </c>
      <c r="I41">
        <f ca="1">IF(I$2&gt;MAX([0]!yearsRef),NA(),H41*(1+$B9)^(I$2-H$2))</f>
        <v>1328.8713024600154</v>
      </c>
      <c r="J41">
        <f ca="1">IF(J$2&gt;MAX([0]!yearsRef),NA(),I41*(1+$B9)^(J$2-I$2))</f>
        <v>1691.4777721436144</v>
      </c>
      <c r="K41">
        <f ca="1">IF(K$2&gt;MAX([0]!yearsRef),NA(),J41*(1+$B9)^(K$2-J$2))</f>
        <v>2153.0279481236771</v>
      </c>
      <c r="L41">
        <f ca="1">IF(L$2&gt;MAX([0]!yearsRef),NA(),K41*(1+$B9)^(L$2-K$2))</f>
        <v>2740.5204027759892</v>
      </c>
      <c r="M41">
        <f ca="1">IF(M$2&gt;MAX([0]!yearsRef),NA(),L41*(1+$B9)^(M$2-L$2))</f>
        <v>3488.3207552306444</v>
      </c>
      <c r="N41">
        <f ca="1">IF(N$2&gt;MAX([0]!yearsRef),NA(),M41*(1+$B9)^(N$2-M$2))</f>
        <v>4440.1719027696436</v>
      </c>
      <c r="O41">
        <f ca="1">IF(O$2&gt;MAX([0]!yearsRef),NA(),N41*(1+$B9)^(O$2-N$2))</f>
        <v>4.394319186788255E-19</v>
      </c>
      <c r="P41">
        <f ca="1">IF(P$2&gt;MAX([0]!yearsRef),NA(),O41*(1+$B9)^(P$2-O$2))</f>
        <v>4.394319186788255E-19</v>
      </c>
      <c r="Q41">
        <f ca="1">IF(Q$2&gt;MAX([0]!yearsRef),NA(),P41*(1+$B9)^(Q$2-P$2))</f>
        <v>4.394319186788255E-19</v>
      </c>
      <c r="R41">
        <f ca="1">IF(R$2&gt;MAX([0]!yearsRef),NA(),Q41*(1+$B9)^(R$2-Q$2))</f>
        <v>4.394319186788255E-19</v>
      </c>
      <c r="S41">
        <f ca="1">IF(S$2&gt;MAX([0]!yearsRef),NA(),R41*(1+$B9)^(S$2-R$2))</f>
        <v>4.394319186788255E-19</v>
      </c>
      <c r="T41">
        <f ca="1">IF(T$2&gt;MAX([0]!yearsRef),NA(),S41*(1+$B9)^(T$2-S$2))</f>
        <v>4.394319186788255E-19</v>
      </c>
    </row>
    <row r="42" spans="1:20" x14ac:dyDescent="0.2">
      <c r="E42">
        <f ca="1">ExpKayaFactorsRef!E5</f>
        <v>506.23181249999999</v>
      </c>
      <c r="F42">
        <f ca="1">IF(F$2&gt;MAX([0]!yearsRef),NA(),E42*(1+$B10)^(F$2-E$2))</f>
        <v>628.90223234988503</v>
      </c>
      <c r="G42">
        <f ca="1">IF(G$2&gt;MAX([0]!yearsRef),NA(),F42*(1+$B10)^(G$2-F$2))</f>
        <v>781.29822758752198</v>
      </c>
      <c r="H42">
        <f ca="1">IF(H$2&gt;MAX([0]!yearsRef),NA(),G42*(1+$B10)^(H$2-G$2))</f>
        <v>970.6229188447162</v>
      </c>
      <c r="I42">
        <f ca="1">IF(I$2&gt;MAX([0]!yearsRef),NA(),H42*(1+$B10)^(I$2-H$2))</f>
        <v>1205.8248915982601</v>
      </c>
      <c r="J42">
        <f ca="1">IF(J$2&gt;MAX([0]!yearsRef),NA(),I42*(1+$B10)^(J$2-I$2))</f>
        <v>1498.0211583388073</v>
      </c>
      <c r="K42">
        <f ca="1">IF(K$2&gt;MAX([0]!yearsRef),NA(),J42*(1+$B10)^(K$2-J$2))</f>
        <v>1861.0226132057562</v>
      </c>
      <c r="L42">
        <f ca="1">IF(L$2&gt;MAX([0]!yearsRef),NA(),K42*(1+$B10)^(L$2-K$2))</f>
        <v>2311.9868151287246</v>
      </c>
      <c r="M42">
        <f ca="1">IF(M$2&gt;MAX([0]!yearsRef),NA(),L42*(1+$B10)^(M$2-L$2))</f>
        <v>2872.2289538015862</v>
      </c>
      <c r="N42">
        <f ca="1">IF(N$2&gt;MAX([0]!yearsRef),NA(),M42*(1+$B10)^(N$2-M$2))</f>
        <v>3568.2293294552528</v>
      </c>
      <c r="O42">
        <f ca="1">IF(O$2&gt;MAX([0]!yearsRef),NA(),N42*(1+$B10)^(O$2-N$2))</f>
        <v>5.7992946185061852E-17</v>
      </c>
      <c r="P42">
        <f ca="1">IF(P$2&gt;MAX([0]!yearsRef),NA(),O42*(1+$B10)^(P$2-O$2))</f>
        <v>5.7992946185061852E-17</v>
      </c>
      <c r="Q42">
        <f ca="1">IF(Q$2&gt;MAX([0]!yearsRef),NA(),P42*(1+$B10)^(Q$2-P$2))</f>
        <v>5.7992946185061852E-17</v>
      </c>
      <c r="R42">
        <f ca="1">IF(R$2&gt;MAX([0]!yearsRef),NA(),Q42*(1+$B10)^(R$2-Q$2))</f>
        <v>5.7992946185061852E-17</v>
      </c>
      <c r="S42">
        <f ca="1">IF(S$2&gt;MAX([0]!yearsRef),NA(),R42*(1+$B10)^(S$2-R$2))</f>
        <v>5.7992946185061852E-17</v>
      </c>
      <c r="T42">
        <f ca="1">IF(T$2&gt;MAX([0]!yearsRef),NA(),S42*(1+$B10)^(T$2-S$2))</f>
        <v>5.7992946185061852E-17</v>
      </c>
    </row>
    <row r="43" spans="1:20" ht="18" x14ac:dyDescent="0.25">
      <c r="A43" t="s">
        <v>53</v>
      </c>
      <c r="E43">
        <f ca="1">ExpKayaFactorsRef!E6</f>
        <v>430.60250780000001</v>
      </c>
      <c r="F43">
        <f ca="1">IF(F$2&gt;MAX([0]!yearsRef),NA(),E43*(1+$B11)^(F$2-E$2))</f>
        <v>545.82222760030572</v>
      </c>
      <c r="G43">
        <f ca="1">IF(G$2&gt;MAX([0]!yearsRef),NA(),F43*(1+$B11)^(G$2-F$2))</f>
        <v>691.87219940886723</v>
      </c>
      <c r="H43">
        <f ca="1">IF(H$2&gt;MAX([0]!yearsRef),NA(),G43*(1+$B11)^(H$2-G$2))</f>
        <v>877.00191767455101</v>
      </c>
      <c r="I43">
        <f ca="1">IF(I$2&gt;MAX([0]!yearsRef),NA(),H43*(1+$B11)^(I$2-H$2))</f>
        <v>1111.6682593432479</v>
      </c>
      <c r="J43">
        <f ca="1">IF(J$2&gt;MAX([0]!yearsRef),NA(),I43*(1+$B11)^(J$2-I$2))</f>
        <v>1409.126130656701</v>
      </c>
      <c r="K43">
        <f ca="1">IF(K$2&gt;MAX([0]!yearsRef),NA(),J43*(1+$B11)^(K$2-J$2))</f>
        <v>1786.1771579883025</v>
      </c>
      <c r="L43">
        <f ca="1">IF(L$2&gt;MAX([0]!yearsRef),NA(),K43*(1+$B11)^(L$2-K$2))</f>
        <v>2264.1187118092262</v>
      </c>
      <c r="M43">
        <f ca="1">IF(M$2&gt;MAX([0]!yearsRef),NA(),L43*(1+$B11)^(M$2-L$2))</f>
        <v>2869.946868505549</v>
      </c>
      <c r="N43">
        <f ca="1">IF(N$2&gt;MAX([0]!yearsRef),NA(),M43*(1+$B11)^(N$2-M$2))</f>
        <v>3637.881258206226</v>
      </c>
      <c r="O43">
        <f ca="1">IF(O$2&gt;MAX([0]!yearsRef),NA(),N43*(1+$B11)^(O$2-N$2))</f>
        <v>8.6331511519867384E-19</v>
      </c>
      <c r="P43">
        <f ca="1">IF(P$2&gt;MAX([0]!yearsRef),NA(),O43*(1+$B11)^(P$2-O$2))</f>
        <v>8.6331511519867384E-19</v>
      </c>
      <c r="Q43">
        <f ca="1">IF(Q$2&gt;MAX([0]!yearsRef),NA(),P43*(1+$B11)^(Q$2-P$2))</f>
        <v>8.6331511519867384E-19</v>
      </c>
      <c r="R43">
        <f ca="1">IF(R$2&gt;MAX([0]!yearsRef),NA(),Q43*(1+$B11)^(R$2-Q$2))</f>
        <v>8.6331511519867384E-19</v>
      </c>
      <c r="S43">
        <f ca="1">IF(S$2&gt;MAX([0]!yearsRef),NA(),R43*(1+$B11)^(S$2-R$2))</f>
        <v>8.6331511519867384E-19</v>
      </c>
      <c r="T43">
        <f ca="1">IF(T$2&gt;MAX([0]!yearsRef),NA(),S43*(1+$B11)^(T$2-S$2))</f>
        <v>8.6331511519867384E-19</v>
      </c>
    </row>
    <row r="44" spans="1:20" x14ac:dyDescent="0.2">
      <c r="E44">
        <f ca="1">ExpKayaFactorsRef!E6</f>
        <v>430.60250780000001</v>
      </c>
      <c r="F44">
        <f ca="1">IF(F$2&gt;MAX([0]!yearsRef),NA(),E44*(1+$B12)^(F$2-E$2))</f>
        <v>534.9971832567993</v>
      </c>
      <c r="G44">
        <f ca="1">IF(G$2&gt;MAX([0]!yearsRef),NA(),F44*(1+$B12)^(G$2-F$2))</f>
        <v>664.70115920841215</v>
      </c>
      <c r="H44">
        <f ca="1">IF(H$2&gt;MAX([0]!yearsRef),NA(),G44*(1+$B12)^(H$2-G$2))</f>
        <v>825.85038740461744</v>
      </c>
      <c r="I44">
        <f ca="1">IF(I$2&gt;MAX([0]!yearsRef),NA(),H44*(1+$B12)^(I$2-H$2))</f>
        <v>1026.0684112369836</v>
      </c>
      <c r="J44">
        <f ca="1">IF(J$2&gt;MAX([0]!yearsRef),NA(),I44*(1+$B12)^(J$2-I$2))</f>
        <v>1274.8270153956717</v>
      </c>
      <c r="K44">
        <f ca="1">IF(K$2&gt;MAX([0]!yearsRef),NA(),J44*(1+$B12)^(K$2-J$2))</f>
        <v>1583.8943109294096</v>
      </c>
      <c r="L44">
        <f ca="1">IF(L$2&gt;MAX([0]!yearsRef),NA(),K44*(1+$B12)^(L$2-K$2))</f>
        <v>1967.8914534266519</v>
      </c>
      <c r="M44">
        <f ca="1">IF(M$2&gt;MAX([0]!yearsRef),NA(),L44*(1+$B12)^(M$2-L$2))</f>
        <v>2444.9843311813329</v>
      </c>
      <c r="N44">
        <f ca="1">IF(N$2&gt;MAX([0]!yearsRef),NA(),M44*(1+$B12)^(N$2-M$2))</f>
        <v>3037.7429452792949</v>
      </c>
      <c r="O44">
        <f ca="1">IF(O$2&gt;MAX([0]!yearsRef),NA(),N44*(1+$B12)^(O$2-N$2))</f>
        <v>4.8396446778793026E-17</v>
      </c>
      <c r="P44">
        <f ca="1">IF(P$2&gt;MAX([0]!yearsRef),NA(),O44*(1+$B12)^(P$2-O$2))</f>
        <v>4.8396446778793026E-17</v>
      </c>
      <c r="Q44">
        <f ca="1">IF(Q$2&gt;MAX([0]!yearsRef),NA(),P44*(1+$B12)^(Q$2-P$2))</f>
        <v>4.8396446778793026E-17</v>
      </c>
      <c r="R44">
        <f ca="1">IF(R$2&gt;MAX([0]!yearsRef),NA(),Q44*(1+$B12)^(R$2-Q$2))</f>
        <v>4.8396446778793026E-17</v>
      </c>
      <c r="S44">
        <f ca="1">IF(S$2&gt;MAX([0]!yearsRef),NA(),R44*(1+$B12)^(S$2-R$2))</f>
        <v>4.8396446778793026E-17</v>
      </c>
      <c r="T44">
        <f ca="1">IF(T$2&gt;MAX([0]!yearsRef),NA(),S44*(1+$B12)^(T$2-S$2))</f>
        <v>4.8396446778793026E-17</v>
      </c>
    </row>
    <row r="45" spans="1:20" x14ac:dyDescent="0.2">
      <c r="A45" t="s">
        <v>43</v>
      </c>
      <c r="E45">
        <f ca="1">ExpKayaFactorsRef!E7</f>
        <v>30.490629196166992</v>
      </c>
      <c r="F45">
        <f ca="1">IF(F$2&gt;MAX([0]!yearsRef),NA(),E45*(1+$B13)^(F$2-E$2))</f>
        <v>39.18785311835471</v>
      </c>
      <c r="G45">
        <f ca="1">IF(G$2&gt;MAX([0]!yearsRef),NA(),F45*(1+$B13)^(G$2-F$2))</f>
        <v>50.365895113072831</v>
      </c>
      <c r="H45">
        <f ca="1">IF(H$2&gt;MAX([0]!yearsRef),NA(),G45*(1+$B13)^(H$2-G$2))</f>
        <v>64.732389980121397</v>
      </c>
      <c r="I45">
        <f ca="1">IF(I$2&gt;MAX([0]!yearsRef),NA(),H45*(1+$B13)^(I$2-H$2))</f>
        <v>83.196820053157424</v>
      </c>
      <c r="J45">
        <f ca="1">IF(J$2&gt;MAX([0]!yearsRef),NA(),I45*(1+$B13)^(J$2-I$2))</f>
        <v>106.92809069899997</v>
      </c>
      <c r="K45">
        <f ca="1">IF(K$2&gt;MAX([0]!yearsRef),NA(),J45*(1+$B13)^(K$2-J$2))</f>
        <v>137.42852879747346</v>
      </c>
      <c r="L45">
        <f ca="1">IF(L$2&gt;MAX([0]!yearsRef),NA(),K45*(1+$B13)^(L$2-K$2))</f>
        <v>176.62898873415148</v>
      </c>
      <c r="M45">
        <f ca="1">IF(M$2&gt;MAX([0]!yearsRef),NA(),L45*(1+$B13)^(M$2-L$2))</f>
        <v>227.01108666618109</v>
      </c>
      <c r="N45">
        <f ca="1">IF(N$2&gt;MAX([0]!yearsRef),NA(),M45*(1+$B13)^(N$2-M$2))</f>
        <v>291.76430119817695</v>
      </c>
      <c r="O45">
        <f ca="1">IF(O$2&gt;MAX([0]!yearsRef),NA(),N45*(1+$B13)^(O$2-N$2))</f>
        <v>3.7858575820949643E-21</v>
      </c>
      <c r="P45">
        <f ca="1">IF(P$2&gt;MAX([0]!yearsRef),NA(),O45*(1+$B13)^(P$2-O$2))</f>
        <v>3.7858575820949643E-21</v>
      </c>
      <c r="Q45">
        <f ca="1">IF(Q$2&gt;MAX([0]!yearsRef),NA(),P45*(1+$B13)^(Q$2-P$2))</f>
        <v>3.7858575820949643E-21</v>
      </c>
      <c r="R45">
        <f ca="1">IF(R$2&gt;MAX([0]!yearsRef),NA(),Q45*(1+$B13)^(R$2-Q$2))</f>
        <v>3.7858575820949643E-21</v>
      </c>
      <c r="S45">
        <f ca="1">IF(S$2&gt;MAX([0]!yearsRef),NA(),R45*(1+$B13)^(S$2-R$2))</f>
        <v>3.7858575820949643E-21</v>
      </c>
      <c r="T45">
        <f ca="1">IF(T$2&gt;MAX([0]!yearsRef),NA(),S45*(1+$B13)^(T$2-S$2))</f>
        <v>3.7858575820949643E-21</v>
      </c>
    </row>
    <row r="46" spans="1:20" x14ac:dyDescent="0.2">
      <c r="E46">
        <f ca="1">ExpKayaFactorsRef!E7</f>
        <v>30.490629196166992</v>
      </c>
      <c r="F46">
        <f ca="1">IF(F$2&gt;MAX([0]!yearsRef),NA(),E46*(1+$B14)^(F$2-E$2))</f>
        <v>37.868787215237425</v>
      </c>
      <c r="G46">
        <f ca="1">IF(G$2&gt;MAX([0]!yearsRef),NA(),F46*(1+$B14)^(G$2-F$2))</f>
        <v>47.032320518108712</v>
      </c>
      <c r="H46">
        <f ca="1">IF(H$2&gt;MAX([0]!yearsRef),NA(),G46*(1+$B14)^(H$2-G$2))</f>
        <v>58.41325629852868</v>
      </c>
      <c r="I46">
        <f ca="1">IF(I$2&gt;MAX([0]!yearsRef),NA(),H46*(1+$B14)^(I$2-H$2))</f>
        <v>72.54816419453185</v>
      </c>
      <c r="J46">
        <f ca="1">IF(J$2&gt;MAX([0]!yearsRef),NA(),I46*(1+$B14)^(J$2-I$2))</f>
        <v>90.10345359105284</v>
      </c>
      <c r="K46">
        <f ca="1">IF(K$2&gt;MAX([0]!yearsRef),NA(),J46*(1+$B14)^(K$2-J$2))</f>
        <v>111.90679239333441</v>
      </c>
      <c r="L46">
        <f ca="1">IF(L$2&gt;MAX([0]!yearsRef),NA(),K46*(1+$B14)^(L$2-K$2))</f>
        <v>138.98612855177373</v>
      </c>
      <c r="M46">
        <f ca="1">IF(M$2&gt;MAX([0]!yearsRef),NA(),L46*(1+$B14)^(M$2-L$2))</f>
        <v>172.61815406086802</v>
      </c>
      <c r="N46">
        <f ca="1">IF(N$2&gt;MAX([0]!yearsRef),NA(),M46*(1+$B14)^(N$2-M$2))</f>
        <v>214.38849633315655</v>
      </c>
      <c r="O46">
        <f ca="1">IF(O$2&gt;MAX([0]!yearsRef),NA(),N46*(1+$B14)^(O$2-N$2))</f>
        <v>3.6901951682529346E-18</v>
      </c>
      <c r="P46">
        <f ca="1">IF(P$2&gt;MAX([0]!yearsRef),NA(),O46*(1+$B14)^(P$2-O$2))</f>
        <v>3.6901951682529346E-18</v>
      </c>
      <c r="Q46">
        <f ca="1">IF(Q$2&gt;MAX([0]!yearsRef),NA(),P46*(1+$B14)^(Q$2-P$2))</f>
        <v>3.6901951682529346E-18</v>
      </c>
      <c r="R46">
        <f ca="1">IF(R$2&gt;MAX([0]!yearsRef),NA(),Q46*(1+$B14)^(R$2-Q$2))</f>
        <v>3.6901951682529346E-18</v>
      </c>
      <c r="S46">
        <f ca="1">IF(S$2&gt;MAX([0]!yearsRef),NA(),R46*(1+$B14)^(S$2-R$2))</f>
        <v>3.6901951682529346E-18</v>
      </c>
      <c r="T46">
        <f ca="1">IF(T$2&gt;MAX([0]!yearsRef),NA(),S46*(1+$B14)^(T$2-S$2))</f>
        <v>3.6901951682529346E-18</v>
      </c>
    </row>
    <row r="47" spans="1:20" x14ac:dyDescent="0.2">
      <c r="A47" s="21" t="s">
        <v>70</v>
      </c>
    </row>
    <row r="48" spans="1:20" x14ac:dyDescent="0.2">
      <c r="A48" t="s">
        <v>49</v>
      </c>
      <c r="E48">
        <f ca="1">ExpKayaRatiosRef!E2</f>
        <v>6.9217978520000001</v>
      </c>
      <c r="F48">
        <f ca="1">IF(F$2&gt;MAX([0]!yearsRef),NA(),E48*(1+$B16)^(F$2-E$2))</f>
        <v>7.9025930608181971</v>
      </c>
      <c r="G48">
        <f ca="1">IF(G$2&gt;MAX([0]!yearsRef),NA(),F48*(1+$B16)^(G$2-F$2))</f>
        <v>9.0223636142230301</v>
      </c>
      <c r="H48">
        <f ca="1">IF(H$2&gt;MAX([0]!yearsRef),NA(),G48*(1+$B16)^(H$2-G$2))</f>
        <v>10.300801845771312</v>
      </c>
      <c r="I48">
        <f ca="1">IF(I$2&gt;MAX([0]!yearsRef),NA(),H48*(1+$B16)^(I$2-H$2))</f>
        <v>11.760390425694803</v>
      </c>
      <c r="J48">
        <f ca="1">IF(J$2&gt;MAX([0]!yearsRef),NA(),I48*(1+$B16)^(J$2-I$2))</f>
        <v>13.426797742114777</v>
      </c>
      <c r="K48">
        <f ca="1">IF(K$2&gt;MAX([0]!yearsRef),NA(),J48*(1+$B16)^(K$2-J$2))</f>
        <v>15.32932930642969</v>
      </c>
      <c r="L48">
        <f ca="1">IF(L$2&gt;MAX([0]!yearsRef),NA(),K48*(1+$B16)^(L$2-K$2))</f>
        <v>17.501443121310658</v>
      </c>
      <c r="M48">
        <f ca="1">IF(M$2&gt;MAX([0]!yearsRef),NA(),L48*(1+$B16)^(M$2-L$2))</f>
        <v>19.981338074588713</v>
      </c>
      <c r="N48">
        <f ca="1">IF(N$2&gt;MAX([0]!yearsRef),NA(),M48*(1+$B16)^(N$2-M$2))</f>
        <v>22.81262570655425</v>
      </c>
      <c r="O48">
        <f ca="1">IF(O$2&gt;MAX([0]!yearsRef),NA(),N48*(1+$B16)^(O$2-N$2))</f>
        <v>1.8729526619159995E-11</v>
      </c>
      <c r="P48">
        <f ca="1">IF(P$2&gt;MAX([0]!yearsRef),NA(),O48*(1+$B16)^(P$2-O$2))</f>
        <v>1.8729526619159995E-11</v>
      </c>
      <c r="Q48">
        <f ca="1">IF(Q$2&gt;MAX([0]!yearsRef),NA(),P48*(1+$B16)^(Q$2-P$2))</f>
        <v>1.8729526619159995E-11</v>
      </c>
      <c r="R48">
        <f ca="1">IF(R$2&gt;MAX([0]!yearsRef),NA(),Q48*(1+$B16)^(R$2-Q$2))</f>
        <v>1.8729526619159995E-11</v>
      </c>
      <c r="S48">
        <f ca="1">IF(S$2&gt;MAX([0]!yearsRef),NA(),R48*(1+$B16)^(S$2-R$2))</f>
        <v>1.8729526619159995E-11</v>
      </c>
      <c r="T48">
        <f ca="1">IF(T$2&gt;MAX([0]!yearsRef),NA(),S48*(1+$B16)^(T$2-S$2))</f>
        <v>1.8729526619159995E-11</v>
      </c>
    </row>
    <row r="49" spans="1:20" x14ac:dyDescent="0.2">
      <c r="E49">
        <f ca="1">ExpKayaRatiosRef!E2</f>
        <v>6.9217978520000001</v>
      </c>
      <c r="F49">
        <f ca="1">IF(F$2&gt;MAX([0]!yearsRef),NA(),E49*(1+$B17)^(F$2-E$2))</f>
        <v>7.839139256025204</v>
      </c>
      <c r="G49">
        <f ca="1">IF(G$2&gt;MAX([0]!yearsRef),NA(),F49*(1+$B17)^(G$2-F$2))</f>
        <v>8.8780553245424922</v>
      </c>
      <c r="H49">
        <f ca="1">IF(H$2&gt;MAX([0]!yearsRef),NA(),G49*(1+$B17)^(H$2-G$2))</f>
        <v>10.054658269408332</v>
      </c>
      <c r="I49">
        <f ca="1">IF(I$2&gt;MAX([0]!yearsRef),NA(),H49*(1+$B17)^(I$2-H$2))</f>
        <v>11.387195643522427</v>
      </c>
      <c r="J49">
        <f ca="1">IF(J$2&gt;MAX([0]!yearsRef),NA(),I49*(1+$B17)^(J$2-I$2))</f>
        <v>12.896333336198655</v>
      </c>
      <c r="K49">
        <f ca="1">IF(K$2&gt;MAX([0]!yearsRef),NA(),J49*(1+$B17)^(K$2-J$2))</f>
        <v>14.60547607372995</v>
      </c>
      <c r="L49">
        <f ca="1">IF(L$2&gt;MAX([0]!yearsRef),NA(),K49*(1+$B17)^(L$2-K$2))</f>
        <v>16.541130395686295</v>
      </c>
      <c r="M49">
        <f ca="1">IF(M$2&gt;MAX([0]!yearsRef),NA(),L49*(1+$B17)^(M$2-L$2))</f>
        <v>18.733315736227333</v>
      </c>
      <c r="N49">
        <f ca="1">IF(N$2&gt;MAX([0]!yearsRef),NA(),M49*(1+$B17)^(N$2-M$2))</f>
        <v>21.21602998575613</v>
      </c>
      <c r="O49">
        <f ca="1">IF(O$2&gt;MAX([0]!yearsRef),NA(),N49*(1+$B17)^(O$2-N$2))</f>
        <v>9.4683851567081045E-11</v>
      </c>
      <c r="P49">
        <f ca="1">IF(P$2&gt;MAX([0]!yearsRef),NA(),O49*(1+$B17)^(P$2-O$2))</f>
        <v>9.4683851567081045E-11</v>
      </c>
      <c r="Q49">
        <f ca="1">IF(Q$2&gt;MAX([0]!yearsRef),NA(),P49*(1+$B17)^(Q$2-P$2))</f>
        <v>9.4683851567081045E-11</v>
      </c>
      <c r="R49">
        <f ca="1">IF(R$2&gt;MAX([0]!yearsRef),NA(),Q49*(1+$B17)^(R$2-Q$2))</f>
        <v>9.4683851567081045E-11</v>
      </c>
      <c r="S49">
        <f ca="1">IF(S$2&gt;MAX([0]!yearsRef),NA(),R49*(1+$B17)^(S$2-R$2))</f>
        <v>9.4683851567081045E-11</v>
      </c>
      <c r="T49">
        <f ca="1">IF(T$2&gt;MAX([0]!yearsRef),NA(),S49*(1+$B17)^(T$2-S$2))</f>
        <v>9.4683851567081045E-11</v>
      </c>
    </row>
    <row r="50" spans="1:20" x14ac:dyDescent="0.2">
      <c r="A50" t="s">
        <v>59</v>
      </c>
      <c r="E50">
        <f ca="1">ExpKayaRatiosRef!E3</f>
        <v>10879.842592952973</v>
      </c>
      <c r="F50">
        <f ca="1">IF(F$2&gt;MAX([0]!yearsRef),NA(),E50*(1+$B18)^(F$2-E$2))</f>
        <v>12886.150650073936</v>
      </c>
      <c r="G50">
        <f ca="1">IF(G$2&gt;MAX([0]!yearsRef),NA(),F50*(1+$B18)^(G$2-F$2))</f>
        <v>15262.433914618923</v>
      </c>
      <c r="H50">
        <f ca="1">IF(H$2&gt;MAX([0]!yearsRef),NA(),G50*(1+$B18)^(H$2-G$2))</f>
        <v>18076.918028020522</v>
      </c>
      <c r="I50">
        <f ca="1">IF(I$2&gt;MAX([0]!yearsRef),NA(),H50*(1+$B18)^(I$2-H$2))</f>
        <v>21410.409848115785</v>
      </c>
      <c r="J50">
        <f ca="1">IF(J$2&gt;MAX([0]!yearsRef),NA(),I50*(1+$B18)^(J$2-I$2))</f>
        <v>25358.617500711774</v>
      </c>
      <c r="K50">
        <f ca="1">IF(K$2&gt;MAX([0]!yearsRef),NA(),J50*(1+$B18)^(K$2-J$2))</f>
        <v>30034.898262538289</v>
      </c>
      <c r="L50">
        <f ca="1">IF(L$2&gt;MAX([0]!yearsRef),NA(),K50*(1+$B18)^(L$2-K$2))</f>
        <v>35573.513170254853</v>
      </c>
      <c r="M50">
        <f ca="1">IF(M$2&gt;MAX([0]!yearsRef),NA(),L50*(1+$B18)^(M$2-L$2))</f>
        <v>42133.481798827597</v>
      </c>
      <c r="N50">
        <f ca="1">IF(N$2&gt;MAX([0]!yearsRef),NA(),M50*(1+$B18)^(N$2-M$2))</f>
        <v>49903.147884098013</v>
      </c>
      <c r="O50">
        <f ca="1">IF(O$2&gt;MAX([0]!yearsRef),NA(),N50*(1+$B18)^(O$2-N$2))</f>
        <v>1.8323295460312424E-11</v>
      </c>
      <c r="P50">
        <f ca="1">IF(P$2&gt;MAX([0]!yearsRef),NA(),O50*(1+$B18)^(P$2-O$2))</f>
        <v>1.8323295460312424E-11</v>
      </c>
      <c r="Q50">
        <f ca="1">IF(Q$2&gt;MAX([0]!yearsRef),NA(),P50*(1+$B18)^(Q$2-P$2))</f>
        <v>1.8323295460312424E-11</v>
      </c>
      <c r="R50">
        <f ca="1">IF(R$2&gt;MAX([0]!yearsRef),NA(),Q50*(1+$B18)^(R$2-Q$2))</f>
        <v>1.8323295460312424E-11</v>
      </c>
      <c r="S50">
        <f ca="1">IF(S$2&gt;MAX([0]!yearsRef),NA(),R50*(1+$B18)^(S$2-R$2))</f>
        <v>1.8323295460312424E-11</v>
      </c>
      <c r="T50">
        <f ca="1">IF(T$2&gt;MAX([0]!yearsRef),NA(),S50*(1+$B18)^(T$2-S$2))</f>
        <v>1.8323295460312424E-11</v>
      </c>
    </row>
    <row r="51" spans="1:20" x14ac:dyDescent="0.2">
      <c r="E51">
        <f ca="1">ExpKayaRatiosRef!E3</f>
        <v>10879.842592952973</v>
      </c>
      <c r="F51">
        <f ca="1">IF(F$2&gt;MAX([0]!yearsRef),NA(),E51*(1+$B19)^(F$2-E$2))</f>
        <v>14004.09161220315</v>
      </c>
      <c r="G51">
        <f ca="1">IF(G$2&gt;MAX([0]!yearsRef),NA(),F51*(1+$B19)^(G$2-F$2))</f>
        <v>18025.49809038642</v>
      </c>
      <c r="H51">
        <f ca="1">IF(H$2&gt;MAX([0]!yearsRef),NA(),G51*(1+$B19)^(H$2-G$2))</f>
        <v>23201.689220841054</v>
      </c>
      <c r="I51">
        <f ca="1">IF(I$2&gt;MAX([0]!yearsRef),NA(),H51*(1+$B19)^(I$2-H$2))</f>
        <v>29864.272265940574</v>
      </c>
      <c r="J51">
        <f ca="1">IF(J$2&gt;MAX([0]!yearsRef),NA(),I51*(1+$B19)^(J$2-I$2))</f>
        <v>38440.078628977397</v>
      </c>
      <c r="K51">
        <f ca="1">IF(K$2&gt;MAX([0]!yearsRef),NA(),J51*(1+$B19)^(K$2-J$2))</f>
        <v>49478.508360880915</v>
      </c>
      <c r="L51">
        <f ca="1">IF(L$2&gt;MAX([0]!yearsRef),NA(),K51*(1+$B19)^(L$2-K$2))</f>
        <v>63686.726898947782</v>
      </c>
      <c r="M51">
        <f ca="1">IF(M$2&gt;MAX([0]!yearsRef),NA(),L51*(1+$B19)^(M$2-L$2))</f>
        <v>81974.968879780223</v>
      </c>
      <c r="N51">
        <f ca="1">IF(N$2&gt;MAX([0]!yearsRef),NA(),M51*(1+$B19)^(N$2-M$2))</f>
        <v>105514.85136774961</v>
      </c>
      <c r="O51">
        <f ca="1">IF(O$2&gt;MAX([0]!yearsRef),NA(),N51*(1+$B19)^(O$2-N$2))</f>
        <v>1.0012074504447998E-18</v>
      </c>
      <c r="P51">
        <f ca="1">IF(P$2&gt;MAX([0]!yearsRef),NA(),O51*(1+$B19)^(P$2-O$2))</f>
        <v>1.0012074504447998E-18</v>
      </c>
      <c r="Q51">
        <f ca="1">IF(Q$2&gt;MAX([0]!yearsRef),NA(),P51*(1+$B19)^(Q$2-P$2))</f>
        <v>1.0012074504447998E-18</v>
      </c>
      <c r="R51">
        <f ca="1">IF(R$2&gt;MAX([0]!yearsRef),NA(),Q51*(1+$B19)^(R$2-Q$2))</f>
        <v>1.0012074504447998E-18</v>
      </c>
      <c r="S51">
        <f ca="1">IF(S$2&gt;MAX([0]!yearsRef),NA(),R51*(1+$B19)^(S$2-R$2))</f>
        <v>1.0012074504447998E-18</v>
      </c>
      <c r="T51">
        <f ca="1">IF(T$2&gt;MAX([0]!yearsRef),NA(),S51*(1+$B19)^(T$2-S$2))</f>
        <v>1.0012074504447998E-18</v>
      </c>
    </row>
    <row r="52" spans="1:20" x14ac:dyDescent="0.2">
      <c r="A52" t="s">
        <v>60</v>
      </c>
      <c r="E52">
        <f ca="1">ExpKayaRatiosRef!E4</f>
        <v>4.8881986641254178</v>
      </c>
      <c r="F52">
        <f ca="1">IF(F$2&gt;MAX([0]!yearsRef),NA(),E52*(1+$B20)^(F$2-E$2))</f>
        <v>4.5058444116278009</v>
      </c>
      <c r="G52">
        <f ca="1">IF(G$2&gt;MAX([0]!yearsRef),NA(),F52*(1+$B20)^(G$2-F$2))</f>
        <v>4.1533978581514903</v>
      </c>
      <c r="H52">
        <f ca="1">IF(H$2&gt;MAX([0]!yearsRef),NA(),G52*(1+$B20)^(H$2-G$2))</f>
        <v>3.828519627437672</v>
      </c>
      <c r="I52">
        <f ca="1">IF(I$2&gt;MAX([0]!yearsRef),NA(),H52*(1+$B20)^(I$2-H$2))</f>
        <v>3.5290533289288546</v>
      </c>
      <c r="J52">
        <f ca="1">IF(J$2&gt;MAX([0]!yearsRef),NA(),I52*(1+$B20)^(J$2-I$2))</f>
        <v>3.2530112446515291</v>
      </c>
      <c r="K52">
        <f ca="1">IF(K$2&gt;MAX([0]!yearsRef),NA(),J52*(1+$B20)^(K$2-J$2))</f>
        <v>2.9985611356689774</v>
      </c>
      <c r="L52">
        <f ca="1">IF(L$2&gt;MAX([0]!yearsRef),NA(),K52*(1+$B20)^(L$2-K$2))</f>
        <v>2.7640140805315925</v>
      </c>
      <c r="M52">
        <f ca="1">IF(M$2&gt;MAX([0]!yearsRef),NA(),L52*(1+$B20)^(M$2-L$2))</f>
        <v>2.5478132650020071</v>
      </c>
      <c r="N52">
        <f ca="1">IF(N$2&gt;MAX([0]!yearsRef),NA(),M52*(1+$B20)^(N$2-M$2))</f>
        <v>2.3485236486464394</v>
      </c>
      <c r="O52">
        <f ca="1">IF(O$2&gt;MAX([0]!yearsRef),NA(),N52*(1+$B20)^(O$2-N$2))</f>
        <v>62958278.559159383</v>
      </c>
      <c r="P52">
        <f ca="1">IF(P$2&gt;MAX([0]!yearsRef),NA(),O52*(1+$B20)^(P$2-O$2))</f>
        <v>62958278.559159383</v>
      </c>
      <c r="Q52">
        <f ca="1">IF(Q$2&gt;MAX([0]!yearsRef),NA(),P52*(1+$B20)^(Q$2-P$2))</f>
        <v>62958278.559159383</v>
      </c>
      <c r="R52">
        <f ca="1">IF(R$2&gt;MAX([0]!yearsRef),NA(),Q52*(1+$B20)^(R$2-Q$2))</f>
        <v>62958278.559159383</v>
      </c>
      <c r="S52">
        <f ca="1">IF(S$2&gt;MAX([0]!yearsRef),NA(),R52*(1+$B20)^(S$2-R$2))</f>
        <v>62958278.559159383</v>
      </c>
      <c r="T52">
        <f ca="1">IF(T$2&gt;MAX([0]!yearsRef),NA(),S52*(1+$B20)^(T$2-S$2))</f>
        <v>62958278.559159383</v>
      </c>
    </row>
    <row r="53" spans="1:20" x14ac:dyDescent="0.2">
      <c r="E53">
        <f ca="1">ExpKayaRatiosRef!E4</f>
        <v>4.8881986641254178</v>
      </c>
      <c r="F53">
        <f ca="1">IF(F$2&gt;MAX([0]!yearsRef),NA(),E53*(1+$B21)^(F$2-E$2))</f>
        <v>4.0656199098705184</v>
      </c>
      <c r="G53">
        <f ca="1">IF(G$2&gt;MAX([0]!yearsRef),NA(),F53*(1+$B21)^(G$2-F$2))</f>
        <v>3.3814634770972285</v>
      </c>
      <c r="H53">
        <f ca="1">IF(H$2&gt;MAX([0]!yearsRef),NA(),G53*(1+$B21)^(H$2-G$2))</f>
        <v>2.8124358647453196</v>
      </c>
      <c r="I53">
        <f ca="1">IF(I$2&gt;MAX([0]!yearsRef),NA(),H53*(1+$B21)^(I$2-H$2))</f>
        <v>2.3391633672458916</v>
      </c>
      <c r="J53">
        <f ca="1">IF(J$2&gt;MAX([0]!yearsRef),NA(),I53*(1+$B21)^(J$2-I$2))</f>
        <v>1.9455324572034736</v>
      </c>
      <c r="K53">
        <f ca="1">IF(K$2&gt;MAX([0]!yearsRef),NA(),J53*(1+$B21)^(K$2-J$2))</f>
        <v>1.6181411674930262</v>
      </c>
      <c r="L53">
        <f ca="1">IF(L$2&gt;MAX([0]!yearsRef),NA(),K53*(1+$B21)^(L$2-K$2))</f>
        <v>1.345842793956457</v>
      </c>
      <c r="M53">
        <f ca="1">IF(M$2&gt;MAX([0]!yearsRef),NA(),L53*(1+$B21)^(M$2-L$2))</f>
        <v>1.1193663831263527</v>
      </c>
      <c r="N53">
        <f ca="1">IF(N$2&gt;MAX([0]!yearsRef),NA(),M53*(1+$B21)^(N$2-M$2))</f>
        <v>0.93100108370748624</v>
      </c>
      <c r="O53">
        <f ca="1">IF(O$2&gt;MAX([0]!yearsRef),NA(),N53*(1+$B21)^(O$2-N$2))</f>
        <v>5.9372539000419936E+16</v>
      </c>
      <c r="P53">
        <f ca="1">IF(P$2&gt;MAX([0]!yearsRef),NA(),O53*(1+$B21)^(P$2-O$2))</f>
        <v>5.9372539000419936E+16</v>
      </c>
      <c r="Q53">
        <f ca="1">IF(Q$2&gt;MAX([0]!yearsRef),NA(),P53*(1+$B21)^(Q$2-P$2))</f>
        <v>5.9372539000419936E+16</v>
      </c>
      <c r="R53">
        <f ca="1">IF(R$2&gt;MAX([0]!yearsRef),NA(),Q53*(1+$B21)^(R$2-Q$2))</f>
        <v>5.9372539000419936E+16</v>
      </c>
      <c r="S53">
        <f ca="1">IF(S$2&gt;MAX([0]!yearsRef),NA(),R53*(1+$B21)^(S$2-R$2))</f>
        <v>5.9372539000419936E+16</v>
      </c>
      <c r="T53">
        <f ca="1">IF(T$2&gt;MAX([0]!yearsRef),NA(),S53*(1+$B21)^(T$2-S$2))</f>
        <v>5.9372539000419936E+16</v>
      </c>
    </row>
    <row r="54" spans="1:20" ht="19" x14ac:dyDescent="0.2">
      <c r="A54" t="s">
        <v>62</v>
      </c>
      <c r="E54">
        <f ca="1">ExpKayaRatiosRef!E5</f>
        <v>1.375178461283006</v>
      </c>
      <c r="F54">
        <f ca="1">IF(F$2&gt;MAX([0]!yearsRef),NA(),E54*(1+$B22)^(F$2-E$2))</f>
        <v>1.4031462068204634</v>
      </c>
      <c r="G54">
        <f ca="1">IF(G$2&gt;MAX([0]!yearsRef),NA(),F54*(1+$B22)^(G$2-F$2))</f>
        <v>1.4316827474724967</v>
      </c>
      <c r="H54">
        <f ca="1">IF(H$2&gt;MAX([0]!yearsRef),NA(),G54*(1+$B22)^(H$2-G$2))</f>
        <v>1.4607996511319108</v>
      </c>
      <c r="I54">
        <f ca="1">IF(I$2&gt;MAX([0]!yearsRef),NA(),H54*(1+$B22)^(I$2-H$2))</f>
        <v>1.4905087209539809</v>
      </c>
      <c r="J54">
        <f ca="1">IF(J$2&gt;MAX([0]!yearsRef),NA(),I54*(1+$B22)^(J$2-I$2))</f>
        <v>1.5208220001411126</v>
      </c>
      <c r="K54">
        <f ca="1">IF(K$2&gt;MAX([0]!yearsRef),NA(),J54*(1+$B22)^(K$2-J$2))</f>
        <v>1.5517517768248097</v>
      </c>
      <c r="L54">
        <f ca="1">IF(L$2&gt;MAX([0]!yearsRef),NA(),K54*(1+$B22)^(L$2-K$2))</f>
        <v>1.5833105890469292</v>
      </c>
      <c r="M54">
        <f ca="1">IF(M$2&gt;MAX([0]!yearsRef),NA(),L54*(1+$B22)^(M$2-L$2))</f>
        <v>1.6155112298422429</v>
      </c>
      <c r="N54">
        <f ca="1">IF(N$2&gt;MAX([0]!yearsRef),NA(),M54*(1+$B22)^(N$2-M$2))</f>
        <v>1.6483667524243657</v>
      </c>
      <c r="O54">
        <f ca="1">IF(O$2&gt;MAX([0]!yearsRef),NA(),N54*(1+$B22)^(O$2-N$2))</f>
        <v>2.4034893670438429E-2</v>
      </c>
      <c r="P54">
        <f ca="1">IF(P$2&gt;MAX([0]!yearsRef),NA(),O54*(1+$B22)^(P$2-O$2))</f>
        <v>2.4034893670438429E-2</v>
      </c>
      <c r="Q54">
        <f ca="1">IF(Q$2&gt;MAX([0]!yearsRef),NA(),P54*(1+$B22)^(Q$2-P$2))</f>
        <v>2.4034893670438429E-2</v>
      </c>
      <c r="R54">
        <f ca="1">IF(R$2&gt;MAX([0]!yearsRef),NA(),Q54*(1+$B22)^(R$2-Q$2))</f>
        <v>2.4034893670438429E-2</v>
      </c>
      <c r="S54">
        <f ca="1">IF(S$2&gt;MAX([0]!yearsRef),NA(),R54*(1+$B22)^(S$2-R$2))</f>
        <v>2.4034893670438429E-2</v>
      </c>
      <c r="T54">
        <f ca="1">IF(T$2&gt;MAX([0]!yearsRef),NA(),S54*(1+$B22)^(T$2-S$2))</f>
        <v>2.4034893670438429E-2</v>
      </c>
    </row>
    <row r="55" spans="1:20" x14ac:dyDescent="0.2">
      <c r="E55">
        <f ca="1">ExpKayaRatiosRef!E5</f>
        <v>1.375178461283006</v>
      </c>
      <c r="F55">
        <f ca="1">IF(F$2&gt;MAX([0]!yearsRef),NA(),E55*(1+$B23)^(F$2-E$2))</f>
        <v>1.409071526906795</v>
      </c>
      <c r="G55">
        <f ca="1">IF(G$2&gt;MAX([0]!yearsRef),NA(),F55*(1+$B23)^(G$2-F$2))</f>
        <v>1.4437999313100371</v>
      </c>
      <c r="H55">
        <f ca="1">IF(H$2&gt;MAX([0]!yearsRef),NA(),G55*(1+$B23)^(H$2-G$2))</f>
        <v>1.4793842625057556</v>
      </c>
      <c r="I55">
        <f ca="1">IF(I$2&gt;MAX([0]!yearsRef),NA(),H55*(1+$B23)^(I$2-H$2))</f>
        <v>1.5158456159253897</v>
      </c>
      <c r="J55">
        <f ca="1">IF(J$2&gt;MAX([0]!yearsRef),NA(),I55*(1+$B23)^(J$2-I$2))</f>
        <v>1.5532056069247826</v>
      </c>
      <c r="K55">
        <f ca="1">IF(K$2&gt;MAX([0]!yearsRef),NA(),J55*(1+$B23)^(K$2-J$2))</f>
        <v>1.5914863835983963</v>
      </c>
      <c r="L55">
        <f ca="1">IF(L$2&gt;MAX([0]!yearsRef),NA(),K55*(1+$B23)^(L$2-K$2))</f>
        <v>1.6307106399093496</v>
      </c>
      <c r="M55">
        <f ca="1">IF(M$2&gt;MAX([0]!yearsRef),NA(),L55*(1+$B23)^(M$2-L$2))</f>
        <v>1.6709016291430621</v>
      </c>
      <c r="N55">
        <f ca="1">IF(N$2&gt;MAX([0]!yearsRef),NA(),M55*(1+$B23)^(N$2-M$2))</f>
        <v>1.7120831776924812</v>
      </c>
      <c r="O55">
        <f ca="1">IF(O$2&gt;MAX([0]!yearsRef),NA(),N55*(1+$B23)^(O$2-N$2))</f>
        <v>1.030361357088355E-2</v>
      </c>
      <c r="P55">
        <f ca="1">IF(P$2&gt;MAX([0]!yearsRef),NA(),O55*(1+$B23)^(P$2-O$2))</f>
        <v>1.030361357088355E-2</v>
      </c>
      <c r="Q55">
        <f ca="1">IF(Q$2&gt;MAX([0]!yearsRef),NA(),P55*(1+$B23)^(Q$2-P$2))</f>
        <v>1.030361357088355E-2</v>
      </c>
      <c r="R55">
        <f ca="1">IF(R$2&gt;MAX([0]!yearsRef),NA(),Q55*(1+$B23)^(R$2-Q$2))</f>
        <v>1.030361357088355E-2</v>
      </c>
      <c r="S55">
        <f ca="1">IF(S$2&gt;MAX([0]!yearsRef),NA(),R55*(1+$B23)^(S$2-R$2))</f>
        <v>1.030361357088355E-2</v>
      </c>
      <c r="T55">
        <f ca="1">IF(T$2&gt;MAX([0]!yearsRef),NA(),S55*(1+$B23)^(T$2-S$2))</f>
        <v>1.030361357088355E-2</v>
      </c>
    </row>
    <row r="56" spans="1:20" ht="19" x14ac:dyDescent="0.2">
      <c r="A56" t="s">
        <v>66</v>
      </c>
      <c r="E56">
        <f ca="1">ExpKayaRatiosRef!E6</f>
        <v>0.85060341362881065</v>
      </c>
      <c r="F56">
        <f ca="1">IF(F$2&gt;MAX([0]!yearsRef),NA(),E56*(1+$B24)^(F$2-E$2))</f>
        <v>0.84706826558057302</v>
      </c>
      <c r="G56">
        <f ca="1">IF(G$2&gt;MAX([0]!yearsRef),NA(),F56*(1+$B24)^(G$2-F$2))</f>
        <v>0.84354780977495125</v>
      </c>
      <c r="H56">
        <f ca="1">IF(H$2&gt;MAX([0]!yearsRef),NA(),G56*(1+$B24)^(H$2-G$2))</f>
        <v>0.84004198515028972</v>
      </c>
      <c r="I56">
        <f ca="1">IF(I$2&gt;MAX([0]!yearsRef),NA(),H56*(1+$B24)^(I$2-H$2))</f>
        <v>0.83655073089870768</v>
      </c>
      <c r="J56">
        <f ca="1">IF(J$2&gt;MAX([0]!yearsRef),NA(),I56*(1+$B24)^(J$2-I$2))</f>
        <v>0.83307398646504505</v>
      </c>
      <c r="K56">
        <f ca="1">IF(K$2&gt;MAX([0]!yearsRef),NA(),J56*(1+$B24)^(K$2-J$2))</f>
        <v>0.82961169154581182</v>
      </c>
      <c r="L56">
        <f ca="1">IF(L$2&gt;MAX([0]!yearsRef),NA(),K56*(1+$B24)^(L$2-K$2))</f>
        <v>0.826163786088142</v>
      </c>
      <c r="M56">
        <f ca="1">IF(M$2&gt;MAX([0]!yearsRef),NA(),L56*(1+$B24)^(M$2-L$2))</f>
        <v>0.82273021028875226</v>
      </c>
      <c r="N56">
        <f ca="1">IF(N$2&gt;MAX([0]!yearsRef),NA(),M56*(1+$B24)^(N$2-M$2))</f>
        <v>0.81931090459290457</v>
      </c>
      <c r="O56">
        <f ca="1">IF(O$2&gt;MAX([0]!yearsRef),NA(),N56*(1+$B24)^(O$2-N$2))</f>
        <v>1.9646163114287731</v>
      </c>
      <c r="P56">
        <f ca="1">IF(P$2&gt;MAX([0]!yearsRef),NA(),O56*(1+$B24)^(P$2-O$2))</f>
        <v>1.9646163114287731</v>
      </c>
      <c r="Q56">
        <f ca="1">IF(Q$2&gt;MAX([0]!yearsRef),NA(),P56*(1+$B24)^(Q$2-P$2))</f>
        <v>1.9646163114287731</v>
      </c>
      <c r="R56">
        <f ca="1">IF(R$2&gt;MAX([0]!yearsRef),NA(),Q56*(1+$B24)^(R$2-Q$2))</f>
        <v>1.9646163114287731</v>
      </c>
      <c r="S56">
        <f ca="1">IF(S$2&gt;MAX([0]!yearsRef),NA(),R56*(1+$B24)^(S$2-R$2))</f>
        <v>1.9646163114287731</v>
      </c>
      <c r="T56">
        <f ca="1">IF(T$2&gt;MAX([0]!yearsRef),NA(),S56*(1+$B24)^(T$2-S$2))</f>
        <v>1.9646163114287731</v>
      </c>
    </row>
    <row r="57" spans="1:20" x14ac:dyDescent="0.2">
      <c r="E57">
        <f ca="1">ExpKayaRatiosRef!E6</f>
        <v>0.85060341362881065</v>
      </c>
      <c r="F57">
        <f ca="1">IF(F$2&gt;MAX([0]!yearsRef),NA(),E57*(1+$B25)^(F$2-E$2))</f>
        <v>0.85068418545405555</v>
      </c>
      <c r="G57">
        <f ca="1">IF(G$2&gt;MAX([0]!yearsRef),NA(),F57*(1+$B25)^(G$2-F$2))</f>
        <v>0.85076496494925291</v>
      </c>
      <c r="H57">
        <f ca="1">IF(H$2&gt;MAX([0]!yearsRef),NA(),G57*(1+$B25)^(H$2-G$2))</f>
        <v>0.85084575211513103</v>
      </c>
      <c r="I57">
        <f ca="1">IF(I$2&gt;MAX([0]!yearsRef),NA(),H57*(1+$B25)^(I$2-H$2))</f>
        <v>0.85092654695241832</v>
      </c>
      <c r="J57">
        <f ca="1">IF(J$2&gt;MAX([0]!yearsRef),NA(),I57*(1+$B25)^(J$2-I$2))</f>
        <v>0.85100734946184331</v>
      </c>
      <c r="K57">
        <f ca="1">IF(K$2&gt;MAX([0]!yearsRef),NA(),J57*(1+$B25)^(K$2-J$2))</f>
        <v>0.85108815964413442</v>
      </c>
      <c r="L57">
        <f ca="1">IF(L$2&gt;MAX([0]!yearsRef),NA(),K57*(1+$B25)^(L$2-K$2))</f>
        <v>0.85116897750002041</v>
      </c>
      <c r="M57">
        <f ca="1">IF(M$2&gt;MAX([0]!yearsRef),NA(),L57*(1+$B25)^(M$2-L$2))</f>
        <v>0.85124980303022979</v>
      </c>
      <c r="N57">
        <f ca="1">IF(N$2&gt;MAX([0]!yearsRef),NA(),M57*(1+$B25)^(N$2-M$2))</f>
        <v>0.85133063623549143</v>
      </c>
      <c r="O57">
        <f ca="1">IF(O$2&gt;MAX([0]!yearsRef),NA(),N57*(1+$B25)^(O$2-N$2))</f>
        <v>0.83452298878487008</v>
      </c>
      <c r="P57">
        <f ca="1">IF(P$2&gt;MAX([0]!yearsRef),NA(),O57*(1+$B25)^(P$2-O$2))</f>
        <v>0.83452298878487008</v>
      </c>
      <c r="Q57">
        <f ca="1">IF(Q$2&gt;MAX([0]!yearsRef),NA(),P57*(1+$B25)^(Q$2-P$2))</f>
        <v>0.83452298878487008</v>
      </c>
      <c r="R57">
        <f ca="1">IF(R$2&gt;MAX([0]!yearsRef),NA(),Q57*(1+$B25)^(R$2-Q$2))</f>
        <v>0.83452298878487008</v>
      </c>
      <c r="S57">
        <f ca="1">IF(S$2&gt;MAX([0]!yearsRef),NA(),R57*(1+$B25)^(S$2-R$2))</f>
        <v>0.83452298878487008</v>
      </c>
      <c r="T57">
        <f ca="1">IF(T$2&gt;MAX([0]!yearsRef),NA(),S57*(1+$B25)^(T$2-S$2))</f>
        <v>0.83452298878487008</v>
      </c>
    </row>
    <row r="58" spans="1:20" ht="19" x14ac:dyDescent="0.2">
      <c r="A58" t="s">
        <v>64</v>
      </c>
      <c r="E58">
        <f ca="1">ExpKayaRatiosRef!E7</f>
        <v>70.809223457492806</v>
      </c>
      <c r="F58">
        <f ca="1">IF(F$2&gt;MAX([0]!yearsRef),NA(),E58*(1+$B26)^(F$2-E$2))</f>
        <v>71.910967609571813</v>
      </c>
      <c r="G58">
        <f ca="1">IF(G$2&gt;MAX([0]!yearsRef),NA(),F58*(1+$B26)^(G$2-F$2))</f>
        <v>73.0298541636907</v>
      </c>
      <c r="H58">
        <f ca="1">IF(H$2&gt;MAX([0]!yearsRef),NA(),G58*(1+$B26)^(H$2-G$2))</f>
        <v>74.166149844158511</v>
      </c>
      <c r="I58">
        <f ca="1">IF(I$2&gt;MAX([0]!yearsRef),NA(),H58*(1+$B26)^(I$2-H$2))</f>
        <v>75.32012552533611</v>
      </c>
      <c r="J58">
        <f ca="1">IF(J$2&gt;MAX([0]!yearsRef),NA(),I58*(1+$B26)^(J$2-I$2))</f>
        <v>76.492056296208219</v>
      </c>
      <c r="K58">
        <f ca="1">IF(K$2&gt;MAX([0]!yearsRef),NA(),J58*(1+$B26)^(K$2-J$2))</f>
        <v>77.682221525960188</v>
      </c>
      <c r="L58">
        <f ca="1">IF(L$2&gt;MAX([0]!yearsRef),NA(),K58*(1+$B26)^(L$2-K$2))</f>
        <v>78.890904930574976</v>
      </c>
      <c r="M58">
        <f ca="1">IF(M$2&gt;MAX([0]!yearsRef),NA(),L58*(1+$B26)^(M$2-L$2))</f>
        <v>80.118394640466491</v>
      </c>
      <c r="N58">
        <f ca="1">IF(N$2&gt;MAX([0]!yearsRef),NA(),M58*(1+$B26)^(N$2-M$2))</f>
        <v>81.364983269165137</v>
      </c>
      <c r="O58">
        <f ca="1">IF(O$2&gt;MAX([0]!yearsRef),NA(),N58*(1+$B26)^(O$2-N$2))</f>
        <v>3.1792476339670559</v>
      </c>
      <c r="P58">
        <f ca="1">IF(P$2&gt;MAX([0]!yearsRef),NA(),O58*(1+$B26)^(P$2-O$2))</f>
        <v>3.1792476339670559</v>
      </c>
      <c r="Q58">
        <f ca="1">IF(Q$2&gt;MAX([0]!yearsRef),NA(),P58*(1+$B26)^(Q$2-P$2))</f>
        <v>3.1792476339670559</v>
      </c>
      <c r="R58">
        <f ca="1">IF(R$2&gt;MAX([0]!yearsRef),NA(),Q58*(1+$B26)^(R$2-Q$2))</f>
        <v>3.1792476339670559</v>
      </c>
      <c r="S58">
        <f ca="1">IF(S$2&gt;MAX([0]!yearsRef),NA(),R58*(1+$B26)^(S$2-R$2))</f>
        <v>3.1792476339670559</v>
      </c>
      <c r="T58">
        <f ca="1">IF(T$2&gt;MAX([0]!yearsRef),NA(),S58*(1+$B26)^(T$2-S$2))</f>
        <v>3.1792476339670559</v>
      </c>
    </row>
    <row r="59" spans="1:20" x14ac:dyDescent="0.2">
      <c r="E59">
        <f ca="1">ExpKayaRatiosRef!E7</f>
        <v>70.809223457492806</v>
      </c>
      <c r="F59">
        <f ca="1">IF(F$2&gt;MAX([0]!yearsRef),NA(),E59*(1+$B27)^(F$2-E$2))</f>
        <v>71.361846417496551</v>
      </c>
      <c r="G59">
        <f ca="1">IF(G$2&gt;MAX([0]!yearsRef),NA(),F59*(1+$B27)^(G$2-F$2))</f>
        <v>71.91878226388728</v>
      </c>
      <c r="H59">
        <f ca="1">IF(H$2&gt;MAX([0]!yearsRef),NA(),G59*(1+$B27)^(H$2-G$2))</f>
        <v>72.480064656122423</v>
      </c>
      <c r="I59">
        <f ca="1">IF(I$2&gt;MAX([0]!yearsRef),NA(),H59*(1+$B27)^(I$2-H$2))</f>
        <v>73.045727516350993</v>
      </c>
      <c r="J59">
        <f ca="1">IF(J$2&gt;MAX([0]!yearsRef),NA(),I59*(1+$B27)^(J$2-I$2))</f>
        <v>73.615805031463765</v>
      </c>
      <c r="K59">
        <f ca="1">IF(K$2&gt;MAX([0]!yearsRef),NA(),J59*(1+$B27)^(K$2-J$2))</f>
        <v>74.19033165515944</v>
      </c>
      <c r="L59">
        <f ca="1">IF(L$2&gt;MAX([0]!yearsRef),NA(),K59*(1+$B27)^(L$2-K$2))</f>
        <v>74.769342110026884</v>
      </c>
      <c r="M59">
        <f ca="1">IF(M$2&gt;MAX([0]!yearsRef),NA(),L59*(1+$B27)^(M$2-L$2))</f>
        <v>75.352871389643681</v>
      </c>
      <c r="N59">
        <f ca="1">IF(N$2&gt;MAX([0]!yearsRef),NA(),M59*(1+$B27)^(N$2-M$2))</f>
        <v>75.940954760691014</v>
      </c>
      <c r="O59">
        <f ca="1">IF(O$2&gt;MAX([0]!yearsRef),NA(),N59*(1+$B27)^(O$2-N$2))</f>
        <v>14.841036120173902</v>
      </c>
      <c r="P59">
        <f ca="1">IF(P$2&gt;MAX([0]!yearsRef),NA(),O59*(1+$B27)^(P$2-O$2))</f>
        <v>14.841036120173902</v>
      </c>
      <c r="Q59">
        <f ca="1">IF(Q$2&gt;MAX([0]!yearsRef),NA(),P59*(1+$B27)^(Q$2-P$2))</f>
        <v>14.841036120173902</v>
      </c>
      <c r="R59">
        <f ca="1">IF(R$2&gt;MAX([0]!yearsRef),NA(),Q59*(1+$B27)^(R$2-Q$2))</f>
        <v>14.841036120173902</v>
      </c>
      <c r="S59">
        <f ca="1">IF(S$2&gt;MAX([0]!yearsRef),NA(),R59*(1+$B27)^(S$2-R$2))</f>
        <v>14.841036120173902</v>
      </c>
      <c r="T59">
        <f ca="1">IF(T$2&gt;MAX([0]!yearsRef),NA(),S59*(1+$B27)^(T$2-S$2))</f>
        <v>14.841036120173902</v>
      </c>
    </row>
    <row r="60" spans="1:20" ht="19" x14ac:dyDescent="0.2">
      <c r="A60" t="s">
        <v>67</v>
      </c>
      <c r="E60">
        <f ca="1">ExpKayaRatiosRef!E11</f>
        <v>6.7221455173776379</v>
      </c>
      <c r="F60">
        <f ca="1">IF(F$2&gt;MAX([0]!yearsRef),NA(),E60*(1+$B28)^(F$2-E$2))</f>
        <v>6.3221401851968917</v>
      </c>
      <c r="G60">
        <f ca="1">IF(G$2&gt;MAX([0]!yearsRef),NA(),F60*(1+$B28)^(G$2-F$2))</f>
        <v>5.9459374120888997</v>
      </c>
      <c r="H60">
        <f ca="1">IF(H$2&gt;MAX([0]!yearsRef),NA(),G60*(1+$B28)^(H$2-G$2))</f>
        <v>5.5921208123886927</v>
      </c>
      <c r="I60">
        <f ca="1">IF(I$2&gt;MAX([0]!yearsRef),NA(),H60*(1+$B28)^(I$2-H$2))</f>
        <v>5.2593582833164234</v>
      </c>
      <c r="J60">
        <f ca="1">IF(J$2&gt;MAX([0]!yearsRef),NA(),I60*(1+$B28)^(J$2-I$2))</f>
        <v>4.9463969896733424</v>
      </c>
      <c r="K60">
        <f ca="1">IF(K$2&gt;MAX([0]!yearsRef),NA(),J60*(1+$B28)^(K$2-J$2))</f>
        <v>4.6520586469764726</v>
      </c>
      <c r="L60">
        <f ca="1">IF(L$2&gt;MAX([0]!yearsRef),NA(),K60*(1+$B28)^(L$2-K$2))</f>
        <v>4.3752350852732045</v>
      </c>
      <c r="M60">
        <f ca="1">IF(M$2&gt;MAX([0]!yearsRef),NA(),L60*(1+$B28)^(M$2-L$2))</f>
        <v>4.1148840769337873</v>
      </c>
      <c r="N60">
        <f ca="1">IF(N$2&gt;MAX([0]!yearsRef),NA(),M60*(1+$B28)^(N$2-M$2))</f>
        <v>3.8700254127135474</v>
      </c>
      <c r="O60">
        <f ca="1">IF(O$2&gt;MAX([0]!yearsRef),NA(),N60*(1+$B28)^(O$2-N$2))</f>
        <v>1523734.5484567408</v>
      </c>
      <c r="P60">
        <f ca="1">IF(P$2&gt;MAX([0]!yearsRef),NA(),O60*(1+$B28)^(P$2-O$2))</f>
        <v>1523734.5484567408</v>
      </c>
      <c r="Q60">
        <f ca="1">IF(Q$2&gt;MAX([0]!yearsRef),NA(),P60*(1+$B28)^(Q$2-P$2))</f>
        <v>1523734.5484567408</v>
      </c>
      <c r="R60">
        <f ca="1">IF(R$2&gt;MAX([0]!yearsRef),NA(),Q60*(1+$B28)^(R$2-Q$2))</f>
        <v>1523734.5484567408</v>
      </c>
      <c r="S60">
        <f ca="1">IF(S$2&gt;MAX([0]!yearsRef),NA(),R60*(1+$B28)^(S$2-R$2))</f>
        <v>1523734.5484567408</v>
      </c>
      <c r="T60">
        <f ca="1">IF(T$2&gt;MAX([0]!yearsRef),NA(),S60*(1+$B28)^(T$2-S$2))</f>
        <v>1523734.5484567408</v>
      </c>
    </row>
    <row r="61" spans="1:20" x14ac:dyDescent="0.2">
      <c r="E61">
        <f ca="1">ExpKayaRatiosRef!E11</f>
        <v>6.7221455173776379</v>
      </c>
      <c r="F61">
        <f ca="1">IF(F$2&gt;MAX([0]!yearsRef),NA(),E61*(1+$B29)^(F$2-E$2))</f>
        <v>5.7287492542239198</v>
      </c>
      <c r="G61">
        <f ca="1">IF(G$2&gt;MAX([0]!yearsRef),NA(),F61*(1+$B29)^(G$2-F$2))</f>
        <v>4.8821567359603808</v>
      </c>
      <c r="H61">
        <f ca="1">IF(H$2&gt;MAX([0]!yearsRef),NA(),G61*(1+$B29)^(H$2-G$2))</f>
        <v>4.1606733576109951</v>
      </c>
      <c r="I61">
        <f ca="1">IF(I$2&gt;MAX([0]!yearsRef),NA(),H61*(1+$B29)^(I$2-H$2))</f>
        <v>3.5458105351729605</v>
      </c>
      <c r="J61">
        <f ca="1">IF(J$2&gt;MAX([0]!yearsRef),NA(),I61*(1+$B29)^(J$2-I$2))</f>
        <v>3.0218119209825884</v>
      </c>
      <c r="K61">
        <f ca="1">IF(K$2&gt;MAX([0]!yearsRef),NA(),J61*(1+$B29)^(K$2-J$2))</f>
        <v>2.575249634805167</v>
      </c>
      <c r="L61">
        <f ca="1">IF(L$2&gt;MAX([0]!yearsRef),NA(),K61*(1+$B29)^(L$2-K$2))</f>
        <v>2.194680163750125</v>
      </c>
      <c r="M61">
        <f ca="1">IF(M$2&gt;MAX([0]!yearsRef),NA(),L61*(1+$B29)^(M$2-L$2))</f>
        <v>1.8703511131738035</v>
      </c>
      <c r="N61">
        <f ca="1">IF(N$2&gt;MAX([0]!yearsRef),NA(),M61*(1+$B29)^(N$2-M$2))</f>
        <v>1.5939512938290603</v>
      </c>
      <c r="O61">
        <f ca="1">IF(O$2&gt;MAX([0]!yearsRef),NA(),N61*(1+$B29)^(O$2-N$2))</f>
        <v>611751698582494.75</v>
      </c>
      <c r="P61">
        <f ca="1">IF(P$2&gt;MAX([0]!yearsRef),NA(),O61*(1+$B29)^(P$2-O$2))</f>
        <v>611751698582494.75</v>
      </c>
      <c r="Q61">
        <f ca="1">IF(Q$2&gt;MAX([0]!yearsRef),NA(),P61*(1+$B29)^(Q$2-P$2))</f>
        <v>611751698582494.75</v>
      </c>
      <c r="R61">
        <f ca="1">IF(R$2&gt;MAX([0]!yearsRef),NA(),Q61*(1+$B29)^(R$2-Q$2))</f>
        <v>611751698582494.75</v>
      </c>
      <c r="S61">
        <f ca="1">IF(S$2&gt;MAX([0]!yearsRef),NA(),R61*(1+$B29)^(S$2-R$2))</f>
        <v>611751698582494.75</v>
      </c>
      <c r="T61">
        <f ca="1">IF(T$2&gt;MAX([0]!yearsRef),NA(),S61*(1+$B29)^(T$2-S$2))</f>
        <v>611751698582494.75</v>
      </c>
    </row>
    <row r="62" spans="1:20" ht="19" x14ac:dyDescent="0.2">
      <c r="A62" t="s">
        <v>68</v>
      </c>
      <c r="E62">
        <f ca="1">ExpKayaRatiosRef!E12</f>
        <v>60.230567189348641</v>
      </c>
      <c r="F62">
        <f ca="1">IF(F$2&gt;MAX([0]!yearsRef),NA(),E62*(1+$B30)^(F$2-E$2))</f>
        <v>60.913498609260735</v>
      </c>
      <c r="G62">
        <f ca="1">IF(G$2&gt;MAX([0]!yearsRef),NA(),F62*(1+$B30)^(G$2-F$2))</f>
        <v>61.604173527965344</v>
      </c>
      <c r="H62">
        <f ca="1">IF(H$2&gt;MAX([0]!yearsRef),NA(),G62*(1+$B30)^(H$2-G$2))</f>
        <v>62.302679746040681</v>
      </c>
      <c r="I62">
        <f ca="1">IF(I$2&gt;MAX([0]!yearsRef),NA(),H62*(1+$B30)^(I$2-H$2))</f>
        <v>63.009106059602225</v>
      </c>
      <c r="J62">
        <f ca="1">IF(J$2&gt;MAX([0]!yearsRef),NA(),I62*(1+$B30)^(J$2-I$2))</f>
        <v>63.723542271590709</v>
      </c>
      <c r="K62">
        <f ca="1">IF(K$2&gt;MAX([0]!yearsRef),NA(),J62*(1+$B30)^(K$2-J$2))</f>
        <v>64.446079203188162</v>
      </c>
      <c r="L62">
        <f ca="1">IF(L$2&gt;MAX([0]!yearsRef),NA(),K62*(1+$B30)^(L$2-K$2))</f>
        <v>65.176808705363328</v>
      </c>
      <c r="M62">
        <f ca="1">IF(M$2&gt;MAX([0]!yearsRef),NA(),L62*(1+$B30)^(M$2-L$2))</f>
        <v>65.91582367054805</v>
      </c>
      <c r="N62">
        <f ca="1">IF(N$2&gt;MAX([0]!yearsRef),NA(),M62*(1+$B30)^(N$2-M$2))</f>
        <v>66.663218044446026</v>
      </c>
      <c r="O62">
        <f ca="1">IF(O$2&gt;MAX([0]!yearsRef),NA(),N62*(1+$B30)^(O$2-N$2))</f>
        <v>6.2460017597634527</v>
      </c>
      <c r="P62">
        <f ca="1">IF(P$2&gt;MAX([0]!yearsRef),NA(),O62*(1+$B30)^(P$2-O$2))</f>
        <v>6.2460017597634527</v>
      </c>
      <c r="Q62">
        <f ca="1">IF(Q$2&gt;MAX([0]!yearsRef),NA(),P62*(1+$B30)^(Q$2-P$2))</f>
        <v>6.2460017597634527</v>
      </c>
      <c r="R62">
        <f ca="1">IF(R$2&gt;MAX([0]!yearsRef),NA(),Q62*(1+$B30)^(R$2-Q$2))</f>
        <v>6.2460017597634527</v>
      </c>
      <c r="S62">
        <f ca="1">IF(S$2&gt;MAX([0]!yearsRef),NA(),R62*(1+$B30)^(S$2-R$2))</f>
        <v>6.2460017597634527</v>
      </c>
      <c r="T62">
        <f ca="1">IF(T$2&gt;MAX([0]!yearsRef),NA(),S62*(1+$B30)^(T$2-S$2))</f>
        <v>6.2460017597634527</v>
      </c>
    </row>
    <row r="63" spans="1:20" x14ac:dyDescent="0.2">
      <c r="E63">
        <f ca="1">ExpKayaRatiosRef!E12</f>
        <v>60.230567189348641</v>
      </c>
      <c r="F63">
        <f ca="1">IF(F$2&gt;MAX([0]!yearsRef),NA(),E63*(1+$B31)^(F$2-E$2))</f>
        <v>60.706394192165497</v>
      </c>
      <c r="G63">
        <f ca="1">IF(G$2&gt;MAX([0]!yearsRef),NA(),F63*(1+$B31)^(G$2-F$2))</f>
        <v>61.185980271929076</v>
      </c>
      <c r="H63">
        <f ca="1">IF(H$2&gt;MAX([0]!yearsRef),NA(),G63*(1+$B31)^(H$2-G$2))</f>
        <v>61.669355125691894</v>
      </c>
      <c r="I63">
        <f ca="1">IF(I$2&gt;MAX([0]!yearsRef),NA(),H63*(1+$B31)^(I$2-H$2))</f>
        <v>62.156548685115908</v>
      </c>
      <c r="J63">
        <f ca="1">IF(J$2&gt;MAX([0]!yearsRef),NA(),I63*(1+$B31)^(J$2-I$2))</f>
        <v>62.647591118325948</v>
      </c>
      <c r="K63">
        <f ca="1">IF(K$2&gt;MAX([0]!yearsRef),NA(),J63*(1+$B31)^(K$2-J$2))</f>
        <v>63.142512831777793</v>
      </c>
      <c r="L63">
        <f ca="1">IF(L$2&gt;MAX([0]!yearsRef),NA(),K63*(1+$B31)^(L$2-K$2))</f>
        <v>63.641344472141007</v>
      </c>
      <c r="M63">
        <f ca="1">IF(M$2&gt;MAX([0]!yearsRef),NA(),L63*(1+$B31)^(M$2-L$2))</f>
        <v>64.144116928196667</v>
      </c>
      <c r="N63">
        <f ca="1">IF(N$2&gt;MAX([0]!yearsRef),NA(),M63*(1+$B31)^(N$2-M$2))</f>
        <v>64.650861332750026</v>
      </c>
      <c r="O63">
        <f ca="1">IF(O$2&gt;MAX([0]!yearsRef),NA(),N63*(1+$B31)^(O$2-N$2))</f>
        <v>12.385185819670573</v>
      </c>
      <c r="P63">
        <f ca="1">IF(P$2&gt;MAX([0]!yearsRef),NA(),O63*(1+$B31)^(P$2-O$2))</f>
        <v>12.385185819670573</v>
      </c>
      <c r="Q63">
        <f ca="1">IF(Q$2&gt;MAX([0]!yearsRef),NA(),P63*(1+$B31)^(Q$2-P$2))</f>
        <v>12.385185819670573</v>
      </c>
      <c r="R63">
        <f ca="1">IF(R$2&gt;MAX([0]!yearsRef),NA(),Q63*(1+$B31)^(R$2-Q$2))</f>
        <v>12.385185819670573</v>
      </c>
      <c r="S63">
        <f ca="1">IF(S$2&gt;MAX([0]!yearsRef),NA(),R63*(1+$B31)^(S$2-R$2))</f>
        <v>12.385185819670573</v>
      </c>
      <c r="T63">
        <f ca="1">IF(T$2&gt;MAX([0]!yearsRef),NA(),S63*(1+$B31)^(T$2-S$2))</f>
        <v>12.385185819670573</v>
      </c>
    </row>
    <row r="64" spans="1:20" x14ac:dyDescent="0.2">
      <c r="A64" s="21" t="s">
        <v>78</v>
      </c>
    </row>
    <row r="65" spans="1:20" x14ac:dyDescent="0.2">
      <c r="A65" s="34" t="s">
        <v>69</v>
      </c>
    </row>
    <row r="66" spans="1:20" x14ac:dyDescent="0.2">
      <c r="A66" s="35" t="s">
        <v>49</v>
      </c>
      <c r="E66">
        <f ca="1">ExpKayaFactorsRef!E15</f>
        <v>1</v>
      </c>
      <c r="F66">
        <f ca="1">IF(F$2&gt;MAX([0]!yearsRef),NA(),E66*(1+$B3)^(F$2-E$2))</f>
        <v>1.1416965981655769</v>
      </c>
      <c r="G66">
        <f ca="1">IF(G$2&gt;MAX([0]!yearsRef),NA(),F66*(1+$B3)^(G$2-F$2))</f>
        <v>1.3034711222628508</v>
      </c>
      <c r="H66">
        <f ca="1">IF(H$2&gt;MAX([0]!yearsRef),NA(),G66*(1+$B3)^(H$2-G$2))</f>
        <v>1.4881685460945635</v>
      </c>
      <c r="I66">
        <f ca="1">IF(I$2&gt;MAX([0]!yearsRef),NA(),H66*(1+$B3)^(I$2-H$2))</f>
        <v>1.6990369665731757</v>
      </c>
      <c r="J66">
        <f ca="1">IF(J$2&gt;MAX([0]!yearsRef),NA(),I66*(1+$B3)^(J$2-I$2))</f>
        <v>1.9397847248941558</v>
      </c>
      <c r="K66">
        <f ca="1">IF(K$2&gt;MAX([0]!yearsRef),NA(),J66*(1+$B3)^(K$2-J$2))</f>
        <v>2.2146456215852073</v>
      </c>
      <c r="L66">
        <f ca="1">IF(L$2&gt;MAX([0]!yearsRef),NA(),K66*(1+$B3)^(L$2-K$2))</f>
        <v>2.5284533723061204</v>
      </c>
      <c r="M66">
        <f ca="1">IF(M$2&gt;MAX([0]!yearsRef),NA(),L66*(1+$B3)^(M$2-L$2))</f>
        <v>2.8867266137821788</v>
      </c>
      <c r="N66">
        <f ca="1">IF(N$2&gt;MAX([0]!yearsRef),NA(),M66*(1+$B3)^(N$2-M$2))</f>
        <v>3.2957659547891485</v>
      </c>
      <c r="O66">
        <f ca="1">IF(O$2&gt;MAX([0]!yearsRef),NA(),N66*(1+$B3)^(O$2-N$2))</f>
        <v>2.7058759905489363E-12</v>
      </c>
      <c r="P66">
        <f ca="1">IF(P$2&gt;MAX([0]!yearsRef),NA(),O66*(1+$B3)^(P$2-O$2))</f>
        <v>2.7058759905489363E-12</v>
      </c>
      <c r="Q66">
        <f ca="1">IF(Q$2&gt;MAX([0]!yearsRef),NA(),P66*(1+$B3)^(Q$2-P$2))</f>
        <v>2.7058759905489363E-12</v>
      </c>
      <c r="R66">
        <f ca="1">IF(R$2&gt;MAX([0]!yearsRef),NA(),Q66*(1+$B3)^(R$2-Q$2))</f>
        <v>2.7058759905489363E-12</v>
      </c>
      <c r="S66">
        <f ca="1">IF(S$2&gt;MAX([0]!yearsRef),NA(),R66*(1+$B3)^(S$2-R$2))</f>
        <v>2.7058759905489363E-12</v>
      </c>
      <c r="T66">
        <f ca="1">IF(T$2&gt;MAX([0]!yearsRef),NA(),S66*(1+$B3)^(T$2-S$2))</f>
        <v>2.7058759905489363E-12</v>
      </c>
    </row>
    <row r="67" spans="1:20" x14ac:dyDescent="0.2">
      <c r="A67" s="35"/>
      <c r="E67">
        <f ca="1">ExpKayaFactorsRef!E15</f>
        <v>1</v>
      </c>
      <c r="F67">
        <f ca="1">IF(F$2&gt;MAX([0]!yearsRef),NA(),E67*(1+$B4)^(F$2-E$2))</f>
        <v>1.1325293548929842</v>
      </c>
      <c r="G67">
        <f ca="1">IF(G$2&gt;MAX([0]!yearsRef),NA(),F67*(1+$B4)^(G$2-F$2))</f>
        <v>1.2826227396943191</v>
      </c>
      <c r="H67">
        <f ca="1">IF(H$2&gt;MAX([0]!yearsRef),NA(),G67*(1+$B4)^(H$2-G$2))</f>
        <v>1.4526079039570792</v>
      </c>
      <c r="I67">
        <f ca="1">IF(I$2&gt;MAX([0]!yearsRef),NA(),H67*(1+$B4)^(I$2-H$2))</f>
        <v>1.6451210923809609</v>
      </c>
      <c r="J67">
        <f ca="1">IF(J$2&gt;MAX([0]!yearsRef),NA(),I67*(1+$B4)^(J$2-I$2))</f>
        <v>1.8631479294750513</v>
      </c>
      <c r="K67">
        <f ca="1">IF(K$2&gt;MAX([0]!yearsRef),NA(),J67*(1+$B4)^(K$2-J$2))</f>
        <v>2.1100697226385789</v>
      </c>
      <c r="L67">
        <f ca="1">IF(L$2&gt;MAX([0]!yearsRef),NA(),K67*(1+$B4)^(L$2-K$2))</f>
        <v>2.3897159017590881</v>
      </c>
      <c r="M67">
        <f ca="1">IF(M$2&gt;MAX([0]!yearsRef),NA(),L67*(1+$B4)^(M$2-L$2))</f>
        <v>2.7064234085967263</v>
      </c>
      <c r="N67">
        <f ca="1">IF(N$2&gt;MAX([0]!yearsRef),NA(),M67*(1+$B4)^(N$2-M$2))</f>
        <v>3.0651039570053218</v>
      </c>
      <c r="O67">
        <f ca="1">IF(O$2&gt;MAX([0]!yearsRef),NA(),N67*(1+$B4)^(O$2-N$2))</f>
        <v>1.3679083612608379E-11</v>
      </c>
      <c r="P67">
        <f ca="1">IF(P$2&gt;MAX([0]!yearsRef),NA(),O67*(1+$B4)^(P$2-O$2))</f>
        <v>1.3679083612608379E-11</v>
      </c>
      <c r="Q67">
        <f ca="1">IF(Q$2&gt;MAX([0]!yearsRef),NA(),P67*(1+$B4)^(Q$2-P$2))</f>
        <v>1.3679083612608379E-11</v>
      </c>
      <c r="R67">
        <f ca="1">IF(R$2&gt;MAX([0]!yearsRef),NA(),Q67*(1+$B4)^(R$2-Q$2))</f>
        <v>1.3679083612608379E-11</v>
      </c>
      <c r="S67">
        <f ca="1">IF(S$2&gt;MAX([0]!yearsRef),NA(),R67*(1+$B4)^(S$2-R$2))</f>
        <v>1.3679083612608379E-11</v>
      </c>
      <c r="T67">
        <f ca="1">IF(T$2&gt;MAX([0]!yearsRef),NA(),S67*(1+$B4)^(T$2-S$2))</f>
        <v>1.3679083612608379E-11</v>
      </c>
    </row>
    <row r="68" spans="1:20" x14ac:dyDescent="0.2">
      <c r="A68" s="35" t="s">
        <v>50</v>
      </c>
      <c r="E68">
        <f ca="1">ExpKayaFactorsRef!E16</f>
        <v>1</v>
      </c>
      <c r="F68">
        <f ca="1">IF(F$2&gt;MAX([0]!yearsRef),NA(),E68*(1+$B5)^(F$2-E$2))</f>
        <v>1.3522322804713878</v>
      </c>
      <c r="G68">
        <f ca="1">IF(G$2&gt;MAX([0]!yearsRef),NA(),F68*(1+$B5)^(G$2-F$2))</f>
        <v>1.8285321403488499</v>
      </c>
      <c r="H68">
        <f ca="1">IF(H$2&gt;MAX([0]!yearsRef),NA(),G68*(1+$B5)^(H$2-G$2))</f>
        <v>2.4726001860591529</v>
      </c>
      <c r="I68">
        <f ca="1">IF(I$2&gt;MAX([0]!yearsRef),NA(),H68*(1+$B5)^(I$2-H$2))</f>
        <v>3.343529788288746</v>
      </c>
      <c r="J68">
        <f ca="1">IF(J$2&gt;MAX([0]!yearsRef),NA(),I68*(1+$B5)^(J$2-I$2))</f>
        <v>4.5212289104417076</v>
      </c>
      <c r="K68">
        <f ca="1">IF(K$2&gt;MAX([0]!yearsRef),NA(),J68*(1+$B5)^(K$2-J$2))</f>
        <v>6.1137516800997584</v>
      </c>
      <c r="L68">
        <f ca="1">IF(L$2&gt;MAX([0]!yearsRef),NA(),K68*(1+$B5)^(L$2-K$2))</f>
        <v>8.2672123766170742</v>
      </c>
      <c r="M68">
        <f ca="1">IF(M$2&gt;MAX([0]!yearsRef),NA(),L68*(1+$B5)^(M$2-L$2))</f>
        <v>11.179191445174189</v>
      </c>
      <c r="N68">
        <f ca="1">IF(N$2&gt;MAX([0]!yearsRef),NA(),M68*(1+$B5)^(N$2-M$2))</f>
        <v>15.116863541734123</v>
      </c>
      <c r="O68">
        <f ca="1">IF(O$2&gt;MAX([0]!yearsRef),NA(),N68*(1+$B5)^(O$2-N$2))</f>
        <v>4.5571031777533543E-27</v>
      </c>
      <c r="P68">
        <f ca="1">IF(P$2&gt;MAX([0]!yearsRef),NA(),O68*(1+$B5)^(P$2-O$2))</f>
        <v>4.5571031777533543E-27</v>
      </c>
      <c r="Q68">
        <f ca="1">IF(Q$2&gt;MAX([0]!yearsRef),NA(),P68*(1+$B5)^(Q$2-P$2))</f>
        <v>4.5571031777533543E-27</v>
      </c>
      <c r="R68">
        <f ca="1">IF(R$2&gt;MAX([0]!yearsRef),NA(),Q68*(1+$B5)^(R$2-Q$2))</f>
        <v>4.5571031777533543E-27</v>
      </c>
      <c r="S68">
        <f ca="1">IF(S$2&gt;MAX([0]!yearsRef),NA(),R68*(1+$B5)^(S$2-R$2))</f>
        <v>4.5571031777533543E-27</v>
      </c>
      <c r="T68">
        <f ca="1">IF(T$2&gt;MAX([0]!yearsRef),NA(),S68*(1+$B5)^(T$2-S$2))</f>
        <v>4.5571031777533543E-27</v>
      </c>
    </row>
    <row r="69" spans="1:20" x14ac:dyDescent="0.2">
      <c r="A69" s="35"/>
      <c r="E69">
        <f ca="1">ExpKayaFactorsRef!E16</f>
        <v>1</v>
      </c>
      <c r="F69">
        <f ca="1">IF(F$2&gt;MAX([0]!yearsRef),NA(),E69*(1+$B6)^(F$2-E$2))</f>
        <v>1.4445381599025695</v>
      </c>
      <c r="G69">
        <f ca="1">IF(G$2&gt;MAX([0]!yearsRef),NA(),F69*(1+$B6)^(G$2-F$2))</f>
        <v>2.0866904954147016</v>
      </c>
      <c r="H69">
        <f ca="1">IF(H$2&gt;MAX([0]!yearsRef),NA(),G69*(1+$B6)^(H$2-G$2))</f>
        <v>3.0143040485325341</v>
      </c>
      <c r="I69">
        <f ca="1">IF(I$2&gt;MAX([0]!yearsRef),NA(),H69*(1+$B6)^(I$2-H$2))</f>
        <v>4.3542772236540523</v>
      </c>
      <c r="J69">
        <f ca="1">IF(J$2&gt;MAX([0]!yearsRef),NA(),I69*(1+$B6)^(J$2-I$2))</f>
        <v>6.2899196083628937</v>
      </c>
      <c r="K69">
        <f ca="1">IF(K$2&gt;MAX([0]!yearsRef),NA(),J69*(1+$B6)^(K$2-J$2))</f>
        <v>9.0860288969996255</v>
      </c>
      <c r="L69">
        <f ca="1">IF(L$2&gt;MAX([0]!yearsRef),NA(),K69*(1+$B6)^(L$2-K$2))</f>
        <v>13.125115463693412</v>
      </c>
      <c r="M69">
        <f ca="1">IF(M$2&gt;MAX([0]!yearsRef),NA(),L69*(1+$B6)^(M$2-L$2))</f>
        <v>18.959730140432441</v>
      </c>
      <c r="N69">
        <f ca="1">IF(N$2&gt;MAX([0]!yearsRef),NA(),M69*(1+$B6)^(N$2-M$2))</f>
        <v>27.388053689309565</v>
      </c>
      <c r="O69">
        <f ca="1">IF(O$2&gt;MAX([0]!yearsRef),NA(),N69*(1+$B6)^(O$2-N$2))</f>
        <v>7.8427286837076517E-33</v>
      </c>
      <c r="P69">
        <f ca="1">IF(P$2&gt;MAX([0]!yearsRef),NA(),O69*(1+$B6)^(P$2-O$2))</f>
        <v>7.8427286837076517E-33</v>
      </c>
      <c r="Q69">
        <f ca="1">IF(Q$2&gt;MAX([0]!yearsRef),NA(),P69*(1+$B6)^(Q$2-P$2))</f>
        <v>7.8427286837076517E-33</v>
      </c>
      <c r="R69">
        <f ca="1">IF(R$2&gt;MAX([0]!yearsRef),NA(),Q69*(1+$B6)^(R$2-Q$2))</f>
        <v>7.8427286837076517E-33</v>
      </c>
      <c r="S69">
        <f ca="1">IF(S$2&gt;MAX([0]!yearsRef),NA(),R69*(1+$B6)^(S$2-R$2))</f>
        <v>7.8427286837076517E-33</v>
      </c>
      <c r="T69">
        <f ca="1">IF(T$2&gt;MAX([0]!yearsRef),NA(),S69*(1+$B6)^(T$2-S$2))</f>
        <v>7.8427286837076517E-33</v>
      </c>
    </row>
    <row r="70" spans="1:20" x14ac:dyDescent="0.2">
      <c r="A70" s="35" t="s">
        <v>51</v>
      </c>
      <c r="E70">
        <f ca="1">ExpKayaFactorsRef!E17</f>
        <v>1</v>
      </c>
      <c r="F70">
        <f ca="1">IF(F$2&gt;MAX([0]!yearsRef),NA(),E70*(1+$B7)^(F$2-E$2))</f>
        <v>1.2464608504766781</v>
      </c>
      <c r="G70">
        <f ca="1">IF(G$2&gt;MAX([0]!yearsRef),NA(),F70*(1+$B7)^(G$2-F$2))</f>
        <v>1.5536646517710437</v>
      </c>
      <c r="H70">
        <f ca="1">IF(H$2&gt;MAX([0]!yearsRef),NA(),G70*(1+$B7)^(H$2-G$2))</f>
        <v>1.936582163202087</v>
      </c>
      <c r="I70">
        <f ca="1">IF(I$2&gt;MAX([0]!yearsRef),NA(),H70*(1+$B7)^(I$2-H$2))</f>
        <v>2.4138738501628385</v>
      </c>
      <c r="J70">
        <f ca="1">IF(J$2&gt;MAX([0]!yearsRef),NA(),I70*(1+$B7)^(J$2-I$2))</f>
        <v>3.008799252217385</v>
      </c>
      <c r="K70">
        <f ca="1">IF(K$2&gt;MAX([0]!yearsRef),NA(),J70*(1+$B7)^(K$2-J$2))</f>
        <v>3.7503504748324747</v>
      </c>
      <c r="L70">
        <f ca="1">IF(L$2&gt;MAX([0]!yearsRef),NA(),K70*(1+$B7)^(L$2-K$2))</f>
        <v>4.6746650424452998</v>
      </c>
      <c r="M70">
        <f ca="1">IF(M$2&gt;MAX([0]!yearsRef),NA(),L70*(1+$B7)^(M$2-L$2))</f>
        <v>5.8267869644999646</v>
      </c>
      <c r="N70">
        <f ca="1">IF(N$2&gt;MAX([0]!yearsRef),NA(),M70*(1+$B7)^(N$2-M$2))</f>
        <v>7.2628618353170475</v>
      </c>
      <c r="O70">
        <f ca="1">IF(O$2&gt;MAX([0]!yearsRef),NA(),N70*(1+$B7)^(O$2-N$2))</f>
        <v>5.8693885212430229E-20</v>
      </c>
      <c r="P70">
        <f ca="1">IF(P$2&gt;MAX([0]!yearsRef),NA(),O70*(1+$B7)^(P$2-O$2))</f>
        <v>5.8693885212430229E-20</v>
      </c>
      <c r="Q70">
        <f ca="1">IF(Q$2&gt;MAX([0]!yearsRef),NA(),P70*(1+$B7)^(Q$2-P$2))</f>
        <v>5.8693885212430229E-20</v>
      </c>
      <c r="R70">
        <f ca="1">IF(R$2&gt;MAX([0]!yearsRef),NA(),Q70*(1+$B7)^(R$2-Q$2))</f>
        <v>5.8693885212430229E-20</v>
      </c>
      <c r="S70">
        <f ca="1">IF(S$2&gt;MAX([0]!yearsRef),NA(),R70*(1+$B7)^(S$2-R$2))</f>
        <v>5.8693885212430229E-20</v>
      </c>
      <c r="T70">
        <f ca="1">IF(T$2&gt;MAX([0]!yearsRef),NA(),S70*(1+$B7)^(T$2-S$2))</f>
        <v>5.8693885212430229E-20</v>
      </c>
    </row>
    <row r="71" spans="1:20" x14ac:dyDescent="0.2">
      <c r="A71" s="35"/>
      <c r="E71">
        <f ca="1">ExpKayaFactorsRef!E17</f>
        <v>1</v>
      </c>
      <c r="F71">
        <f ca="1">IF(F$2&gt;MAX([0]!yearsRef),NA(),E71*(1+$B8)^(F$2-E$2))</f>
        <v>1.2082202311189503</v>
      </c>
      <c r="G71">
        <f ca="1">IF(G$2&gt;MAX([0]!yearsRef),NA(),F71*(1+$B8)^(G$2-F$2))</f>
        <v>1.4597961268851296</v>
      </c>
      <c r="H71">
        <f ca="1">IF(H$2&gt;MAX([0]!yearsRef),NA(),G71*(1+$B8)^(H$2-G$2))</f>
        <v>1.7637552138116999</v>
      </c>
      <c r="I71">
        <f ca="1">IF(I$2&gt;MAX([0]!yearsRef),NA(),H71*(1+$B8)^(I$2-H$2))</f>
        <v>2.1310047320688255</v>
      </c>
      <c r="J71">
        <f ca="1">IF(J$2&gt;MAX([0]!yearsRef),NA(),I71*(1+$B8)^(J$2-I$2))</f>
        <v>2.5747230298957731</v>
      </c>
      <c r="K71">
        <f ca="1">IF(K$2&gt;MAX([0]!yearsRef),NA(),J71*(1+$B8)^(K$2-J$2))</f>
        <v>3.1108324542479546</v>
      </c>
      <c r="L71">
        <f ca="1">IF(L$2&gt;MAX([0]!yearsRef),NA(),K71*(1+$B8)^(L$2-K$2))</f>
        <v>3.7585707068437952</v>
      </c>
      <c r="M71">
        <f ca="1">IF(M$2&gt;MAX([0]!yearsRef),NA(),L71*(1+$B8)^(M$2-L$2))</f>
        <v>4.5411811680997269</v>
      </c>
      <c r="N71">
        <f ca="1">IF(N$2&gt;MAX([0]!yearsRef),NA(),M71*(1+$B8)^(N$2-M$2))</f>
        <v>5.486746960474477</v>
      </c>
      <c r="O71">
        <f ca="1">IF(O$2&gt;MAX([0]!yearsRef),NA(),N71*(1+$B8)^(O$2-N$2))</f>
        <v>3.0805849644395682E-17</v>
      </c>
      <c r="P71">
        <f ca="1">IF(P$2&gt;MAX([0]!yearsRef),NA(),O71*(1+$B8)^(P$2-O$2))</f>
        <v>3.0805849644395682E-17</v>
      </c>
      <c r="Q71">
        <f ca="1">IF(Q$2&gt;MAX([0]!yearsRef),NA(),P71*(1+$B8)^(Q$2-P$2))</f>
        <v>3.0805849644395682E-17</v>
      </c>
      <c r="R71">
        <f ca="1">IF(R$2&gt;MAX([0]!yearsRef),NA(),Q71*(1+$B8)^(R$2-Q$2))</f>
        <v>3.0805849644395682E-17</v>
      </c>
      <c r="S71">
        <f ca="1">IF(S$2&gt;MAX([0]!yearsRef),NA(),R71*(1+$B8)^(S$2-R$2))</f>
        <v>3.0805849644395682E-17</v>
      </c>
      <c r="T71">
        <f ca="1">IF(T$2&gt;MAX([0]!yearsRef),NA(),S71*(1+$B8)^(T$2-S$2))</f>
        <v>3.0805849644395682E-17</v>
      </c>
    </row>
    <row r="72" spans="1:20" ht="19" x14ac:dyDescent="0.2">
      <c r="A72" s="35" t="s">
        <v>71</v>
      </c>
      <c r="E72">
        <f ca="1">ExpKayaFactorsRef!E18</f>
        <v>1</v>
      </c>
      <c r="F72">
        <f ca="1">IF(F$2&gt;MAX([0]!yearsRef),NA(),E72*(1+$B9)^(F$2-E$2))</f>
        <v>1.2728680113810416</v>
      </c>
      <c r="G72">
        <f ca="1">IF(G$2&gt;MAX([0]!yearsRef),NA(),F72*(1+$B9)^(G$2-F$2))</f>
        <v>1.6201929743971273</v>
      </c>
      <c r="H72">
        <f ca="1">IF(H$2&gt;MAX([0]!yearsRef),NA(),G72*(1+$B9)^(H$2-G$2))</f>
        <v>2.0622918093744063</v>
      </c>
      <c r="I72">
        <f ca="1">IF(I$2&gt;MAX([0]!yearsRef),NA(),H72*(1+$B9)^(I$2-H$2))</f>
        <v>2.6250252742858105</v>
      </c>
      <c r="J72">
        <f ca="1">IF(J$2&gt;MAX([0]!yearsRef),NA(),I72*(1+$B9)^(J$2-I$2))</f>
        <v>3.3413107007051526</v>
      </c>
      <c r="K72">
        <f ca="1">IF(K$2&gt;MAX([0]!yearsRef),NA(),J72*(1+$B9)^(K$2-J$2))</f>
        <v>4.253047507012762</v>
      </c>
      <c r="L72">
        <f ca="1">IF(L$2&gt;MAX([0]!yearsRef),NA(),K72*(1+$B9)^(L$2-K$2))</f>
        <v>5.4135681225604309</v>
      </c>
      <c r="M72">
        <f ca="1">IF(M$2&gt;MAX([0]!yearsRef),NA(),L72*(1+$B9)^(M$2-L$2))</f>
        <v>6.890757690639294</v>
      </c>
      <c r="N72">
        <f ca="1">IF(N$2&gt;MAX([0]!yearsRef),NA(),M72*(1+$B9)^(N$2-M$2))</f>
        <v>8.771025038592656</v>
      </c>
      <c r="O72">
        <f ca="1">IF(O$2&gt;MAX([0]!yearsRef),NA(),N72*(1+$B9)^(O$2-N$2))</f>
        <v>8.680448518411225E-22</v>
      </c>
      <c r="P72">
        <f ca="1">IF(P$2&gt;MAX([0]!yearsRef),NA(),O72*(1+$B9)^(P$2-O$2))</f>
        <v>8.680448518411225E-22</v>
      </c>
      <c r="Q72">
        <f ca="1">IF(Q$2&gt;MAX([0]!yearsRef),NA(),P72*(1+$B9)^(Q$2-P$2))</f>
        <v>8.680448518411225E-22</v>
      </c>
      <c r="R72">
        <f ca="1">IF(R$2&gt;MAX([0]!yearsRef),NA(),Q72*(1+$B9)^(R$2-Q$2))</f>
        <v>8.680448518411225E-22</v>
      </c>
      <c r="S72">
        <f ca="1">IF(S$2&gt;MAX([0]!yearsRef),NA(),R72*(1+$B9)^(S$2-R$2))</f>
        <v>8.680448518411225E-22</v>
      </c>
      <c r="T72">
        <f ca="1">IF(T$2&gt;MAX([0]!yearsRef),NA(),S72*(1+$B9)^(T$2-S$2))</f>
        <v>8.680448518411225E-22</v>
      </c>
    </row>
    <row r="73" spans="1:20" x14ac:dyDescent="0.2">
      <c r="A73" s="35"/>
      <c r="E73">
        <f ca="1">ExpKayaFactorsRef!E18</f>
        <v>1</v>
      </c>
      <c r="F73">
        <f ca="1">IF(F$2&gt;MAX([0]!yearsRef),NA(),E73*(1+$B10)^(F$2-E$2))</f>
        <v>1.2423206460377971</v>
      </c>
      <c r="G73">
        <f ca="1">IF(G$2&gt;MAX([0]!yearsRef),NA(),F73*(1+$B10)^(G$2-F$2))</f>
        <v>1.5433605875717695</v>
      </c>
      <c r="H73">
        <f ca="1">IF(H$2&gt;MAX([0]!yearsRef),NA(),G73*(1+$B10)^(H$2-G$2))</f>
        <v>1.9173487222214349</v>
      </c>
      <c r="I73">
        <f ca="1">IF(I$2&gt;MAX([0]!yearsRef),NA(),H73*(1+$B10)^(I$2-H$2))</f>
        <v>2.381961903269878</v>
      </c>
      <c r="J73">
        <f ca="1">IF(J$2&gt;MAX([0]!yearsRef),NA(),I73*(1+$B10)^(J$2-I$2))</f>
        <v>2.9591604505076559</v>
      </c>
      <c r="K73">
        <f ca="1">IF(K$2&gt;MAX([0]!yearsRef),NA(),J73*(1+$B10)^(K$2-J$2))</f>
        <v>3.6762261226041697</v>
      </c>
      <c r="L73">
        <f ca="1">IF(L$2&gt;MAX([0]!yearsRef),NA(),K73*(1+$B10)^(L$2-K$2))</f>
        <v>4.5670516116146382</v>
      </c>
      <c r="M73">
        <f ca="1">IF(M$2&gt;MAX([0]!yearsRef),NA(),L73*(1+$B10)^(M$2-L$2))</f>
        <v>5.6737425086290596</v>
      </c>
      <c r="N73">
        <f ca="1">IF(N$2&gt;MAX([0]!yearsRef),NA(),M73*(1+$B10)^(N$2-M$2))</f>
        <v>7.0486074587721648</v>
      </c>
      <c r="O73">
        <f ca="1">IF(O$2&gt;MAX([0]!yearsRef),NA(),N73*(1+$B10)^(O$2-N$2))</f>
        <v>1.145580833781793E-19</v>
      </c>
      <c r="P73">
        <f ca="1">IF(P$2&gt;MAX([0]!yearsRef),NA(),O73*(1+$B10)^(P$2-O$2))</f>
        <v>1.145580833781793E-19</v>
      </c>
      <c r="Q73">
        <f ca="1">IF(Q$2&gt;MAX([0]!yearsRef),NA(),P73*(1+$B10)^(Q$2-P$2))</f>
        <v>1.145580833781793E-19</v>
      </c>
      <c r="R73">
        <f ca="1">IF(R$2&gt;MAX([0]!yearsRef),NA(),Q73*(1+$B10)^(R$2-Q$2))</f>
        <v>1.145580833781793E-19</v>
      </c>
      <c r="S73">
        <f ca="1">IF(S$2&gt;MAX([0]!yearsRef),NA(),R73*(1+$B10)^(S$2-R$2))</f>
        <v>1.145580833781793E-19</v>
      </c>
      <c r="T73">
        <f ca="1">IF(T$2&gt;MAX([0]!yearsRef),NA(),S73*(1+$B10)^(T$2-S$2))</f>
        <v>1.145580833781793E-19</v>
      </c>
    </row>
    <row r="74" spans="1:20" ht="18" x14ac:dyDescent="0.25">
      <c r="A74" s="35" t="s">
        <v>72</v>
      </c>
      <c r="E74">
        <f ca="1">ExpKayaFactorsRef!E19</f>
        <v>1</v>
      </c>
      <c r="F74">
        <f ca="1">IF(F$2&gt;MAX([0]!yearsRef),NA(),E74*(1+$B11)^(F$2-E$2))</f>
        <v>1.2675779116777026</v>
      </c>
      <c r="G74">
        <f ca="1">IF(G$2&gt;MAX([0]!yearsRef),NA(),F74*(1+$B11)^(G$2-F$2))</f>
        <v>1.6067537621732058</v>
      </c>
      <c r="H74">
        <f ca="1">IF(H$2&gt;MAX([0]!yearsRef),NA(),G74*(1+$B11)^(H$2-G$2))</f>
        <v>2.036685578435804</v>
      </c>
      <c r="I74">
        <f ca="1">IF(I$2&gt;MAX([0]!yearsRef),NA(),H74*(1+$B11)^(I$2-H$2))</f>
        <v>2.5816576522577503</v>
      </c>
      <c r="J74">
        <f ca="1">IF(J$2&gt;MAX([0]!yearsRef),NA(),I74*(1+$B11)^(J$2-I$2))</f>
        <v>3.2724522155156399</v>
      </c>
      <c r="K74">
        <f ca="1">IF(K$2&gt;MAX([0]!yearsRef),NA(),J74*(1+$B11)^(K$2-J$2))</f>
        <v>4.1480881454083862</v>
      </c>
      <c r="L74">
        <f ca="1">IF(L$2&gt;MAX([0]!yearsRef),NA(),K74*(1+$B11)^(L$2-K$2))</f>
        <v>5.2580249088117963</v>
      </c>
      <c r="M74">
        <f ca="1">IF(M$2&gt;MAX([0]!yearsRef),NA(),L74*(1+$B11)^(M$2-L$2))</f>
        <v>6.6649562334609991</v>
      </c>
      <c r="N74">
        <f ca="1">IF(N$2&gt;MAX([0]!yearsRef),NA(),M74*(1+$B11)^(N$2-M$2))</f>
        <v>8.4483513038337801</v>
      </c>
      <c r="O74">
        <f ca="1">IF(O$2&gt;MAX([0]!yearsRef),NA(),N74*(1+$B11)^(O$2-N$2))</f>
        <v>2.004900342103102E-21</v>
      </c>
      <c r="P74">
        <f ca="1">IF(P$2&gt;MAX([0]!yearsRef),NA(),O74*(1+$B11)^(P$2-O$2))</f>
        <v>2.004900342103102E-21</v>
      </c>
      <c r="Q74">
        <f ca="1">IF(Q$2&gt;MAX([0]!yearsRef),NA(),P74*(1+$B11)^(Q$2-P$2))</f>
        <v>2.004900342103102E-21</v>
      </c>
      <c r="R74">
        <f ca="1">IF(R$2&gt;MAX([0]!yearsRef),NA(),Q74*(1+$B11)^(R$2-Q$2))</f>
        <v>2.004900342103102E-21</v>
      </c>
      <c r="S74">
        <f ca="1">IF(S$2&gt;MAX([0]!yearsRef),NA(),R74*(1+$B11)^(S$2-R$2))</f>
        <v>2.004900342103102E-21</v>
      </c>
      <c r="T74">
        <f ca="1">IF(T$2&gt;MAX([0]!yearsRef),NA(),S74*(1+$B11)^(T$2-S$2))</f>
        <v>2.004900342103102E-21</v>
      </c>
    </row>
    <row r="75" spans="1:20" x14ac:dyDescent="0.2">
      <c r="A75" s="35"/>
      <c r="E75">
        <f ca="1">ExpKayaFactorsRef!E19</f>
        <v>1</v>
      </c>
      <c r="F75">
        <f ca="1">IF(F$2&gt;MAX([0]!yearsRef),NA(),E75*(1+$B12)^(F$2-E$2))</f>
        <v>1.2424386146522097</v>
      </c>
      <c r="G75">
        <f ca="1">IF(G$2&gt;MAX([0]!yearsRef),NA(),F75*(1+$B12)^(G$2-F$2))</f>
        <v>1.5436537111789022</v>
      </c>
      <c r="H75">
        <f ca="1">IF(H$2&gt;MAX([0]!yearsRef),NA(),G75*(1+$B12)^(H$2-G$2))</f>
        <v>1.9178949784198576</v>
      </c>
      <c r="I75">
        <f ca="1">IF(I$2&gt;MAX([0]!yearsRef),NA(),H75*(1+$B12)^(I$2-H$2))</f>
        <v>2.3828667800363976</v>
      </c>
      <c r="J75">
        <f ca="1">IF(J$2&gt;MAX([0]!yearsRef),NA(),I75*(1+$B12)^(J$2-I$2))</f>
        <v>2.9605657010891937</v>
      </c>
      <c r="K75">
        <f ca="1">IF(K$2&gt;MAX([0]!yearsRef),NA(),J75*(1+$B12)^(K$2-J$2))</f>
        <v>3.6783211482481057</v>
      </c>
      <c r="L75">
        <f ca="1">IF(L$2&gt;MAX([0]!yearsRef),NA(),K75*(1+$B12)^(L$2-K$2))</f>
        <v>4.5700882316753022</v>
      </c>
      <c r="M75">
        <f ca="1">IF(M$2&gt;MAX([0]!yearsRef),NA(),L75*(1+$B12)^(M$2-L$2))</f>
        <v>5.6780540914010293</v>
      </c>
      <c r="N75">
        <f ca="1">IF(N$2&gt;MAX([0]!yearsRef),NA(),M75*(1+$B12)^(N$2-M$2))</f>
        <v>7.054633659240606</v>
      </c>
      <c r="O75">
        <f ca="1">IF(O$2&gt;MAX([0]!yearsRef),NA(),N75*(1+$B12)^(O$2-N$2))</f>
        <v>1.1239239415036458E-19</v>
      </c>
      <c r="P75">
        <f ca="1">IF(P$2&gt;MAX([0]!yearsRef),NA(),O75*(1+$B12)^(P$2-O$2))</f>
        <v>1.1239239415036458E-19</v>
      </c>
      <c r="Q75">
        <f ca="1">IF(Q$2&gt;MAX([0]!yearsRef),NA(),P75*(1+$B12)^(Q$2-P$2))</f>
        <v>1.1239239415036458E-19</v>
      </c>
      <c r="R75">
        <f ca="1">IF(R$2&gt;MAX([0]!yearsRef),NA(),Q75*(1+$B12)^(R$2-Q$2))</f>
        <v>1.1239239415036458E-19</v>
      </c>
      <c r="S75">
        <f ca="1">IF(S$2&gt;MAX([0]!yearsRef),NA(),R75*(1+$B12)^(S$2-R$2))</f>
        <v>1.1239239415036458E-19</v>
      </c>
      <c r="T75">
        <f ca="1">IF(T$2&gt;MAX([0]!yearsRef),NA(),S75*(1+$B12)^(T$2-S$2))</f>
        <v>1.1239239415036458E-19</v>
      </c>
    </row>
    <row r="76" spans="1:20" x14ac:dyDescent="0.2">
      <c r="A76" s="35" t="s">
        <v>43</v>
      </c>
      <c r="E76">
        <f ca="1">ExpKayaFactorsRef!E20</f>
        <v>1</v>
      </c>
      <c r="F76">
        <f ca="1">IF(F$2&gt;MAX([0]!yearsRef),NA(),E76*(1+$B13)^(F$2-E$2))</f>
        <v>1.2852425204554667</v>
      </c>
      <c r="G76">
        <f ca="1">IF(G$2&gt;MAX([0]!yearsRef),NA(),F76*(1+$B13)^(G$2-F$2))</f>
        <v>1.6518483363867207</v>
      </c>
      <c r="H76">
        <f ca="1">IF(H$2&gt;MAX([0]!yearsRef),NA(),G76*(1+$B13)^(H$2-G$2))</f>
        <v>2.1230257192678383</v>
      </c>
      <c r="I76">
        <f ca="1">IF(I$2&gt;MAX([0]!yearsRef),NA(),H76*(1+$B13)^(I$2-H$2))</f>
        <v>2.7286029264235765</v>
      </c>
      <c r="J76">
        <f ca="1">IF(J$2&gt;MAX([0]!yearsRef),NA(),I76*(1+$B13)^(J$2-I$2))</f>
        <v>3.5069165024787998</v>
      </c>
      <c r="K76">
        <f ca="1">IF(K$2&gt;MAX([0]!yearsRef),NA(),J76*(1+$B13)^(K$2-J$2))</f>
        <v>4.5072382046727224</v>
      </c>
      <c r="L76">
        <f ca="1">IF(L$2&gt;MAX([0]!yearsRef),NA(),K76*(1+$B13)^(L$2-K$2))</f>
        <v>5.7928941904667424</v>
      </c>
      <c r="M76">
        <f ca="1">IF(M$2&gt;MAX([0]!yearsRef),NA(),L76*(1+$B13)^(M$2-L$2))</f>
        <v>7.4452739300873061</v>
      </c>
      <c r="N76">
        <f ca="1">IF(N$2&gt;MAX([0]!yearsRef),NA(),M76*(1+$B13)^(N$2-M$2))</f>
        <v>9.5689826313867883</v>
      </c>
      <c r="O76">
        <f ca="1">IF(O$2&gt;MAX([0]!yearsRef),NA(),N76*(1+$B13)^(O$2-N$2))</f>
        <v>1.2416462637546644E-22</v>
      </c>
      <c r="P76">
        <f ca="1">IF(P$2&gt;MAX([0]!yearsRef),NA(),O76*(1+$B13)^(P$2-O$2))</f>
        <v>1.2416462637546644E-22</v>
      </c>
      <c r="Q76">
        <f ca="1">IF(Q$2&gt;MAX([0]!yearsRef),NA(),P76*(1+$B13)^(Q$2-P$2))</f>
        <v>1.2416462637546644E-22</v>
      </c>
      <c r="R76">
        <f ca="1">IF(R$2&gt;MAX([0]!yearsRef),NA(),Q76*(1+$B13)^(R$2-Q$2))</f>
        <v>1.2416462637546644E-22</v>
      </c>
      <c r="S76">
        <f ca="1">IF(S$2&gt;MAX([0]!yearsRef),NA(),R76*(1+$B13)^(S$2-R$2))</f>
        <v>1.2416462637546644E-22</v>
      </c>
      <c r="T76">
        <f ca="1">IF(T$2&gt;MAX([0]!yearsRef),NA(),S76*(1+$B13)^(T$2-S$2))</f>
        <v>1.2416462637546644E-22</v>
      </c>
    </row>
    <row r="77" spans="1:20" x14ac:dyDescent="0.2">
      <c r="A77" s="35"/>
      <c r="E77">
        <f ca="1">ExpKayaFactorsRef!E20</f>
        <v>1</v>
      </c>
      <c r="F77">
        <f ca="1">IF(F$2&gt;MAX([0]!yearsRef),NA(),E77*(1+$B14)^(F$2-E$2))</f>
        <v>1.2419811664627094</v>
      </c>
      <c r="G77">
        <f ca="1">IF(G$2&gt;MAX([0]!yearsRef),NA(),F77*(1+$B14)^(G$2-F$2))</f>
        <v>1.5425172178480722</v>
      </c>
      <c r="H77">
        <f ca="1">IF(H$2&gt;MAX([0]!yearsRef),NA(),G77*(1+$B14)^(H$2-G$2))</f>
        <v>1.9157773335117618</v>
      </c>
      <c r="I77">
        <f ca="1">IF(I$2&gt;MAX([0]!yearsRef),NA(),H77*(1+$B14)^(I$2-H$2))</f>
        <v>2.3793593673577571</v>
      </c>
      <c r="J77">
        <f ca="1">IF(J$2&gt;MAX([0]!yearsRef),NA(),I77*(1+$B14)^(J$2-I$2))</f>
        <v>2.9551195225049613</v>
      </c>
      <c r="K77">
        <f ca="1">IF(K$2&gt;MAX([0]!yearsRef),NA(),J77*(1+$B14)^(K$2-J$2))</f>
        <v>3.6702027915974367</v>
      </c>
      <c r="L77">
        <f ca="1">IF(L$2&gt;MAX([0]!yearsRef),NA(),K77*(1+$B14)^(L$2-K$2))</f>
        <v>4.5583227442628766</v>
      </c>
      <c r="M77">
        <f ca="1">IF(M$2&gt;MAX([0]!yearsRef),NA(),L77*(1+$B14)^(M$2-L$2))</f>
        <v>5.6613509990331057</v>
      </c>
      <c r="N77">
        <f ca="1">IF(N$2&gt;MAX([0]!yearsRef),NA(),M77*(1+$B14)^(N$2-M$2))</f>
        <v>7.0312913175339622</v>
      </c>
      <c r="O77">
        <f ca="1">IF(O$2&gt;MAX([0]!yearsRef),NA(),N77*(1+$B14)^(O$2-N$2))</f>
        <v>1.2102718984614565E-19</v>
      </c>
      <c r="P77">
        <f ca="1">IF(P$2&gt;MAX([0]!yearsRef),NA(),O77*(1+$B14)^(P$2-O$2))</f>
        <v>1.2102718984614565E-19</v>
      </c>
      <c r="Q77">
        <f ca="1">IF(Q$2&gt;MAX([0]!yearsRef),NA(),P77*(1+$B14)^(Q$2-P$2))</f>
        <v>1.2102718984614565E-19</v>
      </c>
      <c r="R77">
        <f ca="1">IF(R$2&gt;MAX([0]!yearsRef),NA(),Q77*(1+$B14)^(R$2-Q$2))</f>
        <v>1.2102718984614565E-19</v>
      </c>
      <c r="S77">
        <f ca="1">IF(S$2&gt;MAX([0]!yearsRef),NA(),R77*(1+$B14)^(S$2-R$2))</f>
        <v>1.2102718984614565E-19</v>
      </c>
      <c r="T77">
        <f ca="1">IF(T$2&gt;MAX([0]!yearsRef),NA(),S77*(1+$B14)^(T$2-S$2))</f>
        <v>1.2102718984614565E-19</v>
      </c>
    </row>
    <row r="78" spans="1:20" x14ac:dyDescent="0.2">
      <c r="A78" s="34" t="s">
        <v>70</v>
      </c>
    </row>
    <row r="79" spans="1:20" x14ac:dyDescent="0.2">
      <c r="A79" s="35" t="s">
        <v>49</v>
      </c>
      <c r="E79">
        <f ca="1">ExpKayaRatiosRef!E15</f>
        <v>1</v>
      </c>
      <c r="F79">
        <f ca="1">IF(F$2&gt;MAX([0]!yearsRef),NA(),E79*(1+$B16)^(F$2-E$2))</f>
        <v>1.1416965981655769</v>
      </c>
      <c r="G79">
        <f ca="1">IF(G$2&gt;MAX([0]!yearsRef),NA(),F79*(1+$B16)^(G$2-F$2))</f>
        <v>1.3034711222628508</v>
      </c>
      <c r="H79">
        <f ca="1">IF(H$2&gt;MAX([0]!yearsRef),NA(),G79*(1+$B16)^(H$2-G$2))</f>
        <v>1.4881685460945635</v>
      </c>
      <c r="I79">
        <f ca="1">IF(I$2&gt;MAX([0]!yearsRef),NA(),H79*(1+$B16)^(I$2-H$2))</f>
        <v>1.6990369665731757</v>
      </c>
      <c r="J79">
        <f ca="1">IF(J$2&gt;MAX([0]!yearsRef),NA(),I79*(1+$B16)^(J$2-I$2))</f>
        <v>1.9397847248941558</v>
      </c>
      <c r="K79">
        <f ca="1">IF(K$2&gt;MAX([0]!yearsRef),NA(),J79*(1+$B16)^(K$2-J$2))</f>
        <v>2.2146456215852073</v>
      </c>
      <c r="L79">
        <f ca="1">IF(L$2&gt;MAX([0]!yearsRef),NA(),K79*(1+$B16)^(L$2-K$2))</f>
        <v>2.5284533723061204</v>
      </c>
      <c r="M79">
        <f ca="1">IF(M$2&gt;MAX([0]!yearsRef),NA(),L79*(1+$B16)^(M$2-L$2))</f>
        <v>2.8867266137821788</v>
      </c>
      <c r="N79">
        <f ca="1">IF(N$2&gt;MAX([0]!yearsRef),NA(),M79*(1+$B16)^(N$2-M$2))</f>
        <v>3.2957659547891485</v>
      </c>
      <c r="O79">
        <f ca="1">IF(O$2&gt;MAX([0]!yearsRef),NA(),N79*(1+$B16)^(O$2-N$2))</f>
        <v>2.7058759905489363E-12</v>
      </c>
      <c r="P79">
        <f ca="1">IF(P$2&gt;MAX([0]!yearsRef),NA(),O79*(1+$B16)^(P$2-O$2))</f>
        <v>2.7058759905489363E-12</v>
      </c>
      <c r="Q79">
        <f ca="1">IF(Q$2&gt;MAX([0]!yearsRef),NA(),P79*(1+$B16)^(Q$2-P$2))</f>
        <v>2.7058759905489363E-12</v>
      </c>
      <c r="R79">
        <f ca="1">IF(R$2&gt;MAX([0]!yearsRef),NA(),Q79*(1+$B16)^(R$2-Q$2))</f>
        <v>2.7058759905489363E-12</v>
      </c>
      <c r="S79">
        <f ca="1">IF(S$2&gt;MAX([0]!yearsRef),NA(),R79*(1+$B16)^(S$2-R$2))</f>
        <v>2.7058759905489363E-12</v>
      </c>
      <c r="T79">
        <f ca="1">IF(T$2&gt;MAX([0]!yearsRef),NA(),S79*(1+$B16)^(T$2-S$2))</f>
        <v>2.7058759905489363E-12</v>
      </c>
    </row>
    <row r="80" spans="1:20" x14ac:dyDescent="0.2">
      <c r="A80" s="35"/>
      <c r="E80">
        <f ca="1">ExpKayaRatiosRef!E15</f>
        <v>1</v>
      </c>
      <c r="F80">
        <f ca="1">IF(F$2&gt;MAX([0]!yearsRef),NA(),E80*(1+$B17)^(F$2-E$2))</f>
        <v>1.1325293548929842</v>
      </c>
      <c r="G80">
        <f ca="1">IF(G$2&gt;MAX([0]!yearsRef),NA(),F80*(1+$B17)^(G$2-F$2))</f>
        <v>1.2826227396943191</v>
      </c>
      <c r="H80">
        <f ca="1">IF(H$2&gt;MAX([0]!yearsRef),NA(),G80*(1+$B17)^(H$2-G$2))</f>
        <v>1.4526079039570792</v>
      </c>
      <c r="I80">
        <f ca="1">IF(I$2&gt;MAX([0]!yearsRef),NA(),H80*(1+$B17)^(I$2-H$2))</f>
        <v>1.6451210923809609</v>
      </c>
      <c r="J80">
        <f ca="1">IF(J$2&gt;MAX([0]!yearsRef),NA(),I80*(1+$B17)^(J$2-I$2))</f>
        <v>1.8631479294750513</v>
      </c>
      <c r="K80">
        <f ca="1">IF(K$2&gt;MAX([0]!yearsRef),NA(),J80*(1+$B17)^(K$2-J$2))</f>
        <v>2.1100697226385789</v>
      </c>
      <c r="L80">
        <f ca="1">IF(L$2&gt;MAX([0]!yearsRef),NA(),K80*(1+$B17)^(L$2-K$2))</f>
        <v>2.3897159017590881</v>
      </c>
      <c r="M80">
        <f ca="1">IF(M$2&gt;MAX([0]!yearsRef),NA(),L80*(1+$B17)^(M$2-L$2))</f>
        <v>2.7064234085967263</v>
      </c>
      <c r="N80">
        <f ca="1">IF(N$2&gt;MAX([0]!yearsRef),NA(),M80*(1+$B17)^(N$2-M$2))</f>
        <v>3.0651039570053218</v>
      </c>
      <c r="O80">
        <f ca="1">IF(O$2&gt;MAX([0]!yearsRef),NA(),N80*(1+$B17)^(O$2-N$2))</f>
        <v>1.3679083612608379E-11</v>
      </c>
      <c r="P80">
        <f ca="1">IF(P$2&gt;MAX([0]!yearsRef),NA(),O80*(1+$B17)^(P$2-O$2))</f>
        <v>1.3679083612608379E-11</v>
      </c>
      <c r="Q80">
        <f ca="1">IF(Q$2&gt;MAX([0]!yearsRef),NA(),P80*(1+$B17)^(Q$2-P$2))</f>
        <v>1.3679083612608379E-11</v>
      </c>
      <c r="R80">
        <f ca="1">IF(R$2&gt;MAX([0]!yearsRef),NA(),Q80*(1+$B17)^(R$2-Q$2))</f>
        <v>1.3679083612608379E-11</v>
      </c>
      <c r="S80">
        <f ca="1">IF(S$2&gt;MAX([0]!yearsRef),NA(),R80*(1+$B17)^(S$2-R$2))</f>
        <v>1.3679083612608379E-11</v>
      </c>
      <c r="T80">
        <f ca="1">IF(T$2&gt;MAX([0]!yearsRef),NA(),S80*(1+$B17)^(T$2-S$2))</f>
        <v>1.3679083612608379E-11</v>
      </c>
    </row>
    <row r="81" spans="1:20" x14ac:dyDescent="0.2">
      <c r="A81" s="35" t="s">
        <v>59</v>
      </c>
      <c r="E81">
        <f ca="1">ExpKayaRatiosRef!E16</f>
        <v>1</v>
      </c>
      <c r="F81">
        <f ca="1">IF(F$2&gt;MAX([0]!yearsRef),NA(),E81*(1+$B18)^(F$2-E$2))</f>
        <v>1.1844059819781287</v>
      </c>
      <c r="G81">
        <f ca="1">IF(G$2&gt;MAX([0]!yearsRef),NA(),F81*(1+$B18)^(G$2-F$2))</f>
        <v>1.4028175301455754</v>
      </c>
      <c r="H81">
        <f ca="1">IF(H$2&gt;MAX([0]!yearsRef),NA(),G81*(1+$B18)^(H$2-G$2))</f>
        <v>1.6615054743282034</v>
      </c>
      <c r="I81">
        <f ca="1">IF(I$2&gt;MAX([0]!yearsRef),NA(),H81*(1+$B18)^(I$2-H$2))</f>
        <v>1.9678970228837322</v>
      </c>
      <c r="J81">
        <f ca="1">IF(J$2&gt;MAX([0]!yearsRef),NA(),I81*(1+$B18)^(J$2-I$2))</f>
        <v>2.330789005820443</v>
      </c>
      <c r="K81">
        <f ca="1">IF(K$2&gt;MAX([0]!yearsRef),NA(),J81*(1+$B18)^(K$2-J$2))</f>
        <v>2.7606004412225884</v>
      </c>
      <c r="L81">
        <f ca="1">IF(L$2&gt;MAX([0]!yearsRef),NA(),K81*(1+$B18)^(L$2-K$2))</f>
        <v>3.2696716764354954</v>
      </c>
      <c r="M81">
        <f ca="1">IF(M$2&gt;MAX([0]!yearsRef),NA(),L81*(1+$B18)^(M$2-L$2))</f>
        <v>3.8726186926746573</v>
      </c>
      <c r="N81">
        <f ca="1">IF(N$2&gt;MAX([0]!yearsRef),NA(),M81*(1+$B18)^(N$2-M$2))</f>
        <v>4.5867527455241843</v>
      </c>
      <c r="O81">
        <f ca="1">IF(O$2&gt;MAX([0]!yearsRef),NA(),N81*(1+$B18)^(O$2-N$2))</f>
        <v>1.6841507865362573E-15</v>
      </c>
      <c r="P81">
        <f ca="1">IF(P$2&gt;MAX([0]!yearsRef),NA(),O81*(1+$B18)^(P$2-O$2))</f>
        <v>1.6841507865362573E-15</v>
      </c>
      <c r="Q81">
        <f ca="1">IF(Q$2&gt;MAX([0]!yearsRef),NA(),P81*(1+$B18)^(Q$2-P$2))</f>
        <v>1.6841507865362573E-15</v>
      </c>
      <c r="R81">
        <f ca="1">IF(R$2&gt;MAX([0]!yearsRef),NA(),Q81*(1+$B18)^(R$2-Q$2))</f>
        <v>1.6841507865362573E-15</v>
      </c>
      <c r="S81">
        <f ca="1">IF(S$2&gt;MAX([0]!yearsRef),NA(),R81*(1+$B18)^(S$2-R$2))</f>
        <v>1.6841507865362573E-15</v>
      </c>
      <c r="T81">
        <f ca="1">IF(T$2&gt;MAX([0]!yearsRef),NA(),S81*(1+$B18)^(T$2-S$2))</f>
        <v>1.6841507865362573E-15</v>
      </c>
    </row>
    <row r="82" spans="1:20" x14ac:dyDescent="0.2">
      <c r="A82" s="35"/>
      <c r="E82">
        <f ca="1">ExpKayaRatiosRef!E16</f>
        <v>1</v>
      </c>
      <c r="F82">
        <f ca="1">IF(F$2&gt;MAX([0]!yearsRef),NA(),E82*(1+$B19)^(F$2-E$2))</f>
        <v>1.2871593952355338</v>
      </c>
      <c r="G82">
        <f ca="1">IF(G$2&gt;MAX([0]!yearsRef),NA(),F82*(1+$B19)^(G$2-F$2))</f>
        <v>1.6567793087431051</v>
      </c>
      <c r="H82">
        <f ca="1">IF(H$2&gt;MAX([0]!yearsRef),NA(),G82*(1+$B19)^(H$2-G$2))</f>
        <v>2.1325390530805208</v>
      </c>
      <c r="I82">
        <f ca="1">IF(I$2&gt;MAX([0]!yearsRef),NA(),H82*(1+$B19)^(I$2-H$2))</f>
        <v>2.7449176778792812</v>
      </c>
      <c r="J82">
        <f ca="1">IF(J$2&gt;MAX([0]!yearsRef),NA(),I82*(1+$B19)^(J$2-I$2))</f>
        <v>3.5331465782304212</v>
      </c>
      <c r="K82">
        <f ca="1">IF(K$2&gt;MAX([0]!yearsRef),NA(),J82*(1+$B19)^(K$2-J$2))</f>
        <v>4.5477228129135643</v>
      </c>
      <c r="L82">
        <f ca="1">IF(L$2&gt;MAX([0]!yearsRef),NA(),K82*(1+$B19)^(L$2-K$2))</f>
        <v>5.8536441455686639</v>
      </c>
      <c r="M82">
        <f ca="1">IF(M$2&gt;MAX([0]!yearsRef),NA(),L82*(1+$B19)^(M$2-L$2))</f>
        <v>7.5345730583341846</v>
      </c>
      <c r="N82">
        <f ca="1">IF(N$2&gt;MAX([0]!yearsRef),NA(),M82*(1+$B19)^(N$2-M$2))</f>
        <v>9.6981965011233751</v>
      </c>
      <c r="O82">
        <f ca="1">IF(O$2&gt;MAX([0]!yearsRef),NA(),N82*(1+$B19)^(O$2-N$2))</f>
        <v>9.2024074970836043E-23</v>
      </c>
      <c r="P82">
        <f ca="1">IF(P$2&gt;MAX([0]!yearsRef),NA(),O82*(1+$B19)^(P$2-O$2))</f>
        <v>9.2024074970836043E-23</v>
      </c>
      <c r="Q82">
        <f ca="1">IF(Q$2&gt;MAX([0]!yearsRef),NA(),P82*(1+$B19)^(Q$2-P$2))</f>
        <v>9.2024074970836043E-23</v>
      </c>
      <c r="R82">
        <f ca="1">IF(R$2&gt;MAX([0]!yearsRef),NA(),Q82*(1+$B19)^(R$2-Q$2))</f>
        <v>9.2024074970836043E-23</v>
      </c>
      <c r="S82">
        <f ca="1">IF(S$2&gt;MAX([0]!yearsRef),NA(),R82*(1+$B19)^(S$2-R$2))</f>
        <v>9.2024074970836043E-23</v>
      </c>
      <c r="T82">
        <f ca="1">IF(T$2&gt;MAX([0]!yearsRef),NA(),S82*(1+$B19)^(T$2-S$2))</f>
        <v>9.2024074970836043E-23</v>
      </c>
    </row>
    <row r="83" spans="1:20" x14ac:dyDescent="0.2">
      <c r="A83" s="35" t="s">
        <v>60</v>
      </c>
      <c r="E83">
        <f ca="1">ExpKayaRatiosRef!E17</f>
        <v>1</v>
      </c>
      <c r="F83">
        <f ca="1">IF(F$2&gt;MAX([0]!yearsRef),NA(),E83*(1+$B20)^(F$2-E$2))</f>
        <v>0.92178013236169765</v>
      </c>
      <c r="G83">
        <f ca="1">IF(G$2&gt;MAX([0]!yearsRef),NA(),F83*(1+$B20)^(G$2-F$2))</f>
        <v>0.8496786124167488</v>
      </c>
      <c r="H83">
        <f ca="1">IF(H$2&gt;MAX([0]!yearsRef),NA(),G83*(1+$B20)^(H$2-G$2))</f>
        <v>0.78321686381841427</v>
      </c>
      <c r="I83">
        <f ca="1">IF(I$2&gt;MAX([0]!yearsRef),NA(),H83*(1+$B20)^(I$2-H$2))</f>
        <v>0.72195374439845161</v>
      </c>
      <c r="J83">
        <f ca="1">IF(J$2&gt;MAX([0]!yearsRef),NA(),I83*(1+$B20)^(J$2-I$2))</f>
        <v>0.66548261807062792</v>
      </c>
      <c r="K83">
        <f ca="1">IF(K$2&gt;MAX([0]!yearsRef),NA(),J83*(1+$B20)^(K$2-J$2))</f>
        <v>0.61342865576955252</v>
      </c>
      <c r="L83">
        <f ca="1">IF(L$2&gt;MAX([0]!yearsRef),NA(),K83*(1+$B20)^(L$2-K$2))</f>
        <v>0.56544634750971634</v>
      </c>
      <c r="M83">
        <f ca="1">IF(M$2&gt;MAX([0]!yearsRef),NA(),L83*(1+$B20)^(M$2-L$2))</f>
        <v>0.52121720905094482</v>
      </c>
      <c r="N83">
        <f ca="1">IF(N$2&gt;MAX([0]!yearsRef),NA(),M83*(1+$B20)^(N$2-M$2))</f>
        <v>0.48044766794817456</v>
      </c>
      <c r="O83">
        <f ca="1">IF(O$2&gt;MAX([0]!yearsRef),NA(),N83*(1+$B20)^(O$2-N$2))</f>
        <v>12879648.08411151</v>
      </c>
      <c r="P83">
        <f ca="1">IF(P$2&gt;MAX([0]!yearsRef),NA(),O83*(1+$B20)^(P$2-O$2))</f>
        <v>12879648.08411151</v>
      </c>
      <c r="Q83">
        <f ca="1">IF(Q$2&gt;MAX([0]!yearsRef),NA(),P83*(1+$B20)^(Q$2-P$2))</f>
        <v>12879648.08411151</v>
      </c>
      <c r="R83">
        <f ca="1">IF(R$2&gt;MAX([0]!yearsRef),NA(),Q83*(1+$B20)^(R$2-Q$2))</f>
        <v>12879648.08411151</v>
      </c>
      <c r="S83">
        <f ca="1">IF(S$2&gt;MAX([0]!yearsRef),NA(),R83*(1+$B20)^(S$2-R$2))</f>
        <v>12879648.08411151</v>
      </c>
      <c r="T83">
        <f ca="1">IF(T$2&gt;MAX([0]!yearsRef),NA(),S83*(1+$B20)^(T$2-S$2))</f>
        <v>12879648.08411151</v>
      </c>
    </row>
    <row r="84" spans="1:20" x14ac:dyDescent="0.2">
      <c r="A84" s="35"/>
      <c r="E84">
        <f ca="1">ExpKayaRatiosRef!E17</f>
        <v>1</v>
      </c>
      <c r="F84">
        <f ca="1">IF(F$2&gt;MAX([0]!yearsRef),NA(),E84*(1+$B21)^(F$2-E$2))</f>
        <v>0.83172149685899222</v>
      </c>
      <c r="G84">
        <f ca="1">IF(G$2&gt;MAX([0]!yearsRef),NA(),F84*(1+$B21)^(G$2-F$2))</f>
        <v>0.69176064833736262</v>
      </c>
      <c r="H84">
        <f ca="1">IF(H$2&gt;MAX([0]!yearsRef),NA(),G84*(1+$B21)^(H$2-G$2))</f>
        <v>0.57535220190329817</v>
      </c>
      <c r="I84">
        <f ca="1">IF(I$2&gt;MAX([0]!yearsRef),NA(),H84*(1+$B21)^(I$2-H$2))</f>
        <v>0.47853279458812825</v>
      </c>
      <c r="J84">
        <f ca="1">IF(J$2&gt;MAX([0]!yearsRef),NA(),I84*(1+$B21)^(J$2-I$2))</f>
        <v>0.39800601221095466</v>
      </c>
      <c r="K84">
        <f ca="1">IF(K$2&gt;MAX([0]!yearsRef),NA(),J84*(1+$B21)^(K$2-J$2))</f>
        <v>0.33103015623497356</v>
      </c>
      <c r="L84">
        <f ca="1">IF(L$2&gt;MAX([0]!yearsRef),NA(),K84*(1+$B21)^(L$2-K$2))</f>
        <v>0.27532489704921825</v>
      </c>
      <c r="M84">
        <f ca="1">IF(M$2&gt;MAX([0]!yearsRef),NA(),L84*(1+$B21)^(M$2-L$2))</f>
        <v>0.22899363549632373</v>
      </c>
      <c r="N84">
        <f ca="1">IF(N$2&gt;MAX([0]!yearsRef),NA(),M84*(1+$B21)^(N$2-M$2))</f>
        <v>0.19045892928618482</v>
      </c>
      <c r="O84">
        <f ca="1">IF(O$2&gt;MAX([0]!yearsRef),NA(),N84*(1+$B21)^(O$2-N$2))</f>
        <v>1.214609779184224E+16</v>
      </c>
      <c r="P84">
        <f ca="1">IF(P$2&gt;MAX([0]!yearsRef),NA(),O84*(1+$B21)^(P$2-O$2))</f>
        <v>1.214609779184224E+16</v>
      </c>
      <c r="Q84">
        <f ca="1">IF(Q$2&gt;MAX([0]!yearsRef),NA(),P84*(1+$B21)^(Q$2-P$2))</f>
        <v>1.214609779184224E+16</v>
      </c>
      <c r="R84">
        <f ca="1">IF(R$2&gt;MAX([0]!yearsRef),NA(),Q84*(1+$B21)^(R$2-Q$2))</f>
        <v>1.214609779184224E+16</v>
      </c>
      <c r="S84">
        <f ca="1">IF(S$2&gt;MAX([0]!yearsRef),NA(),R84*(1+$B21)^(S$2-R$2))</f>
        <v>1.214609779184224E+16</v>
      </c>
      <c r="T84">
        <f ca="1">IF(T$2&gt;MAX([0]!yearsRef),NA(),S84*(1+$B21)^(T$2-S$2))</f>
        <v>1.214609779184224E+16</v>
      </c>
    </row>
    <row r="85" spans="1:20" ht="19" x14ac:dyDescent="0.2">
      <c r="A85" s="35" t="s">
        <v>73</v>
      </c>
      <c r="E85">
        <f ca="1">ExpKayaRatiosRef!E18</f>
        <v>1</v>
      </c>
      <c r="F85">
        <f ca="1">IF(F$2&gt;MAX([0]!yearsRef),NA(),E85*(1+$B22)^(F$2-E$2))</f>
        <v>1.020337538963026</v>
      </c>
      <c r="G85">
        <f ca="1">IF(G$2&gt;MAX([0]!yearsRef),NA(),F85*(1+$B22)^(G$2-F$2))</f>
        <v>1.0410886934171246</v>
      </c>
      <c r="H85">
        <f ca="1">IF(H$2&gt;MAX([0]!yearsRef),NA(),G85*(1+$B22)^(H$2-G$2))</f>
        <v>1.0622618752834612</v>
      </c>
      <c r="I85">
        <f ca="1">IF(I$2&gt;MAX([0]!yearsRef),NA(),H85*(1+$B22)^(I$2-H$2))</f>
        <v>1.0838656675609757</v>
      </c>
      <c r="J85">
        <f ca="1">IF(J$2&gt;MAX([0]!yearsRef),NA(),I85*(1+$B22)^(J$2-I$2))</f>
        <v>1.1059088278056832</v>
      </c>
      <c r="K85">
        <f ca="1">IF(K$2&gt;MAX([0]!yearsRef),NA(),J85*(1+$B22)^(K$2-J$2))</f>
        <v>1.1284002916807359</v>
      </c>
      <c r="L85">
        <f ca="1">IF(L$2&gt;MAX([0]!yearsRef),NA(),K85*(1+$B22)^(L$2-K$2))</f>
        <v>1.1513491765786827</v>
      </c>
      <c r="M85">
        <f ca="1">IF(M$2&gt;MAX([0]!yearsRef),NA(),L85*(1+$B22)^(M$2-L$2))</f>
        <v>1.1747647853173997</v>
      </c>
      <c r="N85">
        <f ca="1">IF(N$2&gt;MAX([0]!yearsRef),NA(),M85*(1+$B22)^(N$2-M$2))</f>
        <v>1.1986566099111833</v>
      </c>
      <c r="O85">
        <f ca="1">IF(O$2&gt;MAX([0]!yearsRef),NA(),N85*(1+$B22)^(O$2-N$2))</f>
        <v>1.7477654244245862E-2</v>
      </c>
      <c r="P85">
        <f ca="1">IF(P$2&gt;MAX([0]!yearsRef),NA(),O85*(1+$B22)^(P$2-O$2))</f>
        <v>1.7477654244245862E-2</v>
      </c>
      <c r="Q85">
        <f ca="1">IF(Q$2&gt;MAX([0]!yearsRef),NA(),P85*(1+$B22)^(Q$2-P$2))</f>
        <v>1.7477654244245862E-2</v>
      </c>
      <c r="R85">
        <f ca="1">IF(R$2&gt;MAX([0]!yearsRef),NA(),Q85*(1+$B22)^(R$2-Q$2))</f>
        <v>1.7477654244245862E-2</v>
      </c>
      <c r="S85">
        <f ca="1">IF(S$2&gt;MAX([0]!yearsRef),NA(),R85*(1+$B22)^(S$2-R$2))</f>
        <v>1.7477654244245862E-2</v>
      </c>
      <c r="T85">
        <f ca="1">IF(T$2&gt;MAX([0]!yearsRef),NA(),S85*(1+$B22)^(T$2-S$2))</f>
        <v>1.7477654244245862E-2</v>
      </c>
    </row>
    <row r="86" spans="1:20" x14ac:dyDescent="0.2">
      <c r="A86" s="35"/>
      <c r="E86">
        <f ca="1">ExpKayaRatiosRef!E18</f>
        <v>1</v>
      </c>
      <c r="F86">
        <f ca="1">IF(F$2&gt;MAX([0]!yearsRef),NA(),E86*(1+$B23)^(F$2-E$2))</f>
        <v>1.024646303427533</v>
      </c>
      <c r="G86">
        <f ca="1">IF(G$2&gt;MAX([0]!yearsRef),NA(),F86*(1+$B23)^(G$2-F$2))</f>
        <v>1.049900047127708</v>
      </c>
      <c r="H86">
        <f ca="1">IF(H$2&gt;MAX([0]!yearsRef),NA(),G86*(1+$B23)^(H$2-G$2))</f>
        <v>1.0757762022577988</v>
      </c>
      <c r="I86">
        <f ca="1">IF(I$2&gt;MAX([0]!yearsRef),NA(),H86*(1+$B23)^(I$2-H$2))</f>
        <v>1.1022901089587636</v>
      </c>
      <c r="J86">
        <f ca="1">IF(J$2&gt;MAX([0]!yearsRef),NA(),I86*(1+$B23)^(J$2-I$2))</f>
        <v>1.1294574854493298</v>
      </c>
      <c r="K86">
        <f ca="1">IF(K$2&gt;MAX([0]!yearsRef),NA(),J86*(1+$B23)^(K$2-J$2))</f>
        <v>1.1572944373442124</v>
      </c>
      <c r="L86">
        <f ca="1">IF(L$2&gt;MAX([0]!yearsRef),NA(),K86*(1+$B23)^(L$2-K$2))</f>
        <v>1.1858174672019941</v>
      </c>
      <c r="M86">
        <f ca="1">IF(M$2&gt;MAX([0]!yearsRef),NA(),L86*(1+$B23)^(M$2-L$2))</f>
        <v>1.2150434843083231</v>
      </c>
      <c r="N86">
        <f ca="1">IF(N$2&gt;MAX([0]!yearsRef),NA(),M86*(1+$B23)^(N$2-M$2))</f>
        <v>1.244989814700233</v>
      </c>
      <c r="O86">
        <f ca="1">IF(O$2&gt;MAX([0]!yearsRef),NA(),N86*(1+$B23)^(O$2-N$2))</f>
        <v>7.4925646823107922E-3</v>
      </c>
      <c r="P86">
        <f ca="1">IF(P$2&gt;MAX([0]!yearsRef),NA(),O86*(1+$B23)^(P$2-O$2))</f>
        <v>7.4925646823107922E-3</v>
      </c>
      <c r="Q86">
        <f ca="1">IF(Q$2&gt;MAX([0]!yearsRef),NA(),P86*(1+$B23)^(Q$2-P$2))</f>
        <v>7.4925646823107922E-3</v>
      </c>
      <c r="R86">
        <f ca="1">IF(R$2&gt;MAX([0]!yearsRef),NA(),Q86*(1+$B23)^(R$2-Q$2))</f>
        <v>7.4925646823107922E-3</v>
      </c>
      <c r="S86">
        <f ca="1">IF(S$2&gt;MAX([0]!yearsRef),NA(),R86*(1+$B23)^(S$2-R$2))</f>
        <v>7.4925646823107922E-3</v>
      </c>
      <c r="T86">
        <f ca="1">IF(T$2&gt;MAX([0]!yearsRef),NA(),S86*(1+$B23)^(T$2-S$2))</f>
        <v>7.4925646823107922E-3</v>
      </c>
    </row>
    <row r="87" spans="1:20" ht="19" x14ac:dyDescent="0.2">
      <c r="A87" s="35" t="s">
        <v>74</v>
      </c>
      <c r="E87">
        <f ca="1">ExpKayaRatiosRef!E19</f>
        <v>1</v>
      </c>
      <c r="F87">
        <f ca="1">IF(F$2&gt;MAX([0]!yearsRef),NA(),E87*(1+$B24)^(F$2-E$2))</f>
        <v>0.99584395266748793</v>
      </c>
      <c r="G87">
        <f ca="1">IF(G$2&gt;MAX([0]!yearsRef),NA(),F87*(1+$B24)^(G$2-F$2))</f>
        <v>0.99170517806440595</v>
      </c>
      <c r="H87">
        <f ca="1">IF(H$2&gt;MAX([0]!yearsRef),NA(),G87*(1+$B24)^(H$2-G$2))</f>
        <v>0.98758360440447301</v>
      </c>
      <c r="I87">
        <f ca="1">IF(I$2&gt;MAX([0]!yearsRef),NA(),H87*(1+$B24)^(I$2-H$2))</f>
        <v>0.98347916019975512</v>
      </c>
      <c r="J87">
        <f ca="1">IF(J$2&gt;MAX([0]!yearsRef),NA(),I87*(1+$B24)^(J$2-I$2))</f>
        <v>0.9793917742594257</v>
      </c>
      <c r="K87">
        <f ca="1">IF(K$2&gt;MAX([0]!yearsRef),NA(),J87*(1+$B24)^(K$2-J$2))</f>
        <v>0.9753213756885305</v>
      </c>
      <c r="L87">
        <f ca="1">IF(L$2&gt;MAX([0]!yearsRef),NA(),K87*(1+$B24)^(L$2-K$2))</f>
        <v>0.97126789388675816</v>
      </c>
      <c r="M87">
        <f ca="1">IF(M$2&gt;MAX([0]!yearsRef),NA(),L87*(1+$B24)^(M$2-L$2))</f>
        <v>0.96723125854721548</v>
      </c>
      <c r="N87">
        <f ca="1">IF(N$2&gt;MAX([0]!yearsRef),NA(),M87*(1+$B24)^(N$2-M$2))</f>
        <v>0.96321139965520808</v>
      </c>
      <c r="O87">
        <f ca="1">IF(O$2&gt;MAX([0]!yearsRef),NA(),N87*(1+$B24)^(O$2-N$2))</f>
        <v>2.309673673948009</v>
      </c>
      <c r="P87">
        <f ca="1">IF(P$2&gt;MAX([0]!yearsRef),NA(),O87*(1+$B24)^(P$2-O$2))</f>
        <v>2.309673673948009</v>
      </c>
      <c r="Q87">
        <f ca="1">IF(Q$2&gt;MAX([0]!yearsRef),NA(),P87*(1+$B24)^(Q$2-P$2))</f>
        <v>2.309673673948009</v>
      </c>
      <c r="R87">
        <f ca="1">IF(R$2&gt;MAX([0]!yearsRef),NA(),Q87*(1+$B24)^(R$2-Q$2))</f>
        <v>2.309673673948009</v>
      </c>
      <c r="S87">
        <f ca="1">IF(S$2&gt;MAX([0]!yearsRef),NA(),R87*(1+$B24)^(S$2-R$2))</f>
        <v>2.309673673948009</v>
      </c>
      <c r="T87">
        <f ca="1">IF(T$2&gt;MAX([0]!yearsRef),NA(),S87*(1+$B24)^(T$2-S$2))</f>
        <v>2.309673673948009</v>
      </c>
    </row>
    <row r="88" spans="1:20" x14ac:dyDescent="0.2">
      <c r="A88" s="35"/>
      <c r="E88">
        <f ca="1">ExpKayaRatiosRef!E19</f>
        <v>1</v>
      </c>
      <c r="F88">
        <f ca="1">IF(F$2&gt;MAX([0]!yearsRef),NA(),E88*(1+$B25)^(F$2-E$2))</f>
        <v>1.0000949582660388</v>
      </c>
      <c r="G88">
        <f ca="1">IF(G$2&gt;MAX([0]!yearsRef),NA(),F88*(1+$B25)^(G$2-F$2))</f>
        <v>1.0001899255491498</v>
      </c>
      <c r="H88">
        <f ca="1">IF(H$2&gt;MAX([0]!yearsRef),NA(),G88*(1+$B25)^(H$2-G$2))</f>
        <v>1.0002849018501894</v>
      </c>
      <c r="I88">
        <f ca="1">IF(I$2&gt;MAX([0]!yearsRef),NA(),H88*(1+$B25)^(I$2-H$2))</f>
        <v>1.0003798871700138</v>
      </c>
      <c r="J88">
        <f ca="1">IF(J$2&gt;MAX([0]!yearsRef),NA(),I88*(1+$B25)^(J$2-I$2))</f>
        <v>1.0004748815094795</v>
      </c>
      <c r="K88">
        <f ca="1">IF(K$2&gt;MAX([0]!yearsRef),NA(),J88*(1+$B25)^(K$2-J$2))</f>
        <v>1.0005698848694431</v>
      </c>
      <c r="L88">
        <f ca="1">IF(L$2&gt;MAX([0]!yearsRef),NA(),K88*(1+$B25)^(L$2-K$2))</f>
        <v>1.000664897250761</v>
      </c>
      <c r="M88">
        <f ca="1">IF(M$2&gt;MAX([0]!yearsRef),NA(),L88*(1+$B25)^(M$2-L$2))</f>
        <v>1.0007599186542899</v>
      </c>
      <c r="N88">
        <f ca="1">IF(N$2&gt;MAX([0]!yearsRef),NA(),M88*(1+$B25)^(N$2-M$2))</f>
        <v>1.0008549490808865</v>
      </c>
      <c r="O88">
        <f ca="1">IF(O$2&gt;MAX([0]!yearsRef),NA(),N88*(1+$B25)^(O$2-N$2))</f>
        <v>0.98109527355957948</v>
      </c>
      <c r="P88">
        <f ca="1">IF(P$2&gt;MAX([0]!yearsRef),NA(),O88*(1+$B25)^(P$2-O$2))</f>
        <v>0.98109527355957948</v>
      </c>
      <c r="Q88">
        <f ca="1">IF(Q$2&gt;MAX([0]!yearsRef),NA(),P88*(1+$B25)^(Q$2-P$2))</f>
        <v>0.98109527355957948</v>
      </c>
      <c r="R88">
        <f ca="1">IF(R$2&gt;MAX([0]!yearsRef),NA(),Q88*(1+$B25)^(R$2-Q$2))</f>
        <v>0.98109527355957948</v>
      </c>
      <c r="S88">
        <f ca="1">IF(S$2&gt;MAX([0]!yearsRef),NA(),R88*(1+$B25)^(S$2-R$2))</f>
        <v>0.98109527355957948</v>
      </c>
      <c r="T88">
        <f ca="1">IF(T$2&gt;MAX([0]!yearsRef),NA(),S88*(1+$B25)^(T$2-S$2))</f>
        <v>0.98109527355957948</v>
      </c>
    </row>
    <row r="89" spans="1:20" ht="19" x14ac:dyDescent="0.2">
      <c r="A89" s="35" t="s">
        <v>75</v>
      </c>
      <c r="E89">
        <f ca="1">ExpKayaRatiosRef!E20</f>
        <v>1</v>
      </c>
      <c r="F89">
        <f ca="1">IF(F$2&gt;MAX([0]!yearsRef),NA(),E89*(1+$B26)^(F$2-E$2))</f>
        <v>1.0155593310911026</v>
      </c>
      <c r="G89">
        <f ca="1">IF(G$2&gt;MAX([0]!yearsRef),NA(),F89*(1+$B26)^(G$2-F$2))</f>
        <v>1.0313607549662078</v>
      </c>
      <c r="H89">
        <f ca="1">IF(H$2&gt;MAX([0]!yearsRef),NA(),G89*(1+$B26)^(H$2-G$2))</f>
        <v>1.0474080384270967</v>
      </c>
      <c r="I89">
        <f ca="1">IF(I$2&gt;MAX([0]!yearsRef),NA(),H89*(1+$B26)^(I$2-H$2))</f>
        <v>1.0637050068844662</v>
      </c>
      <c r="J89">
        <f ca="1">IF(J$2&gt;MAX([0]!yearsRef),NA(),I89*(1+$B26)^(J$2-I$2))</f>
        <v>1.0802555452698452</v>
      </c>
      <c r="K89">
        <f ca="1">IF(K$2&gt;MAX([0]!yearsRef),NA(),J89*(1+$B26)^(K$2-J$2))</f>
        <v>1.0970635989616984</v>
      </c>
      <c r="L89">
        <f ca="1">IF(L$2&gt;MAX([0]!yearsRef),NA(),K89*(1+$B26)^(L$2-K$2))</f>
        <v>1.11413317472594</v>
      </c>
      <c r="M89">
        <f ca="1">IF(M$2&gt;MAX([0]!yearsRef),NA(),L89*(1+$B26)^(M$2-L$2))</f>
        <v>1.1314683416710822</v>
      </c>
      <c r="N89">
        <f ca="1">IF(N$2&gt;MAX([0]!yearsRef),NA(),M89*(1+$B26)^(N$2-M$2))</f>
        <v>1.1490732322182435</v>
      </c>
      <c r="O89">
        <f ca="1">IF(O$2&gt;MAX([0]!yearsRef),NA(),N89*(1+$B26)^(O$2-N$2))</f>
        <v>4.4898778417977944E-2</v>
      </c>
      <c r="P89">
        <f ca="1">IF(P$2&gt;MAX([0]!yearsRef),NA(),O89*(1+$B26)^(P$2-O$2))</f>
        <v>4.4898778417977944E-2</v>
      </c>
      <c r="Q89">
        <f ca="1">IF(Q$2&gt;MAX([0]!yearsRef),NA(),P89*(1+$B26)^(Q$2-P$2))</f>
        <v>4.4898778417977944E-2</v>
      </c>
      <c r="R89">
        <f ca="1">IF(R$2&gt;MAX([0]!yearsRef),NA(),Q89*(1+$B26)^(R$2-Q$2))</f>
        <v>4.4898778417977944E-2</v>
      </c>
      <c r="S89">
        <f ca="1">IF(S$2&gt;MAX([0]!yearsRef),NA(),R89*(1+$B26)^(S$2-R$2))</f>
        <v>4.4898778417977944E-2</v>
      </c>
      <c r="T89">
        <f ca="1">IF(T$2&gt;MAX([0]!yearsRef),NA(),S89*(1+$B26)^(T$2-S$2))</f>
        <v>4.4898778417977944E-2</v>
      </c>
    </row>
    <row r="90" spans="1:20" x14ac:dyDescent="0.2">
      <c r="A90" s="35"/>
      <c r="E90">
        <f ca="1">ExpKayaRatiosRef!E20</f>
        <v>1</v>
      </c>
      <c r="F90">
        <f ca="1">IF(F$2&gt;MAX([0]!yearsRef),NA(),E90*(1+$B27)^(F$2-E$2))</f>
        <v>1.0078043923237696</v>
      </c>
      <c r="G90">
        <f ca="1">IF(G$2&gt;MAX([0]!yearsRef),NA(),F90*(1+$B27)^(G$2-F$2))</f>
        <v>1.0156696931870826</v>
      </c>
      <c r="H90">
        <f ca="1">IF(H$2&gt;MAX([0]!yearsRef),NA(),G90*(1+$B27)^(H$2-G$2))</f>
        <v>1.0235963779440773</v>
      </c>
      <c r="I90">
        <f ca="1">IF(I$2&gt;MAX([0]!yearsRef),NA(),H90*(1+$B27)^(I$2-H$2))</f>
        <v>1.0315849256587424</v>
      </c>
      <c r="J90">
        <f ca="1">IF(J$2&gt;MAX([0]!yearsRef),NA(),I90*(1+$B27)^(J$2-I$2))</f>
        <v>1.0396358191338699</v>
      </c>
      <c r="K90">
        <f ca="1">IF(K$2&gt;MAX([0]!yearsRef),NA(),J90*(1+$B27)^(K$2-J$2))</f>
        <v>1.0477495449402343</v>
      </c>
      <c r="L90">
        <f ca="1">IF(L$2&gt;MAX([0]!yearsRef),NA(),K90*(1+$B27)^(L$2-K$2))</f>
        <v>1.0559265934459989</v>
      </c>
      <c r="M90">
        <f ca="1">IF(M$2&gt;MAX([0]!yearsRef),NA(),L90*(1+$B27)^(M$2-L$2))</f>
        <v>1.064167458846353</v>
      </c>
      <c r="N90">
        <f ca="1">IF(N$2&gt;MAX([0]!yearsRef),NA(),M90*(1+$B27)^(N$2-M$2))</f>
        <v>1.072472639193379</v>
      </c>
      <c r="O90">
        <f ca="1">IF(O$2&gt;MAX([0]!yearsRef),NA(),N90*(1+$B27)^(O$2-N$2))</f>
        <v>0.20959184969855044</v>
      </c>
      <c r="P90">
        <f ca="1">IF(P$2&gt;MAX([0]!yearsRef),NA(),O90*(1+$B27)^(P$2-O$2))</f>
        <v>0.20959184969855044</v>
      </c>
      <c r="Q90">
        <f ca="1">IF(Q$2&gt;MAX([0]!yearsRef),NA(),P90*(1+$B27)^(Q$2-P$2))</f>
        <v>0.20959184969855044</v>
      </c>
      <c r="R90">
        <f ca="1">IF(R$2&gt;MAX([0]!yearsRef),NA(),Q90*(1+$B27)^(R$2-Q$2))</f>
        <v>0.20959184969855044</v>
      </c>
      <c r="S90">
        <f ca="1">IF(S$2&gt;MAX([0]!yearsRef),NA(),R90*(1+$B27)^(S$2-R$2))</f>
        <v>0.20959184969855044</v>
      </c>
      <c r="T90">
        <f ca="1">IF(T$2&gt;MAX([0]!yearsRef),NA(),S90*(1+$B27)^(T$2-S$2))</f>
        <v>0.20959184969855044</v>
      </c>
    </row>
    <row r="91" spans="1:20" ht="19" x14ac:dyDescent="0.2">
      <c r="A91" s="35" t="s">
        <v>76</v>
      </c>
      <c r="E91">
        <f ca="1">ExpKayaRatiosRef!E24</f>
        <v>1</v>
      </c>
      <c r="F91">
        <f ca="1">IF(F$2&gt;MAX([0]!yearsRef),NA(),E91*(1+$B28)^(F$2-E$2))</f>
        <v>0.94049439555471104</v>
      </c>
      <c r="G91">
        <f ca="1">IF(G$2&gt;MAX([0]!yearsRef),NA(),F91*(1+$B28)^(G$2-F$2))</f>
        <v>0.88452970806982123</v>
      </c>
      <c r="H91">
        <f ca="1">IF(H$2&gt;MAX([0]!yearsRef),NA(),G91*(1+$B28)^(H$2-G$2))</f>
        <v>0.83189523314131153</v>
      </c>
      <c r="I91">
        <f ca="1">IF(I$2&gt;MAX([0]!yearsRef),NA(),H91*(1+$B28)^(I$2-H$2))</f>
        <v>0.78239280445808324</v>
      </c>
      <c r="J91">
        <f ca="1">IF(J$2&gt;MAX([0]!yearsRef),NA(),I91*(1+$B28)^(J$2-I$2))</f>
        <v>0.7358360477151602</v>
      </c>
      <c r="K91">
        <f ca="1">IF(K$2&gt;MAX([0]!yearsRef),NA(),J91*(1+$B28)^(K$2-J$2))</f>
        <v>0.6920496789232371</v>
      </c>
      <c r="L91">
        <f ca="1">IF(L$2&gt;MAX([0]!yearsRef),NA(),K91*(1+$B28)^(L$2-K$2))</f>
        <v>0.65086884447274174</v>
      </c>
      <c r="M91">
        <f ca="1">IF(M$2&gt;MAX([0]!yearsRef),NA(),L91*(1+$B28)^(M$2-L$2))</f>
        <v>0.61213850046778451</v>
      </c>
      <c r="N91">
        <f ca="1">IF(N$2&gt;MAX([0]!yearsRef),NA(),M91*(1+$B28)^(N$2-M$2))</f>
        <v>0.57571282899321619</v>
      </c>
      <c r="O91">
        <f ca="1">IF(O$2&gt;MAX([0]!yearsRef),NA(),N91*(1+$B28)^(O$2-N$2))</f>
        <v>226673.84163548448</v>
      </c>
      <c r="P91">
        <f ca="1">IF(P$2&gt;MAX([0]!yearsRef),NA(),O91*(1+$B28)^(P$2-O$2))</f>
        <v>226673.84163548448</v>
      </c>
      <c r="Q91">
        <f ca="1">IF(Q$2&gt;MAX([0]!yearsRef),NA(),P91*(1+$B28)^(Q$2-P$2))</f>
        <v>226673.84163548448</v>
      </c>
      <c r="R91">
        <f ca="1">IF(R$2&gt;MAX([0]!yearsRef),NA(),Q91*(1+$B28)^(R$2-Q$2))</f>
        <v>226673.84163548448</v>
      </c>
      <c r="S91">
        <f ca="1">IF(S$2&gt;MAX([0]!yearsRef),NA(),R91*(1+$B28)^(S$2-R$2))</f>
        <v>226673.84163548448</v>
      </c>
      <c r="T91">
        <f ca="1">IF(T$2&gt;MAX([0]!yearsRef),NA(),S91*(1+$B28)^(T$2-S$2))</f>
        <v>226673.84163548448</v>
      </c>
    </row>
    <row r="92" spans="1:20" x14ac:dyDescent="0.2">
      <c r="A92" s="35"/>
      <c r="E92">
        <f ca="1">ExpKayaRatiosRef!E24</f>
        <v>1</v>
      </c>
      <c r="F92">
        <f ca="1">IF(F$2&gt;MAX([0]!yearsRef),NA(),E92*(1+$B29)^(F$2-E$2))</f>
        <v>0.85222035723778111</v>
      </c>
      <c r="G92">
        <f ca="1">IF(G$2&gt;MAX([0]!yearsRef),NA(),F92*(1+$B29)^(G$2-F$2))</f>
        <v>0.72627953729049122</v>
      </c>
      <c r="H92">
        <f ca="1">IF(H$2&gt;MAX([0]!yearsRef),NA(),G92*(1+$B29)^(H$2-G$2))</f>
        <v>0.61895020672419276</v>
      </c>
      <c r="I92">
        <f ca="1">IF(I$2&gt;MAX([0]!yearsRef),NA(),H92*(1+$B29)^(I$2-H$2))</f>
        <v>0.52748196628689004</v>
      </c>
      <c r="J92">
        <f ca="1">IF(J$2&gt;MAX([0]!yearsRef),NA(),I92*(1+$B29)^(J$2-I$2))</f>
        <v>0.44953086974550066</v>
      </c>
      <c r="K92">
        <f ca="1">IF(K$2&gt;MAX([0]!yearsRef),NA(),J92*(1+$B29)^(K$2-J$2))</f>
        <v>0.38309935840392101</v>
      </c>
      <c r="L92">
        <f ca="1">IF(L$2&gt;MAX([0]!yearsRef),NA(),K92*(1+$B29)^(L$2-K$2))</f>
        <v>0.32648507207655431</v>
      </c>
      <c r="M92">
        <f ca="1">IF(M$2&gt;MAX([0]!yearsRef),NA(),L92*(1+$B29)^(M$2-L$2))</f>
        <v>0.27823722475788382</v>
      </c>
      <c r="N92">
        <f ca="1">IF(N$2&gt;MAX([0]!yearsRef),NA(),M92*(1+$B29)^(N$2-M$2))</f>
        <v>0.23711942708001255</v>
      </c>
      <c r="O92">
        <f ca="1">IF(O$2&gt;MAX([0]!yearsRef),NA(),N92*(1+$B29)^(O$2-N$2))</f>
        <v>91005423343043.594</v>
      </c>
      <c r="P92">
        <f ca="1">IF(P$2&gt;MAX([0]!yearsRef),NA(),O92*(1+$B29)^(P$2-O$2))</f>
        <v>91005423343043.594</v>
      </c>
      <c r="Q92">
        <f ca="1">IF(Q$2&gt;MAX([0]!yearsRef),NA(),P92*(1+$B29)^(Q$2-P$2))</f>
        <v>91005423343043.594</v>
      </c>
      <c r="R92">
        <f ca="1">IF(R$2&gt;MAX([0]!yearsRef),NA(),Q92*(1+$B29)^(R$2-Q$2))</f>
        <v>91005423343043.594</v>
      </c>
      <c r="S92">
        <f ca="1">IF(S$2&gt;MAX([0]!yearsRef),NA(),R92*(1+$B29)^(S$2-R$2))</f>
        <v>91005423343043.594</v>
      </c>
      <c r="T92">
        <f ca="1">IF(T$2&gt;MAX([0]!yearsRef),NA(),S92*(1+$B29)^(T$2-S$2))</f>
        <v>91005423343043.594</v>
      </c>
    </row>
    <row r="93" spans="1:20" ht="19" x14ac:dyDescent="0.2">
      <c r="A93" s="35" t="s">
        <v>77</v>
      </c>
      <c r="E93">
        <f ca="1">ExpKayaRatiosRef!E25</f>
        <v>1</v>
      </c>
      <c r="F93">
        <f ca="1">IF(F$2&gt;MAX([0]!yearsRef),NA(),E93*(1+$B30)^(F$2-E$2))</f>
        <v>1.0113386184421134</v>
      </c>
      <c r="G93">
        <f ca="1">IF(G$2&gt;MAX([0]!yearsRef),NA(),F93*(1+$B30)^(G$2-F$2))</f>
        <v>1.0228058011524026</v>
      </c>
      <c r="H93">
        <f ca="1">IF(H$2&gt;MAX([0]!yearsRef),NA(),G93*(1+$B30)^(H$2-G$2))</f>
        <v>1.0344030058720497</v>
      </c>
      <c r="I93">
        <f ca="1">IF(I$2&gt;MAX([0]!yearsRef),NA(),H93*(1+$B30)^(I$2-H$2))</f>
        <v>1.0461317068710081</v>
      </c>
      <c r="J93">
        <f ca="1">IF(J$2&gt;MAX([0]!yearsRef),NA(),I93*(1+$B30)^(J$2-I$2))</f>
        <v>1.0579933951354152</v>
      </c>
      <c r="K93">
        <f ca="1">IF(K$2&gt;MAX([0]!yearsRef),NA(),J93*(1+$B30)^(K$2-J$2))</f>
        <v>1.0699895785571318</v>
      </c>
      <c r="L93">
        <f ca="1">IF(L$2&gt;MAX([0]!yearsRef),NA(),K93*(1+$B30)^(L$2-K$2))</f>
        <v>1.0821217821254288</v>
      </c>
      <c r="M93">
        <f ca="1">IF(M$2&gt;MAX([0]!yearsRef),NA(),L93*(1+$B30)^(M$2-L$2))</f>
        <v>1.0943915481208488</v>
      </c>
      <c r="N93">
        <f ca="1">IF(N$2&gt;MAX([0]!yearsRef),NA(),M93*(1+$B30)^(N$2-M$2))</f>
        <v>1.1068004363112649</v>
      </c>
      <c r="O93">
        <f ca="1">IF(O$2&gt;MAX([0]!yearsRef),NA(),N93*(1+$B30)^(O$2-N$2))</f>
        <v>0.10370152650443602</v>
      </c>
      <c r="P93">
        <f ca="1">IF(P$2&gt;MAX([0]!yearsRef),NA(),O93*(1+$B30)^(P$2-O$2))</f>
        <v>0.10370152650443602</v>
      </c>
      <c r="Q93">
        <f ca="1">IF(Q$2&gt;MAX([0]!yearsRef),NA(),P93*(1+$B30)^(Q$2-P$2))</f>
        <v>0.10370152650443602</v>
      </c>
      <c r="R93">
        <f ca="1">IF(R$2&gt;MAX([0]!yearsRef),NA(),Q93*(1+$B30)^(R$2-Q$2))</f>
        <v>0.10370152650443602</v>
      </c>
      <c r="S93">
        <f ca="1">IF(S$2&gt;MAX([0]!yearsRef),NA(),R93*(1+$B30)^(S$2-R$2))</f>
        <v>0.10370152650443602</v>
      </c>
      <c r="T93">
        <f ca="1">IF(T$2&gt;MAX([0]!yearsRef),NA(),S93*(1+$B30)^(T$2-S$2))</f>
        <v>0.10370152650443602</v>
      </c>
    </row>
    <row r="94" spans="1:20" x14ac:dyDescent="0.2">
      <c r="A94" s="35"/>
      <c r="E94">
        <f ca="1">ExpKayaRatiosRef!E25</f>
        <v>1</v>
      </c>
      <c r="F94">
        <f ca="1">IF(F$2&gt;MAX([0]!yearsRef),NA(),E94*(1+$B31)^(F$2-E$2))</f>
        <v>1.0079000916813714</v>
      </c>
      <c r="G94">
        <f ca="1">IF(G$2&gt;MAX([0]!yearsRef),NA(),F94*(1+$B31)^(G$2-F$2))</f>
        <v>1.0158625948113169</v>
      </c>
      <c r="H94">
        <f ca="1">IF(H$2&gt;MAX([0]!yearsRef),NA(),G94*(1+$B31)^(H$2-G$2))</f>
        <v>1.0238880024460022</v>
      </c>
      <c r="I94">
        <f ca="1">IF(I$2&gt;MAX([0]!yearsRef),NA(),H94*(1+$B31)^(I$2-H$2))</f>
        <v>1.0319768115367818</v>
      </c>
      <c r="J94">
        <f ca="1">IF(J$2&gt;MAX([0]!yearsRef),NA(),I94*(1+$B31)^(J$2-I$2))</f>
        <v>1.0401295229609717</v>
      </c>
      <c r="K94">
        <f ca="1">IF(K$2&gt;MAX([0]!yearsRef),NA(),J94*(1+$B31)^(K$2-J$2))</f>
        <v>1.0483466415528644</v>
      </c>
      <c r="L94">
        <f ca="1">IF(L$2&gt;MAX([0]!yearsRef),NA(),K94*(1+$B31)^(L$2-K$2))</f>
        <v>1.0566286761349899</v>
      </c>
      <c r="M94">
        <f ca="1">IF(M$2&gt;MAX([0]!yearsRef),NA(),L94*(1+$B31)^(M$2-L$2))</f>
        <v>1.0649761395496224</v>
      </c>
      <c r="N94">
        <f ca="1">IF(N$2&gt;MAX([0]!yearsRef),NA(),M94*(1+$B31)^(N$2-M$2))</f>
        <v>1.0733895486905374</v>
      </c>
      <c r="O94">
        <f ca="1">IF(O$2&gt;MAX([0]!yearsRef),NA(),N94*(1+$B31)^(O$2-N$2))</f>
        <v>0.20562957311583821</v>
      </c>
      <c r="P94">
        <f ca="1">IF(P$2&gt;MAX([0]!yearsRef),NA(),O94*(1+$B31)^(P$2-O$2))</f>
        <v>0.20562957311583821</v>
      </c>
      <c r="Q94">
        <f ca="1">IF(Q$2&gt;MAX([0]!yearsRef),NA(),P94*(1+$B31)^(Q$2-P$2))</f>
        <v>0.20562957311583821</v>
      </c>
      <c r="R94">
        <f ca="1">IF(R$2&gt;MAX([0]!yearsRef),NA(),Q94*(1+$B31)^(R$2-Q$2))</f>
        <v>0.20562957311583821</v>
      </c>
      <c r="S94">
        <f ca="1">IF(S$2&gt;MAX([0]!yearsRef),NA(),R94*(1+$B31)^(S$2-R$2))</f>
        <v>0.20562957311583821</v>
      </c>
      <c r="T94">
        <f ca="1">IF(T$2&gt;MAX([0]!yearsRef),NA(),S94*(1+$B31)^(T$2-S$2))</f>
        <v>0.20562957311583821</v>
      </c>
    </row>
  </sheetData>
  <pageMargins left="0.7" right="0.7" top="0.75" bottom="0.75" header="0.3" footer="0.3"/>
  <pageSetup orientation="portrait" horizontalDpi="0" verticalDpi="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FFBC84-5B66-4B4E-8786-C54FFB8DC8FA}">
  <sheetPr codeName="Sheet48"/>
  <dimension ref="A1:N17"/>
  <sheetViews>
    <sheetView topLeftCell="B1" workbookViewId="0">
      <selection activeCell="I1" sqref="I1:N1048576"/>
    </sheetView>
  </sheetViews>
  <sheetFormatPr baseColWidth="10" defaultRowHeight="13" x14ac:dyDescent="0.15"/>
  <cols>
    <col min="1" max="1" width="23.33203125" style="1" customWidth="1"/>
    <col min="2" max="16384" width="10.83203125" style="1"/>
  </cols>
  <sheetData>
    <row r="1" spans="1:14" ht="18" x14ac:dyDescent="0.2">
      <c r="A1" s="191" t="s">
        <v>191</v>
      </c>
      <c r="C1" s="1">
        <f>ExpKayaFactorsInt!C1</f>
        <v>2000</v>
      </c>
      <c r="D1" s="1">
        <f>ExpKayaFactorsInt!D1</f>
        <v>2005</v>
      </c>
      <c r="E1" s="1">
        <f>ExpKayaFactorsInt!E1</f>
        <v>2010</v>
      </c>
      <c r="F1" s="1">
        <f>ExpKayaFactorsInt!F1</f>
        <v>2020</v>
      </c>
      <c r="G1" s="1">
        <f>ExpKayaFactorsInt!G1</f>
        <v>2030</v>
      </c>
      <c r="H1" s="1">
        <f>ExpKayaFactorsInt!H1</f>
        <v>2040</v>
      </c>
      <c r="I1" s="1">
        <f>ExpKayaFactorsInt!I1</f>
        <v>2050</v>
      </c>
      <c r="J1" s="1">
        <f>ExpKayaFactorsInt!J1</f>
        <v>2060</v>
      </c>
      <c r="K1" s="1">
        <f>ExpKayaFactorsInt!K1</f>
        <v>2070</v>
      </c>
      <c r="L1" s="1">
        <f>ExpKayaFactorsInt!L1</f>
        <v>2080</v>
      </c>
      <c r="M1" s="1">
        <f>ExpKayaFactorsInt!M1</f>
        <v>2090</v>
      </c>
      <c r="N1" s="1">
        <f>ExpKayaFactorsInt!N1</f>
        <v>2100</v>
      </c>
    </row>
    <row r="2" spans="1:14" ht="16" x14ac:dyDescent="0.2">
      <c r="A2" t="s">
        <v>49</v>
      </c>
      <c r="C2" s="1">
        <f ca="1">ExpKayaFactorsInt!C2-ExpKayaFactorsRef!C2</f>
        <v>0</v>
      </c>
      <c r="D2" s="1">
        <f ca="1">ExpKayaFactorsInt!D2-ExpKayaFactorsRef!D2</f>
        <v>-4.3749981415430739E-10</v>
      </c>
      <c r="E2" s="1">
        <f ca="1">ExpKayaFactorsInt!E2-ExpKayaFactorsRef!E2</f>
        <v>-4.3749981415430739E-10</v>
      </c>
      <c r="F2" s="1">
        <f ca="1">ExpKayaFactorsInt!F2-ExpKayaFactorsRef!F2</f>
        <v>-9.5396972531250235E-2</v>
      </c>
      <c r="G2" s="1">
        <f ca="1">ExpKayaFactorsInt!G2-ExpKayaFactorsRef!G2</f>
        <v>-0.26574462871875149</v>
      </c>
      <c r="H2" s="1">
        <f ca="1">ExpKayaFactorsInt!H2-ExpKayaFactorsRef!H2</f>
        <v>-0.46841308568749973</v>
      </c>
      <c r="I2" s="1">
        <f ca="1">ExpKayaFactorsInt!I2-ExpKayaFactorsRef!I2</f>
        <v>-0.71204296900000053</v>
      </c>
      <c r="J2" s="1">
        <f ca="1">ExpKayaFactorsInt!J2-ExpKayaFactorsRef!J2</f>
        <v>-0.9677919917500013</v>
      </c>
      <c r="K2" s="1">
        <f ca="1">ExpKayaFactorsInt!K2-ExpKayaFactorsRef!K2</f>
        <v>-1.2321445316874993</v>
      </c>
      <c r="L2" s="1">
        <f ca="1">ExpKayaFactorsInt!L2-ExpKayaFactorsRef!L2</f>
        <v>-1.5128403319687491</v>
      </c>
      <c r="M2" s="1">
        <f ca="1">ExpKayaFactorsInt!M2-ExpKayaFactorsRef!M2</f>
        <v>-1.8152529294375004</v>
      </c>
      <c r="N2" s="1">
        <f ca="1">ExpKayaFactorsInt!N2-ExpKayaFactorsRef!N2</f>
        <v>-2.1452456054687499</v>
      </c>
    </row>
    <row r="3" spans="1:14" ht="16" x14ac:dyDescent="0.2">
      <c r="A3" t="s">
        <v>50</v>
      </c>
      <c r="C3" s="1">
        <f ca="1">ExpKayaFactorsInt!C3-ExpKayaFactorsRef!C3</f>
        <v>0</v>
      </c>
      <c r="D3" s="1">
        <f ca="1">ExpKayaFactorsInt!D3-ExpKayaFactorsRef!D3</f>
        <v>0.44433697960937479</v>
      </c>
      <c r="E3" s="1">
        <f ca="1">ExpKayaFactorsInt!E3-ExpKayaFactorsRef!E3</f>
        <v>0.52989497671873664</v>
      </c>
      <c r="F3" s="1">
        <f ca="1">ExpKayaFactorsInt!F3-ExpKayaFactorsRef!F3</f>
        <v>0.20505394515625142</v>
      </c>
      <c r="G3" s="1">
        <f ca="1">ExpKayaFactorsInt!G3-ExpKayaFactorsRef!G3</f>
        <v>-1.3684649203125048</v>
      </c>
      <c r="H3" s="1">
        <f ca="1">ExpKayaFactorsInt!H3-ExpKayaFactorsRef!H3</f>
        <v>-4.2875414400000125</v>
      </c>
      <c r="I3" s="1">
        <f ca="1">ExpKayaFactorsInt!I3-ExpKayaFactorsRef!I3</f>
        <v>-9.5080833593750071</v>
      </c>
      <c r="J3" s="1">
        <f ca="1">ExpKayaFactorsInt!J3-ExpKayaFactorsRef!J3</f>
        <v>-17.957742531250005</v>
      </c>
      <c r="K3" s="1">
        <f ca="1">ExpKayaFactorsInt!K3-ExpKayaFactorsRef!K3</f>
        <v>-31.13959825937502</v>
      </c>
      <c r="L3" s="1">
        <f ca="1">ExpKayaFactorsInt!L3-ExpKayaFactorsRef!L3</f>
        <v>-50.783560639375025</v>
      </c>
      <c r="M3" s="1">
        <f ca="1">ExpKayaFactorsInt!M3-ExpKayaFactorsRef!M3</f>
        <v>-79.441863220625066</v>
      </c>
      <c r="N3" s="1">
        <f ca="1">ExpKayaFactorsInt!N3-ExpKayaFactorsRef!N3</f>
        <v>-119.72458780000011</v>
      </c>
    </row>
    <row r="4" spans="1:14" ht="16" x14ac:dyDescent="0.2">
      <c r="A4" t="s">
        <v>51</v>
      </c>
      <c r="C4" s="1">
        <f ca="1">ExpKayaFactorsInt!C4-ExpKayaFactorsRef!C4</f>
        <v>0</v>
      </c>
      <c r="D4" s="1">
        <f ca="1">ExpKayaFactorsInt!D4-ExpKayaFactorsRef!D4</f>
        <v>0.31009369999998171</v>
      </c>
      <c r="E4" s="1">
        <f ca="1">ExpKayaFactorsInt!E4-ExpKayaFactorsRef!E4</f>
        <v>-0.15800000000001546</v>
      </c>
      <c r="F4" s="1">
        <f ca="1">ExpKayaFactorsInt!F4-ExpKayaFactorsRef!F4</f>
        <v>-57.530500050000001</v>
      </c>
      <c r="G4" s="1">
        <f ca="1">ExpKayaFactorsInt!G4-ExpKayaFactorsRef!G4</f>
        <v>-179.36128130000003</v>
      </c>
      <c r="H4" s="1">
        <f ca="1">ExpKayaFactorsInt!H4-ExpKayaFactorsRef!H4</f>
        <v>-270.63268749999997</v>
      </c>
      <c r="I4" s="1">
        <f ca="1">ExpKayaFactorsInt!I4-ExpKayaFactorsRef!I4</f>
        <v>-321.62318750000003</v>
      </c>
      <c r="J4" s="1">
        <f ca="1">ExpKayaFactorsInt!J4-ExpKayaFactorsRef!J4</f>
        <v>-364.28500000000003</v>
      </c>
      <c r="K4" s="1">
        <f ca="1">ExpKayaFactorsInt!K4-ExpKayaFactorsRef!K4</f>
        <v>-400.44096875000002</v>
      </c>
      <c r="L4" s="1">
        <f ca="1">ExpKayaFactorsInt!L4-ExpKayaFactorsRef!L4</f>
        <v>-430.82637499999998</v>
      </c>
      <c r="M4" s="1">
        <f ca="1">ExpKayaFactorsInt!M4-ExpKayaFactorsRef!M4</f>
        <v>-458.23706249999998</v>
      </c>
      <c r="N4" s="1">
        <f ca="1">ExpKayaFactorsInt!N4-ExpKayaFactorsRef!N4</f>
        <v>-485.64587499999993</v>
      </c>
    </row>
    <row r="5" spans="1:14" ht="19" x14ac:dyDescent="0.2">
      <c r="A5" t="s">
        <v>52</v>
      </c>
      <c r="C5" s="1">
        <f ca="1">ExpKayaFactorsInt!C5-ExpKayaFactorsRef!C5</f>
        <v>0</v>
      </c>
      <c r="D5" s="1">
        <f ca="1">ExpKayaFactorsInt!D5-ExpKayaFactorsRef!D5</f>
        <v>0.76249995000000581</v>
      </c>
      <c r="E5" s="1">
        <f ca="1">ExpKayaFactorsInt!E5-ExpKayaFactorsRef!E5</f>
        <v>0.44818750000001728</v>
      </c>
      <c r="F5" s="1">
        <f ca="1">ExpKayaFactorsInt!F5-ExpKayaFactorsRef!F5</f>
        <v>-81.524812500000053</v>
      </c>
      <c r="G5" s="1">
        <f ca="1">ExpKayaFactorsInt!G5-ExpKayaFactorsRef!G5</f>
        <v>-273.61087499999996</v>
      </c>
      <c r="H5" s="1">
        <f ca="1">ExpKayaFactorsInt!H5-ExpKayaFactorsRef!H5</f>
        <v>-425.16387500000002</v>
      </c>
      <c r="I5" s="1">
        <f ca="1">ExpKayaFactorsInt!I5-ExpKayaFactorsRef!I5</f>
        <v>-481.00478125000001</v>
      </c>
      <c r="J5" s="1">
        <f ca="1">ExpKayaFactorsInt!J5-ExpKayaFactorsRef!J5</f>
        <v>-526.47018749999995</v>
      </c>
      <c r="K5" s="1">
        <f ca="1">ExpKayaFactorsInt!K5-ExpKayaFactorsRef!K5</f>
        <v>-539.4</v>
      </c>
      <c r="L5" s="1">
        <f ca="1">ExpKayaFactorsInt!L5-ExpKayaFactorsRef!L5</f>
        <v>-567.71159374999979</v>
      </c>
      <c r="M5" s="1">
        <f ca="1">ExpKayaFactorsInt!M5-ExpKayaFactorsRef!M5</f>
        <v>-616.25940624999998</v>
      </c>
      <c r="N5" s="1">
        <f ca="1">ExpKayaFactorsInt!N5-ExpKayaFactorsRef!N5</f>
        <v>-658.8141875</v>
      </c>
    </row>
    <row r="6" spans="1:14" ht="18" x14ac:dyDescent="0.25">
      <c r="A6" t="s">
        <v>53</v>
      </c>
      <c r="C6" s="1">
        <f ca="1">ExpKayaFactorsInt!C6-ExpKayaFactorsRef!C6</f>
        <v>0</v>
      </c>
      <c r="D6" s="1">
        <f ca="1">ExpKayaFactorsInt!D6-ExpKayaFactorsRef!D6</f>
        <v>0.2332030125000415</v>
      </c>
      <c r="E6" s="1">
        <f ca="1">ExpKayaFactorsInt!E6-ExpKayaFactorsRef!E6</f>
        <v>2.0015859500000488</v>
      </c>
      <c r="F6" s="1">
        <f ca="1">ExpKayaFactorsInt!F6-ExpKayaFactorsRef!F6</f>
        <v>-91.118593800000042</v>
      </c>
      <c r="G6" s="1">
        <f ca="1">ExpKayaFactorsInt!G6-ExpKayaFactorsRef!G6</f>
        <v>-268.49578916249999</v>
      </c>
      <c r="H6" s="1">
        <f ca="1">ExpKayaFactorsInt!H6-ExpKayaFactorsRef!H6</f>
        <v>-424.84576570000002</v>
      </c>
      <c r="I6" s="1">
        <f ca="1">ExpKayaFactorsInt!I6-ExpKayaFactorsRef!I6</f>
        <v>-517.18479690000004</v>
      </c>
      <c r="J6" s="1">
        <f ca="1">ExpKayaFactorsInt!J6-ExpKayaFactorsRef!J6</f>
        <v>-589.56588877187494</v>
      </c>
      <c r="K6" s="1">
        <f ca="1">ExpKayaFactorsInt!K6-ExpKayaFactorsRef!K6</f>
        <v>-614.60900986562501</v>
      </c>
      <c r="L6" s="1">
        <f ca="1">ExpKayaFactorsInt!L6-ExpKayaFactorsRef!L6</f>
        <v>-655.67548637812502</v>
      </c>
      <c r="M6" s="1">
        <f ca="1">ExpKayaFactorsInt!M6-ExpKayaFactorsRef!M6</f>
        <v>-710.02878615781242</v>
      </c>
      <c r="N6" s="1">
        <f ca="1">ExpKayaFactorsInt!N6-ExpKayaFactorsRef!N6</f>
        <v>-751.88049228749992</v>
      </c>
    </row>
    <row r="7" spans="1:14" ht="16" x14ac:dyDescent="0.2">
      <c r="A7" t="s">
        <v>43</v>
      </c>
      <c r="C7" s="1">
        <f ca="1">ExpKayaFactorsInt!C7-ExpKayaFactorsRef!C7</f>
        <v>0</v>
      </c>
      <c r="D7" s="1">
        <f ca="1">ExpKayaFactorsInt!D7-ExpKayaFactorsRef!D7</f>
        <v>-3.134230772651847E-3</v>
      </c>
      <c r="E7" s="1">
        <f ca="1">ExpKayaFactorsInt!E7-ExpKayaFactorsRef!E7</f>
        <v>0.10721556345621508</v>
      </c>
      <c r="F7" s="1">
        <f ca="1">ExpKayaFactorsInt!F7-ExpKayaFactorsRef!F7</f>
        <v>-7.2573722996288517</v>
      </c>
      <c r="G7" s="1">
        <f ca="1">ExpKayaFactorsInt!G7-ExpKayaFactorsRef!G7</f>
        <v>-21.087645606742445</v>
      </c>
      <c r="H7" s="1">
        <f ca="1">ExpKayaFactorsInt!H7-ExpKayaFactorsRef!H7</f>
        <v>-33.045240886588864</v>
      </c>
      <c r="I7" s="1">
        <f ca="1">ExpKayaFactorsInt!I7-ExpKayaFactorsRef!I7</f>
        <v>-39.99147065056934</v>
      </c>
      <c r="J7" s="1">
        <f ca="1">ExpKayaFactorsInt!J7-ExpKayaFactorsRef!J7</f>
        <v>-44.970558269652578</v>
      </c>
      <c r="K7" s="1">
        <f ca="1">ExpKayaFactorsInt!K7-ExpKayaFactorsRef!K7</f>
        <v>-47.65652523610256</v>
      </c>
      <c r="L7" s="1">
        <f ca="1">ExpKayaFactorsInt!L7-ExpKayaFactorsRef!L7</f>
        <v>-51.353125795276185</v>
      </c>
      <c r="M7" s="1">
        <f ca="1">ExpKayaFactorsInt!M7-ExpKayaFactorsRef!M7</f>
        <v>-56.160761519980007</v>
      </c>
      <c r="N7" s="1">
        <f ca="1">ExpKayaFactorsInt!N7-ExpKayaFactorsRef!N7</f>
        <v>-60.570979965604479</v>
      </c>
    </row>
    <row r="8" spans="1:14" ht="16" x14ac:dyDescent="0.2">
      <c r="A8" t="s">
        <v>54</v>
      </c>
      <c r="C8" s="1">
        <f ca="1">ExpKayaFactorsInt!C8-ExpKayaFactorsRef!C8</f>
        <v>0</v>
      </c>
      <c r="D8" s="1">
        <f ca="1">ExpKayaFactorsInt!D8-ExpKayaFactorsRef!D8</f>
        <v>-3.134230772651847E-3</v>
      </c>
      <c r="E8" s="1">
        <f ca="1">ExpKayaFactorsInt!E8-ExpKayaFactorsRef!E8</f>
        <v>0.10721556345621508</v>
      </c>
      <c r="F8" s="1">
        <f ca="1">ExpKayaFactorsInt!F8-ExpKayaFactorsRef!F8</f>
        <v>-7.2902054786682129</v>
      </c>
      <c r="G8" s="1">
        <f ca="1">ExpKayaFactorsInt!G8-ExpKayaFactorsRef!G8</f>
        <v>-22.331053096038023</v>
      </c>
      <c r="H8" s="1">
        <f ca="1">ExpKayaFactorsInt!H8-ExpKayaFactorsRef!H8</f>
        <v>-35.500564926808771</v>
      </c>
      <c r="I8" s="1">
        <f ca="1">ExpKayaFactorsInt!I8-ExpKayaFactorsRef!I8</f>
        <v>-43.031778824766661</v>
      </c>
      <c r="J8" s="1">
        <f ca="1">ExpKayaFactorsInt!J8-ExpKayaFactorsRef!J8</f>
        <v>-49.298039841789432</v>
      </c>
      <c r="K8" s="1">
        <f ca="1">ExpKayaFactorsInt!K8-ExpKayaFactorsRef!K8</f>
        <v>-53.877046872383588</v>
      </c>
      <c r="L8" s="1">
        <f ca="1">ExpKayaFactorsInt!L8-ExpKayaFactorsRef!L8</f>
        <v>-57.591866666637159</v>
      </c>
      <c r="M8" s="1">
        <f ca="1">ExpKayaFactorsInt!M8-ExpKayaFactorsRef!M8</f>
        <v>-61.782131769040468</v>
      </c>
      <c r="N8" s="1">
        <f ca="1">ExpKayaFactorsInt!N8-ExpKayaFactorsRef!N8</f>
        <v>-66.291485704799314</v>
      </c>
    </row>
    <row r="9" spans="1:14" ht="16" x14ac:dyDescent="0.2">
      <c r="A9"/>
    </row>
    <row r="10" spans="1:14" ht="16" x14ac:dyDescent="0.2">
      <c r="A10" s="21" t="s">
        <v>56</v>
      </c>
      <c r="C10" s="1">
        <f>ExpKayaFactorsInt!C14-ExpKayaFactorsRef!C14</f>
        <v>0</v>
      </c>
      <c r="D10" s="1">
        <f>ExpKayaFactorsInt!D14-ExpKayaFactorsRef!D14</f>
        <v>0</v>
      </c>
      <c r="E10" s="1">
        <f>ExpKayaFactorsInt!E14-ExpKayaFactorsRef!E14</f>
        <v>0</v>
      </c>
      <c r="F10" s="1">
        <f>ExpKayaFactorsInt!F14-ExpKayaFactorsRef!F14</f>
        <v>0</v>
      </c>
      <c r="G10" s="1">
        <f>ExpKayaFactorsInt!G14-ExpKayaFactorsRef!G14</f>
        <v>0</v>
      </c>
      <c r="H10" s="1">
        <f>ExpKayaFactorsInt!H14-ExpKayaFactorsRef!H14</f>
        <v>0</v>
      </c>
      <c r="I10" s="1">
        <f>ExpKayaFactorsInt!I14-ExpKayaFactorsRef!I14</f>
        <v>0</v>
      </c>
      <c r="J10" s="1">
        <f>ExpKayaFactorsInt!J14-ExpKayaFactorsRef!J14</f>
        <v>0</v>
      </c>
      <c r="K10" s="1">
        <f>ExpKayaFactorsInt!K14-ExpKayaFactorsRef!K14</f>
        <v>0</v>
      </c>
      <c r="L10" s="1">
        <f>ExpKayaFactorsInt!L14-ExpKayaFactorsRef!L14</f>
        <v>0</v>
      </c>
      <c r="M10" s="1">
        <f>ExpKayaFactorsInt!M14-ExpKayaFactorsRef!M14</f>
        <v>0</v>
      </c>
      <c r="N10" s="1">
        <f>ExpKayaFactorsInt!N14-ExpKayaFactorsRef!N14</f>
        <v>0</v>
      </c>
    </row>
    <row r="11" spans="1:14" ht="16" x14ac:dyDescent="0.2">
      <c r="A11" t="s">
        <v>49</v>
      </c>
      <c r="C11" s="1">
        <f ca="1">ExpKayaFactorsInt!C15-ExpKayaFactorsRef!C15</f>
        <v>0</v>
      </c>
      <c r="D11" s="1">
        <f ca="1">ExpKayaFactorsInt!D15-ExpKayaFactorsRef!D15</f>
        <v>-3.5726976932437537E-12</v>
      </c>
      <c r="E11" s="1">
        <f ca="1">ExpKayaFactorsInt!E15-ExpKayaFactorsRef!E15</f>
        <v>0</v>
      </c>
      <c r="F11" s="1">
        <f ca="1">ExpKayaFactorsInt!F15-ExpKayaFactorsRef!F15</f>
        <v>-1.3782108939345949E-2</v>
      </c>
      <c r="G11" s="1">
        <f ca="1">ExpKayaFactorsInt!G15-ExpKayaFactorsRef!G15</f>
        <v>-3.8392428367783671E-2</v>
      </c>
      <c r="H11" s="1">
        <f ca="1">ExpKayaFactorsInt!H15-ExpKayaFactorsRef!H15</f>
        <v>-6.7672170608382487E-2</v>
      </c>
      <c r="I11" s="1">
        <f ca="1">ExpKayaFactorsInt!I15-ExpKayaFactorsRef!I15</f>
        <v>-0.1028696566535936</v>
      </c>
      <c r="J11" s="1">
        <f ca="1">ExpKayaFactorsInt!J15-ExpKayaFactorsRef!J15</f>
        <v>-0.13981800854435633</v>
      </c>
      <c r="K11" s="1">
        <f ca="1">ExpKayaFactorsInt!K15-ExpKayaFactorsRef!K15</f>
        <v>-0.178009320339648</v>
      </c>
      <c r="L11" s="1">
        <f ca="1">ExpKayaFactorsInt!L15-ExpKayaFactorsRef!L15</f>
        <v>-0.21856176152674522</v>
      </c>
      <c r="M11" s="1">
        <f ca="1">ExpKayaFactorsInt!M15-ExpKayaFactorsRef!M15</f>
        <v>-0.26225165307858433</v>
      </c>
      <c r="N11" s="1">
        <f ca="1">ExpKayaFactorsInt!N15-ExpKayaFactorsRef!N15</f>
        <v>-0.30992606991680782</v>
      </c>
    </row>
    <row r="12" spans="1:14" ht="16" x14ac:dyDescent="0.2">
      <c r="A12" t="s">
        <v>50</v>
      </c>
      <c r="C12" s="1">
        <f ca="1">ExpKayaFactorsInt!C16-ExpKayaFactorsRef!C16</f>
        <v>0</v>
      </c>
      <c r="D12" s="1">
        <f ca="1">ExpKayaFactorsInt!D16-ExpKayaFactorsRef!D16</f>
        <v>-8.3251405769146913E-11</v>
      </c>
      <c r="E12" s="1">
        <f ca="1">ExpKayaFactorsInt!E16-ExpKayaFactorsRef!E16</f>
        <v>0</v>
      </c>
      <c r="F12" s="1">
        <f ca="1">ExpKayaFactorsInt!F16-ExpKayaFactorsRef!F16</f>
        <v>-7.665647465549652E-3</v>
      </c>
      <c r="G12" s="1">
        <f ca="1">ExpKayaFactorsInt!G16-ExpKayaFactorsRef!G16</f>
        <v>-3.2824150645883066E-2</v>
      </c>
      <c r="H12" s="1">
        <f ca="1">ExpKayaFactorsInt!H16-ExpKayaFactorsRef!H16</f>
        <v>-7.5773459968468959E-2</v>
      </c>
      <c r="I12" s="1">
        <f ca="1">ExpKayaFactorsInt!I16-ExpKayaFactorsRef!I16</f>
        <v>-0.14927740977237702</v>
      </c>
      <c r="J12" s="1">
        <f ca="1">ExpKayaFactorsInt!J16-ExpKayaFactorsRef!J16</f>
        <v>-0.26569940080666354</v>
      </c>
      <c r="K12" s="1">
        <f ca="1">ExpKayaFactorsInt!K16-ExpKayaFactorsRef!K16</f>
        <v>-0.44519526800555465</v>
      </c>
      <c r="L12" s="1">
        <f ca="1">ExpKayaFactorsInt!L16-ExpKayaFactorsRef!L16</f>
        <v>-0.7104245165208205</v>
      </c>
      <c r="M12" s="1">
        <f ca="1">ExpKayaFactorsInt!M16-ExpKayaFactorsRef!M16</f>
        <v>-1.0950824493680367</v>
      </c>
      <c r="N12" s="1">
        <f ca="1">ExpKayaFactorsInt!N16-ExpKayaFactorsRef!N16</f>
        <v>-1.6336225419494594</v>
      </c>
    </row>
    <row r="13" spans="1:14" ht="16" x14ac:dyDescent="0.2">
      <c r="A13" t="s">
        <v>51</v>
      </c>
      <c r="C13" s="1">
        <f ca="1">ExpKayaFactorsInt!C17-ExpKayaFactorsRef!C17</f>
        <v>0</v>
      </c>
      <c r="D13" s="1">
        <f ca="1">ExpKayaFactorsInt!D17-ExpKayaFactorsRef!D17</f>
        <v>1.2405725143661561E-3</v>
      </c>
      <c r="E13" s="1">
        <f ca="1">ExpKayaFactorsInt!E17-ExpKayaFactorsRef!E17</f>
        <v>0</v>
      </c>
      <c r="F13" s="1">
        <f ca="1">ExpKayaFactorsInt!F17-ExpKayaFactorsRef!F17</f>
        <v>-0.15585523946874713</v>
      </c>
      <c r="G13" s="1">
        <f ca="1">ExpKayaFactorsInt!G17-ExpKayaFactorsRef!G17</f>
        <v>-0.48688482563790147</v>
      </c>
      <c r="H13" s="1">
        <f ca="1">ExpKayaFactorsInt!H17-ExpKayaFactorsRef!H17</f>
        <v>-0.73485708716927123</v>
      </c>
      <c r="I13" s="1">
        <f ca="1">ExpKayaFactorsInt!I17-ExpKayaFactorsRef!I17</f>
        <v>-0.87336221416959614</v>
      </c>
      <c r="J13" s="1">
        <f ca="1">ExpKayaFactorsInt!J17-ExpKayaFactorsRef!J17</f>
        <v>-0.98922978776307191</v>
      </c>
      <c r="K13" s="1">
        <f ca="1">ExpKayaFactorsInt!K17-ExpKayaFactorsRef!K17</f>
        <v>-1.0874260477728326</v>
      </c>
      <c r="L13" s="1">
        <f ca="1">ExpKayaFactorsInt!L17-ExpKayaFactorsRef!L17</f>
        <v>-1.1699492575834063</v>
      </c>
      <c r="M13" s="1">
        <f ca="1">ExpKayaFactorsInt!M17-ExpKayaFactorsRef!M17</f>
        <v>-1.2444009411185599</v>
      </c>
      <c r="N13" s="1">
        <f ca="1">ExpKayaFactorsInt!N17-ExpKayaFactorsRef!N17</f>
        <v>-1.31885300160686</v>
      </c>
    </row>
    <row r="14" spans="1:14" ht="19" x14ac:dyDescent="0.2">
      <c r="A14" t="s">
        <v>52</v>
      </c>
      <c r="C14" s="1">
        <f ca="1">ExpKayaFactorsInt!C18-ExpKayaFactorsRef!C18</f>
        <v>0</v>
      </c>
      <c r="D14" s="1">
        <f ca="1">ExpKayaFactorsInt!D18-ExpKayaFactorsRef!D18</f>
        <v>7.028537952377123E-4</v>
      </c>
      <c r="E14" s="1">
        <f ca="1">ExpKayaFactorsInt!E18-ExpKayaFactorsRef!E18</f>
        <v>0</v>
      </c>
      <c r="F14" s="1">
        <f ca="1">ExpKayaFactorsInt!F18-ExpKayaFactorsRef!F18</f>
        <v>-0.16193837371059461</v>
      </c>
      <c r="G14" s="1">
        <f ca="1">ExpKayaFactorsInt!G18-ExpKayaFactorsRef!G18</f>
        <v>-0.54118952957489319</v>
      </c>
      <c r="H14" s="1">
        <f ca="1">ExpKayaFactorsInt!H18-ExpKayaFactorsRef!H18</f>
        <v>-0.84043739722413358</v>
      </c>
      <c r="I14" s="1">
        <f ca="1">ExpKayaFactorsInt!I18-ExpKayaFactorsRef!I18</f>
        <v>-0.95078082653596729</v>
      </c>
      <c r="J14" s="1">
        <f ca="1">ExpKayaFactorsInt!J18-ExpKayaFactorsRef!J18</f>
        <v>-1.0406488345736484</v>
      </c>
      <c r="K14" s="1">
        <f ca="1">ExpKayaFactorsInt!K18-ExpKayaFactorsRef!K18</f>
        <v>-1.0662841586182592</v>
      </c>
      <c r="L14" s="1">
        <f ca="1">ExpKayaFactorsInt!L18-ExpKayaFactorsRef!L18</f>
        <v>-1.1222672634577204</v>
      </c>
      <c r="M14" s="1">
        <f ca="1">ExpKayaFactorsInt!M18-ExpKayaFactorsRef!M18</f>
        <v>-1.2181834378172811</v>
      </c>
      <c r="N14" s="1">
        <f ca="1">ExpKayaFactorsInt!N18-ExpKayaFactorsRef!N18</f>
        <v>-1.3022696397355835</v>
      </c>
    </row>
    <row r="15" spans="1:14" ht="18" x14ac:dyDescent="0.25">
      <c r="A15" t="s">
        <v>53</v>
      </c>
      <c r="C15" s="1">
        <f ca="1">ExpKayaFactorsInt!C19-ExpKayaFactorsRef!C19</f>
        <v>0</v>
      </c>
      <c r="D15" s="1">
        <f ca="1">ExpKayaFactorsInt!D19-ExpKayaFactorsRef!D19</f>
        <v>-3.6968086230528829E-3</v>
      </c>
      <c r="E15" s="1">
        <f ca="1">ExpKayaFactorsInt!E19-ExpKayaFactorsRef!E19</f>
        <v>0</v>
      </c>
      <c r="F15" s="1">
        <f ca="1">ExpKayaFactorsInt!F19-ExpKayaFactorsRef!F19</f>
        <v>-0.2160131573362758</v>
      </c>
      <c r="G15" s="1">
        <f ca="1">ExpKayaFactorsInt!G19-ExpKayaFactorsRef!G19</f>
        <v>-0.62672037589726148</v>
      </c>
      <c r="H15" s="1">
        <f ca="1">ExpKayaFactorsInt!H19-ExpKayaFactorsRef!H19</f>
        <v>-0.98867554257015366</v>
      </c>
      <c r="I15" s="1">
        <f ca="1">ExpKayaFactorsInt!I19-ExpKayaFactorsRef!I19</f>
        <v>-1.2027490741422355</v>
      </c>
      <c r="J15" s="1">
        <f ca="1">ExpKayaFactorsInt!J19-ExpKayaFactorsRef!J19</f>
        <v>-1.3708730164196168</v>
      </c>
      <c r="K15" s="1">
        <f ca="1">ExpKayaFactorsInt!K19-ExpKayaFactorsRef!K19</f>
        <v>-1.4292541875361451</v>
      </c>
      <c r="L15" s="1">
        <f ca="1">ExpKayaFactorsInt!L19-ExpKayaFactorsRef!L19</f>
        <v>-1.5245443179022693</v>
      </c>
      <c r="M15" s="1">
        <f ca="1">ExpKayaFactorsInt!M19-ExpKayaFactorsRef!M19</f>
        <v>-1.6505935377599017</v>
      </c>
      <c r="N15" s="1">
        <f ca="1">ExpKayaFactorsInt!N19-ExpKayaFactorsRef!N19</f>
        <v>-1.7477764176017949</v>
      </c>
    </row>
    <row r="16" spans="1:14" ht="16" x14ac:dyDescent="0.2">
      <c r="A16" t="s">
        <v>43</v>
      </c>
      <c r="C16" s="1">
        <f ca="1">ExpKayaFactorsInt!C20-ExpKayaFactorsRef!C20</f>
        <v>0</v>
      </c>
      <c r="D16" s="1">
        <f ca="1">ExpKayaFactorsInt!D20-ExpKayaFactorsRef!D20</f>
        <v>-3.4803578105070399E-3</v>
      </c>
      <c r="E16" s="1">
        <f ca="1">ExpKayaFactorsInt!E20-ExpKayaFactorsRef!E20</f>
        <v>0</v>
      </c>
      <c r="F16" s="1">
        <f ca="1">ExpKayaFactorsInt!F20-ExpKayaFactorsRef!F20</f>
        <v>-0.24137107452322693</v>
      </c>
      <c r="G16" s="1">
        <f ca="1">ExpKayaFactorsInt!G20-ExpKayaFactorsRef!G20</f>
        <v>-0.69391959121693902</v>
      </c>
      <c r="H16" s="1">
        <f ca="1">ExpKayaFactorsInt!H20-ExpKayaFactorsRef!H20</f>
        <v>-1.0851157867776924</v>
      </c>
      <c r="I16" s="1">
        <f ca="1">ExpKayaFactorsInt!I20-ExpKayaFactorsRef!I20</f>
        <v>-1.3125939599726126</v>
      </c>
      <c r="J16" s="1">
        <f ca="1">ExpKayaFactorsInt!J20-ExpKayaFactorsRef!J20</f>
        <v>-1.4758952603561666</v>
      </c>
      <c r="K16" s="1">
        <f ca="1">ExpKayaFactorsInt!K20-ExpKayaFactorsRef!K20</f>
        <v>-1.5641210394406737</v>
      </c>
      <c r="L16" s="1">
        <f ca="1">ExpKayaFactorsInt!L20-ExpKayaFactorsRef!L20</f>
        <v>-1.6852941921441353</v>
      </c>
      <c r="M16" s="1">
        <f ca="1">ExpKayaFactorsInt!M20-ExpKayaFactorsRef!M20</f>
        <v>-1.8428754451804372</v>
      </c>
      <c r="N16" s="1">
        <f ca="1">ExpKayaFactorsInt!N20-ExpKayaFactorsRef!N20</f>
        <v>-1.9875477957318781</v>
      </c>
    </row>
    <row r="17" spans="1:14" ht="16" x14ac:dyDescent="0.2">
      <c r="A17" t="s">
        <v>54</v>
      </c>
      <c r="C17" s="1">
        <f ca="1">ExpKayaFactorsInt!C21-ExpKayaFactorsRef!C21</f>
        <v>0</v>
      </c>
      <c r="D17" s="1">
        <f ca="1">ExpKayaFactorsInt!D21-ExpKayaFactorsRef!D21</f>
        <v>-3.4803578105070399E-3</v>
      </c>
      <c r="E17" s="1">
        <f ca="1">ExpKayaFactorsInt!E21-ExpKayaFactorsRef!E21</f>
        <v>0</v>
      </c>
      <c r="F17" s="1">
        <f ca="1">ExpKayaFactorsInt!F21-ExpKayaFactorsRef!F21</f>
        <v>-0.24244412980856811</v>
      </c>
      <c r="G17" s="1">
        <f ca="1">ExpKayaFactorsInt!G21-ExpKayaFactorsRef!G21</f>
        <v>-0.7345566850731825</v>
      </c>
      <c r="H17" s="1">
        <f ca="1">ExpKayaFactorsInt!H21-ExpKayaFactorsRef!H21</f>
        <v>-1.1653607863686419</v>
      </c>
      <c r="I17" s="1">
        <f ca="1">ExpKayaFactorsInt!I21-ExpKayaFactorsRef!I21</f>
        <v>-1.4119574346905868</v>
      </c>
      <c r="J17" s="1">
        <f ca="1">ExpKayaFactorsInt!J21-ExpKayaFactorsRef!J21</f>
        <v>-1.6173261881268499</v>
      </c>
      <c r="K17" s="1">
        <f ca="1">ExpKayaFactorsInt!K21-ExpKayaFactorsRef!K21</f>
        <v>-1.7674203791539598</v>
      </c>
      <c r="L17" s="1">
        <f ca="1">ExpKayaFactorsInt!L21-ExpKayaFactorsRef!L21</f>
        <v>-1.8891889736352028</v>
      </c>
      <c r="M17" s="1">
        <f ca="1">ExpKayaFactorsInt!M21-ExpKayaFactorsRef!M21</f>
        <v>-2.0265932950231944</v>
      </c>
      <c r="N17" s="1">
        <f ca="1">ExpKayaFactorsInt!N21-ExpKayaFactorsRef!N21</f>
        <v>-2.1745055956728594</v>
      </c>
    </row>
  </sheetData>
  <pageMargins left="0.7" right="0.7" top="0.75" bottom="0.75" header="0.3" footer="0.3"/>
  <pageSetup orientation="portrait" horizontalDpi="0" verticalDpi="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73DC2-D4EA-4D41-9C43-7050832E1094}">
  <sheetPr codeName="Sheet49"/>
  <dimension ref="A1:N29"/>
  <sheetViews>
    <sheetView workbookViewId="0">
      <selection activeCell="D19" sqref="D19"/>
    </sheetView>
  </sheetViews>
  <sheetFormatPr baseColWidth="10" defaultRowHeight="13" x14ac:dyDescent="0.15"/>
  <cols>
    <col min="1" max="1" width="23.33203125" style="1" customWidth="1"/>
    <col min="2" max="16384" width="10.83203125" style="1"/>
  </cols>
  <sheetData>
    <row r="1" spans="1:14" ht="18" x14ac:dyDescent="0.2">
      <c r="A1" s="191" t="s">
        <v>190</v>
      </c>
      <c r="C1" s="1">
        <f>ExpKayaRatiosInt!C1</f>
        <v>2000</v>
      </c>
      <c r="D1" s="1">
        <f>ExpKayaRatiosInt!D1</f>
        <v>2005</v>
      </c>
      <c r="E1" s="1">
        <f>ExpKayaRatiosInt!E1</f>
        <v>2010</v>
      </c>
      <c r="F1" s="1">
        <f>ExpKayaRatiosInt!F1</f>
        <v>2020</v>
      </c>
      <c r="G1" s="1">
        <f>ExpKayaRatiosInt!G1</f>
        <v>2030</v>
      </c>
      <c r="H1" s="1">
        <f>ExpKayaRatiosInt!H1</f>
        <v>2040</v>
      </c>
      <c r="I1" s="1">
        <f>ExpKayaRatiosInt!I1</f>
        <v>2050</v>
      </c>
      <c r="J1" s="1">
        <f>ExpKayaRatiosInt!J1</f>
        <v>2060</v>
      </c>
      <c r="K1" s="1">
        <f>ExpKayaRatiosInt!K1</f>
        <v>2070</v>
      </c>
      <c r="L1" s="1">
        <f>ExpKayaRatiosInt!L1</f>
        <v>2080</v>
      </c>
      <c r="M1" s="1">
        <f>ExpKayaRatiosInt!M1</f>
        <v>2090</v>
      </c>
      <c r="N1" s="1">
        <f>ExpKayaRatiosInt!N1</f>
        <v>2100</v>
      </c>
    </row>
    <row r="2" spans="1:14" ht="16" x14ac:dyDescent="0.2">
      <c r="A2" t="s">
        <v>49</v>
      </c>
      <c r="C2" s="1">
        <f>ExpKayaRatiosInt!C2-ExpKayaRatiosRef!C2</f>
        <v>0</v>
      </c>
      <c r="D2" s="1">
        <f ca="1">ExpKayaRatiosInt!D2-ExpKayaRatiosRef!D2</f>
        <v>-4.3749981415430739E-10</v>
      </c>
      <c r="E2" s="1">
        <f ca="1">ExpKayaRatiosInt!E2-ExpKayaRatiosRef!E2</f>
        <v>-4.3749981415430739E-10</v>
      </c>
      <c r="F2" s="1">
        <f ca="1">ExpKayaRatiosInt!F2-ExpKayaRatiosRef!F2</f>
        <v>-9.5396972531250235E-2</v>
      </c>
      <c r="G2" s="1">
        <f ca="1">ExpKayaRatiosInt!G2-ExpKayaRatiosRef!G2</f>
        <v>-0.26574462871875149</v>
      </c>
      <c r="H2" s="1">
        <f ca="1">ExpKayaRatiosInt!H2-ExpKayaRatiosRef!H2</f>
        <v>-0.46841308568749973</v>
      </c>
      <c r="I2" s="1">
        <f ca="1">ExpKayaRatiosInt!I2-ExpKayaRatiosRef!I2</f>
        <v>-0.71204296900000053</v>
      </c>
      <c r="J2" s="1">
        <f ca="1">ExpKayaRatiosInt!J2-ExpKayaRatiosRef!J2</f>
        <v>-0.9677919917500013</v>
      </c>
      <c r="K2" s="1">
        <f ca="1">ExpKayaRatiosInt!K2-ExpKayaRatiosRef!K2</f>
        <v>-1.2321445316874993</v>
      </c>
      <c r="L2" s="1">
        <f ca="1">ExpKayaRatiosInt!L2-ExpKayaRatiosRef!L2</f>
        <v>-1.5128403319687491</v>
      </c>
      <c r="M2" s="1">
        <f ca="1">ExpKayaRatiosInt!M2-ExpKayaRatiosRef!M2</f>
        <v>-1.8152529294375004</v>
      </c>
      <c r="N2" s="1">
        <f ca="1">ExpKayaRatiosInt!N2-ExpKayaRatiosRef!N2</f>
        <v>-2.1452456054687499</v>
      </c>
    </row>
    <row r="3" spans="1:14" ht="16" x14ac:dyDescent="0.2">
      <c r="A3" t="s">
        <v>59</v>
      </c>
      <c r="C3" s="1" t="e">
        <f>ExpKayaRatiosInt!C3-ExpKayaRatiosRef!C3</f>
        <v>#DIV/0!</v>
      </c>
      <c r="D3" s="1">
        <f ca="1">ExpKayaRatiosInt!D3-ExpKayaRatiosRef!D3</f>
        <v>-9669.7349489079279</v>
      </c>
      <c r="E3" s="1">
        <f ca="1">ExpKayaRatiosInt!E3-ExpKayaRatiosRef!E3</f>
        <v>76.554530028502995</v>
      </c>
      <c r="F3" s="1">
        <f ca="1">ExpKayaRatiosInt!F3-ExpKayaRatiosRef!F3</f>
        <v>210.51009377883929</v>
      </c>
      <c r="G3" s="1">
        <f ca="1">ExpKayaRatiosInt!G3-ExpKayaRatiosRef!G3</f>
        <v>460.77893697666877</v>
      </c>
      <c r="H3" s="1">
        <f ca="1">ExpKayaRatiosInt!H3-ExpKayaRatiosRef!H3</f>
        <v>796.06455357867162</v>
      </c>
      <c r="I3" s="1">
        <f ca="1">ExpKayaRatiosInt!I3-ExpKayaRatiosRef!I3</f>
        <v>1212.124342358733</v>
      </c>
      <c r="J3" s="1">
        <f ca="1">ExpKayaRatiosInt!J3-ExpKayaRatiosRef!J3</f>
        <v>1638.8821056333181</v>
      </c>
      <c r="K3" s="1">
        <f ca="1">ExpKayaRatiosInt!K3-ExpKayaRatiosRef!K3</f>
        <v>2054.9182316126607</v>
      </c>
      <c r="L3" s="1">
        <f ca="1">ExpKayaRatiosInt!L3-ExpKayaRatiosRef!L3</f>
        <v>2431.9527082522909</v>
      </c>
      <c r="M3" s="1">
        <f ca="1">ExpKayaRatiosInt!M3-ExpKayaRatiosRef!M3</f>
        <v>2708.13657210151</v>
      </c>
      <c r="N3" s="1">
        <f ca="1">ExpKayaRatiosInt!N3-ExpKayaRatiosRef!N3</f>
        <v>2845.8319891963401</v>
      </c>
    </row>
    <row r="4" spans="1:14" ht="16" x14ac:dyDescent="0.2">
      <c r="A4" t="s">
        <v>60</v>
      </c>
      <c r="C4" s="1" t="e">
        <f>ExpKayaRatiosInt!C4-ExpKayaRatiosRef!C4</f>
        <v>#DIV/0!</v>
      </c>
      <c r="D4" s="1">
        <f ca="1">ExpKayaRatiosInt!D4-ExpKayaRatiosRef!D4</f>
        <v>-5.4011101672220896</v>
      </c>
      <c r="E4" s="1">
        <f ca="1">ExpKayaRatiosInt!E4-ExpKayaRatiosRef!E4</f>
        <v>-3.6238207059846594E-2</v>
      </c>
      <c r="F4" s="1">
        <f ca="1">ExpKayaRatiosInt!F4-ExpKayaRatiosRef!F4</f>
        <v>-0.52074628461391992</v>
      </c>
      <c r="G4" s="1">
        <f ca="1">ExpKayaRatiosInt!G4-ExpKayaRatiosRef!G4</f>
        <v>-1.1096523313866664</v>
      </c>
      <c r="H4" s="1">
        <f ca="1">ExpKayaRatiosInt!H4-ExpKayaRatiosRef!H4</f>
        <v>-1.2775922563444095</v>
      </c>
      <c r="I4" s="1">
        <f ca="1">ExpKayaRatiosInt!I4-ExpKayaRatiosRef!I4</f>
        <v>-1.2066708614458439</v>
      </c>
      <c r="J4" s="1">
        <f ca="1">ExpKayaRatiosInt!J4-ExpKayaRatiosRef!J4</f>
        <v>-1.1102322646115246</v>
      </c>
      <c r="K4" s="1">
        <f ca="1">ExpKayaRatiosInt!K4-ExpKayaRatiosRef!K4</f>
        <v>-0.99626823755812655</v>
      </c>
      <c r="L4" s="1">
        <f ca="1">ExpKayaRatiosInt!L4-ExpKayaRatiosRef!L4</f>
        <v>-0.88050723621183091</v>
      </c>
      <c r="M4" s="1">
        <f ca="1">ExpKayaRatiosInt!M4-ExpKayaRatiosRef!M4</f>
        <v>-0.77129137120975666</v>
      </c>
      <c r="N4" s="1">
        <f ca="1">ExpKayaRatiosInt!N4-ExpKayaRatiosRef!N4</f>
        <v>-0.67205904477120171</v>
      </c>
    </row>
    <row r="5" spans="1:14" ht="19" x14ac:dyDescent="0.2">
      <c r="A5" t="s">
        <v>62</v>
      </c>
      <c r="C5" s="1" t="e">
        <f>ExpKayaRatiosInt!C5-ExpKayaRatiosRef!C5</f>
        <v>#DIV/0!</v>
      </c>
      <c r="D5" s="1">
        <f ca="1">ExpKayaRatiosInt!D5-ExpKayaRatiosRef!D5</f>
        <v>-1.3457755961309554</v>
      </c>
      <c r="E5" s="1">
        <f ca="1">ExpKayaRatiosInt!E5-ExpKayaRatiosRef!E5</f>
        <v>1.8085134537413339E-3</v>
      </c>
      <c r="F5" s="1">
        <f ca="1">ExpKayaRatiosInt!F5-ExpKayaRatiosRef!F5</f>
        <v>-1.9365302977423227E-3</v>
      </c>
      <c r="G5" s="1">
        <f ca="1">ExpKayaRatiosInt!G5-ExpKayaRatiosRef!G5</f>
        <v>-6.8237985405877888E-2</v>
      </c>
      <c r="H5" s="1">
        <f ca="1">ExpKayaRatiosInt!H5-ExpKayaRatiosRef!H5</f>
        <v>-0.17635822947985447</v>
      </c>
      <c r="I5" s="1">
        <f ca="1">ExpKayaRatiosInt!I5-ExpKayaRatiosRef!I5</f>
        <v>-0.1296042005935889</v>
      </c>
      <c r="J5" s="1">
        <f ca="1">ExpKayaRatiosInt!J5-ExpKayaRatiosRef!J5</f>
        <v>-9.1806047607384311E-2</v>
      </c>
      <c r="K5" s="1">
        <f ca="1">ExpKayaRatiosInt!K5-ExpKayaRatiosRef!K5</f>
        <v>1.4492447856136126E-2</v>
      </c>
      <c r="L5" s="1">
        <f ca="1">ExpKayaRatiosInt!L5-ExpKayaRatiosRef!L5</f>
        <v>4.8870918279244835E-2</v>
      </c>
      <c r="M5" s="1">
        <f ca="1">ExpKayaRatiosInt!M5-ExpKayaRatiosRef!M5</f>
        <v>3.0305185026666237E-2</v>
      </c>
      <c r="N5" s="1">
        <f ca="1">ExpKayaRatiosInt!N5-ExpKayaRatiosRef!N5</f>
        <v>3.9578187494402783E-2</v>
      </c>
    </row>
    <row r="6" spans="1:14" ht="19" x14ac:dyDescent="0.2">
      <c r="A6" t="s">
        <v>66</v>
      </c>
      <c r="C6" s="1" t="e">
        <f>ExpKayaRatiosInt!C6-ExpKayaRatiosRef!C6</f>
        <v>#DIV/0!</v>
      </c>
      <c r="D6" s="1">
        <f ca="1">ExpKayaRatiosInt!D6-ExpKayaRatiosRef!D6</f>
        <v>-0.85884811084796486</v>
      </c>
      <c r="E6" s="1">
        <f ca="1">ExpKayaRatiosInt!E6-ExpKayaRatiosRef!E6</f>
        <v>3.1979871566950591E-3</v>
      </c>
      <c r="F6" s="1">
        <f ca="1">ExpKayaRatiosInt!F6-ExpKayaRatiosRef!F6</f>
        <v>-4.361958020432366E-2</v>
      </c>
      <c r="G6" s="1">
        <f ca="1">ExpKayaRatiosInt!G6-ExpKayaRatiosRef!G6</f>
        <v>-9.9369734081787175E-2</v>
      </c>
      <c r="H6" s="1">
        <f ca="1">ExpKayaRatiosInt!H6-ExpKayaRatiosRef!H6</f>
        <v>-0.23822743642269384</v>
      </c>
      <c r="I6" s="1">
        <f ca="1">ExpKayaRatiosInt!I6-ExpKayaRatiosRef!I6</f>
        <v>-0.36468103521047573</v>
      </c>
      <c r="J6" s="1">
        <f ca="1">ExpKayaRatiosInt!J6-ExpKayaRatiosRef!J6</f>
        <v>-0.4081144752006704</v>
      </c>
      <c r="K6" s="1">
        <f ca="1">ExpKayaRatiosInt!K6-ExpKayaRatiosRef!K6</f>
        <v>-0.40234856035960159</v>
      </c>
      <c r="L6" s="1">
        <f ca="1">ExpKayaRatiosInt!L6-ExpKayaRatiosRef!L6</f>
        <v>-0.43131170357172749</v>
      </c>
      <c r="M6" s="1">
        <f ca="1">ExpKayaRatiosInt!M6-ExpKayaRatiosRef!M6</f>
        <v>-0.46524027429255393</v>
      </c>
      <c r="N6" s="1">
        <f ca="1">ExpKayaRatiosInt!N6-ExpKayaRatiosRef!N6</f>
        <v>-0.47313182119195707</v>
      </c>
    </row>
    <row r="7" spans="1:14" ht="19" x14ac:dyDescent="0.2">
      <c r="A7" t="s">
        <v>64</v>
      </c>
      <c r="C7" s="1" t="e">
        <f>ExpKayaRatiosInt!C7-ExpKayaRatiosRef!C7</f>
        <v>#DIV/0!</v>
      </c>
      <c r="D7" s="1">
        <f ca="1">ExpKayaRatiosInt!D7-ExpKayaRatiosRef!D7</f>
        <v>-74.561240825193366</v>
      </c>
      <c r="E7" s="1">
        <f ca="1">ExpKayaRatiosInt!E7-ExpKayaRatiosRef!E7</f>
        <v>-7.9784689616602122E-2</v>
      </c>
      <c r="F7" s="1">
        <f ca="1">ExpKayaRatiosInt!F7-ExpKayaRatiosRef!F7</f>
        <v>-1.550721921012439</v>
      </c>
      <c r="G7" s="1">
        <f ca="1">ExpKayaRatiosInt!G7-ExpKayaRatiosRef!G7</f>
        <v>-5.1165558608221318</v>
      </c>
      <c r="H7" s="1">
        <f ca="1">ExpKayaRatiosInt!H7-ExpKayaRatiosRef!H7</f>
        <v>-11.641991596812929</v>
      </c>
      <c r="I7" s="1">
        <f ca="1">ExpKayaRatiosInt!I7-ExpKayaRatiosRef!I7</f>
        <v>-16.767401104898781</v>
      </c>
      <c r="J7" s="1">
        <f ca="1">ExpKayaRatiosInt!J7-ExpKayaRatiosRef!J7</f>
        <v>-17.066709887682741</v>
      </c>
      <c r="K7" s="1">
        <f ca="1">ExpKayaRatiosInt!K7-ExpKayaRatiosRef!K7</f>
        <v>-17.59038922905799</v>
      </c>
      <c r="L7" s="1">
        <f ca="1">ExpKayaRatiosInt!L7-ExpKayaRatiosRef!L7</f>
        <v>-19.31826626994701</v>
      </c>
      <c r="M7" s="1">
        <f ca="1">ExpKayaRatiosInt!M7-ExpKayaRatiosRef!M7</f>
        <v>-20.298678490516359</v>
      </c>
      <c r="N7" s="1">
        <f ca="1">ExpKayaRatiosInt!N7-ExpKayaRatiosRef!N7</f>
        <v>-20.029947772067366</v>
      </c>
    </row>
    <row r="8" spans="1:14" ht="16" x14ac:dyDescent="0.2">
      <c r="A8" t="s">
        <v>65</v>
      </c>
      <c r="C8" s="1" t="e">
        <f>ExpKayaRatiosInt!C8-ExpKayaRatiosRef!C8</f>
        <v>#DIV/0!</v>
      </c>
      <c r="D8" s="1">
        <f ca="1">ExpKayaRatiosInt!D8-ExpKayaRatiosRef!D8</f>
        <v>-1</v>
      </c>
      <c r="E8" s="1">
        <f ca="1">ExpKayaRatiosInt!E8-ExpKayaRatiosRef!E8</f>
        <v>0</v>
      </c>
      <c r="F8" s="1">
        <f ca="1">ExpKayaRatiosInt!F8-ExpKayaRatiosRef!F8</f>
        <v>-1.1258968232363831E-3</v>
      </c>
      <c r="G8" s="1">
        <f ca="1">ExpKayaRatiosInt!G8-ExpKayaRatiosRef!G8</f>
        <v>-6.1888774135854918E-2</v>
      </c>
      <c r="H8" s="1">
        <f ca="1">ExpKayaRatiosInt!H8-ExpKayaRatiosRef!H8</f>
        <v>-0.21179335977533897</v>
      </c>
      <c r="I8" s="1">
        <f ca="1">ExpKayaRatiosInt!I8-ExpKayaRatiosRef!I8</f>
        <v>-0.35107223682439015</v>
      </c>
      <c r="J8" s="1">
        <f ca="1">ExpKayaRatiosInt!J8-ExpKayaRatiosRef!J8</f>
        <v>-0.49852626033660641</v>
      </c>
      <c r="K8" s="1">
        <f ca="1">ExpKayaRatiosInt!K8-ExpKayaRatiosRef!K8</f>
        <v>-0.63162083835447258</v>
      </c>
      <c r="L8" s="1">
        <f ca="1">ExpKayaRatiosInt!L8-ExpKayaRatiosRef!L8</f>
        <v>-0.67151058384419637</v>
      </c>
      <c r="M8" s="1">
        <f ca="1">ExpKayaRatiosInt!M8-ExpKayaRatiosRef!M8</f>
        <v>-0.6638756733198441</v>
      </c>
      <c r="N8" s="1">
        <f ca="1">ExpKayaRatiosInt!N8-ExpKayaRatiosRef!N8</f>
        <v>-0.6549966352746559</v>
      </c>
    </row>
    <row r="9" spans="1:14" ht="16" x14ac:dyDescent="0.2">
      <c r="A9"/>
    </row>
    <row r="10" spans="1:14" ht="16" x14ac:dyDescent="0.2">
      <c r="A10"/>
    </row>
    <row r="11" spans="1:14" ht="19" x14ac:dyDescent="0.2">
      <c r="A11" t="s">
        <v>67</v>
      </c>
      <c r="C11" s="1" t="e">
        <f>ExpKayaRatiosInt!C11-ExpKayaRatiosRef!C11</f>
        <v>#DIV/0!</v>
      </c>
      <c r="D11" s="1">
        <f ca="1">ExpKayaRatiosInt!D11-ExpKayaRatiosRef!D11</f>
        <v>-7.2686822550622709</v>
      </c>
      <c r="E11" s="1">
        <f ca="1">ExpKayaRatiosInt!E11-ExpKayaRatiosRef!E11</f>
        <v>-4.105916606059079E-2</v>
      </c>
      <c r="F11" s="1">
        <f ca="1">ExpKayaRatiosInt!F11-ExpKayaRatiosRef!F11</f>
        <v>-0.73784925833714432</v>
      </c>
      <c r="G11" s="1">
        <f ca="1">ExpKayaRatiosInt!G11-ExpKayaRatiosRef!G11</f>
        <v>-1.695722377042181</v>
      </c>
      <c r="H11" s="1">
        <f ca="1">ExpKayaRatiosInt!H11-ExpKayaRatiosRef!H11</f>
        <v>-2.0168544417601622</v>
      </c>
      <c r="I11" s="1">
        <f ca="1">ExpKayaRatiosInt!I11-ExpKayaRatiosRef!I11</f>
        <v>-1.8147561382621507</v>
      </c>
      <c r="J11" s="1">
        <f ca="1">ExpKayaRatiosInt!J11-ExpKayaRatiosRef!J11</f>
        <v>-1.6143951187049352</v>
      </c>
      <c r="K11" s="1">
        <f ca="1">ExpKayaRatiosInt!K11-ExpKayaRatiosRef!K11</f>
        <v>-1.3399611434746586</v>
      </c>
      <c r="L11" s="1">
        <f ca="1">ExpKayaRatiosInt!L11-ExpKayaRatiosRef!L11</f>
        <v>-1.151636377738984</v>
      </c>
      <c r="M11" s="1">
        <f ca="1">ExpKayaRatiosInt!M11-ExpKayaRatiosRef!M11</f>
        <v>-1.0307741735712581</v>
      </c>
      <c r="N11" s="1">
        <f ca="1">ExpKayaRatiosInt!N11-ExpKayaRatiosRef!N11</f>
        <v>-0.90165164424460365</v>
      </c>
    </row>
    <row r="12" spans="1:14" ht="19" x14ac:dyDescent="0.2">
      <c r="A12" t="s">
        <v>68</v>
      </c>
      <c r="C12" s="1" t="e">
        <f>ExpKayaRatiosInt!C12-ExpKayaRatiosRef!C12</f>
        <v>#DIV/0!</v>
      </c>
      <c r="D12" s="1">
        <f ca="1">ExpKayaRatiosInt!D12-ExpKayaRatiosRef!D12</f>
        <v>-64.036780825197468</v>
      </c>
      <c r="E12" s="1">
        <f ca="1">ExpKayaRatiosInt!E12-ExpKayaRatiosRef!E12</f>
        <v>0.15832670743672139</v>
      </c>
      <c r="F12" s="1">
        <f ca="1">ExpKayaRatiosInt!F12-ExpKayaRatiosRef!F12</f>
        <v>-4.4099419099214288</v>
      </c>
      <c r="G12" s="1">
        <f ca="1">ExpKayaRatiosInt!G12-ExpKayaRatiosRef!G12</f>
        <v>-11.00674482540397</v>
      </c>
      <c r="H12" s="1">
        <f ca="1">ExpKayaRatiosInt!H12-ExpKayaRatiosRef!H12</f>
        <v>-23.992020701422298</v>
      </c>
      <c r="I12" s="1">
        <f ca="1">ExpKayaRatiosInt!I12-ExpKayaRatiosRef!I12</f>
        <v>-33.802512738447675</v>
      </c>
      <c r="J12" s="1">
        <f ca="1">ExpKayaRatiosInt!J12-ExpKayaRatiosRef!J12</f>
        <v>-36.323270485978036</v>
      </c>
      <c r="K12" s="1">
        <f ca="1">ExpKayaRatiosInt!K12-ExpKayaRatiosRef!K12</f>
        <v>-36.354251508104667</v>
      </c>
      <c r="L12" s="1">
        <f ca="1">ExpKayaRatiosInt!L12-ExpKayaRatiosRef!L12</f>
        <v>-38.671733314208666</v>
      </c>
      <c r="M12" s="1">
        <f ca="1">ExpKayaRatiosInt!M12-ExpKayaRatiosRef!M12</f>
        <v>-41.327878156303512</v>
      </c>
      <c r="N12" s="1">
        <f ca="1">ExpKayaRatiosInt!N12-ExpKayaRatiosRef!N12</f>
        <v>-42.453824869294252</v>
      </c>
    </row>
    <row r="13" spans="1:14" ht="16" x14ac:dyDescent="0.2">
      <c r="A13"/>
    </row>
    <row r="14" spans="1:14" ht="16" x14ac:dyDescent="0.2">
      <c r="A14" s="21" t="s">
        <v>56</v>
      </c>
      <c r="C14" s="1">
        <f>ExpKayaRatiosInt!C14-ExpKayaRatiosRef!C14</f>
        <v>0</v>
      </c>
      <c r="D14" s="1">
        <f>ExpKayaRatiosInt!D14-ExpKayaRatiosRef!D14</f>
        <v>0</v>
      </c>
      <c r="E14" s="1">
        <f>ExpKayaRatiosInt!E14-ExpKayaRatiosRef!E14</f>
        <v>0</v>
      </c>
      <c r="F14" s="1">
        <f>ExpKayaRatiosInt!F14-ExpKayaRatiosRef!F14</f>
        <v>0</v>
      </c>
      <c r="G14" s="1">
        <f>ExpKayaRatiosInt!G14-ExpKayaRatiosRef!G14</f>
        <v>0</v>
      </c>
      <c r="H14" s="1">
        <f>ExpKayaRatiosInt!H14-ExpKayaRatiosRef!H14</f>
        <v>0</v>
      </c>
      <c r="I14" s="1">
        <f>ExpKayaRatiosInt!I14-ExpKayaRatiosRef!I14</f>
        <v>0</v>
      </c>
      <c r="J14" s="1">
        <f>ExpKayaRatiosInt!J14-ExpKayaRatiosRef!J14</f>
        <v>0</v>
      </c>
      <c r="K14" s="1">
        <f>ExpKayaRatiosInt!K14-ExpKayaRatiosRef!K14</f>
        <v>0</v>
      </c>
      <c r="L14" s="1">
        <f>ExpKayaRatiosInt!L14-ExpKayaRatiosRef!L14</f>
        <v>0</v>
      </c>
      <c r="M14" s="1">
        <f>ExpKayaRatiosInt!M14-ExpKayaRatiosRef!M14</f>
        <v>0</v>
      </c>
      <c r="N14" s="1">
        <f>ExpKayaRatiosInt!N14-ExpKayaRatiosRef!N14</f>
        <v>0</v>
      </c>
    </row>
    <row r="15" spans="1:14" ht="16" x14ac:dyDescent="0.2">
      <c r="A15" t="s">
        <v>49</v>
      </c>
      <c r="C15" s="1">
        <f ca="1">ExpKayaRatiosInt!C15-ExpKayaRatiosRef!C15</f>
        <v>0</v>
      </c>
      <c r="D15" s="1">
        <f ca="1">ExpKayaRatiosInt!D15-ExpKayaRatiosRef!D15</f>
        <v>-0.94347566797447691</v>
      </c>
      <c r="E15" s="1">
        <f ca="1">ExpKayaRatiosInt!E15-ExpKayaRatiosRef!E15</f>
        <v>0</v>
      </c>
      <c r="F15" s="1">
        <f ca="1">ExpKayaRatiosInt!F15-ExpKayaRatiosRef!F15</f>
        <v>-1.3782108939345949E-2</v>
      </c>
      <c r="G15" s="1">
        <f ca="1">ExpKayaRatiosInt!G15-ExpKayaRatiosRef!G15</f>
        <v>-3.8392428367783671E-2</v>
      </c>
      <c r="H15" s="1">
        <f ca="1">ExpKayaRatiosInt!H15-ExpKayaRatiosRef!H15</f>
        <v>-6.7672170608382487E-2</v>
      </c>
      <c r="I15" s="1">
        <f ca="1">ExpKayaRatiosInt!I15-ExpKayaRatiosRef!I15</f>
        <v>-0.1028696566535936</v>
      </c>
      <c r="J15" s="1">
        <f ca="1">ExpKayaRatiosInt!J15-ExpKayaRatiosRef!J15</f>
        <v>-0.13981800854435633</v>
      </c>
      <c r="K15" s="1">
        <f ca="1">ExpKayaRatiosInt!K15-ExpKayaRatiosRef!K15</f>
        <v>-0.178009320339648</v>
      </c>
      <c r="L15" s="1">
        <f ca="1">ExpKayaRatiosInt!L15-ExpKayaRatiosRef!L15</f>
        <v>-0.21856176152674522</v>
      </c>
      <c r="M15" s="1">
        <f ca="1">ExpKayaRatiosInt!M15-ExpKayaRatiosRef!M15</f>
        <v>-0.26225165307858433</v>
      </c>
      <c r="N15" s="1">
        <f ca="1">ExpKayaRatiosInt!N15-ExpKayaRatiosRef!N15</f>
        <v>-0.30992606991680782</v>
      </c>
    </row>
    <row r="16" spans="1:14" ht="16" x14ac:dyDescent="0.2">
      <c r="A16" t="s">
        <v>59</v>
      </c>
      <c r="C16" s="1" t="e">
        <f ca="1">ExpKayaRatiosInt!C16-ExpKayaRatiosRef!C16</f>
        <v>#DIV/0!</v>
      </c>
      <c r="D16" s="1">
        <f ca="1">ExpKayaRatiosInt!D16-ExpKayaRatiosRef!D16</f>
        <v>-0.88877526180122779</v>
      </c>
      <c r="E16" s="1">
        <f ca="1">ExpKayaRatiosInt!E16-ExpKayaRatiosRef!E16</f>
        <v>0</v>
      </c>
      <c r="F16" s="1">
        <f ca="1">ExpKayaRatiosInt!F16-ExpKayaRatiosRef!F16</f>
        <v>9.8573182645191881E-3</v>
      </c>
      <c r="G16" s="1">
        <f ca="1">ExpKayaRatiosInt!G16-ExpKayaRatiosRef!G16</f>
        <v>2.977123207879373E-2</v>
      </c>
      <c r="H16" s="1">
        <f ca="1">ExpKayaRatiosInt!H16-ExpKayaRatiosRef!H16</f>
        <v>5.7623272993340358E-2</v>
      </c>
      <c r="I16" s="1">
        <f ca="1">ExpKayaRatiosInt!I16-ExpKayaRatiosRef!I16</f>
        <v>9.2729987609524223E-2</v>
      </c>
      <c r="J16" s="1">
        <f ca="1">ExpKayaRatiosInt!J16-ExpKayaRatiosRef!J16</f>
        <v>0.12843006791522793</v>
      </c>
      <c r="K16" s="1">
        <f ca="1">ExpKayaRatiosInt!K16-ExpKayaRatiosRef!K16</f>
        <v>0.1624350295586483</v>
      </c>
      <c r="L16" s="1">
        <f ca="1">ExpKayaRatiosInt!L16-ExpKayaRatiosRef!L16</f>
        <v>0.19218293044901724</v>
      </c>
      <c r="M16" s="1">
        <f ca="1">ExpKayaRatiosInt!M16-ExpKayaRatiosRef!M16</f>
        <v>0.21187259346555187</v>
      </c>
      <c r="N16" s="1">
        <f ca="1">ExpKayaRatiosInt!N16-ExpKayaRatiosRef!N16</f>
        <v>0.2179721928256706</v>
      </c>
    </row>
    <row r="17" spans="1:14" ht="16" x14ac:dyDescent="0.2">
      <c r="A17" t="s">
        <v>60</v>
      </c>
      <c r="C17" s="1" t="e">
        <f ca="1">ExpKayaRatiosInt!C17-ExpKayaRatiosRef!C17</f>
        <v>#DIV/0!</v>
      </c>
      <c r="D17" s="1">
        <f ca="1">ExpKayaRatiosInt!D17-ExpKayaRatiosRef!D17</f>
        <v>-1.1049285305977719</v>
      </c>
      <c r="E17" s="1">
        <f ca="1">ExpKayaRatiosInt!E17-ExpKayaRatiosRef!E17</f>
        <v>0</v>
      </c>
      <c r="F17" s="1">
        <f ca="1">ExpKayaRatiosInt!F17-ExpKayaRatiosRef!F17</f>
        <v>-0.10154366891882038</v>
      </c>
      <c r="G17" s="1">
        <f ca="1">ExpKayaRatiosInt!G17-ExpKayaRatiosRef!G17</f>
        <v>-0.22410331846933279</v>
      </c>
      <c r="H17" s="1">
        <f ca="1">ExpKayaRatiosInt!H17-ExpKayaRatiosRef!H17</f>
        <v>-0.25932108625496614</v>
      </c>
      <c r="I17" s="1">
        <f ca="1">ExpKayaRatiosInt!I17-ExpKayaRatiosRef!I17</f>
        <v>-0.24512754879397408</v>
      </c>
      <c r="J17" s="1">
        <f ca="1">ExpKayaRatiosInt!J17-ExpKayaRatiosRef!J17</f>
        <v>-0.22556257240067656</v>
      </c>
      <c r="K17" s="1">
        <f ca="1">ExpKayaRatiosInt!K17-ExpKayaRatiosRef!K17</f>
        <v>-0.20238604438370333</v>
      </c>
      <c r="L17" s="1">
        <f ca="1">ExpKayaRatiosInt!L17-ExpKayaRatiosRef!L17</f>
        <v>-0.17881424175687508</v>
      </c>
      <c r="M17" s="1">
        <f ca="1">ExpKayaRatiosInt!M17-ExpKayaRatiosRef!M17</f>
        <v>-0.15657742880246703</v>
      </c>
      <c r="N17" s="1">
        <f ca="1">ExpKayaRatiosInt!N17-ExpKayaRatiosRef!N17</f>
        <v>-0.13636630489840743</v>
      </c>
    </row>
    <row r="18" spans="1:14" ht="19" x14ac:dyDescent="0.2">
      <c r="A18" t="s">
        <v>62</v>
      </c>
      <c r="C18" s="1" t="e">
        <f ca="1">ExpKayaRatiosInt!C18-ExpKayaRatiosRef!C18</f>
        <v>#DIV/0!</v>
      </c>
      <c r="D18" s="1">
        <f ca="1">ExpKayaRatiosInt!D18-ExpKayaRatiosRef!D18</f>
        <v>-0.97861887312820584</v>
      </c>
      <c r="E18" s="1">
        <f ca="1">ExpKayaRatiosInt!E18-ExpKayaRatiosRef!E18</f>
        <v>0</v>
      </c>
      <c r="F18" s="1">
        <f ca="1">ExpKayaRatiosInt!F18-ExpKayaRatiosRef!F18</f>
        <v>-2.7479979648283859E-3</v>
      </c>
      <c r="G18" s="1">
        <f ca="1">ExpKayaRatiosInt!G18-ExpKayaRatiosRef!G18</f>
        <v>-5.0903911181621186E-2</v>
      </c>
      <c r="H18" s="1">
        <f ca="1">ExpKayaRatiosInt!H18-ExpKayaRatiosRef!H18</f>
        <v>-0.12940700171572594</v>
      </c>
      <c r="I18" s="1">
        <f ca="1">ExpKayaRatiosInt!I18-ExpKayaRatiosRef!I18</f>
        <v>-9.5442042984710596E-2</v>
      </c>
      <c r="J18" s="1">
        <f ca="1">ExpKayaRatiosInt!J18-ExpKayaRatiosRef!J18</f>
        <v>-6.7979694184646444E-2</v>
      </c>
      <c r="K18" s="1">
        <f ca="1">ExpKayaRatiosInt!K18-ExpKayaRatiosRef!K18</f>
        <v>9.2272536239462744E-3</v>
      </c>
      <c r="L18" s="1">
        <f ca="1">ExpKayaRatiosInt!L18-ExpKayaRatiosRef!L18</f>
        <v>3.4196426517295375E-2</v>
      </c>
      <c r="M18" s="1">
        <f ca="1">ExpKayaRatiosInt!M18-ExpKayaRatiosRef!M18</f>
        <v>2.0702264053015895E-2</v>
      </c>
      <c r="N18" s="1">
        <f ca="1">ExpKayaRatiosInt!N18-ExpKayaRatiosRef!N18</f>
        <v>2.7420043141782813E-2</v>
      </c>
    </row>
    <row r="19" spans="1:14" ht="19" x14ac:dyDescent="0.2">
      <c r="A19" t="s">
        <v>66</v>
      </c>
      <c r="C19" s="1" t="e">
        <f ca="1">ExpKayaRatiosInt!C19-ExpKayaRatiosRef!C19</f>
        <v>#DIV/0!</v>
      </c>
      <c r="D19" s="1">
        <f ca="1">ExpKayaRatiosInt!D19-ExpKayaRatiosRef!D19</f>
        <v>-1.0096927629104862</v>
      </c>
      <c r="E19" s="1">
        <f ca="1">ExpKayaRatiosInt!E19-ExpKayaRatiosRef!E19</f>
        <v>0</v>
      </c>
      <c r="F19" s="1">
        <f ca="1">ExpKayaRatiosInt!F19-ExpKayaRatiosRef!F19</f>
        <v>-5.4802283363625914E-2</v>
      </c>
      <c r="G19" s="1">
        <f ca="1">ExpKayaRatiosInt!G19-ExpKayaRatiosRef!G19</f>
        <v>-0.12006169093681007</v>
      </c>
      <c r="H19" s="1">
        <f ca="1">ExpKayaRatiosInt!H19-ExpKayaRatiosRef!H19</f>
        <v>-0.28260463498980637</v>
      </c>
      <c r="I19" s="1">
        <f ca="1">ExpKayaRatiosInt!I19-ExpKayaRatiosRef!I19</f>
        <v>-0.43068823137235845</v>
      </c>
      <c r="J19" s="1">
        <f ca="1">ExpKayaRatiosInt!J19-ExpKayaRatiosRef!J19</f>
        <v>-0.48161856250557439</v>
      </c>
      <c r="K19" s="1">
        <f ca="1">ExpKayaRatiosInt!K19-ExpKayaRatiosRef!K19</f>
        <v>-0.47482425605176393</v>
      </c>
      <c r="L19" s="1">
        <f ca="1">ExpKayaRatiosInt!L19-ExpKayaRatiosRef!L19</f>
        <v>-0.50867947142960412</v>
      </c>
      <c r="M19" s="1">
        <f ca="1">ExpKayaRatiosInt!M19-ExpKayaRatiosRef!M19</f>
        <v>-0.54838528732575353</v>
      </c>
      <c r="N19" s="1">
        <f ca="1">ExpKayaRatiosInt!N19-ExpKayaRatiosRef!N19</f>
        <v>-0.55761367654491001</v>
      </c>
    </row>
    <row r="20" spans="1:14" ht="19" x14ac:dyDescent="0.2">
      <c r="A20" t="s">
        <v>64</v>
      </c>
      <c r="C20" s="1" t="e">
        <f ca="1">ExpKayaRatiosInt!C20-ExpKayaRatiosRef!C20</f>
        <v>#DIV/0!</v>
      </c>
      <c r="D20" s="1">
        <f ca="1">ExpKayaRatiosInt!D20-ExpKayaRatiosRef!D20</f>
        <v>-1.0529876926266946</v>
      </c>
      <c r="E20" s="1">
        <f ca="1">ExpKayaRatiosInt!E20-ExpKayaRatiosRef!E20</f>
        <v>0</v>
      </c>
      <c r="F20" s="1">
        <f ca="1">ExpKayaRatiosInt!F20-ExpKayaRatiosRef!F20</f>
        <v>-2.0767047580450226E-2</v>
      </c>
      <c r="G20" s="1">
        <f ca="1">ExpKayaRatiosInt!G20-ExpKayaRatiosRef!G20</f>
        <v>-7.1178645509862637E-2</v>
      </c>
      <c r="H20" s="1">
        <f ca="1">ExpKayaRatiosInt!H20-ExpKayaRatiosRef!H20</f>
        <v>-0.16344291712516157</v>
      </c>
      <c r="I20" s="1">
        <f ca="1">ExpKayaRatiosInt!I20-ExpKayaRatiosRef!I20</f>
        <v>-0.23591272346863168</v>
      </c>
      <c r="J20" s="1">
        <f ca="1">ExpKayaRatiosInt!J20-ExpKayaRatiosRef!J20</f>
        <v>-0.24015387289694623</v>
      </c>
      <c r="K20" s="1">
        <f ca="1">ExpKayaRatiosInt!K20-ExpKayaRatiosRef!K20</f>
        <v>-0.24754637235844035</v>
      </c>
      <c r="L20" s="1">
        <f ca="1">ExpKayaRatiosInt!L20-ExpKayaRatiosRef!L20</f>
        <v>-0.27196224683050363</v>
      </c>
      <c r="M20" s="1">
        <f ca="1">ExpKayaRatiosInt!M20-ExpKayaRatiosRef!M20</f>
        <v>-0.28580143755595799</v>
      </c>
      <c r="N20" s="1">
        <f ca="1">ExpKayaRatiosInt!N20-ExpKayaRatiosRef!N20</f>
        <v>-0.28197346399281153</v>
      </c>
    </row>
    <row r="21" spans="1:14" ht="16" x14ac:dyDescent="0.2">
      <c r="A21" t="s">
        <v>65</v>
      </c>
      <c r="C21" s="1" t="e">
        <f ca="1">ExpKayaRatiosInt!C21-ExpKayaRatiosRef!C21</f>
        <v>#DIV/0!</v>
      </c>
      <c r="D21" s="1">
        <f ca="1">ExpKayaRatiosInt!D21-ExpKayaRatiosRef!D21</f>
        <v>-1</v>
      </c>
      <c r="E21" s="1">
        <f ca="1">ExpKayaRatiosInt!E21-ExpKayaRatiosRef!E21</f>
        <v>0</v>
      </c>
      <c r="F21" s="1">
        <f ca="1">ExpKayaRatiosInt!F21-ExpKayaRatiosRef!F21</f>
        <v>-1.1258968232363831E-3</v>
      </c>
      <c r="G21" s="1">
        <f ca="1">ExpKayaRatiosInt!G21-ExpKayaRatiosRef!G21</f>
        <v>-6.1888774135854918E-2</v>
      </c>
      <c r="H21" s="1">
        <f ca="1">ExpKayaRatiosInt!H21-ExpKayaRatiosRef!H21</f>
        <v>-0.21179335977533897</v>
      </c>
      <c r="I21" s="1">
        <f ca="1">ExpKayaRatiosInt!I21-ExpKayaRatiosRef!I21</f>
        <v>-0.35107223682439015</v>
      </c>
      <c r="J21" s="1">
        <f ca="1">ExpKayaRatiosInt!J21-ExpKayaRatiosRef!J21</f>
        <v>-0.49852626033660641</v>
      </c>
      <c r="K21" s="1">
        <f ca="1">ExpKayaRatiosInt!K21-ExpKayaRatiosRef!K21</f>
        <v>-0.63162083835447258</v>
      </c>
      <c r="L21" s="1">
        <f ca="1">ExpKayaRatiosInt!L21-ExpKayaRatiosRef!L21</f>
        <v>-0.67151058384419637</v>
      </c>
      <c r="M21" s="1">
        <f ca="1">ExpKayaRatiosInt!M21-ExpKayaRatiosRef!M21</f>
        <v>-0.6638756733198441</v>
      </c>
      <c r="N21" s="1">
        <f ca="1">ExpKayaRatiosInt!N21-ExpKayaRatiosRef!N21</f>
        <v>-0.6549966352746559</v>
      </c>
    </row>
    <row r="22" spans="1:14" ht="16" x14ac:dyDescent="0.2">
      <c r="A22"/>
    </row>
    <row r="23" spans="1:14" ht="16" x14ac:dyDescent="0.2">
      <c r="A23"/>
    </row>
    <row r="24" spans="1:14" ht="19" x14ac:dyDescent="0.2">
      <c r="A24" t="s">
        <v>67</v>
      </c>
      <c r="C24" s="1" t="e">
        <f ca="1">ExpKayaRatiosInt!C24-ExpKayaRatiosRef!C24</f>
        <v>#DIV/0!</v>
      </c>
      <c r="D24" s="1">
        <f ca="1">ExpKayaRatiosInt!D24-ExpKayaRatiosRef!D24</f>
        <v>-1.0813039135007958</v>
      </c>
      <c r="E24" s="1">
        <f ca="1">ExpKayaRatiosInt!E24-ExpKayaRatiosRef!E24</f>
        <v>0</v>
      </c>
      <c r="F24" s="1">
        <f ca="1">ExpKayaRatiosInt!F24-ExpKayaRatiosRef!F24</f>
        <v>-0.10557739877344874</v>
      </c>
      <c r="G24" s="1">
        <f ca="1">ExpKayaRatiosInt!G24-ExpKayaRatiosRef!G24</f>
        <v>-0.24992610805780158</v>
      </c>
      <c r="H24" s="1">
        <f ca="1">ExpKayaRatiosInt!H24-ExpKayaRatiosRef!H24</f>
        <v>-0.29854372825081554</v>
      </c>
      <c r="I24" s="1">
        <f ca="1">ExpKayaRatiosInt!I24-ExpKayaRatiosRef!I24</f>
        <v>-0.26867253401642061</v>
      </c>
      <c r="J24" s="1">
        <f ca="1">ExpKayaRatiosInt!J24-ExpKayaRatiosRef!J24</f>
        <v>-0.23896614020826604</v>
      </c>
      <c r="K24" s="1">
        <f ca="1">ExpKayaRatiosInt!K24-ExpKayaRatiosRef!K24</f>
        <v>-0.19816472694366719</v>
      </c>
      <c r="L24" s="1">
        <f ca="1">ExpKayaRatiosInt!L24-ExpKayaRatiosRef!L24</f>
        <v>-0.1702146624062662</v>
      </c>
      <c r="M24" s="1">
        <f ca="1">ExpKayaRatiosInt!M24-ExpKayaRatiosRef!M24</f>
        <v>-0.15232887364295669</v>
      </c>
      <c r="N24" s="1">
        <f ca="1">ExpKayaRatiosInt!N24-ExpKayaRatiosRef!N24</f>
        <v>-0.13317722139228363</v>
      </c>
    </row>
    <row r="25" spans="1:14" ht="19" x14ac:dyDescent="0.2">
      <c r="A25" t="s">
        <v>68</v>
      </c>
      <c r="C25" s="1" t="e">
        <f ca="1">ExpKayaRatiosInt!C25-ExpKayaRatiosRef!C25</f>
        <v>#DIV/0!</v>
      </c>
      <c r="D25" s="1">
        <f ca="1">ExpKayaRatiosInt!D25-ExpKayaRatiosRef!D25</f>
        <v>-1.0631940526789847</v>
      </c>
      <c r="E25" s="1">
        <f ca="1">ExpKayaRatiosInt!E25-ExpKayaRatiosRef!E25</f>
        <v>0</v>
      </c>
      <c r="F25" s="1">
        <f ca="1">ExpKayaRatiosInt!F25-ExpKayaRatiosRef!F25</f>
        <v>-7.5693389562200175E-2</v>
      </c>
      <c r="G25" s="1">
        <f ca="1">ExpKayaRatiosInt!G25-ExpKayaRatiosRef!G25</f>
        <v>-0.18491355800823261</v>
      </c>
      <c r="H25" s="1">
        <f ca="1">ExpKayaRatiosInt!H25-ExpKayaRatiosRef!H25</f>
        <v>-0.39986355945485308</v>
      </c>
      <c r="I25" s="1">
        <f ca="1">ExpKayaRatiosInt!I25-ExpKayaRatiosRef!I25</f>
        <v>-0.5622917137660397</v>
      </c>
      <c r="J25" s="1">
        <f ca="1">ExpKayaRatiosInt!J25-ExpKayaRatiosRef!J25</f>
        <v>-0.60405527717689611</v>
      </c>
      <c r="K25" s="1">
        <f ca="1">ExpKayaRatiosInt!K25-ExpKayaRatiosRef!K25</f>
        <v>-0.60456470343696567</v>
      </c>
      <c r="L25" s="1">
        <f ca="1">ExpKayaRatiosInt!L25-ExpKayaRatiosRef!L25</f>
        <v>-0.64292192022662287</v>
      </c>
      <c r="M25" s="1">
        <f ca="1">ExpKayaRatiosInt!M25-ExpKayaRatiosRef!M25</f>
        <v>-0.68693050070344674</v>
      </c>
      <c r="N25" s="1">
        <f ca="1">ExpKayaRatiosInt!N25-ExpKayaRatiosRef!N25</f>
        <v>-0.70562619073679245</v>
      </c>
    </row>
    <row r="26" spans="1:14" ht="16" x14ac:dyDescent="0.2">
      <c r="A26"/>
    </row>
    <row r="27" spans="1:14" ht="16" x14ac:dyDescent="0.2">
      <c r="A27"/>
    </row>
    <row r="28" spans="1:14" ht="16" x14ac:dyDescent="0.2">
      <c r="A28"/>
    </row>
    <row r="29" spans="1:14" ht="16" x14ac:dyDescent="0.2">
      <c r="A29"/>
    </row>
  </sheetData>
  <pageMargins left="0.7" right="0.7" top="0.75" bottom="0.75" header="0.3" footer="0.3"/>
  <pageSetup orientation="portrait" horizontalDpi="0" verticalDpi="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96242F-9A0F-1B44-8171-BAFC05DC8ADC}">
  <sheetPr codeName="Sheet36">
    <tabColor rgb="FFCF009B"/>
  </sheetPr>
  <dimension ref="A1:FQ149"/>
  <sheetViews>
    <sheetView topLeftCell="B71" zoomScale="150" zoomScaleNormal="150" workbookViewId="0">
      <selection activeCell="L99" sqref="L99"/>
    </sheetView>
  </sheetViews>
  <sheetFormatPr baseColWidth="10" defaultRowHeight="16" x14ac:dyDescent="0.2"/>
  <cols>
    <col min="1" max="1" width="48.33203125" customWidth="1"/>
    <col min="2" max="2" width="11.5" bestFit="1" customWidth="1"/>
    <col min="5" max="5" width="40.33203125" customWidth="1"/>
  </cols>
  <sheetData>
    <row r="1" spans="1:10" x14ac:dyDescent="0.2">
      <c r="A1" s="21" t="s">
        <v>255</v>
      </c>
    </row>
    <row r="2" spans="1:10" x14ac:dyDescent="0.2">
      <c r="B2" s="25"/>
      <c r="F2" s="25"/>
    </row>
    <row r="3" spans="1:10" x14ac:dyDescent="0.2">
      <c r="A3" s="21" t="s">
        <v>235</v>
      </c>
      <c r="B3" s="25">
        <f ca="1">SUM(L83:CN83)</f>
        <v>4290.4466487566633</v>
      </c>
      <c r="C3" s="25">
        <f ca="1">B2+B3</f>
        <v>4290.4466487566633</v>
      </c>
      <c r="E3" s="21" t="s">
        <v>279</v>
      </c>
      <c r="F3" s="25">
        <f ca="1">SUM(L99:CN99)</f>
        <v>6361.7116682636697</v>
      </c>
    </row>
    <row r="4" spans="1:10" x14ac:dyDescent="0.2">
      <c r="A4" s="208" t="s">
        <v>238</v>
      </c>
      <c r="B4">
        <f t="shared" ref="B4:B9" ca="1" si="0">SUM(L102:CN102)</f>
        <v>-64.748136522075896</v>
      </c>
      <c r="E4" s="249" t="s">
        <v>338</v>
      </c>
      <c r="F4" s="25">
        <f ca="1">-(SUM(L86:CN86)+SUM(L95:CN95))</f>
        <v>-208.43297982215876</v>
      </c>
    </row>
    <row r="5" spans="1:10" x14ac:dyDescent="0.2">
      <c r="A5" s="251" t="s">
        <v>231</v>
      </c>
      <c r="B5">
        <f t="shared" ca="1" si="0"/>
        <v>-258.3343150466099</v>
      </c>
      <c r="E5" s="249" t="s">
        <v>264</v>
      </c>
      <c r="F5" s="25">
        <f ca="1">-SUM(L88:CN88)</f>
        <v>-230.43556330185004</v>
      </c>
    </row>
    <row r="6" spans="1:10" x14ac:dyDescent="0.2">
      <c r="A6" s="251" t="s">
        <v>461</v>
      </c>
      <c r="B6">
        <f t="shared" ca="1" si="0"/>
        <v>87.616591386706148</v>
      </c>
      <c r="E6" s="249" t="s">
        <v>265</v>
      </c>
      <c r="F6" s="25">
        <f ca="1">-SUM(L87:CN87)</f>
        <v>-1632.3964763829965</v>
      </c>
      <c r="H6" s="25"/>
    </row>
    <row r="7" spans="1:10" x14ac:dyDescent="0.2">
      <c r="A7" s="251" t="s">
        <v>462</v>
      </c>
      <c r="B7">
        <f t="shared" ca="1" si="0"/>
        <v>-1357.9094959285922</v>
      </c>
      <c r="E7" s="21" t="s">
        <v>235</v>
      </c>
      <c r="F7" s="25">
        <f ca="1">F3+F4+F5+F6</f>
        <v>4290.4466487566642</v>
      </c>
      <c r="H7" s="25"/>
      <c r="J7" s="25"/>
    </row>
    <row r="8" spans="1:10" x14ac:dyDescent="0.2">
      <c r="A8" s="251" t="s">
        <v>268</v>
      </c>
      <c r="B8">
        <f t="shared" ca="1" si="0"/>
        <v>-1230.3324686441742</v>
      </c>
      <c r="E8" s="211" t="s">
        <v>238</v>
      </c>
      <c r="F8">
        <f t="shared" ref="F8:F13" ca="1" si="1">SUM(L102:CN102)</f>
        <v>-64.748136522075896</v>
      </c>
      <c r="H8" s="25"/>
    </row>
    <row r="9" spans="1:10" x14ac:dyDescent="0.2">
      <c r="A9" s="251" t="s">
        <v>269</v>
      </c>
      <c r="B9">
        <f t="shared" ca="1" si="0"/>
        <v>-492.0013923531576</v>
      </c>
      <c r="E9" s="212" t="s">
        <v>231</v>
      </c>
      <c r="F9">
        <f t="shared" ca="1" si="1"/>
        <v>-258.3343150466099</v>
      </c>
    </row>
    <row r="10" spans="1:10" x14ac:dyDescent="0.2">
      <c r="A10" s="42" t="s">
        <v>236</v>
      </c>
      <c r="B10" s="25">
        <f ca="1">B2+B3+B4+B5+B6+B7+B8+B9</f>
        <v>974.73743164876009</v>
      </c>
      <c r="C10" t="s">
        <v>234</v>
      </c>
      <c r="D10" s="25">
        <f ca="1">SUM(L124:CN124)</f>
        <v>974.73743164875953</v>
      </c>
      <c r="E10" s="251" t="s">
        <v>461</v>
      </c>
      <c r="F10">
        <f t="shared" ca="1" si="1"/>
        <v>87.616591386706148</v>
      </c>
    </row>
    <row r="11" spans="1:10" x14ac:dyDescent="0.2">
      <c r="A11" s="251" t="s">
        <v>230</v>
      </c>
      <c r="B11" s="25">
        <f ca="1">-SUM(L135:CN135)</f>
        <v>-323.11490437580915</v>
      </c>
      <c r="E11" s="251" t="s">
        <v>462</v>
      </c>
      <c r="F11">
        <f t="shared" ca="1" si="1"/>
        <v>-1357.9094959285922</v>
      </c>
    </row>
    <row r="12" spans="1:10" x14ac:dyDescent="0.2">
      <c r="A12" s="42" t="s">
        <v>237</v>
      </c>
      <c r="B12" s="25">
        <f ca="1">B10+B11</f>
        <v>651.62252727295095</v>
      </c>
      <c r="C12" t="s">
        <v>234</v>
      </c>
      <c r="D12" s="25">
        <f ca="1">SUM(L125:CN125)</f>
        <v>651.62252727295049</v>
      </c>
      <c r="E12" s="212" t="s">
        <v>270</v>
      </c>
      <c r="F12">
        <f t="shared" ca="1" si="1"/>
        <v>-1230.3324686441742</v>
      </c>
    </row>
    <row r="13" spans="1:10" x14ac:dyDescent="0.2">
      <c r="A13" s="249" t="s">
        <v>339</v>
      </c>
      <c r="B13" s="25">
        <f ca="1">SUM(L127:CN127)</f>
        <v>38.326937424639858</v>
      </c>
      <c r="D13" s="25"/>
      <c r="E13" s="212" t="s">
        <v>271</v>
      </c>
      <c r="F13">
        <f t="shared" ca="1" si="1"/>
        <v>-492.0013923531576</v>
      </c>
    </row>
    <row r="14" spans="1:10" x14ac:dyDescent="0.2">
      <c r="A14" s="249" t="s">
        <v>266</v>
      </c>
      <c r="B14" s="25">
        <f ca="1">SUM(L129:CN129)</f>
        <v>-375.92349599242374</v>
      </c>
      <c r="D14" s="25"/>
      <c r="E14" s="248" t="s">
        <v>236</v>
      </c>
      <c r="F14" s="25">
        <f ca="1">SUM(F7:F13)</f>
        <v>974.737431648761</v>
      </c>
      <c r="G14" t="s">
        <v>234</v>
      </c>
      <c r="H14" s="25">
        <f ca="1">SUM(L124:CN124)</f>
        <v>974.73743164875953</v>
      </c>
      <c r="I14" s="242">
        <f ca="1">F14-H14</f>
        <v>1.4779288903810084E-12</v>
      </c>
    </row>
    <row r="15" spans="1:10" x14ac:dyDescent="0.2">
      <c r="A15" s="249" t="s">
        <v>267</v>
      </c>
      <c r="B15" s="25">
        <f ca="1">SUM(L128:CN128)</f>
        <v>377.48568024654583</v>
      </c>
      <c r="D15" s="25"/>
      <c r="E15" s="212" t="s">
        <v>341</v>
      </c>
      <c r="F15" s="25">
        <f ca="1">-SUM(L135:CN135)</f>
        <v>-323.11490437580915</v>
      </c>
    </row>
    <row r="16" spans="1:10" x14ac:dyDescent="0.2">
      <c r="A16" s="249" t="s">
        <v>340</v>
      </c>
      <c r="B16" s="25">
        <f ca="1">-SUM(L144:CN144)</f>
        <v>-5.4480745900896419E-3</v>
      </c>
      <c r="D16" s="25"/>
      <c r="E16" s="248" t="s">
        <v>237</v>
      </c>
      <c r="F16" s="25">
        <f ca="1">F14+F15</f>
        <v>651.62252727295186</v>
      </c>
    </row>
    <row r="17" spans="1:9" x14ac:dyDescent="0.2">
      <c r="A17" s="36" t="s">
        <v>278</v>
      </c>
      <c r="B17" s="25">
        <f ca="1">SUM(B12:B16)</f>
        <v>691.50620087712286</v>
      </c>
      <c r="C17" t="s">
        <v>234</v>
      </c>
      <c r="D17" s="25">
        <f ca="1">SUM(L147:CN147)</f>
        <v>691.50620087712286</v>
      </c>
      <c r="E17" s="249" t="s">
        <v>339</v>
      </c>
      <c r="F17" s="25">
        <f ca="1">SUM(L127:CN127)</f>
        <v>38.326937424639858</v>
      </c>
    </row>
    <row r="18" spans="1:9" x14ac:dyDescent="0.2">
      <c r="A18" s="36"/>
      <c r="B18" s="25"/>
      <c r="D18" s="25"/>
      <c r="E18" s="249" t="s">
        <v>266</v>
      </c>
      <c r="F18" s="25">
        <f ca="1">SUM(L129:CN129)</f>
        <v>-375.92349599242374</v>
      </c>
    </row>
    <row r="19" spans="1:9" x14ac:dyDescent="0.2">
      <c r="A19" s="36"/>
      <c r="B19" s="25"/>
      <c r="D19" s="25"/>
      <c r="E19" s="249" t="s">
        <v>267</v>
      </c>
      <c r="F19" s="25">
        <f ca="1">SUM(L128:CN128)</f>
        <v>377.48568024654583</v>
      </c>
    </row>
    <row r="20" spans="1:9" x14ac:dyDescent="0.2">
      <c r="E20" s="249" t="s">
        <v>340</v>
      </c>
      <c r="F20" s="25">
        <f ca="1">-SUM(L144:CN144)</f>
        <v>-5.4480745900896419E-3</v>
      </c>
    </row>
    <row r="21" spans="1:9" x14ac:dyDescent="0.2">
      <c r="E21" s="250" t="s">
        <v>278</v>
      </c>
      <c r="F21" s="25">
        <f ca="1">SUM(F16:F20)</f>
        <v>691.50620087712377</v>
      </c>
      <c r="G21" t="s">
        <v>234</v>
      </c>
      <c r="H21" s="25">
        <f ca="1">F3+F4+F5+F6+F8+F9+F10+F11+F12+F13+F15+F17+F18+F19+F20</f>
        <v>691.50620087712377</v>
      </c>
      <c r="I21" s="242">
        <f ca="1">F21-H21</f>
        <v>0</v>
      </c>
    </row>
    <row r="22" spans="1:9" x14ac:dyDescent="0.2">
      <c r="A22" s="21" t="s">
        <v>254</v>
      </c>
      <c r="E22" s="25"/>
    </row>
    <row r="23" spans="1:9" x14ac:dyDescent="0.2">
      <c r="B23" s="25"/>
      <c r="E23" s="25"/>
    </row>
    <row r="24" spans="1:9" x14ac:dyDescent="0.2">
      <c r="A24" s="21" t="s">
        <v>235</v>
      </c>
      <c r="B24" s="25">
        <f ca="1">SUM(L83:CN83)</f>
        <v>4290.4466487566633</v>
      </c>
    </row>
    <row r="25" spans="1:9" x14ac:dyDescent="0.2">
      <c r="A25" s="208" t="s">
        <v>238</v>
      </c>
      <c r="B25">
        <f t="shared" ref="B25:B30" ca="1" si="2">SUM(L102:CN102)</f>
        <v>-64.748136522075896</v>
      </c>
    </row>
    <row r="26" spans="1:9" x14ac:dyDescent="0.2">
      <c r="A26" s="251" t="s">
        <v>231</v>
      </c>
      <c r="B26">
        <f t="shared" ca="1" si="2"/>
        <v>-258.3343150466099</v>
      </c>
    </row>
    <row r="27" spans="1:9" x14ac:dyDescent="0.2">
      <c r="A27" s="251" t="s">
        <v>461</v>
      </c>
      <c r="B27">
        <f t="shared" ca="1" si="2"/>
        <v>87.616591386706148</v>
      </c>
    </row>
    <row r="28" spans="1:9" x14ac:dyDescent="0.2">
      <c r="A28" s="251" t="s">
        <v>462</v>
      </c>
      <c r="B28">
        <f t="shared" ca="1" si="2"/>
        <v>-1357.9094959285922</v>
      </c>
      <c r="F28" s="178" t="s">
        <v>421</v>
      </c>
    </row>
    <row r="29" spans="1:9" x14ac:dyDescent="0.2">
      <c r="A29" s="251" t="s">
        <v>268</v>
      </c>
      <c r="B29">
        <f t="shared" ca="1" si="2"/>
        <v>-1230.3324686441742</v>
      </c>
      <c r="E29" s="21" t="s">
        <v>279</v>
      </c>
      <c r="F29" s="25">
        <f ca="1">SUM(L99:CN99)</f>
        <v>6361.7116682636697</v>
      </c>
    </row>
    <row r="30" spans="1:9" x14ac:dyDescent="0.2">
      <c r="A30" s="251" t="s">
        <v>269</v>
      </c>
      <c r="B30">
        <f t="shared" ca="1" si="2"/>
        <v>-492.0013923531576</v>
      </c>
      <c r="H30" s="25">
        <f ca="1">SUM(L86:CN86)+SUM(L95:CN95)</f>
        <v>208.43297982215876</v>
      </c>
      <c r="I30" s="249" t="s">
        <v>338</v>
      </c>
    </row>
    <row r="31" spans="1:9" x14ac:dyDescent="0.2">
      <c r="A31" s="248" t="s">
        <v>236</v>
      </c>
      <c r="B31" s="25">
        <f ca="1">SUM([9]WaterfallData!B24:B30)</f>
        <v>486.89874011355835</v>
      </c>
      <c r="H31" s="25">
        <f ca="1">SUM(L87:CN87)</f>
        <v>1632.3964763829965</v>
      </c>
      <c r="I31" s="249" t="s">
        <v>264</v>
      </c>
    </row>
    <row r="32" spans="1:9" x14ac:dyDescent="0.2">
      <c r="A32" s="251"/>
      <c r="H32" s="25">
        <f ca="1">SUM(L88:CN88)</f>
        <v>230.43556330185004</v>
      </c>
      <c r="I32" s="249" t="s">
        <v>265</v>
      </c>
    </row>
    <row r="33" spans="1:9" x14ac:dyDescent="0.2">
      <c r="A33" s="251"/>
      <c r="E33" s="249"/>
      <c r="G33" s="25">
        <f ca="1">F29-H30-H31-H32</f>
        <v>4290.4466487566642</v>
      </c>
      <c r="H33" s="21" t="s">
        <v>344</v>
      </c>
    </row>
    <row r="34" spans="1:9" x14ac:dyDescent="0.2">
      <c r="E34" s="211" t="s">
        <v>238</v>
      </c>
      <c r="F34" s="25">
        <f t="shared" ref="F34:F39" ca="1" si="3">SUM(L102:CN102)</f>
        <v>-64.748136522075896</v>
      </c>
    </row>
    <row r="35" spans="1:9" x14ac:dyDescent="0.2">
      <c r="A35" t="str">
        <f>E29</f>
        <v>Total Anthropogenic Emissions Ref</v>
      </c>
      <c r="B35" s="25">
        <f ca="1">F29</f>
        <v>6361.7116682636697</v>
      </c>
      <c r="E35" s="212" t="s">
        <v>231</v>
      </c>
      <c r="F35" s="25">
        <f t="shared" ca="1" si="3"/>
        <v>-258.3343150466099</v>
      </c>
    </row>
    <row r="36" spans="1:9" x14ac:dyDescent="0.2">
      <c r="A36" t="str">
        <f t="shared" ref="A36:B41" si="4">E34</f>
        <v>∆PEDEq/FE (ESLF)</v>
      </c>
      <c r="B36" s="25">
        <f ca="1">F34</f>
        <v>-64.748136522075896</v>
      </c>
      <c r="E36" s="251" t="s">
        <v>461</v>
      </c>
      <c r="F36" s="25">
        <f t="shared" ca="1" si="3"/>
        <v>87.616591386706148</v>
      </c>
    </row>
    <row r="37" spans="1:9" x14ac:dyDescent="0.2">
      <c r="A37" t="str">
        <f t="shared" si="4"/>
        <v xml:space="preserve">∆P  </v>
      </c>
      <c r="B37" s="25">
        <f ca="1">F35</f>
        <v>-258.3343150466099</v>
      </c>
      <c r="E37" s="251" t="s">
        <v>462</v>
      </c>
      <c r="F37" s="25">
        <f t="shared" ca="1" si="3"/>
        <v>-1357.9094959285922</v>
      </c>
    </row>
    <row r="38" spans="1:9" x14ac:dyDescent="0.2">
      <c r="A38" t="str">
        <f t="shared" si="4"/>
        <v>∆GNP/P</v>
      </c>
      <c r="B38" s="25">
        <f ca="1">F36</f>
        <v>87.616591386706148</v>
      </c>
      <c r="E38" s="212" t="s">
        <v>270</v>
      </c>
      <c r="F38" s="25">
        <f t="shared" ca="1" si="3"/>
        <v>-1230.3324686441742</v>
      </c>
    </row>
    <row r="39" spans="1:9" x14ac:dyDescent="0.2">
      <c r="A39" t="str">
        <f t="shared" si="4"/>
        <v xml:space="preserve">∆FE/GNP </v>
      </c>
      <c r="B39">
        <f t="shared" ca="1" si="4"/>
        <v>-1357.9094959285922</v>
      </c>
      <c r="E39" s="212" t="s">
        <v>271</v>
      </c>
      <c r="F39" s="25">
        <f t="shared" ca="1" si="3"/>
        <v>-492.0013923531576</v>
      </c>
    </row>
    <row r="40" spans="1:9" x14ac:dyDescent="0.2">
      <c r="A40" t="str">
        <f t="shared" si="4"/>
        <v xml:space="preserve">∆PEFF/PEDEq </v>
      </c>
      <c r="B40">
        <f t="shared" ca="1" si="4"/>
        <v>-1230.3324686441742</v>
      </c>
      <c r="E40" s="249"/>
      <c r="F40" s="25"/>
      <c r="G40" s="25">
        <f ca="1">G33+SUM(F34:F39)</f>
        <v>974.73743164876032</v>
      </c>
      <c r="H40" s="21" t="s">
        <v>345</v>
      </c>
    </row>
    <row r="41" spans="1:9" x14ac:dyDescent="0.2">
      <c r="A41" t="str">
        <f t="shared" si="4"/>
        <v xml:space="preserve">∆TFC/PEFF </v>
      </c>
      <c r="B41" s="25">
        <f ca="1">F39</f>
        <v>-492.0013923531576</v>
      </c>
      <c r="H41" s="25">
        <f ca="1">-SUM(L135:CN135)</f>
        <v>-323.11490437580915</v>
      </c>
      <c r="I41" s="249" t="s">
        <v>275</v>
      </c>
    </row>
    <row r="42" spans="1:9" x14ac:dyDescent="0.2">
      <c r="A42" t="str">
        <f t="shared" ref="A42:B48" si="5">E53</f>
        <v>∆Total Industry Carbon (TIC)</v>
      </c>
      <c r="B42">
        <f t="shared" ca="1" si="5"/>
        <v>-69.512175227808868</v>
      </c>
      <c r="E42" s="249"/>
      <c r="F42" s="25"/>
      <c r="G42" s="25">
        <f ca="1">G40+H41</f>
        <v>651.62252727295117</v>
      </c>
      <c r="H42" s="21" t="s">
        <v>346</v>
      </c>
    </row>
    <row r="43" spans="1:9" x14ac:dyDescent="0.2">
      <c r="A43" t="str">
        <f t="shared" si="5"/>
        <v xml:space="preserve">∆Land Use </v>
      </c>
      <c r="B43">
        <f t="shared" ca="1" si="5"/>
        <v>-606.35905929427349</v>
      </c>
      <c r="H43" s="25">
        <f ca="1">SUM(L127:CN127)</f>
        <v>38.326937424639858</v>
      </c>
      <c r="I43" s="249" t="s">
        <v>339</v>
      </c>
    </row>
    <row r="44" spans="1:9" x14ac:dyDescent="0.2">
      <c r="A44" t="str">
        <f t="shared" si="5"/>
        <v xml:space="preserve">∆Other Gases </v>
      </c>
      <c r="B44" s="25">
        <f ca="1">F55</f>
        <v>-1254.9107961364516</v>
      </c>
      <c r="H44" s="25">
        <f ca="1">SUM(L129:CN129)</f>
        <v>-375.92349599242374</v>
      </c>
      <c r="I44" s="249" t="s">
        <v>266</v>
      </c>
    </row>
    <row r="45" spans="1:9" x14ac:dyDescent="0.2">
      <c r="A45" t="str">
        <f t="shared" si="5"/>
        <v>Total Anthropogenic Emissions Int</v>
      </c>
      <c r="B45">
        <f t="shared" ca="1" si="5"/>
        <v>1115.220420497232</v>
      </c>
      <c r="H45" s="25">
        <f ca="1">SUM(L128:CN128)</f>
        <v>377.48568024654583</v>
      </c>
      <c r="I45" s="249" t="s">
        <v>267</v>
      </c>
    </row>
    <row r="46" spans="1:9" x14ac:dyDescent="0.2">
      <c r="A46" t="str">
        <f t="shared" si="5"/>
        <v>Fossil CCS Int</v>
      </c>
      <c r="B46">
        <f t="shared" ca="1" si="5"/>
        <v>-423.70877154551943</v>
      </c>
      <c r="H46" s="25">
        <f ca="1">-SUM(L144:CN144)</f>
        <v>-5.4480745900896419E-3</v>
      </c>
      <c r="I46" s="249" t="s">
        <v>347</v>
      </c>
    </row>
    <row r="47" spans="1:9" x14ac:dyDescent="0.2">
      <c r="A47" t="str">
        <f t="shared" si="5"/>
        <v>Biomass CCS Int</v>
      </c>
      <c r="B47">
        <f t="shared" ca="1" si="5"/>
        <v>-5.4480745900896419E-3</v>
      </c>
      <c r="E47" s="249"/>
      <c r="F47" s="25"/>
      <c r="G47" s="25">
        <f ca="1">G42+H43+H44+H45+H46</f>
        <v>691.50620087712309</v>
      </c>
      <c r="H47" s="250" t="s">
        <v>278</v>
      </c>
    </row>
    <row r="48" spans="1:9" x14ac:dyDescent="0.2">
      <c r="A48" t="str">
        <f t="shared" si="5"/>
        <v>Net Anthropogenic Emissions Int</v>
      </c>
      <c r="B48">
        <f t="shared" ca="1" si="5"/>
        <v>691.50620087712286</v>
      </c>
      <c r="H48" s="25">
        <f ca="1">SUM(L135:CN135)</f>
        <v>323.11490437580915</v>
      </c>
      <c r="I48" s="249" t="s">
        <v>275</v>
      </c>
    </row>
    <row r="49" spans="5:10" x14ac:dyDescent="0.2">
      <c r="H49" s="25">
        <f ca="1">SUM(L136:CN136)</f>
        <v>100.59386716971004</v>
      </c>
      <c r="I49" t="s">
        <v>342</v>
      </c>
    </row>
    <row r="50" spans="5:10" x14ac:dyDescent="0.2">
      <c r="H50" s="25">
        <f ca="1">SUM(L144:CN144)</f>
        <v>5.4480745900896419E-3</v>
      </c>
      <c r="I50" s="249" t="s">
        <v>347</v>
      </c>
    </row>
    <row r="51" spans="5:10" x14ac:dyDescent="0.2">
      <c r="H51" s="25">
        <f ca="1">SUM(L146:CN146)</f>
        <v>0</v>
      </c>
      <c r="I51" s="25" t="s">
        <v>348</v>
      </c>
    </row>
    <row r="52" spans="5:10" x14ac:dyDescent="0.2">
      <c r="E52" s="249"/>
      <c r="F52" s="25"/>
      <c r="G52" s="25">
        <f ca="1">G47+H48+H49+H50+H51</f>
        <v>1115.2204204972322</v>
      </c>
      <c r="H52" s="248" t="s">
        <v>277</v>
      </c>
    </row>
    <row r="53" spans="5:10" x14ac:dyDescent="0.2">
      <c r="E53" s="249" t="s">
        <v>349</v>
      </c>
      <c r="F53" s="25">
        <f ca="1">SUM(L108:CN108)</f>
        <v>-69.512175227808868</v>
      </c>
    </row>
    <row r="54" spans="5:10" x14ac:dyDescent="0.2">
      <c r="E54" s="249" t="s">
        <v>272</v>
      </c>
      <c r="F54" s="25">
        <f ca="1">SUM(L109:CN109)</f>
        <v>-606.35905929427349</v>
      </c>
    </row>
    <row r="55" spans="5:10" x14ac:dyDescent="0.2">
      <c r="E55" s="249" t="s">
        <v>273</v>
      </c>
      <c r="F55" s="25">
        <f ca="1">SUM(L110:CN110)</f>
        <v>-1254.9107961364516</v>
      </c>
    </row>
    <row r="56" spans="5:10" x14ac:dyDescent="0.2">
      <c r="E56" s="248" t="s">
        <v>277</v>
      </c>
      <c r="F56" s="25">
        <f ca="1">SUM(L140:CN140)</f>
        <v>1115.220420497232</v>
      </c>
      <c r="G56" s="25">
        <f ca="1">F14+F18+F19+F17+SUM(L136:CN136)</f>
        <v>1115.2204204972329</v>
      </c>
      <c r="H56" s="25">
        <f ca="1">F29-H30-H31-H32+F34+F35+F36+F37+F38+F39+H43+H44+H45+H46+H49+H50+H51</f>
        <v>1115.2204204972329</v>
      </c>
      <c r="I56" s="25">
        <f ca="1">SUM(L141:CN141)</f>
        <v>1115.2204204972322</v>
      </c>
      <c r="J56" s="242">
        <f ca="1">I56-F56</f>
        <v>0</v>
      </c>
    </row>
    <row r="57" spans="5:10" x14ac:dyDescent="0.2">
      <c r="E57" s="212" t="s">
        <v>337</v>
      </c>
      <c r="F57" s="25">
        <f ca="1">-SUM(L135:CN136)</f>
        <v>-423.70877154551943</v>
      </c>
      <c r="G57" s="25"/>
    </row>
    <row r="58" spans="5:10" x14ac:dyDescent="0.2">
      <c r="E58" s="249" t="s">
        <v>276</v>
      </c>
      <c r="F58" s="25">
        <f ca="1">-SUM(L137:CN138)</f>
        <v>-5.4480745900896419E-3</v>
      </c>
    </row>
    <row r="59" spans="5:10" x14ac:dyDescent="0.2">
      <c r="E59" s="250" t="s">
        <v>278</v>
      </c>
      <c r="F59" s="25">
        <f ca="1">SUM(L147:CN147)</f>
        <v>691.50620087712286</v>
      </c>
      <c r="G59" s="25">
        <f ca="1">G56+F57+F58</f>
        <v>691.50620087712343</v>
      </c>
      <c r="I59" s="242">
        <f ca="1">G59-F59</f>
        <v>0</v>
      </c>
    </row>
    <row r="60" spans="5:10" x14ac:dyDescent="0.2">
      <c r="G60" s="243"/>
    </row>
    <row r="70" spans="1:92" x14ac:dyDescent="0.2">
      <c r="D70" s="25"/>
      <c r="E70" s="25"/>
      <c r="F70" s="25"/>
      <c r="G70" s="25"/>
    </row>
    <row r="75" spans="1:92" ht="18" customHeight="1" x14ac:dyDescent="0.2">
      <c r="A75" s="21" t="s">
        <v>331</v>
      </c>
      <c r="B75" s="238">
        <v>2010</v>
      </c>
      <c r="C75" s="238">
        <v>2011</v>
      </c>
      <c r="D75" s="238">
        <v>2012</v>
      </c>
      <c r="E75" s="238">
        <v>2013</v>
      </c>
      <c r="F75" s="238">
        <v>2014</v>
      </c>
      <c r="G75" s="238">
        <v>2015</v>
      </c>
      <c r="H75" s="238">
        <v>2016</v>
      </c>
      <c r="I75" s="238">
        <v>2017</v>
      </c>
      <c r="J75" s="238">
        <v>2018</v>
      </c>
      <c r="K75" s="238">
        <v>2019</v>
      </c>
      <c r="L75" s="238">
        <v>2020</v>
      </c>
      <c r="M75" s="238">
        <v>2021</v>
      </c>
      <c r="N75" s="238">
        <v>2022</v>
      </c>
      <c r="O75" s="238">
        <v>2023</v>
      </c>
      <c r="P75" s="238">
        <v>2024</v>
      </c>
      <c r="Q75" s="238">
        <v>2025</v>
      </c>
      <c r="R75" s="238">
        <v>2026</v>
      </c>
      <c r="S75" s="238">
        <v>2027</v>
      </c>
      <c r="T75" s="238">
        <v>2028</v>
      </c>
      <c r="U75" s="238">
        <v>2029</v>
      </c>
      <c r="V75" s="238">
        <v>2030</v>
      </c>
      <c r="W75" s="238">
        <v>2031</v>
      </c>
      <c r="X75" s="238">
        <v>2032</v>
      </c>
      <c r="Y75" s="238">
        <v>2033</v>
      </c>
      <c r="Z75" s="238">
        <v>2034</v>
      </c>
      <c r="AA75" s="238">
        <v>2035</v>
      </c>
      <c r="AB75" s="238">
        <v>2036</v>
      </c>
      <c r="AC75" s="238">
        <v>2037</v>
      </c>
      <c r="AD75" s="238">
        <v>2038</v>
      </c>
      <c r="AE75" s="238">
        <v>2039</v>
      </c>
      <c r="AF75" s="238">
        <v>2040</v>
      </c>
      <c r="AG75" s="238">
        <v>2041</v>
      </c>
      <c r="AH75" s="238">
        <v>2042</v>
      </c>
      <c r="AI75" s="238">
        <v>2043</v>
      </c>
      <c r="AJ75" s="238">
        <v>2044</v>
      </c>
      <c r="AK75" s="238">
        <v>2045</v>
      </c>
      <c r="AL75" s="238">
        <v>2046</v>
      </c>
      <c r="AM75" s="238">
        <v>2047</v>
      </c>
      <c r="AN75" s="238">
        <v>2048</v>
      </c>
      <c r="AO75" s="238">
        <v>2049</v>
      </c>
      <c r="AP75" s="238">
        <v>2050</v>
      </c>
      <c r="AQ75" s="238">
        <v>2051</v>
      </c>
      <c r="AR75" s="238">
        <v>2052</v>
      </c>
      <c r="AS75" s="238">
        <v>2053</v>
      </c>
      <c r="AT75" s="238">
        <v>2054</v>
      </c>
      <c r="AU75" s="238">
        <v>2055</v>
      </c>
      <c r="AV75" s="238">
        <v>2056</v>
      </c>
      <c r="AW75" s="238">
        <v>2057</v>
      </c>
      <c r="AX75" s="238">
        <v>2058</v>
      </c>
      <c r="AY75" s="238">
        <v>2059</v>
      </c>
      <c r="AZ75" s="238">
        <v>2060</v>
      </c>
      <c r="BA75" s="238">
        <v>2061</v>
      </c>
      <c r="BB75" s="238">
        <v>2062</v>
      </c>
      <c r="BC75" s="238">
        <v>2063</v>
      </c>
      <c r="BD75" s="238">
        <v>2064</v>
      </c>
      <c r="BE75" s="238">
        <v>2065</v>
      </c>
      <c r="BF75" s="238">
        <v>2066</v>
      </c>
      <c r="BG75" s="238">
        <v>2067</v>
      </c>
      <c r="BH75" s="238">
        <v>2068</v>
      </c>
      <c r="BI75" s="238">
        <v>2069</v>
      </c>
      <c r="BJ75" s="238">
        <v>2070</v>
      </c>
      <c r="BK75" s="238">
        <v>2071</v>
      </c>
      <c r="BL75" s="238">
        <v>2072</v>
      </c>
      <c r="BM75" s="238">
        <v>2073</v>
      </c>
      <c r="BN75" s="238">
        <v>2074</v>
      </c>
      <c r="BO75" s="238">
        <v>2075</v>
      </c>
      <c r="BP75" s="238">
        <v>2076</v>
      </c>
      <c r="BQ75" s="238">
        <v>2077</v>
      </c>
      <c r="BR75" s="238">
        <v>2078</v>
      </c>
      <c r="BS75" s="238">
        <v>2079</v>
      </c>
      <c r="BT75" s="238">
        <v>2080</v>
      </c>
      <c r="BU75" s="238">
        <v>2081</v>
      </c>
      <c r="BV75" s="238">
        <v>2082</v>
      </c>
      <c r="BW75" s="238">
        <v>2083</v>
      </c>
      <c r="BX75" s="238">
        <v>2084</v>
      </c>
      <c r="BY75" s="238">
        <v>2085</v>
      </c>
      <c r="BZ75" s="238">
        <v>2086</v>
      </c>
      <c r="CA75" s="238">
        <v>2087</v>
      </c>
      <c r="CB75" s="238">
        <v>2088</v>
      </c>
      <c r="CC75" s="238">
        <v>2089</v>
      </c>
      <c r="CD75" s="238">
        <v>2090</v>
      </c>
      <c r="CE75" s="238">
        <v>2091</v>
      </c>
      <c r="CF75" s="238">
        <v>2092</v>
      </c>
      <c r="CG75" s="238">
        <v>2093</v>
      </c>
      <c r="CH75" s="238">
        <v>2094</v>
      </c>
      <c r="CI75" s="238">
        <v>2095</v>
      </c>
      <c r="CJ75" s="238">
        <v>2096</v>
      </c>
      <c r="CK75" s="238">
        <v>2097</v>
      </c>
      <c r="CL75" s="238">
        <v>2098</v>
      </c>
      <c r="CM75" s="238">
        <v>2099</v>
      </c>
      <c r="CN75" s="238">
        <v>2100</v>
      </c>
    </row>
    <row r="76" spans="1:92" ht="18" customHeight="1" x14ac:dyDescent="0.2">
      <c r="A76" s="238" t="str">
        <f>ExpKayaRatiosRef!A2</f>
        <v>P</v>
      </c>
      <c r="B76" s="238">
        <f ca="1">ExpKayaRatiosRef!E2</f>
        <v>6.9217978520000001</v>
      </c>
      <c r="C76">
        <f t="shared" ref="C76:K76" ca="1" si="6">B76+($L76-$B76)/($L$75-$B$75)</f>
        <v>6.9967682620999998</v>
      </c>
      <c r="D76">
        <f t="shared" ca="1" si="6"/>
        <v>7.0717386721999995</v>
      </c>
      <c r="E76">
        <f t="shared" ca="1" si="6"/>
        <v>7.1467090822999992</v>
      </c>
      <c r="F76">
        <f t="shared" ca="1" si="6"/>
        <v>7.221679492399999</v>
      </c>
      <c r="G76">
        <f t="shared" ca="1" si="6"/>
        <v>7.2966499024999987</v>
      </c>
      <c r="H76">
        <f t="shared" ca="1" si="6"/>
        <v>7.3716203125999984</v>
      </c>
      <c r="I76">
        <f t="shared" ca="1" si="6"/>
        <v>7.4465907226999981</v>
      </c>
      <c r="J76">
        <f t="shared" ca="1" si="6"/>
        <v>7.5215611327999978</v>
      </c>
      <c r="K76">
        <f t="shared" ca="1" si="6"/>
        <v>7.5965315428999975</v>
      </c>
      <c r="L76" s="238">
        <f ca="1">ExpKayaRatiosRef!F2</f>
        <v>7.6715019529999999</v>
      </c>
      <c r="M76">
        <f ca="1">L76+($V76-$L76)/($V$75-$L$75)</f>
        <v>7.7371200193999998</v>
      </c>
      <c r="N76">
        <f t="shared" ref="N76:U76" ca="1" si="7">M76+($V76-$L76)/($V$75-$L$75)</f>
        <v>7.8027380857999997</v>
      </c>
      <c r="O76">
        <f t="shared" ca="1" si="7"/>
        <v>7.8683561521999996</v>
      </c>
      <c r="P76">
        <f t="shared" ca="1" si="7"/>
        <v>7.9339742185999995</v>
      </c>
      <c r="Q76">
        <f t="shared" ca="1" si="7"/>
        <v>7.9995922849999994</v>
      </c>
      <c r="R76">
        <f t="shared" ca="1" si="7"/>
        <v>8.0652103513999993</v>
      </c>
      <c r="S76">
        <f t="shared" ca="1" si="7"/>
        <v>8.1308284178000001</v>
      </c>
      <c r="T76">
        <f t="shared" ca="1" si="7"/>
        <v>8.1964464842000009</v>
      </c>
      <c r="U76">
        <f t="shared" ca="1" si="7"/>
        <v>8.2620645506000017</v>
      </c>
      <c r="V76" s="238">
        <f ca="1">ExpKayaRatiosRef!G2</f>
        <v>8.3276826170000007</v>
      </c>
      <c r="W76">
        <f ca="1">V76+($AF76-$V76)/($AF$75-$V$75)</f>
        <v>8.3806319334000001</v>
      </c>
      <c r="X76">
        <f t="shared" ref="X76:AE76" ca="1" si="8">W76+($AF76-$V76)/($AF$75-$V$75)</f>
        <v>8.4335812497999996</v>
      </c>
      <c r="Y76">
        <f t="shared" ca="1" si="8"/>
        <v>8.486530566199999</v>
      </c>
      <c r="Z76">
        <f t="shared" ca="1" si="8"/>
        <v>8.5394798825999985</v>
      </c>
      <c r="AA76">
        <f t="shared" ca="1" si="8"/>
        <v>8.5924291989999979</v>
      </c>
      <c r="AB76">
        <f t="shared" ca="1" si="8"/>
        <v>8.6453785153999974</v>
      </c>
      <c r="AC76">
        <f t="shared" ca="1" si="8"/>
        <v>8.6983278317999968</v>
      </c>
      <c r="AD76">
        <f t="shared" ca="1" si="8"/>
        <v>8.7512771481999962</v>
      </c>
      <c r="AE76">
        <f t="shared" ca="1" si="8"/>
        <v>8.8042264645999957</v>
      </c>
      <c r="AF76" s="238">
        <f ca="1">ExpKayaRatiosRef!H2</f>
        <v>8.8571757810000005</v>
      </c>
      <c r="AG76">
        <f ca="1">AF76+($AP76-$AF76)/($AP$75-$AF$75)</f>
        <v>8.8957124998000001</v>
      </c>
      <c r="AH76">
        <f ca="1">AG76+($AP76-$AF76)/($AP$75-$AF$75)</f>
        <v>8.9342492185999998</v>
      </c>
      <c r="AI76">
        <f t="shared" ref="AI76:AO76" ca="1" si="9">AH76+($AP76-$AF76)/($AP$75-$AF$75)</f>
        <v>8.9727859373999994</v>
      </c>
      <c r="AJ76">
        <f t="shared" ca="1" si="9"/>
        <v>9.0113226561999991</v>
      </c>
      <c r="AK76">
        <f t="shared" ca="1" si="9"/>
        <v>9.0498593749999987</v>
      </c>
      <c r="AL76">
        <f t="shared" ca="1" si="9"/>
        <v>9.0883960937999984</v>
      </c>
      <c r="AM76">
        <f t="shared" ca="1" si="9"/>
        <v>9.126932812599998</v>
      </c>
      <c r="AN76">
        <f t="shared" ca="1" si="9"/>
        <v>9.1654695313999976</v>
      </c>
      <c r="AO76">
        <f t="shared" ca="1" si="9"/>
        <v>9.2040062501999973</v>
      </c>
      <c r="AP76" s="238">
        <f ca="1">ExpKayaRatiosRef!I2</f>
        <v>9.2425429690000005</v>
      </c>
      <c r="AQ76">
        <f ca="1">AP76+($AZ76-$AP76)/($AZ$75-$AP$75)</f>
        <v>9.2642854494000009</v>
      </c>
      <c r="AR76">
        <f t="shared" ref="AR76:AY76" ca="1" si="10">AQ76+($BA76-$AP76)/($BA$75-$AP$75)</f>
        <v>9.2846979493454551</v>
      </c>
      <c r="AS76">
        <f t="shared" ca="1" si="10"/>
        <v>9.3051104492909094</v>
      </c>
      <c r="AT76">
        <f t="shared" ca="1" si="10"/>
        <v>9.3255229492363636</v>
      </c>
      <c r="AU76">
        <f t="shared" ca="1" si="10"/>
        <v>9.3459354491818178</v>
      </c>
      <c r="AV76">
        <f t="shared" ca="1" si="10"/>
        <v>9.3663479491272721</v>
      </c>
      <c r="AW76">
        <f t="shared" ca="1" si="10"/>
        <v>9.3867604490727263</v>
      </c>
      <c r="AX76">
        <f t="shared" ca="1" si="10"/>
        <v>9.4071729490181806</v>
      </c>
      <c r="AY76">
        <f t="shared" ca="1" si="10"/>
        <v>9.4275854489636348</v>
      </c>
      <c r="AZ76" s="238">
        <f ca="1">ExpKayaRatiosRef!J2</f>
        <v>9.4599677730000007</v>
      </c>
      <c r="BA76">
        <f ca="1">AZ76+($BJ76-$AZ76)/($BJ$75-$AZ$75)</f>
        <v>9.4670804684000007</v>
      </c>
      <c r="BB76">
        <f t="shared" ref="BB76:BI76" ca="1" si="11">BA76+($BJ76-$AZ76)/($BJ$75-$AZ$75)</f>
        <v>9.4741931638000008</v>
      </c>
      <c r="BC76">
        <f t="shared" ca="1" si="11"/>
        <v>9.4813058592000008</v>
      </c>
      <c r="BD76">
        <f t="shared" ca="1" si="11"/>
        <v>9.4884185546000008</v>
      </c>
      <c r="BE76">
        <f t="shared" ca="1" si="11"/>
        <v>9.4955312500000009</v>
      </c>
      <c r="BF76">
        <f t="shared" ca="1" si="11"/>
        <v>9.5026439454000009</v>
      </c>
      <c r="BG76">
        <f t="shared" ca="1" si="11"/>
        <v>9.5097566408000009</v>
      </c>
      <c r="BH76">
        <f t="shared" ca="1" si="11"/>
        <v>9.516869336200001</v>
      </c>
      <c r="BI76">
        <f t="shared" ca="1" si="11"/>
        <v>9.523982031600001</v>
      </c>
      <c r="BJ76" s="238">
        <f ca="1">ExpKayaRatiosRef!K2</f>
        <v>9.5310947269999993</v>
      </c>
      <c r="BK76">
        <f ca="1">BJ76+($BT76-$BJ76)/($BT$75-$BJ$75)</f>
        <v>9.5260080081999998</v>
      </c>
      <c r="BL76">
        <f t="shared" ref="BL76:BS76" ca="1" si="12">BK76+($BT76-$BJ76)/($BT$75-$BJ$75)</f>
        <v>9.5209212894000004</v>
      </c>
      <c r="BM76">
        <f t="shared" ca="1" si="12"/>
        <v>9.5158345706000009</v>
      </c>
      <c r="BN76">
        <f t="shared" ca="1" si="12"/>
        <v>9.5107478518000015</v>
      </c>
      <c r="BO76">
        <f t="shared" ca="1" si="12"/>
        <v>9.505661133000002</v>
      </c>
      <c r="BP76">
        <f ca="1">BO76+($BT76-$BJ76)/($BT$75-$BJ$75)</f>
        <v>9.5005744142000026</v>
      </c>
      <c r="BQ76">
        <f t="shared" ca="1" si="12"/>
        <v>9.4954876954000031</v>
      </c>
      <c r="BR76">
        <f t="shared" ca="1" si="12"/>
        <v>9.4904009766000037</v>
      </c>
      <c r="BS76">
        <f t="shared" ca="1" si="12"/>
        <v>9.4853142578000043</v>
      </c>
      <c r="BT76" s="238">
        <f ca="1">ExpKayaRatiosRef!L2</f>
        <v>9.4802275389999995</v>
      </c>
      <c r="BU76">
        <f ca="1">BT76+($CD76-$BT76)/($CD$75-$BT$75)</f>
        <v>9.464775488199999</v>
      </c>
      <c r="BV76">
        <f t="shared" ref="BV76:CC76" ca="1" si="13">BU76+($CD76-$BT76)/($CD$75-$BT$75)</f>
        <v>9.4493234373999986</v>
      </c>
      <c r="BW76">
        <f t="shared" ca="1" si="13"/>
        <v>9.4338713865999981</v>
      </c>
      <c r="BX76">
        <f t="shared" ca="1" si="13"/>
        <v>9.4184193357999977</v>
      </c>
      <c r="BY76">
        <f t="shared" ca="1" si="13"/>
        <v>9.4029672849999972</v>
      </c>
      <c r="BZ76">
        <f t="shared" ca="1" si="13"/>
        <v>9.3875152341999968</v>
      </c>
      <c r="CA76">
        <f t="shared" ca="1" si="13"/>
        <v>9.3720631833999963</v>
      </c>
      <c r="CB76">
        <f t="shared" ca="1" si="13"/>
        <v>9.3566111325999959</v>
      </c>
      <c r="CC76">
        <f t="shared" ca="1" si="13"/>
        <v>9.3411590817999954</v>
      </c>
      <c r="CD76" s="238">
        <f ca="1">ExpKayaRatiosRef!M2</f>
        <v>9.3257070310000003</v>
      </c>
      <c r="CE76">
        <f ca="1">CD76+($CN76-$CD76)/($CN$75-$CD$75)</f>
        <v>9.3034597653999995</v>
      </c>
      <c r="CF76">
        <f t="shared" ref="CF76:CM76" ca="1" si="14">CE76+($CN76-$CD76)/($CN$75-$CD$75)</f>
        <v>9.2812124997999987</v>
      </c>
      <c r="CG76">
        <f t="shared" ca="1" si="14"/>
        <v>9.258965234199998</v>
      </c>
      <c r="CH76">
        <f t="shared" ca="1" si="14"/>
        <v>9.2367179685999972</v>
      </c>
      <c r="CI76">
        <f t="shared" ca="1" si="14"/>
        <v>9.2144707029999964</v>
      </c>
      <c r="CJ76">
        <f t="shared" ca="1" si="14"/>
        <v>9.1922234373999956</v>
      </c>
      <c r="CK76">
        <f t="shared" ca="1" si="14"/>
        <v>9.1699761717999948</v>
      </c>
      <c r="CL76">
        <f t="shared" ca="1" si="14"/>
        <v>9.147728906199994</v>
      </c>
      <c r="CM76">
        <f t="shared" ca="1" si="14"/>
        <v>9.1254816405999932</v>
      </c>
      <c r="CN76" s="238">
        <f ca="1">ExpKayaRatiosRef!N2</f>
        <v>9.1032343749999995</v>
      </c>
    </row>
    <row r="77" spans="1:92" ht="18" customHeight="1" x14ac:dyDescent="0.2">
      <c r="A77" s="238" t="str">
        <f>ExpKayaRatiosRef!A3</f>
        <v>GNP/P</v>
      </c>
      <c r="B77" s="238">
        <f ca="1">ExpKayaRatiosRef!E3</f>
        <v>10879.842592952973</v>
      </c>
      <c r="C77">
        <f t="shared" ref="C77:K77" ca="1" si="15">B77+($L77-$B77)/($L$75-$B$75)</f>
        <v>11248.710252417788</v>
      </c>
      <c r="D77">
        <f t="shared" ca="1" si="15"/>
        <v>11617.577911882603</v>
      </c>
      <c r="E77">
        <f t="shared" ca="1" si="15"/>
        <v>11986.445571347418</v>
      </c>
      <c r="F77">
        <f t="shared" ca="1" si="15"/>
        <v>12355.313230812233</v>
      </c>
      <c r="G77">
        <f t="shared" ca="1" si="15"/>
        <v>12724.180890277048</v>
      </c>
      <c r="H77">
        <f t="shared" ca="1" si="15"/>
        <v>13093.048549741863</v>
      </c>
      <c r="I77">
        <f t="shared" ca="1" si="15"/>
        <v>13461.916209206678</v>
      </c>
      <c r="J77">
        <f t="shared" ca="1" si="15"/>
        <v>13830.783868671493</v>
      </c>
      <c r="K77">
        <f t="shared" ca="1" si="15"/>
        <v>14199.651528136308</v>
      </c>
      <c r="L77" s="238">
        <f ca="1">ExpKayaRatiosRef!F3</f>
        <v>14568.519187601125</v>
      </c>
      <c r="M77">
        <f t="shared" ref="M77:U77" ca="1" si="16">L77+($V77-$L77)/($V$75-$L$75)</f>
        <v>15024.494693061279</v>
      </c>
      <c r="N77">
        <f t="shared" ca="1" si="16"/>
        <v>15480.470198521432</v>
      </c>
      <c r="O77">
        <f t="shared" ca="1" si="16"/>
        <v>15936.445703981586</v>
      </c>
      <c r="P77">
        <f t="shared" ca="1" si="16"/>
        <v>16392.421209441742</v>
      </c>
      <c r="Q77">
        <f t="shared" ca="1" si="16"/>
        <v>16848.396714901897</v>
      </c>
      <c r="R77">
        <f t="shared" ca="1" si="16"/>
        <v>17304.372220362053</v>
      </c>
      <c r="S77">
        <f t="shared" ca="1" si="16"/>
        <v>17760.347725822208</v>
      </c>
      <c r="T77">
        <f t="shared" ca="1" si="16"/>
        <v>18216.323231282364</v>
      </c>
      <c r="U77">
        <f t="shared" ca="1" si="16"/>
        <v>18672.298736742519</v>
      </c>
      <c r="V77" s="238">
        <f ca="1">ExpKayaRatiosRef!G3</f>
        <v>19128.274242202668</v>
      </c>
      <c r="W77">
        <f t="shared" ref="W77:AE77" ca="1" si="17">V77+($AF77-$V77)/($AF$75-$V$75)</f>
        <v>19556.444199391375</v>
      </c>
      <c r="X77">
        <f t="shared" ca="1" si="17"/>
        <v>19984.614156580083</v>
      </c>
      <c r="Y77">
        <f t="shared" ca="1" si="17"/>
        <v>20412.78411376879</v>
      </c>
      <c r="Z77">
        <f t="shared" ca="1" si="17"/>
        <v>20840.954070957498</v>
      </c>
      <c r="AA77">
        <f t="shared" ca="1" si="17"/>
        <v>21269.124028146205</v>
      </c>
      <c r="AB77">
        <f t="shared" ca="1" si="17"/>
        <v>21697.293985334913</v>
      </c>
      <c r="AC77">
        <f t="shared" ca="1" si="17"/>
        <v>22125.46394252362</v>
      </c>
      <c r="AD77">
        <f t="shared" ca="1" si="17"/>
        <v>22553.633899712328</v>
      </c>
      <c r="AE77">
        <f t="shared" ca="1" si="17"/>
        <v>22981.803856901035</v>
      </c>
      <c r="AF77" s="238">
        <f ca="1">ExpKayaRatiosRef!H3</f>
        <v>23409.973814089757</v>
      </c>
      <c r="AG77">
        <f t="shared" ref="AG77:AO77" ca="1" si="18">AF77+($AP77-$AF77)/($AP$75-$AF$75)</f>
        <v>23856.464116147563</v>
      </c>
      <c r="AH77">
        <f t="shared" ca="1" si="18"/>
        <v>24302.954418205369</v>
      </c>
      <c r="AI77">
        <f t="shared" ca="1" si="18"/>
        <v>24749.444720263175</v>
      </c>
      <c r="AJ77">
        <f t="shared" ca="1" si="18"/>
        <v>25195.93502232098</v>
      </c>
      <c r="AK77">
        <f t="shared" ca="1" si="18"/>
        <v>25642.425324378786</v>
      </c>
      <c r="AL77">
        <f t="shared" ca="1" si="18"/>
        <v>26088.915626436592</v>
      </c>
      <c r="AM77">
        <f t="shared" ca="1" si="18"/>
        <v>26535.405928494398</v>
      </c>
      <c r="AN77">
        <f t="shared" ca="1" si="18"/>
        <v>26981.896230552204</v>
      </c>
      <c r="AO77">
        <f t="shared" ca="1" si="18"/>
        <v>27428.386532610009</v>
      </c>
      <c r="AP77" s="238">
        <f ca="1">ExpKayaRatiosRef!I3</f>
        <v>27874.876834667815</v>
      </c>
      <c r="AQ77">
        <f t="shared" ref="AQ77:AY77" ca="1" si="19">AP77+($BA77-$AP77)/($BA$75-$AP$75)</f>
        <v>28391.15502178582</v>
      </c>
      <c r="AR77">
        <f t="shared" ca="1" si="19"/>
        <v>28907.433208903825</v>
      </c>
      <c r="AS77">
        <f t="shared" ca="1" si="19"/>
        <v>29423.71139602183</v>
      </c>
      <c r="AT77">
        <f t="shared" ca="1" si="19"/>
        <v>29939.989583139835</v>
      </c>
      <c r="AU77">
        <f t="shared" ca="1" si="19"/>
        <v>30456.26777025784</v>
      </c>
      <c r="AV77">
        <f t="shared" ca="1" si="19"/>
        <v>30972.545957375845</v>
      </c>
      <c r="AW77">
        <f t="shared" ca="1" si="19"/>
        <v>31488.82414449385</v>
      </c>
      <c r="AX77">
        <f t="shared" ca="1" si="19"/>
        <v>32005.102331611855</v>
      </c>
      <c r="AY77">
        <f t="shared" ca="1" si="19"/>
        <v>32521.38051872986</v>
      </c>
      <c r="AZ77" s="238">
        <f ca="1">ExpKayaRatiosRef!J3</f>
        <v>32936.227752199971</v>
      </c>
      <c r="BA77">
        <f t="shared" ref="BA77:BI77" ca="1" si="20">AZ77+($BJ77-$AZ77)/($BJ$75-$AZ$75)</f>
        <v>33553.936892965874</v>
      </c>
      <c r="BB77">
        <f t="shared" ca="1" si="20"/>
        <v>34171.646033731777</v>
      </c>
      <c r="BC77">
        <f t="shared" ca="1" si="20"/>
        <v>34789.355174497679</v>
      </c>
      <c r="BD77">
        <f t="shared" ca="1" si="20"/>
        <v>35407.064315263582</v>
      </c>
      <c r="BE77">
        <f t="shared" ca="1" si="20"/>
        <v>36024.773456029485</v>
      </c>
      <c r="BF77">
        <f t="shared" ca="1" si="20"/>
        <v>36642.482596795388</v>
      </c>
      <c r="BG77">
        <f t="shared" ca="1" si="20"/>
        <v>37260.19173756129</v>
      </c>
      <c r="BH77">
        <f t="shared" ca="1" si="20"/>
        <v>37877.900878327193</v>
      </c>
      <c r="BI77">
        <f t="shared" ca="1" si="20"/>
        <v>38495.610019093096</v>
      </c>
      <c r="BJ77" s="238">
        <f ca="1">ExpKayaRatiosRef!K3</f>
        <v>39113.319159858984</v>
      </c>
      <c r="BK77">
        <f t="shared" ref="BK77:BS77" ca="1" si="21">BJ77+($BT77-$BJ77)/($BT$75-$BJ$75)</f>
        <v>39839.612778611845</v>
      </c>
      <c r="BL77">
        <f t="shared" ca="1" si="21"/>
        <v>40565.906397364706</v>
      </c>
      <c r="BM77">
        <f t="shared" ca="1" si="21"/>
        <v>41292.200016117567</v>
      </c>
      <c r="BN77">
        <f t="shared" ca="1" si="21"/>
        <v>42018.493634870429</v>
      </c>
      <c r="BO77">
        <f t="shared" ca="1" si="21"/>
        <v>42744.78725362329</v>
      </c>
      <c r="BP77">
        <f t="shared" ca="1" si="21"/>
        <v>43471.080872376151</v>
      </c>
      <c r="BQ77">
        <f t="shared" ca="1" si="21"/>
        <v>44197.374491129012</v>
      </c>
      <c r="BR77">
        <f t="shared" ca="1" si="21"/>
        <v>44923.668109881874</v>
      </c>
      <c r="BS77">
        <f t="shared" ca="1" si="21"/>
        <v>45649.961728634735</v>
      </c>
      <c r="BT77" s="238">
        <f ca="1">ExpKayaRatiosRef!L3</f>
        <v>46376.255347387611</v>
      </c>
      <c r="BU77">
        <f t="shared" ref="BU77:CC77" ca="1" si="22">BT77+($CD77-$BT77)/($CD$75-$BT$75)</f>
        <v>47235.450505128094</v>
      </c>
      <c r="BV77">
        <f t="shared" ca="1" si="22"/>
        <v>48094.645662868577</v>
      </c>
      <c r="BW77">
        <f t="shared" ca="1" si="22"/>
        <v>48953.840820609061</v>
      </c>
      <c r="BX77">
        <f t="shared" ca="1" si="22"/>
        <v>49813.035978349544</v>
      </c>
      <c r="BY77">
        <f t="shared" ca="1" si="22"/>
        <v>50672.231136090028</v>
      </c>
      <c r="BZ77">
        <f t="shared" ca="1" si="22"/>
        <v>51531.426293830511</v>
      </c>
      <c r="CA77">
        <f t="shared" ca="1" si="22"/>
        <v>52390.621451570994</v>
      </c>
      <c r="CB77">
        <f t="shared" ca="1" si="22"/>
        <v>53249.816609311478</v>
      </c>
      <c r="CC77">
        <f t="shared" ca="1" si="22"/>
        <v>54109.011767051961</v>
      </c>
      <c r="CD77" s="238">
        <f ca="1">ExpKayaRatiosRef!M3</f>
        <v>54968.206924792466</v>
      </c>
      <c r="CE77">
        <f t="shared" ref="CE77:CM77" ca="1" si="23">CD77+($CN77-$CD77)/($CN$75-$CD$75)</f>
        <v>55975.343376666104</v>
      </c>
      <c r="CF77">
        <f t="shared" ca="1" si="23"/>
        <v>56982.479828539741</v>
      </c>
      <c r="CG77">
        <f t="shared" ca="1" si="23"/>
        <v>57989.616280413378</v>
      </c>
      <c r="CH77">
        <f t="shared" ca="1" si="23"/>
        <v>58996.752732287016</v>
      </c>
      <c r="CI77">
        <f t="shared" ca="1" si="23"/>
        <v>60003.889184160653</v>
      </c>
      <c r="CJ77">
        <f t="shared" ca="1" si="23"/>
        <v>61011.02563603429</v>
      </c>
      <c r="CK77">
        <f t="shared" ca="1" si="23"/>
        <v>62018.162087907927</v>
      </c>
      <c r="CL77">
        <f t="shared" ca="1" si="23"/>
        <v>63025.298539781565</v>
      </c>
      <c r="CM77">
        <f t="shared" ca="1" si="23"/>
        <v>64032.434991655202</v>
      </c>
      <c r="CN77" s="238">
        <f ca="1">ExpKayaRatiosRef!N3</f>
        <v>65039.571443528832</v>
      </c>
    </row>
    <row r="78" spans="1:92" ht="18" customHeight="1" x14ac:dyDescent="0.2">
      <c r="A78" s="238" t="str">
        <f>ExpKayaRatiosRef!A4</f>
        <v>FE/GNP</v>
      </c>
      <c r="B78" s="238">
        <f ca="1">ExpKayaRatiosRef!E4</f>
        <v>4.8881986641254178</v>
      </c>
      <c r="C78">
        <f t="shared" ref="C78:K78" ca="1" si="24">B78+($L78-$B78)/($L$75-$B$75)</f>
        <v>4.7778878649205225</v>
      </c>
      <c r="D78">
        <f t="shared" ca="1" si="24"/>
        <v>4.6675770657156272</v>
      </c>
      <c r="E78">
        <f t="shared" ca="1" si="24"/>
        <v>4.557266266510732</v>
      </c>
      <c r="F78">
        <f t="shared" ca="1" si="24"/>
        <v>4.4469554673058367</v>
      </c>
      <c r="G78">
        <f t="shared" ca="1" si="24"/>
        <v>4.3366446681009414</v>
      </c>
      <c r="H78">
        <f t="shared" ca="1" si="24"/>
        <v>4.2263338688960461</v>
      </c>
      <c r="I78">
        <f t="shared" ca="1" si="24"/>
        <v>4.1160230696911508</v>
      </c>
      <c r="J78">
        <f t="shared" ca="1" si="24"/>
        <v>4.0057122704862556</v>
      </c>
      <c r="K78">
        <f t="shared" ca="1" si="24"/>
        <v>3.8954014712813598</v>
      </c>
      <c r="L78" s="238">
        <f ca="1">ExpKayaRatiosRef!F4</f>
        <v>3.785090672076461</v>
      </c>
      <c r="M78">
        <f t="shared" ref="M78:U78" ca="1" si="25">L78+($V78-$L78)/($V$75-$L$75)</f>
        <v>3.7075483714742341</v>
      </c>
      <c r="N78">
        <f t="shared" ca="1" si="25"/>
        <v>3.6300060708720072</v>
      </c>
      <c r="O78">
        <f t="shared" ca="1" si="25"/>
        <v>3.5524637702697803</v>
      </c>
      <c r="P78">
        <f t="shared" ca="1" si="25"/>
        <v>3.4749214696675534</v>
      </c>
      <c r="Q78">
        <f t="shared" ca="1" si="25"/>
        <v>3.3973791690653266</v>
      </c>
      <c r="R78">
        <f t="shared" ca="1" si="25"/>
        <v>3.3198368684630997</v>
      </c>
      <c r="S78">
        <f t="shared" ca="1" si="25"/>
        <v>3.2422945678608728</v>
      </c>
      <c r="T78">
        <f t="shared" ca="1" si="25"/>
        <v>3.1647522672586459</v>
      </c>
      <c r="U78">
        <f t="shared" ca="1" si="25"/>
        <v>3.087209966656419</v>
      </c>
      <c r="V78" s="238">
        <f ca="1">ExpKayaRatiosRef!G4</f>
        <v>3.0096676660541926</v>
      </c>
      <c r="W78">
        <f t="shared" ref="W78:AE78" ca="1" si="26">V78+($AF78-$V78)/($AF$75-$V$75)</f>
        <v>2.9700732979838111</v>
      </c>
      <c r="X78">
        <f t="shared" ca="1" si="26"/>
        <v>2.9304789299134297</v>
      </c>
      <c r="Y78">
        <f t="shared" ca="1" si="26"/>
        <v>2.8908845618430483</v>
      </c>
      <c r="Z78">
        <f t="shared" ca="1" si="26"/>
        <v>2.8512901937726669</v>
      </c>
      <c r="AA78">
        <f t="shared" ca="1" si="26"/>
        <v>2.8116958257022855</v>
      </c>
      <c r="AB78">
        <f t="shared" ca="1" si="26"/>
        <v>2.7721014576319041</v>
      </c>
      <c r="AC78">
        <f t="shared" ca="1" si="26"/>
        <v>2.7325070895615227</v>
      </c>
      <c r="AD78">
        <f t="shared" ca="1" si="26"/>
        <v>2.6929127214911412</v>
      </c>
      <c r="AE78">
        <f t="shared" ca="1" si="26"/>
        <v>2.6533183534207598</v>
      </c>
      <c r="AF78" s="238">
        <f ca="1">ExpKayaRatiosRef!H4</f>
        <v>2.6137239853503771</v>
      </c>
      <c r="AG78">
        <f t="shared" ref="AG78:AO78" ca="1" si="27">AF78+($AP78-$AF78)/($AP$75-$AF$75)</f>
        <v>2.5860051194786386</v>
      </c>
      <c r="AH78">
        <f t="shared" ca="1" si="27"/>
        <v>2.5582862536069002</v>
      </c>
      <c r="AI78">
        <f t="shared" ca="1" si="27"/>
        <v>2.5305673877351618</v>
      </c>
      <c r="AJ78">
        <f t="shared" ca="1" si="27"/>
        <v>2.5028485218634233</v>
      </c>
      <c r="AK78">
        <f t="shared" ca="1" si="27"/>
        <v>2.4751296559916849</v>
      </c>
      <c r="AL78">
        <f t="shared" ca="1" si="27"/>
        <v>2.4474107901199464</v>
      </c>
      <c r="AM78">
        <f t="shared" ca="1" si="27"/>
        <v>2.419691924248208</v>
      </c>
      <c r="AN78">
        <f t="shared" ca="1" si="27"/>
        <v>2.3919730583764696</v>
      </c>
      <c r="AO78">
        <f t="shared" ca="1" si="27"/>
        <v>2.3642541925047311</v>
      </c>
      <c r="AP78" s="238">
        <f ca="1">ExpKayaRatiosRef!I4</f>
        <v>2.3365353266329931</v>
      </c>
      <c r="AQ78">
        <f t="shared" ref="AQ78:AY78" ca="1" si="28">AP78+($BA78-$AP78)/($BA$75-$AP$75)</f>
        <v>2.3161625571698581</v>
      </c>
      <c r="AR78">
        <f t="shared" ca="1" si="28"/>
        <v>2.295789787706723</v>
      </c>
      <c r="AS78">
        <f t="shared" ca="1" si="28"/>
        <v>2.275417018243588</v>
      </c>
      <c r="AT78">
        <f t="shared" ca="1" si="28"/>
        <v>2.255044248780453</v>
      </c>
      <c r="AU78">
        <f t="shared" ca="1" si="28"/>
        <v>2.2346714793173179</v>
      </c>
      <c r="AV78">
        <f t="shared" ca="1" si="28"/>
        <v>2.2142987098541829</v>
      </c>
      <c r="AW78">
        <f t="shared" ca="1" si="28"/>
        <v>2.1939259403910478</v>
      </c>
      <c r="AX78">
        <f t="shared" ca="1" si="28"/>
        <v>2.1735531709279128</v>
      </c>
      <c r="AY78">
        <f t="shared" ca="1" si="28"/>
        <v>2.1531804014647777</v>
      </c>
      <c r="AZ78" s="238">
        <f ca="1">ExpKayaRatiosRef!J4</f>
        <v>2.1328361375101297</v>
      </c>
      <c r="BA78">
        <f t="shared" ref="BA78:BI78" ca="1" si="29">AZ78+($BJ78-$AZ78)/($BJ$75-$AZ$75)</f>
        <v>2.1124348625385054</v>
      </c>
      <c r="BB78">
        <f t="shared" ca="1" si="29"/>
        <v>2.0920335875668812</v>
      </c>
      <c r="BC78">
        <f t="shared" ca="1" si="29"/>
        <v>2.0716323125952569</v>
      </c>
      <c r="BD78">
        <f t="shared" ca="1" si="29"/>
        <v>2.0512310376236327</v>
      </c>
      <c r="BE78">
        <f t="shared" ca="1" si="29"/>
        <v>2.0308297626520084</v>
      </c>
      <c r="BF78">
        <f t="shared" ca="1" si="29"/>
        <v>2.0104284876803842</v>
      </c>
      <c r="BG78">
        <f t="shared" ca="1" si="29"/>
        <v>1.9900272127087599</v>
      </c>
      <c r="BH78">
        <f t="shared" ca="1" si="29"/>
        <v>1.9696259377371357</v>
      </c>
      <c r="BI78">
        <f t="shared" ca="1" si="29"/>
        <v>1.9492246627655114</v>
      </c>
      <c r="BJ78" s="238">
        <f ca="1">ExpKayaRatiosRef!K4</f>
        <v>1.9288233877938881</v>
      </c>
      <c r="BK78">
        <f t="shared" ref="BK78:BS78" ca="1" si="30">BJ78+($BT78-$BJ78)/($BT$75-$BJ$75)</f>
        <v>1.9100527056241026</v>
      </c>
      <c r="BL78">
        <f t="shared" ca="1" si="30"/>
        <v>1.8912820234543171</v>
      </c>
      <c r="BM78">
        <f t="shared" ca="1" si="30"/>
        <v>1.8725113412845316</v>
      </c>
      <c r="BN78">
        <f t="shared" ca="1" si="30"/>
        <v>1.8537406591147461</v>
      </c>
      <c r="BO78">
        <f t="shared" ca="1" si="30"/>
        <v>1.8349699769449606</v>
      </c>
      <c r="BP78">
        <f t="shared" ca="1" si="30"/>
        <v>1.8161992947751751</v>
      </c>
      <c r="BQ78">
        <f t="shared" ca="1" si="30"/>
        <v>1.7974286126053896</v>
      </c>
      <c r="BR78">
        <f t="shared" ca="1" si="30"/>
        <v>1.7786579304356041</v>
      </c>
      <c r="BS78">
        <f t="shared" ca="1" si="30"/>
        <v>1.7598872482658185</v>
      </c>
      <c r="BT78" s="238">
        <f ca="1">ExpKayaRatiosRef!L4</f>
        <v>1.7411165660960337</v>
      </c>
      <c r="BU78">
        <f t="shared" ref="BU78:CC78" ca="1" si="31">BT78+($CD78-$BT78)/($CD$75-$BT$75)</f>
        <v>1.7232607027325939</v>
      </c>
      <c r="BV78">
        <f t="shared" ca="1" si="31"/>
        <v>1.7054048393691541</v>
      </c>
      <c r="BW78">
        <f t="shared" ca="1" si="31"/>
        <v>1.6875489760057143</v>
      </c>
      <c r="BX78">
        <f t="shared" ca="1" si="31"/>
        <v>1.6696931126422745</v>
      </c>
      <c r="BY78">
        <f t="shared" ca="1" si="31"/>
        <v>1.6518372492788347</v>
      </c>
      <c r="BZ78">
        <f t="shared" ca="1" si="31"/>
        <v>1.6339813859153949</v>
      </c>
      <c r="CA78">
        <f t="shared" ca="1" si="31"/>
        <v>1.6161255225519551</v>
      </c>
      <c r="CB78">
        <f t="shared" ca="1" si="31"/>
        <v>1.5982696591885153</v>
      </c>
      <c r="CC78">
        <f t="shared" ca="1" si="31"/>
        <v>1.5804137958250755</v>
      </c>
      <c r="CD78" s="238">
        <f ca="1">ExpKayaRatiosRef!M4</f>
        <v>1.5625579324616352</v>
      </c>
      <c r="CE78">
        <f t="shared" ref="CE78:CM78" ca="1" si="32">CD78+($CN78-$CD78)/($CN$75-$CD$75)</f>
        <v>1.5467925436831662</v>
      </c>
      <c r="CF78">
        <f t="shared" ca="1" si="32"/>
        <v>1.5310271549046972</v>
      </c>
      <c r="CG78">
        <f t="shared" ca="1" si="32"/>
        <v>1.5152617661262282</v>
      </c>
      <c r="CH78">
        <f t="shared" ca="1" si="32"/>
        <v>1.4994963773477592</v>
      </c>
      <c r="CI78">
        <f t="shared" ca="1" si="32"/>
        <v>1.4837309885692902</v>
      </c>
      <c r="CJ78">
        <f t="shared" ca="1" si="32"/>
        <v>1.4679655997908212</v>
      </c>
      <c r="CK78">
        <f t="shared" ca="1" si="32"/>
        <v>1.4522002110123522</v>
      </c>
      <c r="CL78">
        <f t="shared" ca="1" si="32"/>
        <v>1.4364348222338832</v>
      </c>
      <c r="CM78">
        <f t="shared" ca="1" si="32"/>
        <v>1.4206694334554142</v>
      </c>
      <c r="CN78" s="238">
        <f ca="1">ExpKayaRatiosRef!N4</f>
        <v>1.4049040446769456</v>
      </c>
    </row>
    <row r="79" spans="1:92" ht="18" customHeight="1" x14ac:dyDescent="0.2">
      <c r="A79" s="238" t="str">
        <f>ExpKayaRatiosRef!A5</f>
        <v>PEDEq/FE</v>
      </c>
      <c r="B79" s="238">
        <f ca="1">ExpKayaRatiosRef!E5</f>
        <v>1.375178461283006</v>
      </c>
      <c r="C79">
        <f t="shared" ref="C79:K79" ca="1" si="33">B79+($L79-$B79)/($L$75-$B$75)</f>
        <v>1.3781374227945165</v>
      </c>
      <c r="D79">
        <f t="shared" ca="1" si="33"/>
        <v>1.3810963843060269</v>
      </c>
      <c r="E79">
        <f t="shared" ca="1" si="33"/>
        <v>1.3840553458175373</v>
      </c>
      <c r="F79">
        <f t="shared" ca="1" si="33"/>
        <v>1.3870143073290477</v>
      </c>
      <c r="G79">
        <f t="shared" ca="1" si="33"/>
        <v>1.3899732688405582</v>
      </c>
      <c r="H79">
        <f t="shared" ca="1" si="33"/>
        <v>1.3929322303520686</v>
      </c>
      <c r="I79">
        <f t="shared" ca="1" si="33"/>
        <v>1.395891191863579</v>
      </c>
      <c r="J79">
        <f t="shared" ca="1" si="33"/>
        <v>1.3988501533750894</v>
      </c>
      <c r="K79">
        <f t="shared" ca="1" si="33"/>
        <v>1.4018091148865999</v>
      </c>
      <c r="L79" s="238">
        <f ca="1">ExpKayaRatiosRef!F5</f>
        <v>1.4047680763981099</v>
      </c>
      <c r="M79">
        <f t="shared" ref="M79:U79" ca="1" si="34">L79+($V79-$L79)/($V$75-$L$75)</f>
        <v>1.4054227848257839</v>
      </c>
      <c r="N79">
        <f t="shared" ca="1" si="34"/>
        <v>1.4060774932534579</v>
      </c>
      <c r="O79">
        <f t="shared" ca="1" si="34"/>
        <v>1.4067322016811319</v>
      </c>
      <c r="P79">
        <f t="shared" ca="1" si="34"/>
        <v>1.4073869101088059</v>
      </c>
      <c r="Q79">
        <f t="shared" ca="1" si="34"/>
        <v>1.4080416185364799</v>
      </c>
      <c r="R79">
        <f t="shared" ca="1" si="34"/>
        <v>1.4086963269641539</v>
      </c>
      <c r="S79">
        <f t="shared" ca="1" si="34"/>
        <v>1.4093510353918279</v>
      </c>
      <c r="T79">
        <f t="shared" ca="1" si="34"/>
        <v>1.4100057438195019</v>
      </c>
      <c r="U79">
        <f t="shared" ca="1" si="34"/>
        <v>1.410660452247176</v>
      </c>
      <c r="V79" s="238">
        <f ca="1">ExpKayaRatiosRef!G5</f>
        <v>1.4113151606748491</v>
      </c>
      <c r="W79">
        <f t="shared" ref="W79:AE79" ca="1" si="35">V79+($AF79-$V79)/($AF$75-$V$75)</f>
        <v>1.4096034482916342</v>
      </c>
      <c r="X79">
        <f t="shared" ca="1" si="35"/>
        <v>1.4078917359084193</v>
      </c>
      <c r="Y79">
        <f t="shared" ca="1" si="35"/>
        <v>1.4061800235252044</v>
      </c>
      <c r="Z79">
        <f t="shared" ca="1" si="35"/>
        <v>1.4044683111419896</v>
      </c>
      <c r="AA79">
        <f t="shared" ca="1" si="35"/>
        <v>1.4027565987587747</v>
      </c>
      <c r="AB79">
        <f t="shared" ca="1" si="35"/>
        <v>1.4010448863755598</v>
      </c>
      <c r="AC79">
        <f t="shared" ca="1" si="35"/>
        <v>1.3993331739923449</v>
      </c>
      <c r="AD79">
        <f t="shared" ca="1" si="35"/>
        <v>1.39762146160913</v>
      </c>
      <c r="AE79">
        <f t="shared" ca="1" si="35"/>
        <v>1.3959097492259152</v>
      </c>
      <c r="AF79" s="238">
        <f ca="1">ExpKayaRatiosRef!H5</f>
        <v>1.3941980368427014</v>
      </c>
      <c r="AG79">
        <f t="shared" ref="AG79:AO79" ca="1" si="36">AF79+($AP79-$AF79)/($AP$75-$AF$75)</f>
        <v>1.3930363954110168</v>
      </c>
      <c r="AH79">
        <f t="shared" ca="1" si="36"/>
        <v>1.3918747539793321</v>
      </c>
      <c r="AI79">
        <f t="shared" ca="1" si="36"/>
        <v>1.3907131125476475</v>
      </c>
      <c r="AJ79">
        <f t="shared" ca="1" si="36"/>
        <v>1.3895514711159629</v>
      </c>
      <c r="AK79">
        <f t="shared" ca="1" si="36"/>
        <v>1.3883898296842783</v>
      </c>
      <c r="AL79">
        <f t="shared" ca="1" si="36"/>
        <v>1.3872281882525936</v>
      </c>
      <c r="AM79">
        <f t="shared" ca="1" si="36"/>
        <v>1.386066546820909</v>
      </c>
      <c r="AN79">
        <f t="shared" ca="1" si="36"/>
        <v>1.3849049053892244</v>
      </c>
      <c r="AO79">
        <f t="shared" ca="1" si="36"/>
        <v>1.3837432639575398</v>
      </c>
      <c r="AP79" s="238">
        <f ca="1">ExpKayaRatiosRef!I5</f>
        <v>1.3825816225258558</v>
      </c>
      <c r="AQ79">
        <f t="shared" ref="AQ79:AY79" ca="1" si="37">AP79+($BA79-$AP79)/($BA$75-$AP$75)</f>
        <v>1.3812965461862481</v>
      </c>
      <c r="AR79">
        <f t="shared" ca="1" si="37"/>
        <v>1.3800114698466404</v>
      </c>
      <c r="AS79">
        <f t="shared" ca="1" si="37"/>
        <v>1.3787263935070326</v>
      </c>
      <c r="AT79">
        <f t="shared" ca="1" si="37"/>
        <v>1.3774413171674249</v>
      </c>
      <c r="AU79">
        <f t="shared" ca="1" si="37"/>
        <v>1.3761562408278172</v>
      </c>
      <c r="AV79">
        <f t="shared" ca="1" si="37"/>
        <v>1.3748711644882095</v>
      </c>
      <c r="AW79">
        <f t="shared" ca="1" si="37"/>
        <v>1.3735860881486017</v>
      </c>
      <c r="AX79">
        <f t="shared" ca="1" si="37"/>
        <v>1.372301011808994</v>
      </c>
      <c r="AY79">
        <f t="shared" ca="1" si="37"/>
        <v>1.3710159354693863</v>
      </c>
      <c r="AZ79" s="238">
        <f ca="1">ExpKayaRatiosRef!J5</f>
        <v>1.3695457674328577</v>
      </c>
      <c r="BA79">
        <f t="shared" ref="BA79:BI79" ca="1" si="38">AZ79+($BJ79-$AZ79)/($BJ$75-$AZ$75)</f>
        <v>1.3684457827901713</v>
      </c>
      <c r="BB79">
        <f t="shared" ca="1" si="38"/>
        <v>1.3673457981474848</v>
      </c>
      <c r="BC79">
        <f t="shared" ca="1" si="38"/>
        <v>1.3662458135047983</v>
      </c>
      <c r="BD79">
        <f t="shared" ca="1" si="38"/>
        <v>1.3651458288621119</v>
      </c>
      <c r="BE79">
        <f t="shared" ca="1" si="38"/>
        <v>1.3640458442194254</v>
      </c>
      <c r="BF79">
        <f t="shared" ca="1" si="38"/>
        <v>1.362945859576739</v>
      </c>
      <c r="BG79">
        <f t="shared" ca="1" si="38"/>
        <v>1.3618458749340525</v>
      </c>
      <c r="BH79">
        <f t="shared" ca="1" si="38"/>
        <v>1.3607458902913661</v>
      </c>
      <c r="BI79">
        <f t="shared" ca="1" si="38"/>
        <v>1.3596459056486796</v>
      </c>
      <c r="BJ79" s="238">
        <f ca="1">ExpKayaRatiosRef!K5</f>
        <v>1.358545921005992</v>
      </c>
      <c r="BK79">
        <f t="shared" ref="BK79:BS79" ca="1" si="39">BJ79+($BT79-$BJ79)/($BT$75-$BJ$75)</f>
        <v>1.3582603619443141</v>
      </c>
      <c r="BL79">
        <f t="shared" ca="1" si="39"/>
        <v>1.3579748028826364</v>
      </c>
      <c r="BM79">
        <f t="shared" ca="1" si="39"/>
        <v>1.3576892438209587</v>
      </c>
      <c r="BN79">
        <f t="shared" ca="1" si="39"/>
        <v>1.357403684759281</v>
      </c>
      <c r="BO79">
        <f t="shared" ca="1" si="39"/>
        <v>1.3571181256976033</v>
      </c>
      <c r="BP79">
        <f t="shared" ca="1" si="39"/>
        <v>1.3568325666359256</v>
      </c>
      <c r="BQ79">
        <f t="shared" ca="1" si="39"/>
        <v>1.3565470075742478</v>
      </c>
      <c r="BR79">
        <f t="shared" ca="1" si="39"/>
        <v>1.3562614485125701</v>
      </c>
      <c r="BS79">
        <f t="shared" ca="1" si="39"/>
        <v>1.3559758894508924</v>
      </c>
      <c r="BT79" s="238">
        <f ca="1">ExpKayaRatiosRef!L5</f>
        <v>1.3556903303892138</v>
      </c>
      <c r="BU79">
        <f t="shared" ref="BU79:CC79" ca="1" si="40">BT79+($CD79-$BT79)/($CD$75-$BT$75)</f>
        <v>1.3568729443265899</v>
      </c>
      <c r="BV79">
        <f t="shared" ca="1" si="40"/>
        <v>1.358055558263966</v>
      </c>
      <c r="BW79">
        <f t="shared" ca="1" si="40"/>
        <v>1.359238172201342</v>
      </c>
      <c r="BX79">
        <f t="shared" ca="1" si="40"/>
        <v>1.3604207861387181</v>
      </c>
      <c r="BY79">
        <f t="shared" ca="1" si="40"/>
        <v>1.3616034000760942</v>
      </c>
      <c r="BZ79">
        <f t="shared" ca="1" si="40"/>
        <v>1.3627860140134702</v>
      </c>
      <c r="CA79">
        <f t="shared" ca="1" si="40"/>
        <v>1.3639686279508463</v>
      </c>
      <c r="CB79">
        <f t="shared" ca="1" si="40"/>
        <v>1.3651512418882223</v>
      </c>
      <c r="CC79">
        <f t="shared" ca="1" si="40"/>
        <v>1.3663338558255984</v>
      </c>
      <c r="CD79" s="238">
        <f ca="1">ExpKayaRatiosRef!M5</f>
        <v>1.3675164697629745</v>
      </c>
      <c r="CE79">
        <f t="shared" ref="CE79:CM79" ca="1" si="41">CD79+($CN79-$CD79)/($CN$75-$CD$75)</f>
        <v>1.3692431794572646</v>
      </c>
      <c r="CF79">
        <f t="shared" ca="1" si="41"/>
        <v>1.3709698891515547</v>
      </c>
      <c r="CG79">
        <f t="shared" ca="1" si="41"/>
        <v>1.3726965988458448</v>
      </c>
      <c r="CH79">
        <f t="shared" ca="1" si="41"/>
        <v>1.3744233085401349</v>
      </c>
      <c r="CI79">
        <f t="shared" ca="1" si="41"/>
        <v>1.3761500182344251</v>
      </c>
      <c r="CJ79">
        <f t="shared" ca="1" si="41"/>
        <v>1.3778767279287152</v>
      </c>
      <c r="CK79">
        <f t="shared" ca="1" si="41"/>
        <v>1.3796034376230053</v>
      </c>
      <c r="CL79">
        <f t="shared" ca="1" si="41"/>
        <v>1.3813301473172954</v>
      </c>
      <c r="CM79">
        <f t="shared" ca="1" si="41"/>
        <v>1.3830568570115855</v>
      </c>
      <c r="CN79" s="238">
        <f ca="1">ExpKayaRatiosRef!N5</f>
        <v>1.3847835667058763</v>
      </c>
    </row>
    <row r="80" spans="1:92" ht="18" customHeight="1" x14ac:dyDescent="0.2">
      <c r="A80" s="238" t="str">
        <f>ExpKayaRatiosRef!A6</f>
        <v>PEFF/PEDEq</v>
      </c>
      <c r="B80" s="238">
        <f ca="1">ExpKayaRatiosRef!E6</f>
        <v>0.85060341362881065</v>
      </c>
      <c r="C80">
        <f t="shared" ref="C80:K80" ca="1" si="42">B80+($L80-$B80)/($L$75-$B$75)</f>
        <v>0.84987725768235856</v>
      </c>
      <c r="D80">
        <f t="shared" ca="1" si="42"/>
        <v>0.84915110173590647</v>
      </c>
      <c r="E80">
        <f t="shared" ca="1" si="42"/>
        <v>0.84842494578945438</v>
      </c>
      <c r="F80">
        <f t="shared" ca="1" si="42"/>
        <v>0.84769878984300229</v>
      </c>
      <c r="G80">
        <f t="shared" ca="1" si="42"/>
        <v>0.8469726338965502</v>
      </c>
      <c r="H80">
        <f t="shared" ca="1" si="42"/>
        <v>0.84624647795009811</v>
      </c>
      <c r="I80">
        <f t="shared" ca="1" si="42"/>
        <v>0.84552032200364602</v>
      </c>
      <c r="J80">
        <f t="shared" ca="1" si="42"/>
        <v>0.84479416605719393</v>
      </c>
      <c r="K80">
        <f t="shared" ca="1" si="42"/>
        <v>0.84406801011074184</v>
      </c>
      <c r="L80" s="238">
        <f ca="1">ExpKayaRatiosRef!F6</f>
        <v>0.84334185416428931</v>
      </c>
      <c r="M80">
        <f t="shared" ref="M80:U81" ca="1" si="43">L80+($V80-$L80)/($V$75-$L$75)</f>
        <v>0.84250187920057074</v>
      </c>
      <c r="N80">
        <f t="shared" ca="1" si="43"/>
        <v>0.84166190423685217</v>
      </c>
      <c r="O80">
        <f t="shared" ca="1" si="43"/>
        <v>0.84082192927313359</v>
      </c>
      <c r="P80">
        <f t="shared" ca="1" si="43"/>
        <v>0.83998195430941502</v>
      </c>
      <c r="Q80">
        <f t="shared" ca="1" si="43"/>
        <v>0.83914197934569645</v>
      </c>
      <c r="R80">
        <f t="shared" ca="1" si="43"/>
        <v>0.83830200438197788</v>
      </c>
      <c r="S80">
        <f t="shared" ca="1" si="43"/>
        <v>0.83746202941825931</v>
      </c>
      <c r="T80">
        <f t="shared" ca="1" si="43"/>
        <v>0.83662205445454074</v>
      </c>
      <c r="U80">
        <f t="shared" ca="1" si="43"/>
        <v>0.83578207949082217</v>
      </c>
      <c r="V80" s="238">
        <f ca="1">ExpKayaRatiosRef!G6</f>
        <v>0.83494210452710382</v>
      </c>
      <c r="W80">
        <f t="shared" ref="W80:AE81" ca="1" si="44">V80+($AF80-$V80)/($AF$75-$V$75)</f>
        <v>0.83285923436452491</v>
      </c>
      <c r="X80">
        <f t="shared" ca="1" si="44"/>
        <v>0.830776364201946</v>
      </c>
      <c r="Y80">
        <f t="shared" ca="1" si="44"/>
        <v>0.8286934940393671</v>
      </c>
      <c r="Z80">
        <f t="shared" ca="1" si="44"/>
        <v>0.82661062387678819</v>
      </c>
      <c r="AA80">
        <f t="shared" ca="1" si="44"/>
        <v>0.82452775371420928</v>
      </c>
      <c r="AB80">
        <f t="shared" ca="1" si="44"/>
        <v>0.82244488355163037</v>
      </c>
      <c r="AC80">
        <f t="shared" ca="1" si="44"/>
        <v>0.82036201338905146</v>
      </c>
      <c r="AD80">
        <f t="shared" ca="1" si="44"/>
        <v>0.81827914322647255</v>
      </c>
      <c r="AE80">
        <f t="shared" ca="1" si="44"/>
        <v>0.81619627306389364</v>
      </c>
      <c r="AF80" s="238">
        <f ca="1">ExpKayaRatiosRef!H6</f>
        <v>0.81411340290131473</v>
      </c>
      <c r="AG80">
        <f t="shared" ref="AG80:AO81" ca="1" si="45">AF80+($AP80-$AF80)/($AP$75-$AF$75)</f>
        <v>0.81359163452772365</v>
      </c>
      <c r="AH80">
        <f t="shared" ca="1" si="45"/>
        <v>0.81306986615413246</v>
      </c>
      <c r="AI80">
        <f t="shared" ca="1" si="45"/>
        <v>0.81254809778054127</v>
      </c>
      <c r="AJ80">
        <f t="shared" ca="1" si="45"/>
        <v>0.81202632940695008</v>
      </c>
      <c r="AK80">
        <f t="shared" ca="1" si="45"/>
        <v>0.81150456103335888</v>
      </c>
      <c r="AL80">
        <f t="shared" ca="1" si="45"/>
        <v>0.81098279265976769</v>
      </c>
      <c r="AM80">
        <f t="shared" ca="1" si="45"/>
        <v>0.8104610242861765</v>
      </c>
      <c r="AN80">
        <f t="shared" ca="1" si="45"/>
        <v>0.80993925591258531</v>
      </c>
      <c r="AO80">
        <f t="shared" ca="1" si="45"/>
        <v>0.80941748753899412</v>
      </c>
      <c r="AP80" s="238">
        <f ca="1">ExpKayaRatiosRef!I6</f>
        <v>0.80889571916540337</v>
      </c>
      <c r="AQ80">
        <f t="shared" ref="AQ80:AY81" ca="1" si="46">AP80+($BA80-$AP80)/($BA$75-$AP$75)</f>
        <v>0.81004283956518686</v>
      </c>
      <c r="AR80">
        <f t="shared" ca="1" si="46"/>
        <v>0.81118995996497034</v>
      </c>
      <c r="AS80">
        <f t="shared" ca="1" si="46"/>
        <v>0.81233708036475383</v>
      </c>
      <c r="AT80">
        <f t="shared" ca="1" si="46"/>
        <v>0.81348420076453731</v>
      </c>
      <c r="AU80">
        <f t="shared" ca="1" si="46"/>
        <v>0.8146313211643208</v>
      </c>
      <c r="AV80">
        <f t="shared" ca="1" si="46"/>
        <v>0.81577844156410428</v>
      </c>
      <c r="AW80">
        <f t="shared" ca="1" si="46"/>
        <v>0.81692556196388777</v>
      </c>
      <c r="AX80">
        <f t="shared" ca="1" si="46"/>
        <v>0.81807268236367126</v>
      </c>
      <c r="AY80">
        <f t="shared" ca="1" si="46"/>
        <v>0.81921980276345474</v>
      </c>
      <c r="AZ80" s="238">
        <f ca="1">ExpKayaRatiosRef!J6</f>
        <v>0.82244693228204069</v>
      </c>
      <c r="BA80">
        <f t="shared" ref="BA80:BI81" ca="1" si="47">AZ80+($BJ80-$AZ80)/($BJ$75-$AZ$75)</f>
        <v>0.82151404356302227</v>
      </c>
      <c r="BB80">
        <f t="shared" ca="1" si="47"/>
        <v>0.82058115484400385</v>
      </c>
      <c r="BC80">
        <f t="shared" ca="1" si="47"/>
        <v>0.81964826612498543</v>
      </c>
      <c r="BD80">
        <f t="shared" ca="1" si="47"/>
        <v>0.818715377405967</v>
      </c>
      <c r="BE80">
        <f t="shared" ca="1" si="47"/>
        <v>0.81778248868694858</v>
      </c>
      <c r="BF80">
        <f t="shared" ca="1" si="47"/>
        <v>0.81684959996793016</v>
      </c>
      <c r="BG80">
        <f t="shared" ca="1" si="47"/>
        <v>0.81591671124891174</v>
      </c>
      <c r="BH80">
        <f t="shared" ca="1" si="47"/>
        <v>0.81498382252989332</v>
      </c>
      <c r="BI80">
        <f t="shared" ca="1" si="47"/>
        <v>0.8140509338108749</v>
      </c>
      <c r="BJ80" s="238">
        <f ca="1">ExpKayaRatiosRef!K6</f>
        <v>0.81311804509185615</v>
      </c>
      <c r="BK80">
        <f t="shared" ref="BK80:BS81" ca="1" si="48">BJ80+($BT80-$BJ80)/($BT$75-$BJ$75)</f>
        <v>0.81158831199706327</v>
      </c>
      <c r="BL80">
        <f t="shared" ca="1" si="48"/>
        <v>0.8100585789022704</v>
      </c>
      <c r="BM80">
        <f t="shared" ca="1" si="48"/>
        <v>0.80852884580747753</v>
      </c>
      <c r="BN80">
        <f t="shared" ca="1" si="48"/>
        <v>0.80699911271268465</v>
      </c>
      <c r="BO80">
        <f t="shared" ca="1" si="48"/>
        <v>0.80546937961789178</v>
      </c>
      <c r="BP80">
        <f t="shared" ca="1" si="48"/>
        <v>0.80393964652309891</v>
      </c>
      <c r="BQ80">
        <f t="shared" ca="1" si="48"/>
        <v>0.80240991342830603</v>
      </c>
      <c r="BR80">
        <f t="shared" ca="1" si="48"/>
        <v>0.80088018033351316</v>
      </c>
      <c r="BS80">
        <f t="shared" ca="1" si="48"/>
        <v>0.79935044723872029</v>
      </c>
      <c r="BT80" s="238">
        <f ca="1">ExpKayaRatiosRef!L6</f>
        <v>0.79782071414392741</v>
      </c>
      <c r="BU80">
        <f t="shared" ref="BU80:CC81" ca="1" si="49">BT80+($CD80-$BT80)/($CD$75-$BT$75)</f>
        <v>0.797084226690432</v>
      </c>
      <c r="BV80">
        <f t="shared" ca="1" si="49"/>
        <v>0.79634773923693658</v>
      </c>
      <c r="BW80">
        <f t="shared" ca="1" si="49"/>
        <v>0.79561125178344116</v>
      </c>
      <c r="BX80">
        <f t="shared" ca="1" si="49"/>
        <v>0.79487476432994575</v>
      </c>
      <c r="BY80">
        <f t="shared" ca="1" si="49"/>
        <v>0.79413827687645033</v>
      </c>
      <c r="BZ80">
        <f t="shared" ca="1" si="49"/>
        <v>0.79340178942295492</v>
      </c>
      <c r="CA80">
        <f t="shared" ca="1" si="49"/>
        <v>0.7926653019694595</v>
      </c>
      <c r="CB80">
        <f t="shared" ca="1" si="49"/>
        <v>0.79192881451596409</v>
      </c>
      <c r="CC80">
        <f t="shared" ca="1" si="49"/>
        <v>0.79119232706246867</v>
      </c>
      <c r="CD80" s="238">
        <f ca="1">ExpKayaRatiosRef!M6</f>
        <v>0.79045583960897325</v>
      </c>
      <c r="CE80">
        <f t="shared" ref="CE80:CM81" ca="1" si="50">CD80+($CN80-$CD80)/($CN$75-$CD$75)</f>
        <v>0.79012774536476171</v>
      </c>
      <c r="CF80">
        <f t="shared" ca="1" si="50"/>
        <v>0.78979965112055017</v>
      </c>
      <c r="CG80">
        <f t="shared" ca="1" si="50"/>
        <v>0.78947155687633863</v>
      </c>
      <c r="CH80">
        <f t="shared" ca="1" si="50"/>
        <v>0.78914346263212709</v>
      </c>
      <c r="CI80">
        <f t="shared" ca="1" si="50"/>
        <v>0.78881536838791555</v>
      </c>
      <c r="CJ80">
        <f t="shared" ca="1" si="50"/>
        <v>0.78848727414370401</v>
      </c>
      <c r="CK80">
        <f t="shared" ca="1" si="50"/>
        <v>0.78815917989949247</v>
      </c>
      <c r="CL80">
        <f t="shared" ca="1" si="50"/>
        <v>0.78783108565528093</v>
      </c>
      <c r="CM80">
        <f t="shared" ca="1" si="50"/>
        <v>0.78750299141106939</v>
      </c>
      <c r="CN80" s="238">
        <f ca="1">ExpKayaRatiosRef!N6</f>
        <v>0.78717489716685785</v>
      </c>
    </row>
    <row r="81" spans="1:167" ht="18" customHeight="1" x14ac:dyDescent="0.2">
      <c r="A81" s="238" t="str">
        <f>ExpKayaRatiosRef!A7</f>
        <v>TFC/PEFF</v>
      </c>
      <c r="B81" s="256">
        <f ca="1">ExpKayaRatiosRef!E7</f>
        <v>70.809223457492806</v>
      </c>
      <c r="C81">
        <f t="shared" ref="C81:K81" ca="1" si="51">B81+($L81-$B81)/($L$75-$B$75)</f>
        <v>70.995209766347216</v>
      </c>
      <c r="D81">
        <f t="shared" ca="1" si="51"/>
        <v>71.181196075201626</v>
      </c>
      <c r="E81">
        <f t="shared" ca="1" si="51"/>
        <v>71.367182384056036</v>
      </c>
      <c r="F81">
        <f t="shared" ca="1" si="51"/>
        <v>71.553168692910447</v>
      </c>
      <c r="G81">
        <f t="shared" ca="1" si="51"/>
        <v>71.739155001764857</v>
      </c>
      <c r="H81">
        <f t="shared" ca="1" si="51"/>
        <v>71.925141310619267</v>
      </c>
      <c r="I81">
        <f t="shared" ca="1" si="51"/>
        <v>72.111127619473677</v>
      </c>
      <c r="J81">
        <f t="shared" ca="1" si="51"/>
        <v>72.297113928328088</v>
      </c>
      <c r="K81">
        <f t="shared" ca="1" si="51"/>
        <v>72.483100237182498</v>
      </c>
      <c r="L81" s="238">
        <f ca="1">ExpKayaRatiosRef!F7</f>
        <v>72.66908654603688</v>
      </c>
      <c r="M81">
        <f t="shared" ca="1" si="43"/>
        <v>72.691266233343839</v>
      </c>
      <c r="N81">
        <f t="shared" ca="1" si="43"/>
        <v>72.713445920650798</v>
      </c>
      <c r="O81">
        <f t="shared" ca="1" si="43"/>
        <v>72.735625607957758</v>
      </c>
      <c r="P81">
        <f t="shared" ca="1" si="43"/>
        <v>72.757805295264717</v>
      </c>
      <c r="Q81">
        <f t="shared" ca="1" si="43"/>
        <v>72.779984982571676</v>
      </c>
      <c r="R81">
        <f t="shared" ca="1" si="43"/>
        <v>72.802164669878636</v>
      </c>
      <c r="S81">
        <f t="shared" ca="1" si="43"/>
        <v>72.824344357185595</v>
      </c>
      <c r="T81">
        <f t="shared" ca="1" si="43"/>
        <v>72.846524044492554</v>
      </c>
      <c r="U81">
        <f t="shared" ca="1" si="43"/>
        <v>72.868703731799513</v>
      </c>
      <c r="V81" s="238">
        <f ca="1">ExpKayaRatiosRef!G7</f>
        <v>72.890883419106402</v>
      </c>
      <c r="W81">
        <f t="shared" ca="1" si="44"/>
        <v>72.85854156221518</v>
      </c>
      <c r="X81">
        <f t="shared" ca="1" si="44"/>
        <v>72.826199705323958</v>
      </c>
      <c r="Y81">
        <f t="shared" ca="1" si="44"/>
        <v>72.793857848432737</v>
      </c>
      <c r="Z81">
        <f t="shared" ca="1" si="44"/>
        <v>72.761515991541515</v>
      </c>
      <c r="AA81">
        <f t="shared" ca="1" si="44"/>
        <v>72.729174134650293</v>
      </c>
      <c r="AB81">
        <f t="shared" ca="1" si="44"/>
        <v>72.696832277759071</v>
      </c>
      <c r="AC81">
        <f t="shared" ca="1" si="44"/>
        <v>72.66449042086785</v>
      </c>
      <c r="AD81">
        <f t="shared" ca="1" si="44"/>
        <v>72.632148563976628</v>
      </c>
      <c r="AE81">
        <f t="shared" ca="1" si="44"/>
        <v>72.599806707085406</v>
      </c>
      <c r="AF81" s="238">
        <f ca="1">ExpKayaRatiosRef!H7</f>
        <v>72.567464850194185</v>
      </c>
      <c r="AG81">
        <f t="shared" ca="1" si="45"/>
        <v>72.537358747140132</v>
      </c>
      <c r="AH81">
        <f t="shared" ca="1" si="45"/>
        <v>72.50725264408608</v>
      </c>
      <c r="AI81">
        <f t="shared" ca="1" si="45"/>
        <v>72.477146541032027</v>
      </c>
      <c r="AJ81">
        <f t="shared" ca="1" si="45"/>
        <v>72.447040437977975</v>
      </c>
      <c r="AK81">
        <f t="shared" ca="1" si="45"/>
        <v>72.416934334923923</v>
      </c>
      <c r="AL81">
        <f t="shared" ca="1" si="45"/>
        <v>72.38682823186987</v>
      </c>
      <c r="AM81">
        <f t="shared" ca="1" si="45"/>
        <v>72.356722128815818</v>
      </c>
      <c r="AN81">
        <f t="shared" ca="1" si="45"/>
        <v>72.326616025761766</v>
      </c>
      <c r="AO81">
        <f t="shared" ca="1" si="45"/>
        <v>72.296509922707713</v>
      </c>
      <c r="AP81" s="238">
        <f ca="1">ExpKayaRatiosRef!I7</f>
        <v>72.266403819653618</v>
      </c>
      <c r="AQ81">
        <f t="shared" ca="1" si="46"/>
        <v>72.219274484114862</v>
      </c>
      <c r="AR81">
        <f t="shared" ca="1" si="46"/>
        <v>72.172145148576107</v>
      </c>
      <c r="AS81">
        <f t="shared" ca="1" si="46"/>
        <v>72.125015813037351</v>
      </c>
      <c r="AT81">
        <f t="shared" ca="1" si="46"/>
        <v>72.077886477498595</v>
      </c>
      <c r="AU81">
        <f t="shared" ca="1" si="46"/>
        <v>72.030757141959839</v>
      </c>
      <c r="AV81">
        <f t="shared" ca="1" si="46"/>
        <v>71.983627806421083</v>
      </c>
      <c r="AW81">
        <f t="shared" ca="1" si="46"/>
        <v>71.936498470882327</v>
      </c>
      <c r="AX81">
        <f t="shared" ca="1" si="46"/>
        <v>71.889369135343571</v>
      </c>
      <c r="AY81">
        <f t="shared" ca="1" si="46"/>
        <v>71.842239799804815</v>
      </c>
      <c r="AZ81" s="238">
        <f ca="1">ExpKayaRatiosRef!J7</f>
        <v>71.675915512519595</v>
      </c>
      <c r="BA81">
        <f t="shared" ca="1" si="47"/>
        <v>71.747981128727318</v>
      </c>
      <c r="BB81">
        <f t="shared" ca="1" si="47"/>
        <v>71.820046744935041</v>
      </c>
      <c r="BC81">
        <f t="shared" ca="1" si="47"/>
        <v>71.892112361142765</v>
      </c>
      <c r="BD81">
        <f t="shared" ca="1" si="47"/>
        <v>71.964177977350488</v>
      </c>
      <c r="BE81">
        <f t="shared" ca="1" si="47"/>
        <v>72.036243593558211</v>
      </c>
      <c r="BF81">
        <f t="shared" ca="1" si="47"/>
        <v>72.108309209765935</v>
      </c>
      <c r="BG81">
        <f t="shared" ca="1" si="47"/>
        <v>72.180374825973658</v>
      </c>
      <c r="BH81">
        <f t="shared" ca="1" si="47"/>
        <v>72.252440442181381</v>
      </c>
      <c r="BI81">
        <f t="shared" ca="1" si="47"/>
        <v>72.324506058389105</v>
      </c>
      <c r="BJ81" s="238">
        <f ca="1">ExpKayaRatiosRef!K7</f>
        <v>72.396571674596771</v>
      </c>
      <c r="BK81">
        <f t="shared" ca="1" si="48"/>
        <v>72.481411940438576</v>
      </c>
      <c r="BL81">
        <f t="shared" ca="1" si="48"/>
        <v>72.566252206280382</v>
      </c>
      <c r="BM81">
        <f t="shared" ca="1" si="48"/>
        <v>72.651092472122187</v>
      </c>
      <c r="BN81">
        <f t="shared" ca="1" si="48"/>
        <v>72.735932737963992</v>
      </c>
      <c r="BO81">
        <f t="shared" ca="1" si="48"/>
        <v>72.820773003805797</v>
      </c>
      <c r="BP81">
        <f t="shared" ca="1" si="48"/>
        <v>72.905613269647603</v>
      </c>
      <c r="BQ81">
        <f t="shared" ca="1" si="48"/>
        <v>72.990453535489408</v>
      </c>
      <c r="BR81">
        <f t="shared" ca="1" si="48"/>
        <v>73.075293801331213</v>
      </c>
      <c r="BS81">
        <f t="shared" ca="1" si="48"/>
        <v>73.160134067173018</v>
      </c>
      <c r="BT81" s="238">
        <f ca="1">ExpKayaRatiosRef!L7</f>
        <v>73.244974333014838</v>
      </c>
      <c r="BU81">
        <f t="shared" ca="1" si="49"/>
        <v>73.384669893030434</v>
      </c>
      <c r="BV81">
        <f t="shared" ca="1" si="49"/>
        <v>73.52436545304603</v>
      </c>
      <c r="BW81">
        <f t="shared" ca="1" si="49"/>
        <v>73.664061013061627</v>
      </c>
      <c r="BX81">
        <f t="shared" ca="1" si="49"/>
        <v>73.803756573077223</v>
      </c>
      <c r="BY81">
        <f t="shared" ca="1" si="49"/>
        <v>73.943452133092819</v>
      </c>
      <c r="BZ81">
        <f t="shared" ca="1" si="49"/>
        <v>74.083147693108415</v>
      </c>
      <c r="CA81">
        <f t="shared" ca="1" si="49"/>
        <v>74.222843253124012</v>
      </c>
      <c r="CB81">
        <f t="shared" ca="1" si="49"/>
        <v>74.362538813139608</v>
      </c>
      <c r="CC81">
        <f t="shared" ca="1" si="49"/>
        <v>74.502234373155204</v>
      </c>
      <c r="CD81" s="238">
        <f ca="1">ExpKayaRatiosRef!M7</f>
        <v>74.641929933170829</v>
      </c>
      <c r="CE81">
        <f t="shared" ca="1" si="50"/>
        <v>74.821179388563081</v>
      </c>
      <c r="CF81">
        <f t="shared" ca="1" si="50"/>
        <v>75.000428843955333</v>
      </c>
      <c r="CG81">
        <f t="shared" ca="1" si="50"/>
        <v>75.179678299347586</v>
      </c>
      <c r="CH81">
        <f t="shared" ca="1" si="50"/>
        <v>75.358927754739838</v>
      </c>
      <c r="CI81">
        <f t="shared" ca="1" si="50"/>
        <v>75.538177210132091</v>
      </c>
      <c r="CJ81">
        <f t="shared" ca="1" si="50"/>
        <v>75.717426665524343</v>
      </c>
      <c r="CK81">
        <f t="shared" ca="1" si="50"/>
        <v>75.896676120916595</v>
      </c>
      <c r="CL81">
        <f t="shared" ca="1" si="50"/>
        <v>76.075925576308848</v>
      </c>
      <c r="CM81">
        <f t="shared" ca="1" si="50"/>
        <v>76.2551750317011</v>
      </c>
      <c r="CN81" s="238">
        <f ca="1">ExpKayaRatiosRef!N7</f>
        <v>76.434424487093352</v>
      </c>
    </row>
    <row r="82" spans="1:167" ht="18" customHeight="1" x14ac:dyDescent="0.2">
      <c r="A82" s="21"/>
      <c r="B82" s="238"/>
      <c r="C82" s="238"/>
      <c r="D82" s="238"/>
      <c r="E82" s="238"/>
      <c r="F82" s="238"/>
      <c r="G82" s="238"/>
      <c r="H82" s="238"/>
      <c r="I82" s="238"/>
      <c r="J82" s="238"/>
      <c r="K82" s="238"/>
      <c r="L82" s="238"/>
      <c r="M82" s="238"/>
      <c r="N82" s="238"/>
      <c r="O82" s="238"/>
      <c r="P82" s="238"/>
      <c r="Q82" s="238"/>
      <c r="R82" s="238"/>
      <c r="S82" s="238"/>
      <c r="T82" s="238"/>
      <c r="U82" s="238"/>
      <c r="V82" s="238"/>
      <c r="W82" s="238"/>
      <c r="X82" s="238"/>
      <c r="Y82" s="238"/>
      <c r="Z82" s="238"/>
      <c r="AA82" s="238"/>
      <c r="AB82" s="238"/>
      <c r="AC82" s="238"/>
      <c r="AD82" s="238"/>
      <c r="AE82" s="238"/>
      <c r="AF82" s="238"/>
      <c r="AG82" s="238"/>
      <c r="AH82" s="238"/>
      <c r="AI82" s="238"/>
      <c r="AJ82" s="238"/>
      <c r="AK82" s="238"/>
      <c r="AL82" s="238"/>
      <c r="AM82" s="238"/>
      <c r="AN82" s="238"/>
      <c r="AO82" s="238"/>
      <c r="AP82" s="238"/>
      <c r="AQ82" s="238"/>
      <c r="AR82" s="238"/>
      <c r="AS82" s="238"/>
      <c r="AT82" s="238"/>
      <c r="AU82" s="238"/>
      <c r="AV82" s="238"/>
      <c r="AW82" s="238"/>
      <c r="AX82" s="238"/>
      <c r="AY82" s="238"/>
      <c r="AZ82" s="238"/>
      <c r="BA82" s="238"/>
      <c r="BB82" s="238"/>
      <c r="BC82" s="238"/>
      <c r="BD82" s="238"/>
      <c r="BE82" s="238"/>
      <c r="BF82" s="238"/>
      <c r="BG82" s="238"/>
      <c r="BH82" s="238"/>
      <c r="BI82" s="238"/>
      <c r="BJ82" s="238"/>
      <c r="BK82" s="238"/>
      <c r="BL82" s="238"/>
      <c r="BM82" s="238"/>
      <c r="BN82" s="238"/>
      <c r="BO82" s="238"/>
      <c r="BP82" s="238"/>
      <c r="BQ82" s="238"/>
      <c r="BR82" s="238"/>
      <c r="BS82" s="238"/>
      <c r="BT82" s="238"/>
      <c r="BU82" s="238"/>
      <c r="BV82" s="238"/>
      <c r="BW82" s="238"/>
      <c r="BX82" s="238"/>
      <c r="BY82" s="238"/>
      <c r="BZ82" s="238"/>
      <c r="CA82" s="238"/>
      <c r="CB82" s="238"/>
      <c r="CC82" s="238"/>
      <c r="CD82" s="238"/>
      <c r="CE82" s="238"/>
      <c r="CF82" s="238"/>
      <c r="CG82" s="238"/>
      <c r="CH82" s="238"/>
      <c r="CI82" s="238"/>
      <c r="CJ82" s="238"/>
      <c r="CK82" s="238"/>
      <c r="CL82" s="238"/>
      <c r="CM82" s="238"/>
      <c r="CN82" s="238"/>
    </row>
    <row r="83" spans="1:167" x14ac:dyDescent="0.2">
      <c r="A83" s="25" t="s">
        <v>43</v>
      </c>
      <c r="B83" s="25">
        <f ca="1">B84+B94</f>
        <v>30.490629196166992</v>
      </c>
      <c r="C83" s="25">
        <f t="shared" ref="C83:BN83" ca="1" si="52">C84+C94</f>
        <v>31.083483600616454</v>
      </c>
      <c r="D83" s="25">
        <f t="shared" ca="1" si="52"/>
        <v>31.676338005065915</v>
      </c>
      <c r="E83" s="25">
        <f t="shared" ca="1" si="52"/>
        <v>32.269192409515377</v>
      </c>
      <c r="F83" s="25">
        <f t="shared" ca="1" si="52"/>
        <v>32.862046813964838</v>
      </c>
      <c r="G83" s="25">
        <f t="shared" ca="1" si="52"/>
        <v>33.4549012184143</v>
      </c>
      <c r="H83" s="25">
        <f t="shared" ca="1" si="52"/>
        <v>34.047755622863761</v>
      </c>
      <c r="I83" s="25">
        <f t="shared" ca="1" si="52"/>
        <v>34.640610027313222</v>
      </c>
      <c r="J83" s="25">
        <f t="shared" ca="1" si="52"/>
        <v>35.233464431762684</v>
      </c>
      <c r="K83" s="25">
        <f t="shared" ca="1" si="52"/>
        <v>35.826318836212145</v>
      </c>
      <c r="L83" s="25">
        <f t="shared" ca="1" si="52"/>
        <v>36.419173240661621</v>
      </c>
      <c r="M83" s="25">
        <f t="shared" ca="1" si="52"/>
        <v>36.895120684305823</v>
      </c>
      <c r="N83" s="25">
        <f t="shared" ca="1" si="52"/>
        <v>37.371068127950025</v>
      </c>
      <c r="O83" s="25">
        <f t="shared" ca="1" si="52"/>
        <v>37.847015571594227</v>
      </c>
      <c r="P83" s="25">
        <f t="shared" ca="1" si="52"/>
        <v>38.322963015238429</v>
      </c>
      <c r="Q83" s="25">
        <f t="shared" ca="1" si="52"/>
        <v>38.798910458882631</v>
      </c>
      <c r="R83" s="25">
        <f t="shared" ca="1" si="52"/>
        <v>39.274857902526833</v>
      </c>
      <c r="S83" s="25">
        <f t="shared" ca="1" si="52"/>
        <v>39.750805346171035</v>
      </c>
      <c r="T83" s="25">
        <f t="shared" ca="1" si="52"/>
        <v>40.226752789815237</v>
      </c>
      <c r="U83" s="25">
        <f t="shared" ca="1" si="52"/>
        <v>40.702700233459439</v>
      </c>
      <c r="V83" s="25">
        <f t="shared" ca="1" si="52"/>
        <v>41.178647677103676</v>
      </c>
      <c r="W83" s="25">
        <f t="shared" ca="1" si="52"/>
        <v>41.524608707427973</v>
      </c>
      <c r="X83" s="25">
        <f t="shared" ca="1" si="52"/>
        <v>41.870569737752277</v>
      </c>
      <c r="Y83" s="25">
        <f t="shared" ca="1" si="52"/>
        <v>42.216530768076581</v>
      </c>
      <c r="Z83" s="25">
        <f t="shared" ca="1" si="52"/>
        <v>42.562491798400885</v>
      </c>
      <c r="AA83" s="25">
        <f t="shared" ca="1" si="52"/>
        <v>42.908452828725189</v>
      </c>
      <c r="AB83" s="25">
        <f t="shared" ca="1" si="52"/>
        <v>43.254413859049492</v>
      </c>
      <c r="AC83" s="25">
        <f t="shared" ca="1" si="52"/>
        <v>43.600374889373796</v>
      </c>
      <c r="AD83" s="25">
        <f t="shared" ca="1" si="52"/>
        <v>43.9463359196981</v>
      </c>
      <c r="AE83" s="25">
        <f t="shared" ca="1" si="52"/>
        <v>44.292296950022404</v>
      </c>
      <c r="AF83" s="25">
        <f t="shared" ca="1" si="52"/>
        <v>44.63825798034668</v>
      </c>
      <c r="AG83" s="25">
        <f t="shared" ca="1" si="52"/>
        <v>45.039585685729982</v>
      </c>
      <c r="AH83" s="25">
        <f t="shared" ca="1" si="52"/>
        <v>45.440913391113284</v>
      </c>
      <c r="AI83" s="25">
        <f t="shared" ca="1" si="52"/>
        <v>45.842241096496586</v>
      </c>
      <c r="AJ83" s="25">
        <f t="shared" ca="1" si="52"/>
        <v>46.243568801879888</v>
      </c>
      <c r="AK83" s="25">
        <f t="shared" ca="1" si="52"/>
        <v>46.644896507263191</v>
      </c>
      <c r="AL83" s="25">
        <f t="shared" ca="1" si="52"/>
        <v>47.046224212646493</v>
      </c>
      <c r="AM83" s="25">
        <f t="shared" ca="1" si="52"/>
        <v>47.447551918029795</v>
      </c>
      <c r="AN83" s="25">
        <f t="shared" ca="1" si="52"/>
        <v>47.848879623413097</v>
      </c>
      <c r="AO83" s="25">
        <f t="shared" ca="1" si="52"/>
        <v>48.2502073287964</v>
      </c>
      <c r="AP83" s="25">
        <f t="shared" ca="1" si="52"/>
        <v>48.651535034179688</v>
      </c>
      <c r="AQ83" s="25">
        <f t="shared" ca="1" si="52"/>
        <v>49.151492245992024</v>
      </c>
      <c r="AR83" s="25">
        <f t="shared" ca="1" si="52"/>
        <v>49.651449457804361</v>
      </c>
      <c r="AS83" s="25">
        <f t="shared" ca="1" si="52"/>
        <v>50.151406669616698</v>
      </c>
      <c r="AT83" s="25">
        <f t="shared" ca="1" si="52"/>
        <v>50.651363881429035</v>
      </c>
      <c r="AU83" s="25">
        <f t="shared" ca="1" si="52"/>
        <v>51.151321093241371</v>
      </c>
      <c r="AV83" s="25">
        <f t="shared" ca="1" si="52"/>
        <v>51.651278305053708</v>
      </c>
      <c r="AW83" s="25">
        <f t="shared" ca="1" si="52"/>
        <v>52.151235516866045</v>
      </c>
      <c r="AX83" s="25">
        <f t="shared" ca="1" si="52"/>
        <v>52.651192728678382</v>
      </c>
      <c r="AY83" s="25">
        <f t="shared" ca="1" si="52"/>
        <v>53.151149940490718</v>
      </c>
      <c r="AZ83" s="25">
        <f t="shared" ca="1" si="52"/>
        <v>53.651107152303055</v>
      </c>
      <c r="BA83" s="25">
        <f t="shared" ca="1" si="52"/>
        <v>54.036499563852942</v>
      </c>
      <c r="BB83" s="25">
        <f t="shared" ca="1" si="52"/>
        <v>54.421891975402829</v>
      </c>
      <c r="BC83" s="25">
        <f t="shared" ca="1" si="52"/>
        <v>54.807284386952716</v>
      </c>
      <c r="BD83" s="25">
        <f t="shared" ca="1" si="52"/>
        <v>55.192676798502603</v>
      </c>
      <c r="BE83" s="25">
        <f t="shared" ca="1" si="52"/>
        <v>55.57806921005249</v>
      </c>
      <c r="BF83" s="25">
        <f t="shared" ca="1" si="52"/>
        <v>55.963461621602377</v>
      </c>
      <c r="BG83" s="25">
        <f t="shared" ca="1" si="52"/>
        <v>56.348854033152264</v>
      </c>
      <c r="BH83" s="25">
        <f t="shared" ca="1" si="52"/>
        <v>56.734246444702151</v>
      </c>
      <c r="BI83" s="25">
        <f t="shared" ca="1" si="52"/>
        <v>57.119638856252038</v>
      </c>
      <c r="BJ83" s="25">
        <f t="shared" ca="1" si="52"/>
        <v>57.505031267801918</v>
      </c>
      <c r="BK83" s="25">
        <f t="shared" ca="1" si="52"/>
        <v>57.818901411692302</v>
      </c>
      <c r="BL83" s="25">
        <f t="shared" ca="1" si="52"/>
        <v>58.132771555582686</v>
      </c>
      <c r="BM83" s="25">
        <f t="shared" ca="1" si="52"/>
        <v>58.446641699473069</v>
      </c>
      <c r="BN83" s="25">
        <f t="shared" ca="1" si="52"/>
        <v>58.760511843363453</v>
      </c>
      <c r="BO83" s="25">
        <f t="shared" ref="BO83:CN83" ca="1" si="53">BO84+BO94</f>
        <v>59.074381987253837</v>
      </c>
      <c r="BP83" s="25">
        <f t="shared" ca="1" si="53"/>
        <v>59.38825213114422</v>
      </c>
      <c r="BQ83" s="25">
        <f t="shared" ca="1" si="53"/>
        <v>59.702122275034604</v>
      </c>
      <c r="BR83" s="25">
        <f t="shared" ca="1" si="53"/>
        <v>60.015992418924988</v>
      </c>
      <c r="BS83" s="25">
        <f t="shared" ca="1" si="53"/>
        <v>60.329862562815372</v>
      </c>
      <c r="BT83" s="25">
        <f t="shared" ca="1" si="53"/>
        <v>60.643732706705727</v>
      </c>
      <c r="BU83" s="25">
        <f t="shared" ca="1" si="53"/>
        <v>61.042186037699381</v>
      </c>
      <c r="BV83" s="25">
        <f t="shared" ca="1" si="53"/>
        <v>61.440639368693034</v>
      </c>
      <c r="BW83" s="25">
        <f t="shared" ca="1" si="53"/>
        <v>61.839092699686688</v>
      </c>
      <c r="BX83" s="25">
        <f t="shared" ca="1" si="53"/>
        <v>62.237546030680342</v>
      </c>
      <c r="BY83" s="25">
        <f t="shared" ca="1" si="53"/>
        <v>62.635999361673996</v>
      </c>
      <c r="BZ83" s="25">
        <f t="shared" ca="1" si="53"/>
        <v>63.034452692667649</v>
      </c>
      <c r="CA83" s="25">
        <f t="shared" ca="1" si="53"/>
        <v>63.432906023661303</v>
      </c>
      <c r="CB83" s="25">
        <f t="shared" ca="1" si="53"/>
        <v>63.831359354654957</v>
      </c>
      <c r="CC83" s="25">
        <f t="shared" ca="1" si="53"/>
        <v>64.229812685648611</v>
      </c>
      <c r="CD83" s="25">
        <f t="shared" ca="1" si="53"/>
        <v>64.628266016642257</v>
      </c>
      <c r="CE83" s="25">
        <f t="shared" ca="1" si="53"/>
        <v>65.095901552836096</v>
      </c>
      <c r="CF83" s="25">
        <f t="shared" ca="1" si="53"/>
        <v>65.56353708902995</v>
      </c>
      <c r="CG83" s="25">
        <f t="shared" ca="1" si="53"/>
        <v>66.031172625223803</v>
      </c>
      <c r="CH83" s="25">
        <f t="shared" ca="1" si="53"/>
        <v>66.498808161417656</v>
      </c>
      <c r="CI83" s="25">
        <f t="shared" ca="1" si="53"/>
        <v>66.96644369761151</v>
      </c>
      <c r="CJ83" s="25">
        <f t="shared" ca="1" si="53"/>
        <v>67.434079233805363</v>
      </c>
      <c r="CK83" s="25">
        <f t="shared" ca="1" si="53"/>
        <v>67.901714769999217</v>
      </c>
      <c r="CL83" s="25">
        <f t="shared" ca="1" si="53"/>
        <v>68.36935030619307</v>
      </c>
      <c r="CM83" s="25">
        <f t="shared" ca="1" si="53"/>
        <v>68.836985842386923</v>
      </c>
      <c r="CN83" s="25">
        <f t="shared" ca="1" si="53"/>
        <v>69.30462137858072</v>
      </c>
    </row>
    <row r="84" spans="1:167" x14ac:dyDescent="0.2">
      <c r="A84" s="25" t="str">
        <f>TotalEmissions!A34</f>
        <v>NFC</v>
      </c>
      <c r="B84" s="25">
        <f ca="1">TotalEmissions!B34</f>
        <v>30.490629196166992</v>
      </c>
      <c r="C84" s="25">
        <f t="shared" ref="C84:K84" ca="1" si="54">B84+(($L84-$B84)/($L$75-$B$75))</f>
        <v>31.083483600616454</v>
      </c>
      <c r="D84" s="25">
        <f t="shared" ca="1" si="54"/>
        <v>31.676338005065915</v>
      </c>
      <c r="E84" s="25">
        <f t="shared" ca="1" si="54"/>
        <v>32.269192409515377</v>
      </c>
      <c r="F84" s="25">
        <f t="shared" ca="1" si="54"/>
        <v>32.862046813964838</v>
      </c>
      <c r="G84" s="25">
        <f t="shared" ca="1" si="54"/>
        <v>33.4549012184143</v>
      </c>
      <c r="H84" s="25">
        <f t="shared" ca="1" si="54"/>
        <v>34.047755622863761</v>
      </c>
      <c r="I84" s="25">
        <f t="shared" ca="1" si="54"/>
        <v>34.640610027313222</v>
      </c>
      <c r="J84" s="25">
        <f t="shared" ca="1" si="54"/>
        <v>35.233464431762684</v>
      </c>
      <c r="K84" s="25">
        <f t="shared" ca="1" si="54"/>
        <v>35.826318836212145</v>
      </c>
      <c r="L84" s="25">
        <f ca="1">TotalEmissions!C34</f>
        <v>36.419173240661621</v>
      </c>
      <c r="M84" s="25">
        <f t="shared" ref="M84:U84" ca="1" si="55">L84+(($V84-$L84)/($V$75-$L$75))</f>
        <v>36.895120684305823</v>
      </c>
      <c r="N84" s="25">
        <f t="shared" ca="1" si="55"/>
        <v>37.371068127950025</v>
      </c>
      <c r="O84" s="25">
        <f t="shared" ca="1" si="55"/>
        <v>37.847015571594227</v>
      </c>
      <c r="P84" s="25">
        <f t="shared" ca="1" si="55"/>
        <v>38.322963015238429</v>
      </c>
      <c r="Q84" s="25">
        <f t="shared" ca="1" si="55"/>
        <v>38.798910458882631</v>
      </c>
      <c r="R84" s="25">
        <f t="shared" ca="1" si="55"/>
        <v>39.274857902526833</v>
      </c>
      <c r="S84" s="25">
        <f t="shared" ca="1" si="55"/>
        <v>39.750805346171035</v>
      </c>
      <c r="T84" s="25">
        <f t="shared" ca="1" si="55"/>
        <v>40.226752789815237</v>
      </c>
      <c r="U84" s="25">
        <f t="shared" ca="1" si="55"/>
        <v>40.702700233459439</v>
      </c>
      <c r="V84" s="25">
        <f ca="1">TotalEmissions!D34</f>
        <v>41.178647677103676</v>
      </c>
      <c r="W84" s="25">
        <f t="shared" ref="W84:AE84" ca="1" si="56">V84+(($AF84-$V84)/($AF$75-$V$75))</f>
        <v>41.524608707427973</v>
      </c>
      <c r="X84" s="25">
        <f t="shared" ca="1" si="56"/>
        <v>41.870569737752277</v>
      </c>
      <c r="Y84" s="25">
        <f t="shared" ca="1" si="56"/>
        <v>42.216530768076581</v>
      </c>
      <c r="Z84" s="25">
        <f t="shared" ca="1" si="56"/>
        <v>42.562491798400885</v>
      </c>
      <c r="AA84" s="25">
        <f t="shared" ca="1" si="56"/>
        <v>42.908452828725189</v>
      </c>
      <c r="AB84" s="25">
        <f t="shared" ca="1" si="56"/>
        <v>43.254413859049492</v>
      </c>
      <c r="AC84" s="25">
        <f t="shared" ca="1" si="56"/>
        <v>43.600374889373796</v>
      </c>
      <c r="AD84" s="25">
        <f t="shared" ca="1" si="56"/>
        <v>43.9463359196981</v>
      </c>
      <c r="AE84" s="25">
        <f t="shared" ca="1" si="56"/>
        <v>44.292296950022404</v>
      </c>
      <c r="AF84" s="25">
        <f ca="1">TotalEmissions!E34</f>
        <v>44.63825798034668</v>
      </c>
      <c r="AG84" s="25">
        <f t="shared" ref="AG84:AO84" ca="1" si="57">AF84+(($AP84-$AF84)/($AP$75-$AF$75))</f>
        <v>45.039585685729982</v>
      </c>
      <c r="AH84" s="25">
        <f t="shared" ca="1" si="57"/>
        <v>45.440913391113284</v>
      </c>
      <c r="AI84" s="25">
        <f t="shared" ca="1" si="57"/>
        <v>45.842241096496586</v>
      </c>
      <c r="AJ84" s="25">
        <f t="shared" ca="1" si="57"/>
        <v>46.243568801879888</v>
      </c>
      <c r="AK84" s="25">
        <f t="shared" ca="1" si="57"/>
        <v>46.644896507263191</v>
      </c>
      <c r="AL84" s="25">
        <f t="shared" ca="1" si="57"/>
        <v>47.046224212646493</v>
      </c>
      <c r="AM84" s="25">
        <f t="shared" ca="1" si="57"/>
        <v>47.447551918029795</v>
      </c>
      <c r="AN84" s="25">
        <f t="shared" ca="1" si="57"/>
        <v>47.848879623413097</v>
      </c>
      <c r="AO84" s="25">
        <f t="shared" ca="1" si="57"/>
        <v>48.2502073287964</v>
      </c>
      <c r="AP84" s="25">
        <f ca="1">TotalEmissions!F34</f>
        <v>48.651535034179688</v>
      </c>
      <c r="AQ84" s="25">
        <f t="shared" ref="AQ84:AY84" ca="1" si="58">AP84+(($AZ84-$AP84)/($AZ$75-$AP$75))</f>
        <v>49.151492245992024</v>
      </c>
      <c r="AR84" s="25">
        <f t="shared" ca="1" si="58"/>
        <v>49.651449457804361</v>
      </c>
      <c r="AS84" s="25">
        <f t="shared" ca="1" si="58"/>
        <v>50.151406669616698</v>
      </c>
      <c r="AT84" s="25">
        <f t="shared" ca="1" si="58"/>
        <v>50.651363881429035</v>
      </c>
      <c r="AU84" s="25">
        <f t="shared" ca="1" si="58"/>
        <v>51.151321093241371</v>
      </c>
      <c r="AV84" s="25">
        <f t="shared" ca="1" si="58"/>
        <v>51.651278305053708</v>
      </c>
      <c r="AW84" s="25">
        <f t="shared" ca="1" si="58"/>
        <v>52.151235516866045</v>
      </c>
      <c r="AX84" s="25">
        <f t="shared" ca="1" si="58"/>
        <v>52.651192728678382</v>
      </c>
      <c r="AY84" s="25">
        <f t="shared" ca="1" si="58"/>
        <v>53.151149940490718</v>
      </c>
      <c r="AZ84" s="25">
        <f ca="1">TotalEmissions!G34</f>
        <v>53.651107152303055</v>
      </c>
      <c r="BA84" s="25">
        <f t="shared" ref="BA84:BI84" ca="1" si="59">AZ84+(($BJ84-$AZ84)/($BJ$75-$AZ$75))</f>
        <v>54.036499563852942</v>
      </c>
      <c r="BB84" s="25">
        <f t="shared" ca="1" si="59"/>
        <v>54.421891975402829</v>
      </c>
      <c r="BC84" s="25">
        <f t="shared" ca="1" si="59"/>
        <v>54.807284386952716</v>
      </c>
      <c r="BD84" s="25">
        <f t="shared" ca="1" si="59"/>
        <v>55.192676798502603</v>
      </c>
      <c r="BE84" s="25">
        <f t="shared" ca="1" si="59"/>
        <v>55.57806921005249</v>
      </c>
      <c r="BF84" s="25">
        <f t="shared" ca="1" si="59"/>
        <v>55.963461621602377</v>
      </c>
      <c r="BG84" s="25">
        <f t="shared" ca="1" si="59"/>
        <v>56.348854033152264</v>
      </c>
      <c r="BH84" s="25">
        <f t="shared" ca="1" si="59"/>
        <v>56.734246444702151</v>
      </c>
      <c r="BI84" s="25">
        <f t="shared" ca="1" si="59"/>
        <v>57.119638856252038</v>
      </c>
      <c r="BJ84" s="25">
        <f ca="1">TotalEmissions!H34</f>
        <v>57.505031267801918</v>
      </c>
      <c r="BK84" s="25">
        <f t="shared" ref="BK84:BS84" ca="1" si="60">BJ84+(($BT84-$BJ84)/($BT$75-$BJ$75))</f>
        <v>57.818901411692302</v>
      </c>
      <c r="BL84" s="25">
        <f t="shared" ca="1" si="60"/>
        <v>58.132771555582686</v>
      </c>
      <c r="BM84" s="25">
        <f t="shared" ca="1" si="60"/>
        <v>58.446641699473069</v>
      </c>
      <c r="BN84" s="25">
        <f t="shared" ca="1" si="60"/>
        <v>58.760511843363453</v>
      </c>
      <c r="BO84" s="25">
        <f t="shared" ca="1" si="60"/>
        <v>59.074381987253837</v>
      </c>
      <c r="BP84" s="25">
        <f t="shared" ca="1" si="60"/>
        <v>59.38825213114422</v>
      </c>
      <c r="BQ84" s="25">
        <f t="shared" ca="1" si="60"/>
        <v>59.702122275034604</v>
      </c>
      <c r="BR84" s="25">
        <f t="shared" ca="1" si="60"/>
        <v>60.015992418924988</v>
      </c>
      <c r="BS84" s="25">
        <f t="shared" ca="1" si="60"/>
        <v>60.329862562815372</v>
      </c>
      <c r="BT84" s="25">
        <f ca="1">TotalEmissions!I34</f>
        <v>60.643732706705727</v>
      </c>
      <c r="BU84" s="25">
        <f t="shared" ref="BU84:CC84" ca="1" si="61">BT84+(($CD84-$BT84)/($CD$75-$BT$75))</f>
        <v>61.042186037699381</v>
      </c>
      <c r="BV84" s="25">
        <f t="shared" ca="1" si="61"/>
        <v>61.440639368693034</v>
      </c>
      <c r="BW84" s="25">
        <f t="shared" ca="1" si="61"/>
        <v>61.839092699686688</v>
      </c>
      <c r="BX84" s="25">
        <f t="shared" ca="1" si="61"/>
        <v>62.237546030680342</v>
      </c>
      <c r="BY84" s="25">
        <f t="shared" ca="1" si="61"/>
        <v>62.635999361673996</v>
      </c>
      <c r="BZ84" s="25">
        <f t="shared" ca="1" si="61"/>
        <v>63.034452692667649</v>
      </c>
      <c r="CA84" s="25">
        <f t="shared" ca="1" si="61"/>
        <v>63.432906023661303</v>
      </c>
      <c r="CB84" s="25">
        <f t="shared" ca="1" si="61"/>
        <v>63.831359354654957</v>
      </c>
      <c r="CC84" s="25">
        <f t="shared" ca="1" si="61"/>
        <v>64.229812685648611</v>
      </c>
      <c r="CD84" s="25">
        <f ca="1">TotalEmissions!J34</f>
        <v>64.628266016642257</v>
      </c>
      <c r="CE84" s="25">
        <f t="shared" ref="CE84:CM84" ca="1" si="62">CD84+(($CN84-$CD84)/($CN$75-$CD$75))</f>
        <v>65.095901552836096</v>
      </c>
      <c r="CF84" s="25">
        <f t="shared" ca="1" si="62"/>
        <v>65.56353708902995</v>
      </c>
      <c r="CG84" s="25">
        <f t="shared" ca="1" si="62"/>
        <v>66.031172625223803</v>
      </c>
      <c r="CH84" s="25">
        <f t="shared" ca="1" si="62"/>
        <v>66.498808161417656</v>
      </c>
      <c r="CI84" s="25">
        <f t="shared" ca="1" si="62"/>
        <v>66.96644369761151</v>
      </c>
      <c r="CJ84" s="25">
        <f t="shared" ca="1" si="62"/>
        <v>67.434079233805363</v>
      </c>
      <c r="CK84" s="25">
        <f t="shared" ca="1" si="62"/>
        <v>67.901714769999217</v>
      </c>
      <c r="CL84" s="25">
        <f t="shared" ca="1" si="62"/>
        <v>68.36935030619307</v>
      </c>
      <c r="CM84" s="25">
        <f t="shared" ca="1" si="62"/>
        <v>68.836985842386923</v>
      </c>
      <c r="CN84" s="25">
        <f ca="1">TotalEmissions!K34</f>
        <v>69.30462137858072</v>
      </c>
    </row>
    <row r="85" spans="1:167" s="25" customFormat="1" ht="18" customHeight="1" x14ac:dyDescent="0.2">
      <c r="A85" s="179" t="s">
        <v>343</v>
      </c>
      <c r="B85" s="25">
        <f ca="1">B86+B95</f>
        <v>1.6196451683839161</v>
      </c>
      <c r="C85" s="25">
        <f t="shared" ref="C85:BN85" ca="1" si="63">C86+C95</f>
        <v>1.6423196047544479</v>
      </c>
      <c r="D85" s="25">
        <f t="shared" ca="1" si="63"/>
        <v>1.6649940411249797</v>
      </c>
      <c r="E85" s="25">
        <f t="shared" ca="1" si="63"/>
        <v>1.6876684774955115</v>
      </c>
      <c r="F85" s="25">
        <f t="shared" ca="1" si="63"/>
        <v>1.7103429138660433</v>
      </c>
      <c r="G85" s="25">
        <f t="shared" ca="1" si="63"/>
        <v>1.7330173502365751</v>
      </c>
      <c r="H85" s="25">
        <f t="shared" ca="1" si="63"/>
        <v>1.7556917866071069</v>
      </c>
      <c r="I85" s="25">
        <f t="shared" ca="1" si="63"/>
        <v>1.7783662229776387</v>
      </c>
      <c r="J85" s="25">
        <f t="shared" ca="1" si="63"/>
        <v>1.8010406593481705</v>
      </c>
      <c r="K85" s="25">
        <f t="shared" ca="1" si="63"/>
        <v>1.8237150957187023</v>
      </c>
      <c r="L85" s="25">
        <f t="shared" ca="1" si="63"/>
        <v>1.8463895320892334</v>
      </c>
      <c r="M85" s="25">
        <f t="shared" ca="1" si="63"/>
        <v>1.8632360716660819</v>
      </c>
      <c r="N85" s="25">
        <f t="shared" ca="1" si="63"/>
        <v>1.8800826112429303</v>
      </c>
      <c r="O85" s="25">
        <f t="shared" ca="1" si="63"/>
        <v>1.8969291508197788</v>
      </c>
      <c r="P85" s="25">
        <f t="shared" ca="1" si="63"/>
        <v>1.9137756903966272</v>
      </c>
      <c r="Q85" s="25">
        <f t="shared" ca="1" si="63"/>
        <v>1.9306222299734757</v>
      </c>
      <c r="R85" s="25">
        <f t="shared" ca="1" si="63"/>
        <v>1.9474687695503241</v>
      </c>
      <c r="S85" s="25">
        <f t="shared" ca="1" si="63"/>
        <v>1.9643153091271726</v>
      </c>
      <c r="T85" s="25">
        <f t="shared" ca="1" si="63"/>
        <v>1.981161848704021</v>
      </c>
      <c r="U85" s="25">
        <f t="shared" ca="1" si="63"/>
        <v>1.9980083882808695</v>
      </c>
      <c r="V85" s="25">
        <f t="shared" ca="1" si="63"/>
        <v>2.014854927857717</v>
      </c>
      <c r="W85" s="25">
        <f t="shared" ca="1" si="63"/>
        <v>2.023089228073756</v>
      </c>
      <c r="X85" s="25">
        <f t="shared" ca="1" si="63"/>
        <v>2.031323528289795</v>
      </c>
      <c r="Y85" s="25">
        <f t="shared" ca="1" si="63"/>
        <v>2.039557828505834</v>
      </c>
      <c r="Z85" s="25">
        <f t="shared" ca="1" si="63"/>
        <v>2.047792128721873</v>
      </c>
      <c r="AA85" s="25">
        <f t="shared" ca="1" si="63"/>
        <v>2.056026428937912</v>
      </c>
      <c r="AB85" s="25">
        <f t="shared" ca="1" si="63"/>
        <v>2.064260729153951</v>
      </c>
      <c r="AC85" s="25">
        <f t="shared" ca="1" si="63"/>
        <v>2.07249502936999</v>
      </c>
      <c r="AD85" s="25">
        <f t="shared" ca="1" si="63"/>
        <v>2.080729329586029</v>
      </c>
      <c r="AE85" s="25">
        <f t="shared" ca="1" si="63"/>
        <v>2.088963629802068</v>
      </c>
      <c r="AF85" s="25">
        <f t="shared" ca="1" si="63"/>
        <v>2.0971979300181069</v>
      </c>
      <c r="AG85" s="25">
        <f t="shared" ca="1" si="63"/>
        <v>2.1167549530665077</v>
      </c>
      <c r="AH85" s="25">
        <f t="shared" ca="1" si="63"/>
        <v>2.1363119761149085</v>
      </c>
      <c r="AI85" s="25">
        <f t="shared" ca="1" si="63"/>
        <v>2.1558689991633093</v>
      </c>
      <c r="AJ85" s="25">
        <f t="shared" ca="1" si="63"/>
        <v>2.1754260222117101</v>
      </c>
      <c r="AK85" s="25">
        <f t="shared" ca="1" si="63"/>
        <v>2.1949830452601109</v>
      </c>
      <c r="AL85" s="25">
        <f t="shared" ca="1" si="63"/>
        <v>2.2145400683085117</v>
      </c>
      <c r="AM85" s="25">
        <f t="shared" ca="1" si="63"/>
        <v>2.2340970913569125</v>
      </c>
      <c r="AN85" s="25">
        <f t="shared" ca="1" si="63"/>
        <v>2.2536541144053133</v>
      </c>
      <c r="AO85" s="25">
        <f t="shared" ca="1" si="63"/>
        <v>2.2732111374537141</v>
      </c>
      <c r="AP85" s="25">
        <f t="shared" ca="1" si="63"/>
        <v>2.2927681605021157</v>
      </c>
      <c r="AQ85" s="25">
        <f t="shared" ca="1" si="63"/>
        <v>2.3170106848080954</v>
      </c>
      <c r="AR85" s="25">
        <f t="shared" ca="1" si="63"/>
        <v>2.3412532091140745</v>
      </c>
      <c r="AS85" s="25">
        <f t="shared" ca="1" si="63"/>
        <v>2.3654957334200537</v>
      </c>
      <c r="AT85" s="25">
        <f t="shared" ca="1" si="63"/>
        <v>2.3897382577260329</v>
      </c>
      <c r="AU85" s="25">
        <f t="shared" ca="1" si="63"/>
        <v>2.4139807820320121</v>
      </c>
      <c r="AV85" s="25">
        <f t="shared" ca="1" si="63"/>
        <v>2.4382233063379912</v>
      </c>
      <c r="AW85" s="25">
        <f t="shared" ca="1" si="63"/>
        <v>2.4624658306439704</v>
      </c>
      <c r="AX85" s="25">
        <f t="shared" ca="1" si="63"/>
        <v>2.4867083549499496</v>
      </c>
      <c r="AY85" s="25">
        <f t="shared" ca="1" si="63"/>
        <v>2.5109508792559287</v>
      </c>
      <c r="AZ85" s="25">
        <f t="shared" ca="1" si="63"/>
        <v>2.5351934035619097</v>
      </c>
      <c r="BA85" s="25">
        <f t="shared" ca="1" si="63"/>
        <v>2.5452103098233536</v>
      </c>
      <c r="BB85" s="25">
        <f t="shared" ca="1" si="63"/>
        <v>2.5552272160847975</v>
      </c>
      <c r="BC85" s="25">
        <f t="shared" ca="1" si="63"/>
        <v>2.5652441223462414</v>
      </c>
      <c r="BD85" s="25">
        <f t="shared" ca="1" si="63"/>
        <v>2.5752610286076854</v>
      </c>
      <c r="BE85" s="25">
        <f t="shared" ca="1" si="63"/>
        <v>2.5852779348691293</v>
      </c>
      <c r="BF85" s="25">
        <f t="shared" ca="1" si="63"/>
        <v>2.5952948411305732</v>
      </c>
      <c r="BG85" s="25">
        <f t="shared" ca="1" si="63"/>
        <v>2.6053117473920171</v>
      </c>
      <c r="BH85" s="25">
        <f t="shared" ca="1" si="63"/>
        <v>2.615328653653461</v>
      </c>
      <c r="BI85" s="25">
        <f t="shared" ca="1" si="63"/>
        <v>2.6253455599149049</v>
      </c>
      <c r="BJ85" s="25">
        <f t="shared" ca="1" si="63"/>
        <v>2.6353624661763506</v>
      </c>
      <c r="BK85" s="25">
        <f t="shared" ca="1" si="63"/>
        <v>2.6603376368681588</v>
      </c>
      <c r="BL85" s="25">
        <f t="shared" ca="1" si="63"/>
        <v>2.685312807559967</v>
      </c>
      <c r="BM85" s="25">
        <f t="shared" ca="1" si="63"/>
        <v>2.7102879782517753</v>
      </c>
      <c r="BN85" s="25">
        <f t="shared" ca="1" si="63"/>
        <v>2.7352631489435835</v>
      </c>
      <c r="BO85" s="25">
        <f t="shared" ref="BO85:CN85" ca="1" si="64">BO86+BO95</f>
        <v>2.7602383196353917</v>
      </c>
      <c r="BP85" s="25">
        <f t="shared" ca="1" si="64"/>
        <v>2.7852134903271999</v>
      </c>
      <c r="BQ85" s="25">
        <f t="shared" ca="1" si="64"/>
        <v>2.8101886610190081</v>
      </c>
      <c r="BR85" s="25">
        <f t="shared" ca="1" si="64"/>
        <v>2.8351638317108163</v>
      </c>
      <c r="BS85" s="25">
        <f t="shared" ca="1" si="64"/>
        <v>2.8601390024026245</v>
      </c>
      <c r="BT85" s="25">
        <f t="shared" ca="1" si="64"/>
        <v>2.8851141730944314</v>
      </c>
      <c r="BU85" s="25">
        <f t="shared" ca="1" si="64"/>
        <v>2.9290259460608161</v>
      </c>
      <c r="BV85" s="25">
        <f t="shared" ca="1" si="64"/>
        <v>2.9729377190272008</v>
      </c>
      <c r="BW85" s="25">
        <f t="shared" ca="1" si="64"/>
        <v>3.0168494919935855</v>
      </c>
      <c r="BX85" s="25">
        <f t="shared" ca="1" si="64"/>
        <v>3.0607612649599703</v>
      </c>
      <c r="BY85" s="25">
        <f t="shared" ca="1" si="64"/>
        <v>3.104673037926355</v>
      </c>
      <c r="BZ85" s="25">
        <f t="shared" ca="1" si="64"/>
        <v>3.1485848108927397</v>
      </c>
      <c r="CA85" s="25">
        <f t="shared" ca="1" si="64"/>
        <v>3.1924965838591244</v>
      </c>
      <c r="CB85" s="25">
        <f t="shared" ca="1" si="64"/>
        <v>3.2364083568255091</v>
      </c>
      <c r="CC85" s="25">
        <f t="shared" ca="1" si="64"/>
        <v>3.2803201297918938</v>
      </c>
      <c r="CD85" s="25">
        <f t="shared" ca="1" si="64"/>
        <v>3.3242319027582803</v>
      </c>
      <c r="CE85" s="25">
        <f t="shared" ca="1" si="64"/>
        <v>3.363274308045705</v>
      </c>
      <c r="CF85" s="25">
        <f t="shared" ca="1" si="64"/>
        <v>3.4023167133331298</v>
      </c>
      <c r="CG85" s="25">
        <f t="shared" ca="1" si="64"/>
        <v>3.4413591186205545</v>
      </c>
      <c r="CH85" s="25">
        <f t="shared" ca="1" si="64"/>
        <v>3.4804015239079793</v>
      </c>
      <c r="CI85" s="25">
        <f t="shared" ca="1" si="64"/>
        <v>3.5194439291954041</v>
      </c>
      <c r="CJ85" s="25">
        <f t="shared" ca="1" si="64"/>
        <v>3.5584863344828288</v>
      </c>
      <c r="CK85" s="25">
        <f t="shared" ca="1" si="64"/>
        <v>3.5975287397702536</v>
      </c>
      <c r="CL85" s="25">
        <f t="shared" ca="1" si="64"/>
        <v>3.6365711450576783</v>
      </c>
      <c r="CM85" s="25">
        <f t="shared" ca="1" si="64"/>
        <v>3.6756135503451031</v>
      </c>
      <c r="CN85" s="25">
        <f t="shared" ca="1" si="64"/>
        <v>3.7146559556325274</v>
      </c>
    </row>
    <row r="86" spans="1:167" x14ac:dyDescent="0.2">
      <c r="A86" s="25" t="str">
        <f>TotalEmissions!A38</f>
        <v>NIC (Net Industry Carbon)</v>
      </c>
      <c r="B86" s="25">
        <f ca="1">TotalEmissions!B38</f>
        <v>1.6196451683839161</v>
      </c>
      <c r="C86" s="25">
        <f t="shared" ref="C86:K86" ca="1" si="65">B86+(($L86-$B86)/($L$75-$B$75))</f>
        <v>1.6423196047544479</v>
      </c>
      <c r="D86" s="25">
        <f t="shared" ca="1" si="65"/>
        <v>1.6649940411249797</v>
      </c>
      <c r="E86" s="25">
        <f t="shared" ca="1" si="65"/>
        <v>1.6876684774955115</v>
      </c>
      <c r="F86" s="25">
        <f t="shared" ca="1" si="65"/>
        <v>1.7103429138660433</v>
      </c>
      <c r="G86" s="25">
        <f t="shared" ca="1" si="65"/>
        <v>1.7330173502365751</v>
      </c>
      <c r="H86" s="25">
        <f t="shared" ca="1" si="65"/>
        <v>1.7556917866071069</v>
      </c>
      <c r="I86" s="25">
        <f t="shared" ca="1" si="65"/>
        <v>1.7783662229776387</v>
      </c>
      <c r="J86" s="25">
        <f t="shared" ca="1" si="65"/>
        <v>1.8010406593481705</v>
      </c>
      <c r="K86" s="25">
        <f t="shared" ca="1" si="65"/>
        <v>1.8237150957187023</v>
      </c>
      <c r="L86" s="25">
        <f ca="1">TotalEmissions!C38</f>
        <v>1.8463895320892334</v>
      </c>
      <c r="M86" s="25">
        <f t="shared" ref="M86:U86" ca="1" si="66">L86+(($V86-$L86)/($V$75-$L$75))</f>
        <v>1.8632360716660819</v>
      </c>
      <c r="N86" s="25">
        <f t="shared" ca="1" si="66"/>
        <v>1.8800826112429303</v>
      </c>
      <c r="O86" s="25">
        <f t="shared" ca="1" si="66"/>
        <v>1.8969291508197788</v>
      </c>
      <c r="P86" s="25">
        <f t="shared" ca="1" si="66"/>
        <v>1.9137756903966272</v>
      </c>
      <c r="Q86" s="25">
        <f t="shared" ca="1" si="66"/>
        <v>1.9306222299734757</v>
      </c>
      <c r="R86" s="25">
        <f t="shared" ca="1" si="66"/>
        <v>1.9474687695503241</v>
      </c>
      <c r="S86" s="25">
        <f t="shared" ca="1" si="66"/>
        <v>1.9643153091271726</v>
      </c>
      <c r="T86" s="25">
        <f t="shared" ca="1" si="66"/>
        <v>1.981161848704021</v>
      </c>
      <c r="U86" s="25">
        <f t="shared" ca="1" si="66"/>
        <v>1.9980083882808695</v>
      </c>
      <c r="V86" s="25">
        <f ca="1">TotalEmissions!D38</f>
        <v>2.014854927857717</v>
      </c>
      <c r="W86" s="25">
        <f t="shared" ref="W86:AE86" ca="1" si="67">V86+(($AF86-$V86)/($AF$75-$V$75))</f>
        <v>2.023089228073756</v>
      </c>
      <c r="X86" s="25">
        <f t="shared" ca="1" si="67"/>
        <v>2.031323528289795</v>
      </c>
      <c r="Y86" s="25">
        <f t="shared" ca="1" si="67"/>
        <v>2.039557828505834</v>
      </c>
      <c r="Z86" s="25">
        <f t="shared" ca="1" si="67"/>
        <v>2.047792128721873</v>
      </c>
      <c r="AA86" s="25">
        <f t="shared" ca="1" si="67"/>
        <v>2.056026428937912</v>
      </c>
      <c r="AB86" s="25">
        <f t="shared" ca="1" si="67"/>
        <v>2.064260729153951</v>
      </c>
      <c r="AC86" s="25">
        <f t="shared" ca="1" si="67"/>
        <v>2.07249502936999</v>
      </c>
      <c r="AD86" s="25">
        <f t="shared" ca="1" si="67"/>
        <v>2.080729329586029</v>
      </c>
      <c r="AE86" s="25">
        <f t="shared" ca="1" si="67"/>
        <v>2.088963629802068</v>
      </c>
      <c r="AF86" s="25">
        <f ca="1">TotalEmissions!E38</f>
        <v>2.0971979300181069</v>
      </c>
      <c r="AG86" s="25">
        <f t="shared" ref="AG86:AO86" ca="1" si="68">AF86+(($AP86-$AF86)/($AP$75-$AF$75))</f>
        <v>2.1167549530665077</v>
      </c>
      <c r="AH86" s="25">
        <f t="shared" ca="1" si="68"/>
        <v>2.1363119761149085</v>
      </c>
      <c r="AI86" s="25">
        <f t="shared" ca="1" si="68"/>
        <v>2.1558689991633093</v>
      </c>
      <c r="AJ86" s="25">
        <f t="shared" ca="1" si="68"/>
        <v>2.1754260222117101</v>
      </c>
      <c r="AK86" s="25">
        <f t="shared" ca="1" si="68"/>
        <v>2.1949830452601109</v>
      </c>
      <c r="AL86" s="25">
        <f t="shared" ca="1" si="68"/>
        <v>2.2145400683085117</v>
      </c>
      <c r="AM86" s="25">
        <f t="shared" ca="1" si="68"/>
        <v>2.2340970913569125</v>
      </c>
      <c r="AN86" s="25">
        <f t="shared" ca="1" si="68"/>
        <v>2.2536541144053133</v>
      </c>
      <c r="AO86" s="25">
        <f t="shared" ca="1" si="68"/>
        <v>2.2732111374537141</v>
      </c>
      <c r="AP86" s="25">
        <f ca="1">TotalEmissions!F38</f>
        <v>2.2927681605021157</v>
      </c>
      <c r="AQ86" s="25">
        <f t="shared" ref="AQ86:AY86" ca="1" si="69">AP86+(($AZ86-$AP86)/($AZ$75-$AP$75))</f>
        <v>2.3170106848080954</v>
      </c>
      <c r="AR86" s="25">
        <f t="shared" ca="1" si="69"/>
        <v>2.3412532091140745</v>
      </c>
      <c r="AS86" s="25">
        <f t="shared" ca="1" si="69"/>
        <v>2.3654957334200537</v>
      </c>
      <c r="AT86" s="25">
        <f t="shared" ca="1" si="69"/>
        <v>2.3897382577260329</v>
      </c>
      <c r="AU86" s="25">
        <f t="shared" ca="1" si="69"/>
        <v>2.4139807820320121</v>
      </c>
      <c r="AV86" s="25">
        <f t="shared" ca="1" si="69"/>
        <v>2.4382233063379912</v>
      </c>
      <c r="AW86" s="25">
        <f t="shared" ca="1" si="69"/>
        <v>2.4624658306439704</v>
      </c>
      <c r="AX86" s="25">
        <f t="shared" ca="1" si="69"/>
        <v>2.4867083549499496</v>
      </c>
      <c r="AY86" s="25">
        <f t="shared" ca="1" si="69"/>
        <v>2.5109508792559287</v>
      </c>
      <c r="AZ86" s="25">
        <f ca="1">TotalEmissions!G38</f>
        <v>2.5351934035619097</v>
      </c>
      <c r="BA86" s="25">
        <f t="shared" ref="BA86:BI86" ca="1" si="70">AZ86+(($BJ86-$AZ86)/($BJ$75-$AZ$75))</f>
        <v>2.5452103098233536</v>
      </c>
      <c r="BB86" s="25">
        <f t="shared" ca="1" si="70"/>
        <v>2.5552272160847975</v>
      </c>
      <c r="BC86" s="25">
        <f t="shared" ca="1" si="70"/>
        <v>2.5652441223462414</v>
      </c>
      <c r="BD86" s="25">
        <f t="shared" ca="1" si="70"/>
        <v>2.5752610286076854</v>
      </c>
      <c r="BE86" s="25">
        <f t="shared" ca="1" si="70"/>
        <v>2.5852779348691293</v>
      </c>
      <c r="BF86" s="25">
        <f t="shared" ca="1" si="70"/>
        <v>2.5952948411305732</v>
      </c>
      <c r="BG86" s="25">
        <f t="shared" ca="1" si="70"/>
        <v>2.6053117473920171</v>
      </c>
      <c r="BH86" s="25">
        <f t="shared" ca="1" si="70"/>
        <v>2.615328653653461</v>
      </c>
      <c r="BI86" s="25">
        <f t="shared" ca="1" si="70"/>
        <v>2.6253455599149049</v>
      </c>
      <c r="BJ86" s="25">
        <f ca="1">TotalEmissions!H38</f>
        <v>2.6353624661763506</v>
      </c>
      <c r="BK86" s="25">
        <f t="shared" ref="BK86:BS86" ca="1" si="71">BJ86+(($BT86-$BJ86)/($BT$75-$BJ$75))</f>
        <v>2.6603376368681588</v>
      </c>
      <c r="BL86" s="25">
        <f t="shared" ca="1" si="71"/>
        <v>2.685312807559967</v>
      </c>
      <c r="BM86" s="25">
        <f t="shared" ca="1" si="71"/>
        <v>2.7102879782517753</v>
      </c>
      <c r="BN86" s="25">
        <f t="shared" ca="1" si="71"/>
        <v>2.7352631489435835</v>
      </c>
      <c r="BO86" s="25">
        <f t="shared" ca="1" si="71"/>
        <v>2.7602383196353917</v>
      </c>
      <c r="BP86" s="25">
        <f t="shared" ca="1" si="71"/>
        <v>2.7852134903271999</v>
      </c>
      <c r="BQ86" s="25">
        <f t="shared" ca="1" si="71"/>
        <v>2.8101886610190081</v>
      </c>
      <c r="BR86" s="25">
        <f t="shared" ca="1" si="71"/>
        <v>2.8351638317108163</v>
      </c>
      <c r="BS86" s="25">
        <f t="shared" ca="1" si="71"/>
        <v>2.8601390024026245</v>
      </c>
      <c r="BT86" s="25">
        <f ca="1">TotalEmissions!I38</f>
        <v>2.8851141730944314</v>
      </c>
      <c r="BU86" s="25">
        <f t="shared" ref="BU86:CC86" ca="1" si="72">BT86+(($CD86-$BT86)/($CD$75-$BT$75))</f>
        <v>2.9290259460608161</v>
      </c>
      <c r="BV86" s="25">
        <f t="shared" ca="1" si="72"/>
        <v>2.9729377190272008</v>
      </c>
      <c r="BW86" s="25">
        <f t="shared" ca="1" si="72"/>
        <v>3.0168494919935855</v>
      </c>
      <c r="BX86" s="25">
        <f t="shared" ca="1" si="72"/>
        <v>3.0607612649599703</v>
      </c>
      <c r="BY86" s="25">
        <f t="shared" ca="1" si="72"/>
        <v>3.104673037926355</v>
      </c>
      <c r="BZ86" s="25">
        <f t="shared" ca="1" si="72"/>
        <v>3.1485848108927397</v>
      </c>
      <c r="CA86" s="25">
        <f t="shared" ca="1" si="72"/>
        <v>3.1924965838591244</v>
      </c>
      <c r="CB86" s="25">
        <f t="shared" ca="1" si="72"/>
        <v>3.2364083568255091</v>
      </c>
      <c r="CC86" s="25">
        <f t="shared" ca="1" si="72"/>
        <v>3.2803201297918938</v>
      </c>
      <c r="CD86" s="25">
        <f ca="1">TotalEmissions!J38</f>
        <v>3.3242319027582803</v>
      </c>
      <c r="CE86" s="25">
        <f t="shared" ref="CE86:CM86" ca="1" si="73">CD86+(($CN86-$CD86)/($CN$75-$CD$75))</f>
        <v>3.363274308045705</v>
      </c>
      <c r="CF86" s="25">
        <f t="shared" ca="1" si="73"/>
        <v>3.4023167133331298</v>
      </c>
      <c r="CG86" s="25">
        <f t="shared" ca="1" si="73"/>
        <v>3.4413591186205545</v>
      </c>
      <c r="CH86" s="25">
        <f t="shared" ca="1" si="73"/>
        <v>3.4804015239079793</v>
      </c>
      <c r="CI86" s="25">
        <f t="shared" ca="1" si="73"/>
        <v>3.5194439291954041</v>
      </c>
      <c r="CJ86" s="25">
        <f t="shared" ca="1" si="73"/>
        <v>3.5584863344828288</v>
      </c>
      <c r="CK86" s="25">
        <f t="shared" ca="1" si="73"/>
        <v>3.5975287397702536</v>
      </c>
      <c r="CL86" s="25">
        <f t="shared" ca="1" si="73"/>
        <v>3.6365711450576783</v>
      </c>
      <c r="CM86" s="25">
        <f t="shared" ca="1" si="73"/>
        <v>3.6756135503451031</v>
      </c>
      <c r="CN86" s="25">
        <f ca="1">TotalEmissions!K38</f>
        <v>3.7146559556325274</v>
      </c>
    </row>
    <row r="87" spans="1:167" x14ac:dyDescent="0.2">
      <c r="A87" s="25" t="str">
        <f>TotalEmissions!A41</f>
        <v>other gases</v>
      </c>
      <c r="B87" s="25">
        <f ca="1">TotalEmissions!B41</f>
        <v>13.334865283349865</v>
      </c>
      <c r="C87" s="25">
        <f t="shared" ref="C87:K87" ca="1" si="74">B87+(($L87-$B87)/($L$75-$B$75))</f>
        <v>13.595352721688675</v>
      </c>
      <c r="D87" s="25">
        <f t="shared" ca="1" si="74"/>
        <v>13.855840160027485</v>
      </c>
      <c r="E87" s="25">
        <f t="shared" ca="1" si="74"/>
        <v>14.116327598366295</v>
      </c>
      <c r="F87" s="25">
        <f t="shared" ca="1" si="74"/>
        <v>14.376815036705105</v>
      </c>
      <c r="G87" s="25">
        <f t="shared" ca="1" si="74"/>
        <v>14.637302475043915</v>
      </c>
      <c r="H87" s="25">
        <f t="shared" ca="1" si="74"/>
        <v>14.897789913382725</v>
      </c>
      <c r="I87" s="25">
        <f t="shared" ca="1" si="74"/>
        <v>15.158277351721535</v>
      </c>
      <c r="J87" s="25">
        <f t="shared" ca="1" si="74"/>
        <v>15.418764790060346</v>
      </c>
      <c r="K87" s="25">
        <f t="shared" ca="1" si="74"/>
        <v>15.679252228399156</v>
      </c>
      <c r="L87" s="25">
        <f ca="1">TotalEmissions!C41</f>
        <v>15.939739666737964</v>
      </c>
      <c r="M87" s="25">
        <f t="shared" ref="M87:U87" ca="1" si="75">L87+(($V87-$L87)/($V$75-$L$75))</f>
        <v>16.122186188327223</v>
      </c>
      <c r="N87" s="25">
        <f t="shared" ca="1" si="75"/>
        <v>16.304632709916483</v>
      </c>
      <c r="O87" s="25">
        <f t="shared" ca="1" si="75"/>
        <v>16.487079231505742</v>
      </c>
      <c r="P87" s="25">
        <f t="shared" ca="1" si="75"/>
        <v>16.669525753095002</v>
      </c>
      <c r="Q87" s="25">
        <f t="shared" ca="1" si="75"/>
        <v>16.851972274684261</v>
      </c>
      <c r="R87" s="25">
        <f t="shared" ca="1" si="75"/>
        <v>17.034418796273521</v>
      </c>
      <c r="S87" s="25">
        <f t="shared" ca="1" si="75"/>
        <v>17.21686531786278</v>
      </c>
      <c r="T87" s="25">
        <f t="shared" ca="1" si="75"/>
        <v>17.399311839452039</v>
      </c>
      <c r="U87" s="25">
        <f t="shared" ca="1" si="75"/>
        <v>17.581758361041299</v>
      </c>
      <c r="V87" s="25">
        <f ca="1">TotalEmissions!D41</f>
        <v>17.764204882630548</v>
      </c>
      <c r="W87" s="25">
        <f t="shared" ref="W87:AE87" ca="1" si="76">V87+(($AF87-$V87)/($AF$75-$V$75))</f>
        <v>17.891256840003628</v>
      </c>
      <c r="X87" s="25">
        <f t="shared" ca="1" si="76"/>
        <v>18.018308797376712</v>
      </c>
      <c r="Y87" s="25">
        <f t="shared" ca="1" si="76"/>
        <v>18.145360754749795</v>
      </c>
      <c r="Z87" s="25">
        <f t="shared" ca="1" si="76"/>
        <v>18.272412712122879</v>
      </c>
      <c r="AA87" s="25">
        <f t="shared" ca="1" si="76"/>
        <v>18.399464669495963</v>
      </c>
      <c r="AB87" s="25">
        <f t="shared" ca="1" si="76"/>
        <v>18.526516626869046</v>
      </c>
      <c r="AC87" s="25">
        <f t="shared" ca="1" si="76"/>
        <v>18.65356858424213</v>
      </c>
      <c r="AD87" s="25">
        <f t="shared" ca="1" si="76"/>
        <v>18.780620541615214</v>
      </c>
      <c r="AE87" s="25">
        <f t="shared" ca="1" si="76"/>
        <v>18.907672498988298</v>
      </c>
      <c r="AF87" s="25">
        <f ca="1">TotalEmissions!E41</f>
        <v>19.034724456361367</v>
      </c>
      <c r="AG87" s="25">
        <f t="shared" ref="AG87:AO87" ca="1" si="77">AF87+(($AP87-$AF87)/($AP$75-$AF$75))</f>
        <v>19.132057167126931</v>
      </c>
      <c r="AH87" s="25">
        <f t="shared" ca="1" si="77"/>
        <v>19.229389877892494</v>
      </c>
      <c r="AI87" s="25">
        <f t="shared" ca="1" si="77"/>
        <v>19.326722588658058</v>
      </c>
      <c r="AJ87" s="25">
        <f t="shared" ca="1" si="77"/>
        <v>19.424055299423621</v>
      </c>
      <c r="AK87" s="25">
        <f t="shared" ca="1" si="77"/>
        <v>19.521388010189185</v>
      </c>
      <c r="AL87" s="25">
        <f t="shared" ca="1" si="77"/>
        <v>19.618720720954748</v>
      </c>
      <c r="AM87" s="25">
        <f t="shared" ca="1" si="77"/>
        <v>19.716053431720312</v>
      </c>
      <c r="AN87" s="25">
        <f t="shared" ca="1" si="77"/>
        <v>19.813386142485875</v>
      </c>
      <c r="AO87" s="25">
        <f t="shared" ca="1" si="77"/>
        <v>19.910718853251439</v>
      </c>
      <c r="AP87" s="25">
        <f ca="1">TotalEmissions!F41</f>
        <v>20.008051564016991</v>
      </c>
      <c r="AQ87" s="25">
        <f t="shared" ref="AQ87:AY87" ca="1" si="78">AP87+(($AZ87-$AP87)/($AZ$75-$AP$75))</f>
        <v>20.033222804662653</v>
      </c>
      <c r="AR87" s="25">
        <f t="shared" ca="1" si="78"/>
        <v>20.058394045308315</v>
      </c>
      <c r="AS87" s="25">
        <f t="shared" ca="1" si="78"/>
        <v>20.083565285953977</v>
      </c>
      <c r="AT87" s="25">
        <f t="shared" ca="1" si="78"/>
        <v>20.108736526599639</v>
      </c>
      <c r="AU87" s="25">
        <f t="shared" ca="1" si="78"/>
        <v>20.133907767245301</v>
      </c>
      <c r="AV87" s="25">
        <f t="shared" ca="1" si="78"/>
        <v>20.159079007890963</v>
      </c>
      <c r="AW87" s="25">
        <f t="shared" ca="1" si="78"/>
        <v>20.184250248536625</v>
      </c>
      <c r="AX87" s="25">
        <f t="shared" ca="1" si="78"/>
        <v>20.209421489182287</v>
      </c>
      <c r="AY87" s="25">
        <f t="shared" ca="1" si="78"/>
        <v>20.234592729827948</v>
      </c>
      <c r="AZ87" s="25">
        <f ca="1">TotalEmissions!G41</f>
        <v>20.259763970473617</v>
      </c>
      <c r="BA87" s="25">
        <f t="shared" ref="BA87:BI87" ca="1" si="79">AZ87+(($BJ87-$AZ87)/($BJ$75-$AZ$75))</f>
        <v>20.316264623295453</v>
      </c>
      <c r="BB87" s="25">
        <f t="shared" ca="1" si="79"/>
        <v>20.372765276117288</v>
      </c>
      <c r="BC87" s="25">
        <f t="shared" ca="1" si="79"/>
        <v>20.429265928939124</v>
      </c>
      <c r="BD87" s="25">
        <f t="shared" ca="1" si="79"/>
        <v>20.485766581760959</v>
      </c>
      <c r="BE87" s="25">
        <f t="shared" ca="1" si="79"/>
        <v>20.542267234582795</v>
      </c>
      <c r="BF87" s="25">
        <f t="shared" ca="1" si="79"/>
        <v>20.59876788740463</v>
      </c>
      <c r="BG87" s="25">
        <f t="shared" ca="1" si="79"/>
        <v>20.655268540226466</v>
      </c>
      <c r="BH87" s="25">
        <f t="shared" ca="1" si="79"/>
        <v>20.711769193048301</v>
      </c>
      <c r="BI87" s="25">
        <f t="shared" ca="1" si="79"/>
        <v>20.768269845870137</v>
      </c>
      <c r="BJ87" s="25">
        <f ca="1">TotalEmissions!H41</f>
        <v>20.824770498691962</v>
      </c>
      <c r="BK87" s="25">
        <f t="shared" ref="BK87:BS87" ca="1" si="80">BJ87+(($BT87-$BJ87)/($BT$75-$BJ$75))</f>
        <v>20.901965716265156</v>
      </c>
      <c r="BL87" s="25">
        <f t="shared" ca="1" si="80"/>
        <v>20.979160933838351</v>
      </c>
      <c r="BM87" s="25">
        <f t="shared" ca="1" si="80"/>
        <v>21.056356151411546</v>
      </c>
      <c r="BN87" s="25">
        <f t="shared" ca="1" si="80"/>
        <v>21.13355136898474</v>
      </c>
      <c r="BO87" s="25">
        <f t="shared" ca="1" si="80"/>
        <v>21.210746586557935</v>
      </c>
      <c r="BP87" s="25">
        <f t="shared" ca="1" si="80"/>
        <v>21.28794180413113</v>
      </c>
      <c r="BQ87" s="25">
        <f t="shared" ca="1" si="80"/>
        <v>21.365137021704324</v>
      </c>
      <c r="BR87" s="25">
        <f t="shared" ca="1" si="80"/>
        <v>21.442332239277519</v>
      </c>
      <c r="BS87" s="25">
        <f t="shared" ca="1" si="80"/>
        <v>21.519527456850714</v>
      </c>
      <c r="BT87" s="25">
        <f ca="1">TotalEmissions!I41</f>
        <v>21.596722674423901</v>
      </c>
      <c r="BU87" s="25">
        <f t="shared" ref="BU87:CC87" ca="1" si="81">BT87+(($CD87-$BT87)/($CD$75-$BT$75))</f>
        <v>21.660614256164681</v>
      </c>
      <c r="BV87" s="25">
        <f t="shared" ca="1" si="81"/>
        <v>21.724505837905461</v>
      </c>
      <c r="BW87" s="25">
        <f t="shared" ca="1" si="81"/>
        <v>21.788397419646241</v>
      </c>
      <c r="BX87" s="25">
        <f t="shared" ca="1" si="81"/>
        <v>21.852289001387021</v>
      </c>
      <c r="BY87" s="25">
        <f t="shared" ca="1" si="81"/>
        <v>21.916180583127801</v>
      </c>
      <c r="BZ87" s="25">
        <f t="shared" ca="1" si="81"/>
        <v>21.980072164868581</v>
      </c>
      <c r="CA87" s="25">
        <f t="shared" ca="1" si="81"/>
        <v>22.043963746609361</v>
      </c>
      <c r="CB87" s="25">
        <f t="shared" ca="1" si="81"/>
        <v>22.107855328350141</v>
      </c>
      <c r="CC87" s="25">
        <f t="shared" ca="1" si="81"/>
        <v>22.171746910090921</v>
      </c>
      <c r="CD87" s="25">
        <f ca="1">TotalEmissions!J41</f>
        <v>22.235638491831704</v>
      </c>
      <c r="CE87" s="25">
        <f t="shared" ref="CE87:CM87" ca="1" si="82">CD87+(($CN87-$CD87)/($CN$75-$CD$75))</f>
        <v>22.330059057769208</v>
      </c>
      <c r="CF87" s="25">
        <f t="shared" ca="1" si="82"/>
        <v>22.424479623706713</v>
      </c>
      <c r="CG87" s="25">
        <f t="shared" ca="1" si="82"/>
        <v>22.518900189644217</v>
      </c>
      <c r="CH87" s="25">
        <f t="shared" ca="1" si="82"/>
        <v>22.613320755581721</v>
      </c>
      <c r="CI87" s="25">
        <f t="shared" ca="1" si="82"/>
        <v>22.707741321519226</v>
      </c>
      <c r="CJ87" s="25">
        <f t="shared" ca="1" si="82"/>
        <v>22.80216188745673</v>
      </c>
      <c r="CK87" s="25">
        <f t="shared" ca="1" si="82"/>
        <v>22.896582453394235</v>
      </c>
      <c r="CL87" s="25">
        <f t="shared" ca="1" si="82"/>
        <v>22.991003019331739</v>
      </c>
      <c r="CM87" s="25">
        <f t="shared" ca="1" si="82"/>
        <v>23.085423585269243</v>
      </c>
      <c r="CN87" s="25">
        <f ca="1">TotalEmissions!K41</f>
        <v>23.179844151206744</v>
      </c>
    </row>
    <row r="88" spans="1:167" x14ac:dyDescent="0.2">
      <c r="A88" s="25" t="str">
        <f>TotalEmissions!A44</f>
        <v>Land use</v>
      </c>
      <c r="B88" s="25">
        <f ca="1">TotalEmissions!B44</f>
        <v>3.5023383199999998</v>
      </c>
      <c r="C88" s="25">
        <f t="shared" ref="C88:K88" ca="1" si="83">B88+(($L88-$B88)/($L$75-$B$75))</f>
        <v>3.6733500844</v>
      </c>
      <c r="D88" s="25">
        <f t="shared" ca="1" si="83"/>
        <v>3.8443618488000002</v>
      </c>
      <c r="E88" s="25">
        <f t="shared" ca="1" si="83"/>
        <v>4.0153736132000004</v>
      </c>
      <c r="F88" s="25">
        <f t="shared" ca="1" si="83"/>
        <v>4.1863853776000006</v>
      </c>
      <c r="G88" s="25">
        <f t="shared" ca="1" si="83"/>
        <v>4.3573971420000008</v>
      </c>
      <c r="H88" s="25">
        <f t="shared" ca="1" si="83"/>
        <v>4.528408906400001</v>
      </c>
      <c r="I88" s="25">
        <f t="shared" ca="1" si="83"/>
        <v>4.6994206708000013</v>
      </c>
      <c r="J88" s="25">
        <f t="shared" ca="1" si="83"/>
        <v>4.8704324352000015</v>
      </c>
      <c r="K88" s="25">
        <f t="shared" ca="1" si="83"/>
        <v>5.0414441996000017</v>
      </c>
      <c r="L88" s="25">
        <f ca="1">TotalEmissions!C44</f>
        <v>5.2124559640000001</v>
      </c>
      <c r="M88" s="25">
        <f t="shared" ref="M88:U88" ca="1" si="84">L88+(($V88-$L88)/($V$75-$L$75))</f>
        <v>5.3193018330999999</v>
      </c>
      <c r="N88" s="25">
        <f t="shared" ca="1" si="84"/>
        <v>5.4261477021999998</v>
      </c>
      <c r="O88" s="25">
        <f t="shared" ca="1" si="84"/>
        <v>5.5329935712999996</v>
      </c>
      <c r="P88" s="25">
        <f t="shared" ca="1" si="84"/>
        <v>5.6398394403999994</v>
      </c>
      <c r="Q88" s="25">
        <f t="shared" ca="1" si="84"/>
        <v>5.7466853094999992</v>
      </c>
      <c r="R88" s="25">
        <f t="shared" ca="1" si="84"/>
        <v>5.8535311785999991</v>
      </c>
      <c r="S88" s="25">
        <f t="shared" ca="1" si="84"/>
        <v>5.9603770476999989</v>
      </c>
      <c r="T88" s="25">
        <f t="shared" ca="1" si="84"/>
        <v>6.0672229167999987</v>
      </c>
      <c r="U88" s="25">
        <f t="shared" ca="1" si="84"/>
        <v>6.1740687858999985</v>
      </c>
      <c r="V88" s="25">
        <f ca="1">TotalEmissions!D44</f>
        <v>6.2809146550000001</v>
      </c>
      <c r="W88" s="25">
        <f t="shared" ref="W88:AE88" ca="1" si="85">V88+(($AF88-$V88)/($AF$75-$V$75))</f>
        <v>6.2706550759000006</v>
      </c>
      <c r="X88" s="25">
        <f t="shared" ca="1" si="85"/>
        <v>6.2603954968000011</v>
      </c>
      <c r="Y88" s="25">
        <f t="shared" ca="1" si="85"/>
        <v>6.2501359177000015</v>
      </c>
      <c r="Z88" s="25">
        <f t="shared" ca="1" si="85"/>
        <v>6.239876338600002</v>
      </c>
      <c r="AA88" s="25">
        <f t="shared" ca="1" si="85"/>
        <v>6.2296167595000025</v>
      </c>
      <c r="AB88" s="25">
        <f t="shared" ca="1" si="85"/>
        <v>6.219357180400003</v>
      </c>
      <c r="AC88" s="25">
        <f t="shared" ca="1" si="85"/>
        <v>6.2090976013000034</v>
      </c>
      <c r="AD88" s="25">
        <f t="shared" ca="1" si="85"/>
        <v>6.1988380222000039</v>
      </c>
      <c r="AE88" s="25">
        <f t="shared" ca="1" si="85"/>
        <v>6.1885784431000044</v>
      </c>
      <c r="AF88" s="25">
        <f ca="1">TotalEmissions!E44</f>
        <v>6.1783188640000004</v>
      </c>
      <c r="AG88" s="25">
        <f t="shared" ref="AG88:AO88" ca="1" si="86">AF88+(($AP88-$AF88)/($AP$75-$AF$75))</f>
        <v>6.0651667623000005</v>
      </c>
      <c r="AH88" s="25">
        <f t="shared" ca="1" si="86"/>
        <v>5.9520146606000006</v>
      </c>
      <c r="AI88" s="25">
        <f t="shared" ca="1" si="86"/>
        <v>5.8388625589000007</v>
      </c>
      <c r="AJ88" s="25">
        <f t="shared" ca="1" si="86"/>
        <v>5.7257104572000008</v>
      </c>
      <c r="AK88" s="25">
        <f t="shared" ca="1" si="86"/>
        <v>5.6125583555000009</v>
      </c>
      <c r="AL88" s="25">
        <f t="shared" ca="1" si="86"/>
        <v>5.499406253800001</v>
      </c>
      <c r="AM88" s="25">
        <f t="shared" ca="1" si="86"/>
        <v>5.3862541521000011</v>
      </c>
      <c r="AN88" s="25">
        <f t="shared" ca="1" si="86"/>
        <v>5.2731020504000012</v>
      </c>
      <c r="AO88" s="25">
        <f t="shared" ca="1" si="86"/>
        <v>5.1599499487000013</v>
      </c>
      <c r="AP88" s="25">
        <f ca="1">TotalEmissions!F44</f>
        <v>5.0467978469999997</v>
      </c>
      <c r="AQ88" s="25">
        <f t="shared" ref="AQ88:AY88" ca="1" si="87">AP88+(($AZ88-$AP88)/($AZ$75-$AP$75))</f>
        <v>4.6856494322</v>
      </c>
      <c r="AR88" s="25">
        <f t="shared" ca="1" si="87"/>
        <v>4.3245010174000003</v>
      </c>
      <c r="AS88" s="25">
        <f t="shared" ca="1" si="87"/>
        <v>3.9633526026000001</v>
      </c>
      <c r="AT88" s="25">
        <f t="shared" ca="1" si="87"/>
        <v>3.6022041878</v>
      </c>
      <c r="AU88" s="25">
        <f t="shared" ca="1" si="87"/>
        <v>3.2410557729999998</v>
      </c>
      <c r="AV88" s="25">
        <f t="shared" ca="1" si="87"/>
        <v>2.8799073581999997</v>
      </c>
      <c r="AW88" s="25">
        <f t="shared" ca="1" si="87"/>
        <v>2.5187589433999995</v>
      </c>
      <c r="AX88" s="25">
        <f t="shared" ca="1" si="87"/>
        <v>2.1576105285999994</v>
      </c>
      <c r="AY88" s="25">
        <f t="shared" ca="1" si="87"/>
        <v>1.7964621137999994</v>
      </c>
      <c r="AZ88" s="25">
        <f ca="1">TotalEmissions!G44</f>
        <v>1.4353136990000002</v>
      </c>
      <c r="BA88" s="25">
        <f t="shared" ref="BA88:BI88" ca="1" si="88">AZ88+(($BJ88-$AZ88)/($BJ$75-$AZ$75))</f>
        <v>1.3644087569200001</v>
      </c>
      <c r="BB88" s="25">
        <f t="shared" ca="1" si="88"/>
        <v>1.29350381484</v>
      </c>
      <c r="BC88" s="25">
        <f t="shared" ca="1" si="88"/>
        <v>1.2225988727599999</v>
      </c>
      <c r="BD88" s="25">
        <f t="shared" ca="1" si="88"/>
        <v>1.1516939306799998</v>
      </c>
      <c r="BE88" s="25">
        <f t="shared" ca="1" si="88"/>
        <v>1.0807889885999997</v>
      </c>
      <c r="BF88" s="25">
        <f t="shared" ca="1" si="88"/>
        <v>1.0098840465199996</v>
      </c>
      <c r="BG88" s="25">
        <f t="shared" ca="1" si="88"/>
        <v>0.93897910443999966</v>
      </c>
      <c r="BH88" s="25">
        <f t="shared" ca="1" si="88"/>
        <v>0.86807416235999968</v>
      </c>
      <c r="BI88" s="25">
        <f t="shared" ca="1" si="88"/>
        <v>0.7971692202799997</v>
      </c>
      <c r="BJ88" s="25">
        <f ca="1">TotalEmissions!H44</f>
        <v>0.72626427820000006</v>
      </c>
      <c r="BK88" s="25">
        <f t="shared" ref="BK88:BS88" ca="1" si="89">BJ88+(($BT88-$BJ88)/($BT$75-$BJ$75))</f>
        <v>0.74505921066000003</v>
      </c>
      <c r="BL88" s="25">
        <f t="shared" ca="1" si="89"/>
        <v>0.76385414312</v>
      </c>
      <c r="BM88" s="25">
        <f t="shared" ca="1" si="89"/>
        <v>0.78264907557999996</v>
      </c>
      <c r="BN88" s="25">
        <f t="shared" ca="1" si="89"/>
        <v>0.80144400803999993</v>
      </c>
      <c r="BO88" s="25">
        <f t="shared" ca="1" si="89"/>
        <v>0.8202389404999999</v>
      </c>
      <c r="BP88" s="25">
        <f t="shared" ca="1" si="89"/>
        <v>0.83903387295999987</v>
      </c>
      <c r="BQ88" s="25">
        <f t="shared" ca="1" si="89"/>
        <v>0.85782880541999984</v>
      </c>
      <c r="BR88" s="25">
        <f t="shared" ca="1" si="89"/>
        <v>0.87662373787999981</v>
      </c>
      <c r="BS88" s="25">
        <f t="shared" ca="1" si="89"/>
        <v>0.89541867033999978</v>
      </c>
      <c r="BT88" s="25">
        <f ca="1">TotalEmissions!I44</f>
        <v>0.91421360279999997</v>
      </c>
      <c r="BU88" s="25">
        <f t="shared" ref="BU88:CC88" ca="1" si="90">BT88+(($CD88-$BT88)/($CD$75-$BT$75))</f>
        <v>0.81124705181000001</v>
      </c>
      <c r="BV88" s="25">
        <f t="shared" ca="1" si="90"/>
        <v>0.70828050082000005</v>
      </c>
      <c r="BW88" s="25">
        <f t="shared" ca="1" si="90"/>
        <v>0.60531394983000009</v>
      </c>
      <c r="BX88" s="25">
        <f t="shared" ca="1" si="90"/>
        <v>0.50234739884000013</v>
      </c>
      <c r="BY88" s="25">
        <f t="shared" ca="1" si="90"/>
        <v>0.39938084785000011</v>
      </c>
      <c r="BZ88" s="25">
        <f t="shared" ca="1" si="90"/>
        <v>0.29641429686000009</v>
      </c>
      <c r="CA88" s="25">
        <f t="shared" ca="1" si="90"/>
        <v>0.19344774587000008</v>
      </c>
      <c r="CB88" s="25">
        <f t="shared" ca="1" si="90"/>
        <v>9.0481194880000074E-2</v>
      </c>
      <c r="CC88" s="25">
        <f t="shared" ca="1" si="90"/>
        <v>-1.2485356109999929E-2</v>
      </c>
      <c r="CD88" s="25">
        <f ca="1">TotalEmissions!J44</f>
        <v>-0.1154519071</v>
      </c>
      <c r="CE88" s="25">
        <f t="shared" ref="CE88:CM88" ca="1" si="91">CD88+(($CN88-$CD88)/($CN$75-$CD$75))</f>
        <v>-0.15657316892000001</v>
      </c>
      <c r="CF88" s="25">
        <f t="shared" ca="1" si="91"/>
        <v>-0.19769443074000001</v>
      </c>
      <c r="CG88" s="25">
        <f t="shared" ca="1" si="91"/>
        <v>-0.23881569256000001</v>
      </c>
      <c r="CH88" s="25">
        <f t="shared" ca="1" si="91"/>
        <v>-0.27993695438000005</v>
      </c>
      <c r="CI88" s="25">
        <f t="shared" ca="1" si="91"/>
        <v>-0.32105821620000008</v>
      </c>
      <c r="CJ88" s="25">
        <f t="shared" ca="1" si="91"/>
        <v>-0.36217947802000011</v>
      </c>
      <c r="CK88" s="25">
        <f t="shared" ca="1" si="91"/>
        <v>-0.40330073984000014</v>
      </c>
      <c r="CL88" s="25">
        <f t="shared" ca="1" si="91"/>
        <v>-0.44442200166000018</v>
      </c>
      <c r="CM88" s="25">
        <f t="shared" ca="1" si="91"/>
        <v>-0.48554326348000021</v>
      </c>
      <c r="CN88" s="25">
        <f ca="1">TotalEmissions!K44</f>
        <v>-0.52666452530000007</v>
      </c>
    </row>
    <row r="89" spans="1:167" x14ac:dyDescent="0.2">
      <c r="A89" s="25"/>
      <c r="B89" s="25"/>
      <c r="C89" s="25"/>
      <c r="D89" s="25"/>
      <c r="E89" s="25"/>
      <c r="F89" s="25"/>
      <c r="G89" s="25"/>
      <c r="H89" s="25"/>
      <c r="I89" s="25"/>
      <c r="J89" s="25"/>
      <c r="K89" s="25"/>
      <c r="L89" s="25"/>
      <c r="M89" s="25"/>
      <c r="N89" s="25"/>
      <c r="O89" s="25"/>
      <c r="P89" s="25"/>
      <c r="Q89" s="25"/>
      <c r="R89" s="25"/>
      <c r="S89" s="25"/>
      <c r="T89" s="25"/>
      <c r="U89" s="25"/>
      <c r="V89" s="25"/>
      <c r="W89" s="25"/>
      <c r="X89" s="25"/>
      <c r="Y89" s="25"/>
      <c r="Z89" s="25"/>
      <c r="AA89" s="25"/>
      <c r="AB89" s="25"/>
      <c r="AC89" s="25"/>
      <c r="AD89" s="25"/>
      <c r="AE89" s="25"/>
      <c r="AF89" s="25"/>
      <c r="AG89" s="25"/>
      <c r="AH89" s="25"/>
      <c r="AI89" s="25"/>
      <c r="AJ89" s="25"/>
      <c r="AK89" s="25"/>
      <c r="AL89" s="25"/>
      <c r="AM89" s="25"/>
      <c r="AN89" s="25"/>
      <c r="AO89" s="25"/>
      <c r="AP89" s="25"/>
      <c r="AQ89" s="25"/>
      <c r="AR89" s="25"/>
      <c r="AS89" s="25"/>
      <c r="AT89" s="25"/>
      <c r="AU89" s="25"/>
      <c r="AV89" s="25"/>
      <c r="AW89" s="25"/>
      <c r="AX89" s="25"/>
      <c r="AY89" s="25"/>
      <c r="AZ89" s="25"/>
      <c r="BA89" s="25"/>
      <c r="BB89" s="25"/>
      <c r="BC89" s="25"/>
      <c r="BD89" s="25"/>
      <c r="BE89" s="25"/>
      <c r="BF89" s="25"/>
      <c r="BG89" s="25"/>
      <c r="BH89" s="25"/>
      <c r="BI89" s="25"/>
      <c r="BJ89" s="25"/>
      <c r="BK89" s="25"/>
      <c r="BL89" s="25"/>
      <c r="BM89" s="25"/>
      <c r="BN89" s="25"/>
      <c r="BO89" s="25"/>
      <c r="BP89" s="25"/>
      <c r="BQ89" s="25"/>
      <c r="BR89" s="25"/>
      <c r="BS89" s="25"/>
      <c r="BT89" s="25"/>
      <c r="BU89" s="25"/>
      <c r="BV89" s="25"/>
      <c r="BW89" s="25"/>
      <c r="BX89" s="25"/>
      <c r="BY89" s="25"/>
      <c r="BZ89" s="25"/>
      <c r="CA89" s="25"/>
      <c r="CB89" s="25"/>
      <c r="CC89" s="25"/>
      <c r="CD89" s="25"/>
      <c r="CE89" s="25"/>
      <c r="CF89" s="25"/>
      <c r="CG89" s="25"/>
      <c r="CH89" s="25"/>
      <c r="CI89" s="25"/>
      <c r="CJ89" s="25"/>
      <c r="CK89" s="25"/>
      <c r="CL89" s="25"/>
      <c r="CM89" s="25"/>
      <c r="CN89" s="25"/>
    </row>
    <row r="90" spans="1:167" x14ac:dyDescent="0.2">
      <c r="A90" s="26" t="s">
        <v>26</v>
      </c>
      <c r="B90" s="25">
        <f ca="1">OtherGases!H8/1000</f>
        <v>9.7174163993399993</v>
      </c>
      <c r="C90">
        <f t="shared" ref="C90:K92" ca="1" si="92">B90+($L90-$B90)/($L$75-$B$75)</f>
        <v>9.8500357390049995</v>
      </c>
      <c r="D90">
        <f t="shared" ca="1" si="92"/>
        <v>9.9826550786699997</v>
      </c>
      <c r="E90">
        <f t="shared" ca="1" si="92"/>
        <v>10.115274418335</v>
      </c>
      <c r="F90">
        <f t="shared" ca="1" si="92"/>
        <v>10.247893758</v>
      </c>
      <c r="G90">
        <f t="shared" ca="1" si="92"/>
        <v>10.380513097665</v>
      </c>
      <c r="H90">
        <f t="shared" ca="1" si="92"/>
        <v>10.51313243733</v>
      </c>
      <c r="I90">
        <f t="shared" ca="1" si="92"/>
        <v>10.645751776995001</v>
      </c>
      <c r="J90">
        <f t="shared" ca="1" si="92"/>
        <v>10.778371116660001</v>
      </c>
      <c r="K90">
        <f t="shared" ca="1" si="92"/>
        <v>10.910990456325001</v>
      </c>
      <c r="L90" s="25">
        <f ca="1">OtherGases!I8/1000</f>
        <v>11.043609795989999</v>
      </c>
      <c r="M90">
        <f ca="1">L90+($V90-$L90)/($V$75-$L$75)</f>
        <v>11.143943451234</v>
      </c>
      <c r="N90">
        <f t="shared" ref="N90:U92" ca="1" si="93">M90+($V90-$L90)/($V$75-$L$75)</f>
        <v>11.244277106478</v>
      </c>
      <c r="O90">
        <f t="shared" ca="1" si="93"/>
        <v>11.344610761722</v>
      </c>
      <c r="P90">
        <f t="shared" ca="1" si="93"/>
        <v>11.444944416966001</v>
      </c>
      <c r="Q90">
        <f t="shared" ca="1" si="93"/>
        <v>11.545278072210001</v>
      </c>
      <c r="R90">
        <f t="shared" ca="1" si="93"/>
        <v>11.645611727454002</v>
      </c>
      <c r="S90">
        <f t="shared" ca="1" si="93"/>
        <v>11.745945382698002</v>
      </c>
      <c r="T90">
        <f t="shared" ca="1" si="93"/>
        <v>11.846279037942002</v>
      </c>
      <c r="U90">
        <f t="shared" ca="1" si="93"/>
        <v>11.946612693186003</v>
      </c>
      <c r="V90" s="25">
        <f ca="1">OtherGases!J8/1000</f>
        <v>12.04694634843</v>
      </c>
      <c r="W90">
        <f ca="1">V90+($AF90-$V90)/($AF$75-$V$75)</f>
        <v>12.101167266740999</v>
      </c>
      <c r="X90">
        <f t="shared" ref="X90:AE92" ca="1" si="94">W90+($AF90-$V90)/($AF$75-$V$75)</f>
        <v>12.155388185051999</v>
      </c>
      <c r="Y90">
        <f t="shared" ca="1" si="94"/>
        <v>12.209609103362999</v>
      </c>
      <c r="Z90">
        <f t="shared" ca="1" si="94"/>
        <v>12.263830021673998</v>
      </c>
      <c r="AA90">
        <f t="shared" ca="1" si="94"/>
        <v>12.318050939984998</v>
      </c>
      <c r="AB90">
        <f t="shared" ca="1" si="94"/>
        <v>12.372271858295997</v>
      </c>
      <c r="AC90">
        <f t="shared" ca="1" si="94"/>
        <v>12.426492776606997</v>
      </c>
      <c r="AD90">
        <f t="shared" ca="1" si="94"/>
        <v>12.480713694917997</v>
      </c>
      <c r="AE90">
        <f t="shared" ca="1" si="94"/>
        <v>12.534934613228996</v>
      </c>
      <c r="AF90" s="25">
        <f ca="1">OtherGases!K8/1000</f>
        <v>12.589155531539998</v>
      </c>
      <c r="AG90">
        <f ca="1">AF90+($AP90-$AF90)/($AP$75-$AF$75)</f>
        <v>12.621818319056999</v>
      </c>
      <c r="AH90">
        <f ca="1">AG90+($AP90-$AF90)/($AP$75-$AF$75)</f>
        <v>12.654481106574</v>
      </c>
      <c r="AI90">
        <f t="shared" ref="AI90:AO92" ca="1" si="95">AH90+($AP90-$AF90)/($AP$75-$AF$75)</f>
        <v>12.687143894091001</v>
      </c>
      <c r="AJ90">
        <f t="shared" ca="1" si="95"/>
        <v>12.719806681608002</v>
      </c>
      <c r="AK90">
        <f t="shared" ca="1" si="95"/>
        <v>12.752469469125003</v>
      </c>
      <c r="AL90">
        <f t="shared" ca="1" si="95"/>
        <v>12.785132256642004</v>
      </c>
      <c r="AM90">
        <f t="shared" ca="1" si="95"/>
        <v>12.817795044159006</v>
      </c>
      <c r="AN90">
        <f t="shared" ca="1" si="95"/>
        <v>12.850457831676007</v>
      </c>
      <c r="AO90">
        <f t="shared" ca="1" si="95"/>
        <v>12.883120619193008</v>
      </c>
      <c r="AP90" s="25">
        <f ca="1">OtherGases!L8/1000</f>
        <v>12.91578340671</v>
      </c>
      <c r="AQ90">
        <f ca="1">AP90+($AZ90-$AP90)/($AZ$75-$AP$75)</f>
        <v>12.900153259503</v>
      </c>
      <c r="AR90">
        <f t="shared" ref="AR90:AY92" ca="1" si="96">AQ90+($BA90-$AP90)/($BA$75-$AP$75)</f>
        <v>12.886169519398909</v>
      </c>
      <c r="AS90">
        <f t="shared" ca="1" si="96"/>
        <v>12.872185779294817</v>
      </c>
      <c r="AT90">
        <f t="shared" ca="1" si="96"/>
        <v>12.858202039190726</v>
      </c>
      <c r="AU90">
        <f t="shared" ca="1" si="96"/>
        <v>12.844218299086634</v>
      </c>
      <c r="AV90">
        <f t="shared" ca="1" si="96"/>
        <v>12.830234558982543</v>
      </c>
      <c r="AW90">
        <f t="shared" ca="1" si="96"/>
        <v>12.816250818878451</v>
      </c>
      <c r="AX90">
        <f t="shared" ca="1" si="96"/>
        <v>12.80226707877436</v>
      </c>
      <c r="AY90">
        <f t="shared" ca="1" si="96"/>
        <v>12.788283338670269</v>
      </c>
      <c r="AZ90" s="25">
        <f ca="1">OtherGases!M8/1000</f>
        <v>12.75948193464</v>
      </c>
      <c r="BA90">
        <f ca="1">AZ90+($BJ90-$AZ90)/($BJ$75-$AZ$75)</f>
        <v>12.761962265565</v>
      </c>
      <c r="BB90">
        <f t="shared" ref="BB90:BI92" ca="1" si="97">BA90+($BJ90-$AZ90)/($BJ$75-$AZ$75)</f>
        <v>12.764442596489999</v>
      </c>
      <c r="BC90">
        <f t="shared" ca="1" si="97"/>
        <v>12.766922927414999</v>
      </c>
      <c r="BD90">
        <f t="shared" ca="1" si="97"/>
        <v>12.769403258339999</v>
      </c>
      <c r="BE90">
        <f t="shared" ca="1" si="97"/>
        <v>12.771883589264998</v>
      </c>
      <c r="BF90">
        <f t="shared" ca="1" si="97"/>
        <v>12.774363920189998</v>
      </c>
      <c r="BG90">
        <f t="shared" ca="1" si="97"/>
        <v>12.776844251114998</v>
      </c>
      <c r="BH90">
        <f t="shared" ca="1" si="97"/>
        <v>12.779324582039997</v>
      </c>
      <c r="BI90">
        <f t="shared" ca="1" si="97"/>
        <v>12.781804912964997</v>
      </c>
      <c r="BJ90" s="25">
        <f ca="1">OtherGases!N8/1000</f>
        <v>12.784285243889999</v>
      </c>
      <c r="BK90">
        <f ca="1">BJ90+($BT90-$BJ90)/($BT$75-$BJ$75)</f>
        <v>12.793887278315999</v>
      </c>
      <c r="BL90">
        <f t="shared" ref="BL90:BP92" ca="1" si="98">BK90+($BT90-$BJ90)/($BT$75-$BJ$75)</f>
        <v>12.803489312741998</v>
      </c>
      <c r="BM90">
        <f t="shared" ca="1" si="98"/>
        <v>12.813091347167997</v>
      </c>
      <c r="BN90">
        <f t="shared" ca="1" si="98"/>
        <v>12.822693381593997</v>
      </c>
      <c r="BO90">
        <f t="shared" ca="1" si="98"/>
        <v>12.832295416019996</v>
      </c>
      <c r="BP90">
        <f ca="1">BO90+($BT90-$BJ90)/($BT$75-$BJ$75)</f>
        <v>12.841897450445995</v>
      </c>
      <c r="BQ90">
        <f t="shared" ref="BQ90:BS92" ca="1" si="99">BP90+($BT90-$BJ90)/($BT$75-$BJ$75)</f>
        <v>12.851499484871994</v>
      </c>
      <c r="BR90">
        <f t="shared" ca="1" si="99"/>
        <v>12.861101519297993</v>
      </c>
      <c r="BS90">
        <f t="shared" ca="1" si="99"/>
        <v>12.870703553723992</v>
      </c>
      <c r="BT90" s="25">
        <f ca="1">OtherGases!O8/1000</f>
        <v>12.880305588149998</v>
      </c>
      <c r="BU90">
        <f ca="1">BT90+($CD90-$BT90)/($CD$75-$BT$75)</f>
        <v>12.888687337955998</v>
      </c>
      <c r="BV90">
        <f t="shared" ref="BV90:CC92" ca="1" si="100">BU90+($CD90-$BT90)/($CD$75-$BT$75)</f>
        <v>12.897069087761999</v>
      </c>
      <c r="BW90">
        <f t="shared" ca="1" si="100"/>
        <v>12.905450837567999</v>
      </c>
      <c r="BX90">
        <f t="shared" ca="1" si="100"/>
        <v>12.913832587373999</v>
      </c>
      <c r="BY90">
        <f t="shared" ca="1" si="100"/>
        <v>12.92221433718</v>
      </c>
      <c r="BZ90">
        <f t="shared" ca="1" si="100"/>
        <v>12.930596086986</v>
      </c>
      <c r="CA90">
        <f t="shared" ca="1" si="100"/>
        <v>12.938977836792001</v>
      </c>
      <c r="CB90">
        <f t="shared" ca="1" si="100"/>
        <v>12.947359586598001</v>
      </c>
      <c r="CC90">
        <f t="shared" ca="1" si="100"/>
        <v>12.955741336404001</v>
      </c>
      <c r="CD90" s="25">
        <f ca="1">OtherGases!P8/1000</f>
        <v>12.96412308621</v>
      </c>
      <c r="CE90">
        <f ca="1">CD90+($CN90-$CD90)/($CN$75-$CD$75)</f>
        <v>13.019043888855</v>
      </c>
      <c r="CF90">
        <f t="shared" ref="CF90:CM92" ca="1" si="101">CE90+($CN90-$CD90)/($CN$75-$CD$75)</f>
        <v>13.073964691500001</v>
      </c>
      <c r="CG90">
        <f t="shared" ca="1" si="101"/>
        <v>13.128885494145001</v>
      </c>
      <c r="CH90">
        <f t="shared" ca="1" si="101"/>
        <v>13.183806296790001</v>
      </c>
      <c r="CI90">
        <f t="shared" ca="1" si="101"/>
        <v>13.238727099435001</v>
      </c>
      <c r="CJ90">
        <f t="shared" ca="1" si="101"/>
        <v>13.293647902080002</v>
      </c>
      <c r="CK90">
        <f t="shared" ca="1" si="101"/>
        <v>13.348568704725002</v>
      </c>
      <c r="CL90">
        <f t="shared" ca="1" si="101"/>
        <v>13.403489507370002</v>
      </c>
      <c r="CM90">
        <f t="shared" ca="1" si="101"/>
        <v>13.458410310015003</v>
      </c>
      <c r="CN90" s="25">
        <f ca="1">OtherGases!Q8/1000</f>
        <v>13.513331112659998</v>
      </c>
      <c r="CO90" s="25"/>
      <c r="CP90" s="25"/>
      <c r="CQ90" s="25"/>
      <c r="CR90" s="25"/>
      <c r="CS90" s="25"/>
      <c r="CT90" s="25"/>
      <c r="CU90" s="25"/>
      <c r="CV90" s="25"/>
      <c r="CW90" s="25"/>
      <c r="CX90" s="25"/>
      <c r="CY90" s="25"/>
      <c r="CZ90" s="25"/>
      <c r="DA90" s="25"/>
      <c r="DB90" s="25"/>
      <c r="DC90" s="25"/>
      <c r="DD90" s="25"/>
      <c r="DE90" s="25"/>
      <c r="DF90" s="25"/>
      <c r="DG90" s="25"/>
      <c r="DH90" s="25"/>
      <c r="DI90" s="25"/>
      <c r="DJ90" s="25"/>
      <c r="DK90" s="25"/>
      <c r="DL90" s="25"/>
      <c r="DM90" s="25"/>
      <c r="DN90" s="25"/>
      <c r="DO90" s="25"/>
      <c r="DP90" s="25"/>
      <c r="DQ90" s="25"/>
      <c r="DR90" s="25"/>
      <c r="DS90" s="25"/>
      <c r="DT90" s="25"/>
      <c r="DU90" s="25"/>
      <c r="DV90" s="25"/>
      <c r="DW90" s="25"/>
      <c r="DX90" s="25"/>
      <c r="DY90" s="25"/>
      <c r="DZ90" s="25"/>
      <c r="EA90" s="25"/>
      <c r="EB90" s="25"/>
      <c r="EC90" s="25"/>
      <c r="ED90" s="25"/>
      <c r="EE90" s="25"/>
      <c r="EF90" s="25"/>
      <c r="EG90" s="25"/>
      <c r="EH90" s="25"/>
      <c r="EI90" s="25"/>
      <c r="EJ90" s="25"/>
      <c r="EK90" s="25"/>
      <c r="EL90" s="25"/>
      <c r="EM90" s="25"/>
      <c r="EN90" s="25"/>
      <c r="EO90" s="25"/>
      <c r="EP90" s="25"/>
      <c r="EQ90" s="25"/>
      <c r="ER90" s="25"/>
      <c r="ES90" s="25"/>
      <c r="ET90" s="25"/>
      <c r="EU90" s="25"/>
      <c r="EV90" s="25"/>
      <c r="EW90" s="25"/>
      <c r="EX90" s="25"/>
      <c r="EY90" s="25"/>
      <c r="EZ90" s="25"/>
      <c r="FA90" s="25"/>
      <c r="FB90" s="25"/>
      <c r="FC90" s="25"/>
      <c r="FD90" s="25"/>
      <c r="FE90" s="25"/>
      <c r="FF90" s="25"/>
      <c r="FG90" s="25"/>
      <c r="FH90" s="25"/>
      <c r="FI90" s="25"/>
      <c r="FJ90" s="25"/>
      <c r="FK90" s="25"/>
    </row>
    <row r="91" spans="1:167" x14ac:dyDescent="0.2">
      <c r="A91" s="26" t="s">
        <v>21</v>
      </c>
      <c r="B91" s="25">
        <f ca="1">OtherGases!H9/1000</f>
        <v>2.6849729568480001</v>
      </c>
      <c r="C91">
        <f t="shared" ca="1" si="92"/>
        <v>2.7217600001591999</v>
      </c>
      <c r="D91">
        <f t="shared" ca="1" si="92"/>
        <v>2.7585470434703998</v>
      </c>
      <c r="E91">
        <f t="shared" ca="1" si="92"/>
        <v>2.7953340867815997</v>
      </c>
      <c r="F91">
        <f t="shared" ca="1" si="92"/>
        <v>2.8321211300927995</v>
      </c>
      <c r="G91">
        <f t="shared" ca="1" si="92"/>
        <v>2.8689081734039994</v>
      </c>
      <c r="H91">
        <f t="shared" ca="1" si="92"/>
        <v>2.9056952167151993</v>
      </c>
      <c r="I91">
        <f t="shared" ca="1" si="92"/>
        <v>2.9424822600263991</v>
      </c>
      <c r="J91">
        <f t="shared" ca="1" si="92"/>
        <v>2.979269303337599</v>
      </c>
      <c r="K91">
        <f t="shared" ca="1" si="92"/>
        <v>3.0160563466487988</v>
      </c>
      <c r="L91" s="25">
        <f ca="1">OtherGases!I9/1000</f>
        <v>3.0528433899600005</v>
      </c>
      <c r="M91">
        <f t="shared" ref="M91:M92" ca="1" si="102">L91+($V91-$L91)/($V$75-$L$75)</f>
        <v>3.0884784801780003</v>
      </c>
      <c r="N91">
        <f t="shared" ca="1" si="93"/>
        <v>3.1241135703960001</v>
      </c>
      <c r="O91">
        <f t="shared" ca="1" si="93"/>
        <v>3.1597486606139999</v>
      </c>
      <c r="P91">
        <f t="shared" ca="1" si="93"/>
        <v>3.1953837508319998</v>
      </c>
      <c r="Q91">
        <f t="shared" ca="1" si="93"/>
        <v>3.2310188410499996</v>
      </c>
      <c r="R91">
        <f t="shared" ca="1" si="93"/>
        <v>3.2666539312679994</v>
      </c>
      <c r="S91">
        <f t="shared" ca="1" si="93"/>
        <v>3.3022890214859992</v>
      </c>
      <c r="T91">
        <f t="shared" ca="1" si="93"/>
        <v>3.3379241117039991</v>
      </c>
      <c r="U91">
        <f t="shared" ca="1" si="93"/>
        <v>3.3735592019219989</v>
      </c>
      <c r="V91" s="25">
        <f ca="1">OtherGases!J9/1000</f>
        <v>3.40919429214</v>
      </c>
      <c r="W91">
        <f t="shared" ref="W91:W92" ca="1" si="103">V91+($AF91-$V91)/($AF$75-$V$75)</f>
        <v>3.4322393845740002</v>
      </c>
      <c r="X91">
        <f t="shared" ca="1" si="94"/>
        <v>3.455284477008</v>
      </c>
      <c r="Y91">
        <f t="shared" ca="1" si="94"/>
        <v>3.4783295694419998</v>
      </c>
      <c r="Z91">
        <f t="shared" ca="1" si="94"/>
        <v>3.5013746618759995</v>
      </c>
      <c r="AA91">
        <f t="shared" ca="1" si="94"/>
        <v>3.5244197543099993</v>
      </c>
      <c r="AB91">
        <f t="shared" ca="1" si="94"/>
        <v>3.5474648467439991</v>
      </c>
      <c r="AC91">
        <f t="shared" ca="1" si="94"/>
        <v>3.5705099391779989</v>
      </c>
      <c r="AD91">
        <f t="shared" ca="1" si="94"/>
        <v>3.5935550316119986</v>
      </c>
      <c r="AE91">
        <f t="shared" ca="1" si="94"/>
        <v>3.6166001240459984</v>
      </c>
      <c r="AF91" s="25">
        <f ca="1">OtherGases!K9/1000</f>
        <v>3.6396452164799999</v>
      </c>
      <c r="AG91">
        <f t="shared" ref="AG91:AH92" ca="1" si="104">AF91+($AP91-$AF91)/($AP$75-$AF$75)</f>
        <v>3.6542048647650001</v>
      </c>
      <c r="AH91">
        <f t="shared" ca="1" si="104"/>
        <v>3.6687645130500002</v>
      </c>
      <c r="AI91">
        <f t="shared" ca="1" si="95"/>
        <v>3.6833241613350003</v>
      </c>
      <c r="AJ91">
        <f t="shared" ca="1" si="95"/>
        <v>3.6978838096200004</v>
      </c>
      <c r="AK91">
        <f t="shared" ca="1" si="95"/>
        <v>3.7124434579050005</v>
      </c>
      <c r="AL91">
        <f t="shared" ca="1" si="95"/>
        <v>3.7270031061900006</v>
      </c>
      <c r="AM91">
        <f t="shared" ca="1" si="95"/>
        <v>3.7415627544750008</v>
      </c>
      <c r="AN91">
        <f t="shared" ca="1" si="95"/>
        <v>3.7561224027600009</v>
      </c>
      <c r="AO91">
        <f t="shared" ca="1" si="95"/>
        <v>3.770682051045001</v>
      </c>
      <c r="AP91" s="25">
        <f ca="1">OtherGases!L9/1000</f>
        <v>3.7852416993299998</v>
      </c>
      <c r="AQ91">
        <f t="shared" ref="AQ91:AQ92" ca="1" si="105">AP91+($BA91-$AP91)/($BA$75-$AP$75)</f>
        <v>3.7774717682519996</v>
      </c>
      <c r="AR91">
        <f t="shared" ca="1" si="96"/>
        <v>3.7697018371739994</v>
      </c>
      <c r="AS91">
        <f t="shared" ca="1" si="96"/>
        <v>3.7619319060959993</v>
      </c>
      <c r="AT91">
        <f t="shared" ca="1" si="96"/>
        <v>3.7541619750179991</v>
      </c>
      <c r="AU91">
        <f t="shared" ca="1" si="96"/>
        <v>3.7463920439399989</v>
      </c>
      <c r="AV91">
        <f t="shared" ca="1" si="96"/>
        <v>3.7386221128619987</v>
      </c>
      <c r="AW91">
        <f t="shared" ca="1" si="96"/>
        <v>3.7308521817839986</v>
      </c>
      <c r="AX91">
        <f t="shared" ca="1" si="96"/>
        <v>3.7230822507059984</v>
      </c>
      <c r="AY91">
        <f t="shared" ca="1" si="96"/>
        <v>3.7153123196279982</v>
      </c>
      <c r="AZ91" s="25">
        <f ca="1">OtherGases!M9/1000</f>
        <v>3.70040569353</v>
      </c>
      <c r="BA91">
        <f t="shared" ref="BA91:BA92" ca="1" si="106">AZ91+($BJ91-$AZ91)/($BJ$75-$AZ$75)</f>
        <v>3.6997724574720001</v>
      </c>
      <c r="BB91">
        <f t="shared" ca="1" si="97"/>
        <v>3.6991392214140002</v>
      </c>
      <c r="BC91">
        <f t="shared" ca="1" si="97"/>
        <v>3.6985059853560003</v>
      </c>
      <c r="BD91">
        <f t="shared" ca="1" si="97"/>
        <v>3.6978727492980004</v>
      </c>
      <c r="BE91">
        <f t="shared" ca="1" si="97"/>
        <v>3.6972395132400004</v>
      </c>
      <c r="BF91">
        <f t="shared" ca="1" si="97"/>
        <v>3.6966062771820005</v>
      </c>
      <c r="BG91">
        <f t="shared" ca="1" si="97"/>
        <v>3.6959730411240006</v>
      </c>
      <c r="BH91">
        <f t="shared" ca="1" si="97"/>
        <v>3.6953398050660007</v>
      </c>
      <c r="BI91">
        <f t="shared" ca="1" si="97"/>
        <v>3.6947065690080008</v>
      </c>
      <c r="BJ91" s="25">
        <f ca="1">OtherGases!N9/1000</f>
        <v>3.69407333295</v>
      </c>
      <c r="BK91">
        <f t="shared" ref="BK91:BK92" ca="1" si="107">BJ91+($BT91-$BJ91)/($BT$75-$BJ$75)</f>
        <v>3.6998884614510001</v>
      </c>
      <c r="BL91">
        <f t="shared" ca="1" si="98"/>
        <v>3.7057035899520003</v>
      </c>
      <c r="BM91">
        <f t="shared" ca="1" si="98"/>
        <v>3.7115187184530005</v>
      </c>
      <c r="BN91">
        <f t="shared" ca="1" si="98"/>
        <v>3.7173338469540007</v>
      </c>
      <c r="BO91">
        <f t="shared" ca="1" si="98"/>
        <v>3.7231489754550009</v>
      </c>
      <c r="BP91">
        <f t="shared" ca="1" si="98"/>
        <v>3.7289641039560011</v>
      </c>
      <c r="BQ91">
        <f t="shared" ca="1" si="99"/>
        <v>3.7347792324570013</v>
      </c>
      <c r="BR91">
        <f t="shared" ca="1" si="99"/>
        <v>3.7405943609580015</v>
      </c>
      <c r="BS91">
        <f t="shared" ca="1" si="99"/>
        <v>3.7464094894590017</v>
      </c>
      <c r="BT91" s="25">
        <f ca="1">OtherGases!O9/1000</f>
        <v>3.7522246179600001</v>
      </c>
      <c r="BU91">
        <f t="shared" ref="BU91:BU92" ca="1" si="108">BT91+($CD91-$BT91)/($CD$75-$BT$75)</f>
        <v>3.7522159458419999</v>
      </c>
      <c r="BV91">
        <f t="shared" ca="1" si="100"/>
        <v>3.7522072737239998</v>
      </c>
      <c r="BW91">
        <f t="shared" ca="1" si="100"/>
        <v>3.7521986016059996</v>
      </c>
      <c r="BX91">
        <f t="shared" ca="1" si="100"/>
        <v>3.7521899294879995</v>
      </c>
      <c r="BY91">
        <f t="shared" ca="1" si="100"/>
        <v>3.7521812573699993</v>
      </c>
      <c r="BZ91">
        <f t="shared" ca="1" si="100"/>
        <v>3.7521725852519991</v>
      </c>
      <c r="CA91">
        <f t="shared" ca="1" si="100"/>
        <v>3.752163913133999</v>
      </c>
      <c r="CB91">
        <f t="shared" ca="1" si="100"/>
        <v>3.7521552410159988</v>
      </c>
      <c r="CC91">
        <f t="shared" ca="1" si="100"/>
        <v>3.7521465688979987</v>
      </c>
      <c r="CD91" s="25">
        <f ca="1">OtherGases!P9/1000</f>
        <v>3.7521378967799999</v>
      </c>
      <c r="CE91">
        <f t="shared" ref="CE91:CE92" ca="1" si="109">CD91+($CN91-$CD91)/($CN$75-$CD$75)</f>
        <v>3.7533870661559998</v>
      </c>
      <c r="CF91">
        <f t="shared" ca="1" si="101"/>
        <v>3.7546362355319998</v>
      </c>
      <c r="CG91">
        <f t="shared" ca="1" si="101"/>
        <v>3.7558854049079997</v>
      </c>
      <c r="CH91">
        <f t="shared" ca="1" si="101"/>
        <v>3.7571345742839997</v>
      </c>
      <c r="CI91">
        <f t="shared" ca="1" si="101"/>
        <v>3.7583837436599996</v>
      </c>
      <c r="CJ91">
        <f t="shared" ca="1" si="101"/>
        <v>3.7596329130359996</v>
      </c>
      <c r="CK91">
        <f t="shared" ca="1" si="101"/>
        <v>3.7608820824119995</v>
      </c>
      <c r="CL91">
        <f t="shared" ca="1" si="101"/>
        <v>3.7621312517879995</v>
      </c>
      <c r="CM91">
        <f t="shared" ca="1" si="101"/>
        <v>3.7633804211639994</v>
      </c>
      <c r="CN91" s="25">
        <f ca="1">OtherGases!Q9/1000</f>
        <v>3.7646295905399998</v>
      </c>
      <c r="CO91" s="25"/>
      <c r="CP91" s="25"/>
      <c r="CQ91" s="25"/>
      <c r="CR91" s="25"/>
      <c r="CS91" s="25"/>
      <c r="CT91" s="25"/>
      <c r="CU91" s="25"/>
      <c r="CV91" s="25"/>
      <c r="CW91" s="25"/>
      <c r="CX91" s="25"/>
      <c r="CY91" s="25"/>
      <c r="CZ91" s="25"/>
      <c r="DA91" s="25"/>
      <c r="DB91" s="25"/>
      <c r="DC91" s="25"/>
      <c r="DD91" s="25"/>
      <c r="DE91" s="25"/>
      <c r="DF91" s="25"/>
      <c r="DG91" s="25"/>
      <c r="DH91" s="25"/>
      <c r="DI91" s="25"/>
      <c r="DJ91" s="25"/>
      <c r="DK91" s="25"/>
      <c r="DL91" s="25"/>
      <c r="DM91" s="25"/>
      <c r="DN91" s="25"/>
      <c r="DO91" s="25"/>
      <c r="DP91" s="25"/>
      <c r="DQ91" s="25"/>
      <c r="DR91" s="25"/>
      <c r="DS91" s="25"/>
      <c r="DT91" s="25"/>
      <c r="DU91" s="25"/>
      <c r="DV91" s="25"/>
      <c r="DW91" s="25"/>
      <c r="DX91" s="25"/>
      <c r="DY91" s="25"/>
      <c r="DZ91" s="25"/>
      <c r="EA91" s="25"/>
      <c r="EB91" s="25"/>
      <c r="EC91" s="25"/>
      <c r="ED91" s="25"/>
      <c r="EE91" s="25"/>
      <c r="EF91" s="25"/>
      <c r="EG91" s="25"/>
      <c r="EH91" s="25"/>
      <c r="EI91" s="25"/>
      <c r="EJ91" s="25"/>
      <c r="EK91" s="25"/>
      <c r="EL91" s="25"/>
      <c r="EM91" s="25"/>
      <c r="EN91" s="25"/>
      <c r="EO91" s="25"/>
      <c r="EP91" s="25"/>
      <c r="EQ91" s="25"/>
      <c r="ER91" s="25"/>
      <c r="ES91" s="25"/>
      <c r="ET91" s="25"/>
      <c r="EU91" s="25"/>
      <c r="EV91" s="25"/>
      <c r="EW91" s="25"/>
      <c r="EX91" s="25"/>
      <c r="EY91" s="25"/>
      <c r="EZ91" s="25"/>
      <c r="FA91" s="25"/>
      <c r="FB91" s="25"/>
      <c r="FC91" s="25"/>
      <c r="FD91" s="25"/>
      <c r="FE91" s="25"/>
      <c r="FF91" s="25"/>
      <c r="FG91" s="25"/>
      <c r="FH91" s="25"/>
      <c r="FI91" s="25"/>
      <c r="FJ91" s="25"/>
      <c r="FK91" s="25"/>
    </row>
    <row r="92" spans="1:167" x14ac:dyDescent="0.2">
      <c r="A92" s="265" t="s">
        <v>23</v>
      </c>
      <c r="B92" s="25">
        <f ca="1">OtherGases!H10/1000</f>
        <v>0.93247592716186511</v>
      </c>
      <c r="C92">
        <f t="shared" ca="1" si="92"/>
        <v>1.023556982524475</v>
      </c>
      <c r="D92">
        <f t="shared" ca="1" si="92"/>
        <v>1.1146380378870848</v>
      </c>
      <c r="E92">
        <f t="shared" ca="1" si="92"/>
        <v>1.2057190932496946</v>
      </c>
      <c r="F92">
        <f t="shared" ca="1" si="92"/>
        <v>1.2968001486123044</v>
      </c>
      <c r="G92">
        <f t="shared" ca="1" si="92"/>
        <v>1.3878812039749142</v>
      </c>
      <c r="H92">
        <f t="shared" ca="1" si="92"/>
        <v>1.478962259337524</v>
      </c>
      <c r="I92">
        <f t="shared" ca="1" si="92"/>
        <v>1.5700433147001338</v>
      </c>
      <c r="J92">
        <f t="shared" ca="1" si="92"/>
        <v>1.6611243700627436</v>
      </c>
      <c r="K92">
        <f t="shared" ca="1" si="92"/>
        <v>1.7522054254253534</v>
      </c>
      <c r="L92" s="25">
        <f ca="1">OtherGases!I10/1000</f>
        <v>1.8432864807879636</v>
      </c>
      <c r="M92">
        <f t="shared" ca="1" si="102"/>
        <v>1.889764256915222</v>
      </c>
      <c r="N92">
        <f t="shared" ca="1" si="93"/>
        <v>1.9362420330424803</v>
      </c>
      <c r="O92">
        <f t="shared" ca="1" si="93"/>
        <v>1.9827198091697387</v>
      </c>
      <c r="P92">
        <f t="shared" ca="1" si="93"/>
        <v>2.029197585296997</v>
      </c>
      <c r="Q92">
        <f t="shared" ca="1" si="93"/>
        <v>2.0756753614242553</v>
      </c>
      <c r="R92">
        <f t="shared" ca="1" si="93"/>
        <v>2.1221531375515137</v>
      </c>
      <c r="S92">
        <f t="shared" ca="1" si="93"/>
        <v>2.168630913678772</v>
      </c>
      <c r="T92">
        <f t="shared" ca="1" si="93"/>
        <v>2.2151086898060304</v>
      </c>
      <c r="U92">
        <f t="shared" ca="1" si="93"/>
        <v>2.2615864659332887</v>
      </c>
      <c r="V92" s="25">
        <f ca="1">OtherGases!J10/1000</f>
        <v>2.3080642420605466</v>
      </c>
      <c r="W92">
        <f t="shared" ca="1" si="103"/>
        <v>2.3578501886886287</v>
      </c>
      <c r="X92">
        <f t="shared" ca="1" si="94"/>
        <v>2.4076361353167108</v>
      </c>
      <c r="Y92">
        <f t="shared" ca="1" si="94"/>
        <v>2.4574220819447929</v>
      </c>
      <c r="Z92">
        <f t="shared" ca="1" si="94"/>
        <v>2.5072080285728751</v>
      </c>
      <c r="AA92">
        <f t="shared" ca="1" si="94"/>
        <v>2.5569939752009572</v>
      </c>
      <c r="AB92">
        <f t="shared" ca="1" si="94"/>
        <v>2.6067799218290393</v>
      </c>
      <c r="AC92">
        <f t="shared" ca="1" si="94"/>
        <v>2.6565658684571214</v>
      </c>
      <c r="AD92">
        <f t="shared" ca="1" si="94"/>
        <v>2.7063518150852035</v>
      </c>
      <c r="AE92">
        <f t="shared" ca="1" si="94"/>
        <v>2.7561377617132856</v>
      </c>
      <c r="AF92" s="25">
        <f ca="1">OtherGases!K10/1000</f>
        <v>2.8059237083413695</v>
      </c>
      <c r="AG92">
        <f t="shared" ca="1" si="104"/>
        <v>2.8560339833049317</v>
      </c>
      <c r="AH92">
        <f t="shared" ca="1" si="104"/>
        <v>2.906144258268494</v>
      </c>
      <c r="AI92">
        <f t="shared" ca="1" si="95"/>
        <v>2.9562545332320562</v>
      </c>
      <c r="AJ92">
        <f t="shared" ca="1" si="95"/>
        <v>3.0063648081956185</v>
      </c>
      <c r="AK92">
        <f t="shared" ca="1" si="95"/>
        <v>3.0564750831591807</v>
      </c>
      <c r="AL92">
        <f t="shared" ca="1" si="95"/>
        <v>3.1065853581227429</v>
      </c>
      <c r="AM92">
        <f t="shared" ca="1" si="95"/>
        <v>3.1566956330863052</v>
      </c>
      <c r="AN92">
        <f t="shared" ca="1" si="95"/>
        <v>3.2068059080498674</v>
      </c>
      <c r="AO92">
        <f t="shared" ca="1" si="95"/>
        <v>3.2569161830134297</v>
      </c>
      <c r="AP92" s="25">
        <f ca="1">OtherGases!L10/1000</f>
        <v>3.3070264579769897</v>
      </c>
      <c r="AQ92">
        <f t="shared" ca="1" si="105"/>
        <v>3.3567994981843956</v>
      </c>
      <c r="AR92">
        <f t="shared" ca="1" si="96"/>
        <v>3.4065725383918015</v>
      </c>
      <c r="AS92">
        <f t="shared" ca="1" si="96"/>
        <v>3.4563455785992074</v>
      </c>
      <c r="AT92">
        <f t="shared" ca="1" si="96"/>
        <v>3.5061186188066134</v>
      </c>
      <c r="AU92">
        <f t="shared" ca="1" si="96"/>
        <v>3.5558916590140193</v>
      </c>
      <c r="AV92">
        <f t="shared" ca="1" si="96"/>
        <v>3.6056646992214252</v>
      </c>
      <c r="AW92">
        <f t="shared" ca="1" si="96"/>
        <v>3.6554377394288311</v>
      </c>
      <c r="AX92">
        <f t="shared" ca="1" si="96"/>
        <v>3.705210779636237</v>
      </c>
      <c r="AY92">
        <f t="shared" ca="1" si="96"/>
        <v>3.7549838198436429</v>
      </c>
      <c r="AZ92" s="25">
        <f ca="1">OtherGases!M10/1000</f>
        <v>3.7998763423036195</v>
      </c>
      <c r="BA92">
        <f t="shared" ca="1" si="106"/>
        <v>3.8545299002584534</v>
      </c>
      <c r="BB92">
        <f t="shared" ca="1" si="97"/>
        <v>3.9091834582132874</v>
      </c>
      <c r="BC92">
        <f t="shared" ca="1" si="97"/>
        <v>3.9638370161681213</v>
      </c>
      <c r="BD92">
        <f t="shared" ca="1" si="97"/>
        <v>4.0184905741229553</v>
      </c>
      <c r="BE92">
        <f t="shared" ca="1" si="97"/>
        <v>4.0731441320777897</v>
      </c>
      <c r="BF92">
        <f t="shared" ca="1" si="97"/>
        <v>4.1277976900326241</v>
      </c>
      <c r="BG92">
        <f t="shared" ca="1" si="97"/>
        <v>4.1824512479874585</v>
      </c>
      <c r="BH92">
        <f t="shared" ca="1" si="97"/>
        <v>4.2371048059422929</v>
      </c>
      <c r="BI92">
        <f t="shared" ca="1" si="97"/>
        <v>4.2917583638971273</v>
      </c>
      <c r="BJ92" s="25">
        <f ca="1">OtherGases!N10/1000</f>
        <v>4.3464119218519599</v>
      </c>
      <c r="BK92">
        <f t="shared" ca="1" si="107"/>
        <v>4.4081899764981545</v>
      </c>
      <c r="BL92">
        <f t="shared" ca="1" si="98"/>
        <v>4.469968031144349</v>
      </c>
      <c r="BM92">
        <f t="shared" ca="1" si="98"/>
        <v>4.5317460857905436</v>
      </c>
      <c r="BN92">
        <f t="shared" ca="1" si="98"/>
        <v>4.5935241404367382</v>
      </c>
      <c r="BO92">
        <f t="shared" ca="1" si="98"/>
        <v>4.6553021950829327</v>
      </c>
      <c r="BP92">
        <f t="shared" ca="1" si="98"/>
        <v>4.7170802497291273</v>
      </c>
      <c r="BQ92">
        <f t="shared" ca="1" si="99"/>
        <v>4.7788583043753219</v>
      </c>
      <c r="BR92">
        <f t="shared" ca="1" si="99"/>
        <v>4.8406363590215165</v>
      </c>
      <c r="BS92">
        <f t="shared" ca="1" si="99"/>
        <v>4.902414413667711</v>
      </c>
      <c r="BT92" s="25">
        <f ca="1">OtherGases!O10/1000</f>
        <v>4.9641924683139029</v>
      </c>
      <c r="BU92">
        <f t="shared" ca="1" si="108"/>
        <v>5.0197109723666831</v>
      </c>
      <c r="BV92">
        <f t="shared" ca="1" si="100"/>
        <v>5.0752294764194632</v>
      </c>
      <c r="BW92">
        <f t="shared" ca="1" si="100"/>
        <v>5.1307479804722433</v>
      </c>
      <c r="BX92">
        <f t="shared" ca="1" si="100"/>
        <v>5.1862664845250235</v>
      </c>
      <c r="BY92">
        <f t="shared" ca="1" si="100"/>
        <v>5.2417849885778036</v>
      </c>
      <c r="BZ92">
        <f t="shared" ca="1" si="100"/>
        <v>5.2973034926305838</v>
      </c>
      <c r="CA92">
        <f t="shared" ca="1" si="100"/>
        <v>5.3528219966833639</v>
      </c>
      <c r="CB92">
        <f t="shared" ca="1" si="100"/>
        <v>5.408340500736144</v>
      </c>
      <c r="CC92">
        <f t="shared" ca="1" si="100"/>
        <v>5.4638590047889242</v>
      </c>
      <c r="CD92" s="25">
        <f ca="1">OtherGases!P10/1000</f>
        <v>5.5193775088417043</v>
      </c>
      <c r="CE92">
        <f t="shared" ca="1" si="109"/>
        <v>5.5576281027582084</v>
      </c>
      <c r="CF92">
        <f t="shared" ca="1" si="101"/>
        <v>5.5958786966747125</v>
      </c>
      <c r="CG92">
        <f t="shared" ca="1" si="101"/>
        <v>5.6341292905912166</v>
      </c>
      <c r="CH92">
        <f t="shared" ca="1" si="101"/>
        <v>5.6723798845077207</v>
      </c>
      <c r="CI92">
        <f t="shared" ca="1" si="101"/>
        <v>5.7106304784242248</v>
      </c>
      <c r="CJ92">
        <f t="shared" ca="1" si="101"/>
        <v>5.7488810723407289</v>
      </c>
      <c r="CK92">
        <f t="shared" ca="1" si="101"/>
        <v>5.787131666257233</v>
      </c>
      <c r="CL92">
        <f t="shared" ca="1" si="101"/>
        <v>5.8253822601737371</v>
      </c>
      <c r="CM92">
        <f t="shared" ca="1" si="101"/>
        <v>5.8636328540902412</v>
      </c>
      <c r="CN92" s="25">
        <f ca="1">OtherGases!Q10/1000</f>
        <v>5.9018834480067435</v>
      </c>
      <c r="CO92" s="25"/>
      <c r="CP92" s="25"/>
      <c r="CQ92" s="25"/>
      <c r="CR92" s="25"/>
      <c r="CS92" s="25"/>
      <c r="CT92" s="25"/>
      <c r="CU92" s="25"/>
      <c r="CV92" s="25"/>
      <c r="CW92" s="25"/>
      <c r="CX92" s="25"/>
      <c r="CY92" s="25"/>
      <c r="CZ92" s="25"/>
      <c r="DA92" s="25"/>
      <c r="DB92" s="25"/>
      <c r="DC92" s="25"/>
      <c r="DD92" s="25"/>
      <c r="DE92" s="25"/>
      <c r="DF92" s="25"/>
      <c r="DG92" s="25"/>
      <c r="DH92" s="25"/>
      <c r="DI92" s="25"/>
      <c r="DJ92" s="25"/>
      <c r="DK92" s="25"/>
      <c r="DL92" s="25"/>
      <c r="DM92" s="25"/>
      <c r="DN92" s="25"/>
      <c r="DO92" s="25"/>
      <c r="DP92" s="25"/>
      <c r="DQ92" s="25"/>
      <c r="DR92" s="25"/>
      <c r="DS92" s="25"/>
      <c r="DT92" s="25"/>
      <c r="DU92" s="25"/>
      <c r="DV92" s="25"/>
      <c r="DW92" s="25"/>
      <c r="DX92" s="25"/>
      <c r="DY92" s="25"/>
      <c r="DZ92" s="25"/>
      <c r="EA92" s="25"/>
      <c r="EB92" s="25"/>
      <c r="EC92" s="25"/>
      <c r="ED92" s="25"/>
      <c r="EE92" s="25"/>
      <c r="EF92" s="25"/>
      <c r="EG92" s="25"/>
      <c r="EH92" s="25"/>
      <c r="EI92" s="25"/>
      <c r="EJ92" s="25"/>
      <c r="EK92" s="25"/>
      <c r="EL92" s="25"/>
      <c r="EM92" s="25"/>
      <c r="EN92" s="25"/>
      <c r="EO92" s="25"/>
      <c r="EP92" s="25"/>
      <c r="EQ92" s="25"/>
      <c r="ER92" s="25"/>
      <c r="ES92" s="25"/>
      <c r="ET92" s="25"/>
      <c r="EU92" s="25"/>
      <c r="EV92" s="25"/>
      <c r="EW92" s="25"/>
      <c r="EX92" s="25"/>
      <c r="EY92" s="25"/>
      <c r="EZ92" s="25"/>
      <c r="FA92" s="25"/>
      <c r="FB92" s="25"/>
      <c r="FC92" s="25"/>
      <c r="FD92" s="25"/>
      <c r="FE92" s="25"/>
      <c r="FF92" s="25"/>
      <c r="FG92" s="25"/>
      <c r="FH92" s="25"/>
      <c r="FI92" s="25"/>
      <c r="FJ92" s="25"/>
      <c r="FK92" s="25"/>
    </row>
    <row r="93" spans="1:167" x14ac:dyDescent="0.2">
      <c r="A93" s="25"/>
      <c r="B93" s="25"/>
      <c r="C93" s="25"/>
      <c r="D93" s="25"/>
      <c r="E93" s="25"/>
      <c r="F93" s="25"/>
      <c r="G93" s="25"/>
      <c r="H93" s="25"/>
      <c r="I93" s="25"/>
      <c r="J93" s="25"/>
      <c r="K93" s="25"/>
      <c r="L93" s="25"/>
      <c r="M93" s="25"/>
      <c r="N93" s="25"/>
      <c r="O93" s="25"/>
      <c r="P93" s="25"/>
      <c r="Q93" s="25"/>
      <c r="R93" s="25"/>
      <c r="S93" s="25"/>
      <c r="T93" s="25"/>
      <c r="U93" s="25"/>
      <c r="V93" s="25"/>
      <c r="W93" s="25"/>
      <c r="X93" s="25"/>
      <c r="Y93" s="25"/>
      <c r="Z93" s="25"/>
      <c r="AA93" s="25"/>
      <c r="AB93" s="25"/>
      <c r="AC93" s="25"/>
      <c r="AD93" s="25"/>
      <c r="AE93" s="25"/>
      <c r="AF93" s="25"/>
      <c r="AG93" s="25"/>
      <c r="AH93" s="25"/>
      <c r="AI93" s="25"/>
      <c r="AJ93" s="25"/>
      <c r="AK93" s="25"/>
      <c r="AL93" s="25"/>
      <c r="AM93" s="25"/>
      <c r="AN93" s="25"/>
      <c r="AO93" s="25"/>
      <c r="AP93" s="25"/>
      <c r="AQ93" s="25"/>
      <c r="AR93" s="25"/>
      <c r="AS93" s="25"/>
      <c r="AT93" s="25"/>
      <c r="AU93" s="25"/>
      <c r="AV93" s="25"/>
      <c r="AW93" s="25"/>
      <c r="AX93" s="25"/>
      <c r="AY93" s="25"/>
      <c r="AZ93" s="25"/>
      <c r="BA93" s="25"/>
      <c r="BB93" s="25"/>
      <c r="BC93" s="25"/>
      <c r="BD93" s="25"/>
      <c r="BE93" s="25"/>
      <c r="BF93" s="25"/>
      <c r="BG93" s="25"/>
      <c r="BH93" s="25"/>
      <c r="BI93" s="25"/>
      <c r="BJ93" s="25"/>
      <c r="BK93" s="25"/>
      <c r="BL93" s="25"/>
      <c r="BM93" s="25"/>
      <c r="BN93" s="25"/>
      <c r="BO93" s="25"/>
      <c r="BP93" s="25"/>
      <c r="BQ93" s="25"/>
      <c r="BR93" s="25"/>
      <c r="BS93" s="25"/>
      <c r="BT93" s="25"/>
      <c r="BU93" s="25"/>
      <c r="BV93" s="25"/>
      <c r="BW93" s="25"/>
      <c r="BX93" s="25"/>
      <c r="BY93" s="25"/>
      <c r="BZ93" s="25"/>
      <c r="CA93" s="25"/>
      <c r="CB93" s="25"/>
      <c r="CC93" s="25"/>
      <c r="CD93" s="25"/>
      <c r="CE93" s="25"/>
      <c r="CF93" s="25"/>
      <c r="CG93" s="25"/>
      <c r="CH93" s="25"/>
      <c r="CI93" s="25"/>
      <c r="CJ93" s="25"/>
      <c r="CK93" s="25"/>
      <c r="CL93" s="25"/>
      <c r="CM93" s="25"/>
      <c r="CN93" s="25"/>
    </row>
    <row r="94" spans="1:167" x14ac:dyDescent="0.2">
      <c r="A94" s="25" t="str">
        <f>TotalEmissions!A47</f>
        <v>Fossil Energy CCS</v>
      </c>
      <c r="B94" s="25">
        <f ca="1">TotalEmissions!B47</f>
        <v>0</v>
      </c>
      <c r="C94" s="25">
        <f t="shared" ref="C94:K94" ca="1" si="110">B94+(($L94-$B94)/($L$75-$B$75))</f>
        <v>0</v>
      </c>
      <c r="D94" s="25">
        <f t="shared" ca="1" si="110"/>
        <v>0</v>
      </c>
      <c r="E94" s="25">
        <f t="shared" ca="1" si="110"/>
        <v>0</v>
      </c>
      <c r="F94" s="25">
        <f t="shared" ca="1" si="110"/>
        <v>0</v>
      </c>
      <c r="G94" s="25">
        <f t="shared" ca="1" si="110"/>
        <v>0</v>
      </c>
      <c r="H94" s="25">
        <f t="shared" ca="1" si="110"/>
        <v>0</v>
      </c>
      <c r="I94" s="25">
        <f t="shared" ca="1" si="110"/>
        <v>0</v>
      </c>
      <c r="J94" s="25">
        <f t="shared" ca="1" si="110"/>
        <v>0</v>
      </c>
      <c r="K94" s="25">
        <f t="shared" ca="1" si="110"/>
        <v>0</v>
      </c>
      <c r="L94" s="25">
        <f ca="1">TotalEmissions!C47</f>
        <v>0</v>
      </c>
      <c r="M94" s="25">
        <f ca="1">L94+(($V94-$L94)/($V$75-$L$75))</f>
        <v>0</v>
      </c>
      <c r="N94" s="25">
        <f t="shared" ref="N94:U94" ca="1" si="111">M94+(($V94-$L94)/($V$75-$L$75))</f>
        <v>0</v>
      </c>
      <c r="O94" s="25">
        <f t="shared" ca="1" si="111"/>
        <v>0</v>
      </c>
      <c r="P94" s="25">
        <f t="shared" ca="1" si="111"/>
        <v>0</v>
      </c>
      <c r="Q94" s="25">
        <f t="shared" ca="1" si="111"/>
        <v>0</v>
      </c>
      <c r="R94" s="25">
        <f t="shared" ca="1" si="111"/>
        <v>0</v>
      </c>
      <c r="S94" s="25">
        <f t="shared" ca="1" si="111"/>
        <v>0</v>
      </c>
      <c r="T94" s="25">
        <f t="shared" ca="1" si="111"/>
        <v>0</v>
      </c>
      <c r="U94" s="25">
        <f t="shared" ca="1" si="111"/>
        <v>0</v>
      </c>
      <c r="V94" s="25">
        <f ca="1">TotalEmissions!D47</f>
        <v>0</v>
      </c>
      <c r="W94" s="25">
        <f ca="1">V94+(($AF94-$V94)/($AF$75-$V$75))</f>
        <v>0</v>
      </c>
      <c r="X94" s="25">
        <f t="shared" ref="X94:AE94" ca="1" si="112">W94+(($AF94-$V94)/($AF$75-$V$75))</f>
        <v>0</v>
      </c>
      <c r="Y94" s="25">
        <f t="shared" ca="1" si="112"/>
        <v>0</v>
      </c>
      <c r="Z94" s="25">
        <f t="shared" ca="1" si="112"/>
        <v>0</v>
      </c>
      <c r="AA94" s="25">
        <f t="shared" ca="1" si="112"/>
        <v>0</v>
      </c>
      <c r="AB94" s="25">
        <f t="shared" ca="1" si="112"/>
        <v>0</v>
      </c>
      <c r="AC94" s="25">
        <f t="shared" ca="1" si="112"/>
        <v>0</v>
      </c>
      <c r="AD94" s="25">
        <f t="shared" ca="1" si="112"/>
        <v>0</v>
      </c>
      <c r="AE94" s="25">
        <f t="shared" ca="1" si="112"/>
        <v>0</v>
      </c>
      <c r="AF94" s="25">
        <f ca="1">TotalEmissions!E47</f>
        <v>0</v>
      </c>
      <c r="AG94" s="25">
        <f ca="1">AF94+(($AP94-$AF94)/($AP$75-$AF$75))</f>
        <v>0</v>
      </c>
      <c r="AH94" s="25">
        <f t="shared" ref="AH94:AO94" ca="1" si="113">AG94+(($AP94-$AF94)/($AP$75-$AF$75))</f>
        <v>0</v>
      </c>
      <c r="AI94" s="25">
        <f t="shared" ca="1" si="113"/>
        <v>0</v>
      </c>
      <c r="AJ94" s="25">
        <f t="shared" ca="1" si="113"/>
        <v>0</v>
      </c>
      <c r="AK94" s="25">
        <f t="shared" ca="1" si="113"/>
        <v>0</v>
      </c>
      <c r="AL94" s="25">
        <f t="shared" ca="1" si="113"/>
        <v>0</v>
      </c>
      <c r="AM94" s="25">
        <f t="shared" ca="1" si="113"/>
        <v>0</v>
      </c>
      <c r="AN94" s="25">
        <f t="shared" ca="1" si="113"/>
        <v>0</v>
      </c>
      <c r="AO94" s="25">
        <f t="shared" ca="1" si="113"/>
        <v>0</v>
      </c>
      <c r="AP94" s="25">
        <f ca="1">TotalEmissions!F47</f>
        <v>0</v>
      </c>
      <c r="AQ94" s="25">
        <f ca="1">AP94+(($AZ94-$AP94)/($AZ$75-$AP$75))</f>
        <v>0</v>
      </c>
      <c r="AR94" s="25">
        <f t="shared" ref="AR94:AY94" ca="1" si="114">AQ94+(($AZ94-$AP94)/($AZ$75-$AP$75))</f>
        <v>0</v>
      </c>
      <c r="AS94" s="25">
        <f t="shared" ca="1" si="114"/>
        <v>0</v>
      </c>
      <c r="AT94" s="25">
        <f t="shared" ca="1" si="114"/>
        <v>0</v>
      </c>
      <c r="AU94" s="25">
        <f t="shared" ca="1" si="114"/>
        <v>0</v>
      </c>
      <c r="AV94" s="25">
        <f t="shared" ca="1" si="114"/>
        <v>0</v>
      </c>
      <c r="AW94" s="25">
        <f t="shared" ca="1" si="114"/>
        <v>0</v>
      </c>
      <c r="AX94" s="25">
        <f t="shared" ca="1" si="114"/>
        <v>0</v>
      </c>
      <c r="AY94" s="25">
        <f t="shared" ca="1" si="114"/>
        <v>0</v>
      </c>
      <c r="AZ94" s="25">
        <f ca="1">TotalEmissions!G47</f>
        <v>0</v>
      </c>
      <c r="BA94" s="25">
        <f ca="1">AZ94+(($BJ94-$AZ94)/($BJ$75-$AZ$75))</f>
        <v>0</v>
      </c>
      <c r="BB94" s="25">
        <f t="shared" ref="BB94:BI94" ca="1" si="115">BA94+(($BJ94-$AZ94)/($BJ$75-$AZ$75))</f>
        <v>0</v>
      </c>
      <c r="BC94" s="25">
        <f t="shared" ca="1" si="115"/>
        <v>0</v>
      </c>
      <c r="BD94" s="25">
        <f t="shared" ca="1" si="115"/>
        <v>0</v>
      </c>
      <c r="BE94" s="25">
        <f t="shared" ca="1" si="115"/>
        <v>0</v>
      </c>
      <c r="BF94" s="25">
        <f t="shared" ca="1" si="115"/>
        <v>0</v>
      </c>
      <c r="BG94" s="25">
        <f t="shared" ca="1" si="115"/>
        <v>0</v>
      </c>
      <c r="BH94" s="25">
        <f t="shared" ca="1" si="115"/>
        <v>0</v>
      </c>
      <c r="BI94" s="25">
        <f t="shared" ca="1" si="115"/>
        <v>0</v>
      </c>
      <c r="BJ94" s="25">
        <f ca="1">TotalEmissions!H47</f>
        <v>0</v>
      </c>
      <c r="BK94" s="25">
        <f ca="1">BJ94+(($BT94-$BJ94)/($BT$75-$BJ$75))</f>
        <v>0</v>
      </c>
      <c r="BL94" s="25">
        <f t="shared" ref="BL94:BS94" ca="1" si="116">BK94+(($BT94-$BJ94)/($BT$75-$BJ$75))</f>
        <v>0</v>
      </c>
      <c r="BM94" s="25">
        <f t="shared" ca="1" si="116"/>
        <v>0</v>
      </c>
      <c r="BN94" s="25">
        <f t="shared" ca="1" si="116"/>
        <v>0</v>
      </c>
      <c r="BO94" s="25">
        <f t="shared" ca="1" si="116"/>
        <v>0</v>
      </c>
      <c r="BP94" s="25">
        <f t="shared" ca="1" si="116"/>
        <v>0</v>
      </c>
      <c r="BQ94" s="25">
        <f t="shared" ca="1" si="116"/>
        <v>0</v>
      </c>
      <c r="BR94" s="25">
        <f t="shared" ca="1" si="116"/>
        <v>0</v>
      </c>
      <c r="BS94" s="25">
        <f t="shared" ca="1" si="116"/>
        <v>0</v>
      </c>
      <c r="BT94" s="25">
        <f ca="1">TotalEmissions!I47</f>
        <v>0</v>
      </c>
      <c r="BU94" s="25">
        <f ca="1">BT94+(($CD94-$BT94)/($CD$75-$BT$75))</f>
        <v>0</v>
      </c>
      <c r="BV94" s="25">
        <f t="shared" ref="BV94:CC94" ca="1" si="117">BU94+(($CD94-$BT94)/($CD$75-$BT$75))</f>
        <v>0</v>
      </c>
      <c r="BW94" s="25">
        <f t="shared" ca="1" si="117"/>
        <v>0</v>
      </c>
      <c r="BX94" s="25">
        <f t="shared" ca="1" si="117"/>
        <v>0</v>
      </c>
      <c r="BY94" s="25">
        <f t="shared" ca="1" si="117"/>
        <v>0</v>
      </c>
      <c r="BZ94" s="25">
        <f t="shared" ca="1" si="117"/>
        <v>0</v>
      </c>
      <c r="CA94" s="25">
        <f t="shared" ca="1" si="117"/>
        <v>0</v>
      </c>
      <c r="CB94" s="25">
        <f t="shared" ca="1" si="117"/>
        <v>0</v>
      </c>
      <c r="CC94" s="25">
        <f t="shared" ca="1" si="117"/>
        <v>0</v>
      </c>
      <c r="CD94" s="25">
        <f ca="1">TotalEmissions!J47</f>
        <v>0</v>
      </c>
      <c r="CE94" s="25">
        <f ca="1">CD94+(($CN94-$CD94)/($CN$75-$CD$75))</f>
        <v>0</v>
      </c>
      <c r="CF94" s="25">
        <f t="shared" ref="CF94:CM94" ca="1" si="118">CE94+(($CN94-$CD94)/($CN$75-$CD$75))</f>
        <v>0</v>
      </c>
      <c r="CG94" s="25">
        <f t="shared" ca="1" si="118"/>
        <v>0</v>
      </c>
      <c r="CH94" s="25">
        <f t="shared" ca="1" si="118"/>
        <v>0</v>
      </c>
      <c r="CI94" s="25">
        <f t="shared" ca="1" si="118"/>
        <v>0</v>
      </c>
      <c r="CJ94" s="25">
        <f t="shared" ca="1" si="118"/>
        <v>0</v>
      </c>
      <c r="CK94" s="25">
        <f t="shared" ca="1" si="118"/>
        <v>0</v>
      </c>
      <c r="CL94" s="25">
        <f t="shared" ca="1" si="118"/>
        <v>0</v>
      </c>
      <c r="CM94" s="25">
        <f t="shared" ca="1" si="118"/>
        <v>0</v>
      </c>
      <c r="CN94" s="25">
        <f ca="1">TotalEmissions!K47</f>
        <v>0</v>
      </c>
    </row>
    <row r="95" spans="1:167" x14ac:dyDescent="0.2">
      <c r="A95" s="25" t="str">
        <f>TotalEmissions!A48</f>
        <v>Fossil Industry CCS</v>
      </c>
      <c r="B95" s="25">
        <f ca="1">TotalEmissions!B48</f>
        <v>0</v>
      </c>
      <c r="C95" s="25">
        <f t="shared" ref="C95:K95" ca="1" si="119">B95+(($L95-$B95)/($L$75-$B$75))</f>
        <v>0</v>
      </c>
      <c r="D95" s="25">
        <f t="shared" ca="1" si="119"/>
        <v>0</v>
      </c>
      <c r="E95" s="25">
        <f t="shared" ca="1" si="119"/>
        <v>0</v>
      </c>
      <c r="F95" s="25">
        <f t="shared" ca="1" si="119"/>
        <v>0</v>
      </c>
      <c r="G95" s="25">
        <f t="shared" ca="1" si="119"/>
        <v>0</v>
      </c>
      <c r="H95" s="25">
        <f t="shared" ca="1" si="119"/>
        <v>0</v>
      </c>
      <c r="I95" s="25">
        <f t="shared" ca="1" si="119"/>
        <v>0</v>
      </c>
      <c r="J95" s="25">
        <f t="shared" ca="1" si="119"/>
        <v>0</v>
      </c>
      <c r="K95" s="25">
        <f t="shared" ca="1" si="119"/>
        <v>0</v>
      </c>
      <c r="L95" s="25">
        <f ca="1">TotalEmissions!C48</f>
        <v>0</v>
      </c>
      <c r="M95" s="25">
        <f t="shared" ref="M95:U95" ca="1" si="120">L95+(($V95-$L95)/($V$75-$L$75))</f>
        <v>0</v>
      </c>
      <c r="N95" s="25">
        <f t="shared" ca="1" si="120"/>
        <v>0</v>
      </c>
      <c r="O95" s="25">
        <f t="shared" ca="1" si="120"/>
        <v>0</v>
      </c>
      <c r="P95" s="25">
        <f t="shared" ca="1" si="120"/>
        <v>0</v>
      </c>
      <c r="Q95" s="25">
        <f t="shared" ca="1" si="120"/>
        <v>0</v>
      </c>
      <c r="R95" s="25">
        <f t="shared" ca="1" si="120"/>
        <v>0</v>
      </c>
      <c r="S95" s="25">
        <f t="shared" ca="1" si="120"/>
        <v>0</v>
      </c>
      <c r="T95" s="25">
        <f t="shared" ca="1" si="120"/>
        <v>0</v>
      </c>
      <c r="U95" s="25">
        <f t="shared" ca="1" si="120"/>
        <v>0</v>
      </c>
      <c r="V95" s="25">
        <f ca="1">TotalEmissions!D48</f>
        <v>0</v>
      </c>
      <c r="W95" s="25">
        <f t="shared" ref="W95:AE95" ca="1" si="121">V95+(($AF95-$V95)/($AF$75-$V$75))</f>
        <v>0</v>
      </c>
      <c r="X95" s="25">
        <f t="shared" ca="1" si="121"/>
        <v>0</v>
      </c>
      <c r="Y95" s="25">
        <f t="shared" ca="1" si="121"/>
        <v>0</v>
      </c>
      <c r="Z95" s="25">
        <f t="shared" ca="1" si="121"/>
        <v>0</v>
      </c>
      <c r="AA95" s="25">
        <f t="shared" ca="1" si="121"/>
        <v>0</v>
      </c>
      <c r="AB95" s="25">
        <f t="shared" ca="1" si="121"/>
        <v>0</v>
      </c>
      <c r="AC95" s="25">
        <f t="shared" ca="1" si="121"/>
        <v>0</v>
      </c>
      <c r="AD95" s="25">
        <f t="shared" ca="1" si="121"/>
        <v>0</v>
      </c>
      <c r="AE95" s="25">
        <f t="shared" ca="1" si="121"/>
        <v>0</v>
      </c>
      <c r="AF95" s="25">
        <f ca="1">TotalEmissions!E48</f>
        <v>0</v>
      </c>
      <c r="AG95" s="25">
        <f t="shared" ref="AG95:AO95" ca="1" si="122">AF95+(($AP95-$AF95)/($AP$75-$AF$75))</f>
        <v>0</v>
      </c>
      <c r="AH95" s="25">
        <f t="shared" ca="1" si="122"/>
        <v>0</v>
      </c>
      <c r="AI95" s="25">
        <f t="shared" ca="1" si="122"/>
        <v>0</v>
      </c>
      <c r="AJ95" s="25">
        <f t="shared" ca="1" si="122"/>
        <v>0</v>
      </c>
      <c r="AK95" s="25">
        <f t="shared" ca="1" si="122"/>
        <v>0</v>
      </c>
      <c r="AL95" s="25">
        <f t="shared" ca="1" si="122"/>
        <v>0</v>
      </c>
      <c r="AM95" s="25">
        <f t="shared" ca="1" si="122"/>
        <v>0</v>
      </c>
      <c r="AN95" s="25">
        <f t="shared" ca="1" si="122"/>
        <v>0</v>
      </c>
      <c r="AO95" s="25">
        <f t="shared" ca="1" si="122"/>
        <v>0</v>
      </c>
      <c r="AP95" s="25">
        <f ca="1">TotalEmissions!F48</f>
        <v>0</v>
      </c>
      <c r="AQ95" s="25">
        <f t="shared" ref="AQ95:AY95" ca="1" si="123">AP95+(($AZ95-$AP95)/($AZ$75-$AP$75))</f>
        <v>0</v>
      </c>
      <c r="AR95" s="25">
        <f t="shared" ca="1" si="123"/>
        <v>0</v>
      </c>
      <c r="AS95" s="25">
        <f t="shared" ca="1" si="123"/>
        <v>0</v>
      </c>
      <c r="AT95" s="25">
        <f t="shared" ca="1" si="123"/>
        <v>0</v>
      </c>
      <c r="AU95" s="25">
        <f t="shared" ca="1" si="123"/>
        <v>0</v>
      </c>
      <c r="AV95" s="25">
        <f t="shared" ca="1" si="123"/>
        <v>0</v>
      </c>
      <c r="AW95" s="25">
        <f t="shared" ca="1" si="123"/>
        <v>0</v>
      </c>
      <c r="AX95" s="25">
        <f t="shared" ca="1" si="123"/>
        <v>0</v>
      </c>
      <c r="AY95" s="25">
        <f t="shared" ca="1" si="123"/>
        <v>0</v>
      </c>
      <c r="AZ95" s="25">
        <f ca="1">TotalEmissions!G48</f>
        <v>0</v>
      </c>
      <c r="BA95" s="25">
        <f t="shared" ref="BA95:BI95" ca="1" si="124">AZ95+(($BJ95-$AZ95)/($BJ$75-$AZ$75))</f>
        <v>0</v>
      </c>
      <c r="BB95" s="25">
        <f t="shared" ca="1" si="124"/>
        <v>0</v>
      </c>
      <c r="BC95" s="25">
        <f t="shared" ca="1" si="124"/>
        <v>0</v>
      </c>
      <c r="BD95" s="25">
        <f t="shared" ca="1" si="124"/>
        <v>0</v>
      </c>
      <c r="BE95" s="25">
        <f t="shared" ca="1" si="124"/>
        <v>0</v>
      </c>
      <c r="BF95" s="25">
        <f t="shared" ca="1" si="124"/>
        <v>0</v>
      </c>
      <c r="BG95" s="25">
        <f t="shared" ca="1" si="124"/>
        <v>0</v>
      </c>
      <c r="BH95" s="25">
        <f t="shared" ca="1" si="124"/>
        <v>0</v>
      </c>
      <c r="BI95" s="25">
        <f t="shared" ca="1" si="124"/>
        <v>0</v>
      </c>
      <c r="BJ95" s="25">
        <f ca="1">TotalEmissions!H48</f>
        <v>0</v>
      </c>
      <c r="BK95" s="25">
        <f t="shared" ref="BK95:BS95" ca="1" si="125">BJ95+(($BT95-$BJ95)/($BT$75-$BJ$75))</f>
        <v>0</v>
      </c>
      <c r="BL95" s="25">
        <f t="shared" ca="1" si="125"/>
        <v>0</v>
      </c>
      <c r="BM95" s="25">
        <f t="shared" ca="1" si="125"/>
        <v>0</v>
      </c>
      <c r="BN95" s="25">
        <f t="shared" ca="1" si="125"/>
        <v>0</v>
      </c>
      <c r="BO95" s="25">
        <f t="shared" ca="1" si="125"/>
        <v>0</v>
      </c>
      <c r="BP95" s="25">
        <f t="shared" ca="1" si="125"/>
        <v>0</v>
      </c>
      <c r="BQ95" s="25">
        <f t="shared" ca="1" si="125"/>
        <v>0</v>
      </c>
      <c r="BR95" s="25">
        <f t="shared" ca="1" si="125"/>
        <v>0</v>
      </c>
      <c r="BS95" s="25">
        <f t="shared" ca="1" si="125"/>
        <v>0</v>
      </c>
      <c r="BT95" s="25">
        <f ca="1">TotalEmissions!I48</f>
        <v>0</v>
      </c>
      <c r="BU95" s="25">
        <f t="shared" ref="BU95:CC95" ca="1" si="126">BT95+(($CD95-$BT95)/($CD$75-$BT$75))</f>
        <v>0</v>
      </c>
      <c r="BV95" s="25">
        <f t="shared" ca="1" si="126"/>
        <v>0</v>
      </c>
      <c r="BW95" s="25">
        <f t="shared" ca="1" si="126"/>
        <v>0</v>
      </c>
      <c r="BX95" s="25">
        <f t="shared" ca="1" si="126"/>
        <v>0</v>
      </c>
      <c r="BY95" s="25">
        <f t="shared" ca="1" si="126"/>
        <v>0</v>
      </c>
      <c r="BZ95" s="25">
        <f t="shared" ca="1" si="126"/>
        <v>0</v>
      </c>
      <c r="CA95" s="25">
        <f t="shared" ca="1" si="126"/>
        <v>0</v>
      </c>
      <c r="CB95" s="25">
        <f t="shared" ca="1" si="126"/>
        <v>0</v>
      </c>
      <c r="CC95" s="25">
        <f t="shared" ca="1" si="126"/>
        <v>0</v>
      </c>
      <c r="CD95" s="25">
        <f ca="1">TotalEmissions!J48</f>
        <v>0</v>
      </c>
      <c r="CE95" s="25">
        <f t="shared" ref="CE95:CM95" ca="1" si="127">CD95+(($CN95-$CD95)/($CN$75-$CD$75))</f>
        <v>0</v>
      </c>
      <c r="CF95" s="25">
        <f t="shared" ca="1" si="127"/>
        <v>0</v>
      </c>
      <c r="CG95" s="25">
        <f t="shared" ca="1" si="127"/>
        <v>0</v>
      </c>
      <c r="CH95" s="25">
        <f t="shared" ca="1" si="127"/>
        <v>0</v>
      </c>
      <c r="CI95" s="25">
        <f t="shared" ca="1" si="127"/>
        <v>0</v>
      </c>
      <c r="CJ95" s="25">
        <f t="shared" ca="1" si="127"/>
        <v>0</v>
      </c>
      <c r="CK95" s="25">
        <f t="shared" ca="1" si="127"/>
        <v>0</v>
      </c>
      <c r="CL95" s="25">
        <f t="shared" ca="1" si="127"/>
        <v>0</v>
      </c>
      <c r="CM95" s="25">
        <f t="shared" ca="1" si="127"/>
        <v>0</v>
      </c>
      <c r="CN95" s="25">
        <f ca="1">TotalEmissions!K48</f>
        <v>0</v>
      </c>
    </row>
    <row r="96" spans="1:167" x14ac:dyDescent="0.2">
      <c r="A96" s="25" t="str">
        <f>TotalEmissions!A50</f>
        <v>Biomass Energy CCS</v>
      </c>
      <c r="B96" s="25">
        <f ca="1">TotalEmissions!B50</f>
        <v>0</v>
      </c>
      <c r="C96" s="25">
        <f t="shared" ref="C96:K96" ca="1" si="128">B96+(($L96-$B96)/($L$75-$B$75))</f>
        <v>0</v>
      </c>
      <c r="D96" s="25">
        <f t="shared" ca="1" si="128"/>
        <v>0</v>
      </c>
      <c r="E96" s="25">
        <f t="shared" ca="1" si="128"/>
        <v>0</v>
      </c>
      <c r="F96" s="25">
        <f t="shared" ca="1" si="128"/>
        <v>0</v>
      </c>
      <c r="G96" s="25">
        <f t="shared" ca="1" si="128"/>
        <v>0</v>
      </c>
      <c r="H96" s="25">
        <f t="shared" ca="1" si="128"/>
        <v>0</v>
      </c>
      <c r="I96" s="25">
        <f t="shared" ca="1" si="128"/>
        <v>0</v>
      </c>
      <c r="J96" s="25">
        <f t="shared" ca="1" si="128"/>
        <v>0</v>
      </c>
      <c r="K96" s="25">
        <f t="shared" ca="1" si="128"/>
        <v>0</v>
      </c>
      <c r="L96" s="25">
        <f ca="1">TotalEmissions!C50</f>
        <v>0</v>
      </c>
      <c r="M96" s="25">
        <f t="shared" ref="M96:U96" ca="1" si="129">L96+(($V96-$L96)/($V$75-$L$75))</f>
        <v>0</v>
      </c>
      <c r="N96" s="25">
        <f t="shared" ca="1" si="129"/>
        <v>0</v>
      </c>
      <c r="O96" s="25">
        <f t="shared" ca="1" si="129"/>
        <v>0</v>
      </c>
      <c r="P96" s="25">
        <f t="shared" ca="1" si="129"/>
        <v>0</v>
      </c>
      <c r="Q96" s="25">
        <f t="shared" ca="1" si="129"/>
        <v>0</v>
      </c>
      <c r="R96" s="25">
        <f t="shared" ca="1" si="129"/>
        <v>0</v>
      </c>
      <c r="S96" s="25">
        <f t="shared" ca="1" si="129"/>
        <v>0</v>
      </c>
      <c r="T96" s="25">
        <f t="shared" ca="1" si="129"/>
        <v>0</v>
      </c>
      <c r="U96" s="25">
        <f t="shared" ca="1" si="129"/>
        <v>0</v>
      </c>
      <c r="V96" s="25">
        <f ca="1">TotalEmissions!D50</f>
        <v>0</v>
      </c>
      <c r="W96" s="25">
        <f t="shared" ref="W96:AE96" ca="1" si="130">V96+(($AF96-$V96)/($AF$75-$V$75))</f>
        <v>0</v>
      </c>
      <c r="X96" s="25">
        <f t="shared" ca="1" si="130"/>
        <v>0</v>
      </c>
      <c r="Y96" s="25">
        <f t="shared" ca="1" si="130"/>
        <v>0</v>
      </c>
      <c r="Z96" s="25">
        <f t="shared" ca="1" si="130"/>
        <v>0</v>
      </c>
      <c r="AA96" s="25">
        <f t="shared" ca="1" si="130"/>
        <v>0</v>
      </c>
      <c r="AB96" s="25">
        <f t="shared" ca="1" si="130"/>
        <v>0</v>
      </c>
      <c r="AC96" s="25">
        <f t="shared" ca="1" si="130"/>
        <v>0</v>
      </c>
      <c r="AD96" s="25">
        <f t="shared" ca="1" si="130"/>
        <v>0</v>
      </c>
      <c r="AE96" s="25">
        <f t="shared" ca="1" si="130"/>
        <v>0</v>
      </c>
      <c r="AF96" s="25">
        <f ca="1">TotalEmissions!E50</f>
        <v>0</v>
      </c>
      <c r="AG96" s="25">
        <f t="shared" ref="AG96:AO96" ca="1" si="131">AF96+(($AP96-$AF96)/($AP$75-$AF$75))</f>
        <v>0</v>
      </c>
      <c r="AH96" s="25">
        <f t="shared" ca="1" si="131"/>
        <v>0</v>
      </c>
      <c r="AI96" s="25">
        <f t="shared" ca="1" si="131"/>
        <v>0</v>
      </c>
      <c r="AJ96" s="25">
        <f t="shared" ca="1" si="131"/>
        <v>0</v>
      </c>
      <c r="AK96" s="25">
        <f t="shared" ca="1" si="131"/>
        <v>0</v>
      </c>
      <c r="AL96" s="25">
        <f t="shared" ca="1" si="131"/>
        <v>0</v>
      </c>
      <c r="AM96" s="25">
        <f t="shared" ca="1" si="131"/>
        <v>0</v>
      </c>
      <c r="AN96" s="25">
        <f t="shared" ca="1" si="131"/>
        <v>0</v>
      </c>
      <c r="AO96" s="25">
        <f t="shared" ca="1" si="131"/>
        <v>0</v>
      </c>
      <c r="AP96" s="25">
        <f ca="1">TotalEmissions!F50</f>
        <v>0</v>
      </c>
      <c r="AQ96" s="25">
        <f t="shared" ref="AQ96:AY96" ca="1" si="132">AP96+(($AZ96-$AP96)/($AZ$75-$AP$75))</f>
        <v>0</v>
      </c>
      <c r="AR96" s="25">
        <f t="shared" ca="1" si="132"/>
        <v>0</v>
      </c>
      <c r="AS96" s="25">
        <f t="shared" ca="1" si="132"/>
        <v>0</v>
      </c>
      <c r="AT96" s="25">
        <f t="shared" ca="1" si="132"/>
        <v>0</v>
      </c>
      <c r="AU96" s="25">
        <f t="shared" ca="1" si="132"/>
        <v>0</v>
      </c>
      <c r="AV96" s="25">
        <f t="shared" ca="1" si="132"/>
        <v>0</v>
      </c>
      <c r="AW96" s="25">
        <f t="shared" ca="1" si="132"/>
        <v>0</v>
      </c>
      <c r="AX96" s="25">
        <f t="shared" ca="1" si="132"/>
        <v>0</v>
      </c>
      <c r="AY96" s="25">
        <f t="shared" ca="1" si="132"/>
        <v>0</v>
      </c>
      <c r="AZ96" s="25">
        <f ca="1">TotalEmissions!G50</f>
        <v>0</v>
      </c>
      <c r="BA96" s="25">
        <f t="shared" ref="BA96:BI96" ca="1" si="133">AZ96+(($BJ96-$AZ96)/($BJ$75-$AZ$75))</f>
        <v>0</v>
      </c>
      <c r="BB96" s="25">
        <f t="shared" ca="1" si="133"/>
        <v>0</v>
      </c>
      <c r="BC96" s="25">
        <f t="shared" ca="1" si="133"/>
        <v>0</v>
      </c>
      <c r="BD96" s="25">
        <f t="shared" ca="1" si="133"/>
        <v>0</v>
      </c>
      <c r="BE96" s="25">
        <f t="shared" ca="1" si="133"/>
        <v>0</v>
      </c>
      <c r="BF96" s="25">
        <f t="shared" ca="1" si="133"/>
        <v>0</v>
      </c>
      <c r="BG96" s="25">
        <f t="shared" ca="1" si="133"/>
        <v>0</v>
      </c>
      <c r="BH96" s="25">
        <f t="shared" ca="1" si="133"/>
        <v>0</v>
      </c>
      <c r="BI96" s="25">
        <f t="shared" ca="1" si="133"/>
        <v>0</v>
      </c>
      <c r="BJ96" s="25">
        <f ca="1">TotalEmissions!H50</f>
        <v>0</v>
      </c>
      <c r="BK96" s="25">
        <f t="shared" ref="BK96:BS96" ca="1" si="134">BJ96+(($BT96-$BJ96)/($BT$75-$BJ$75))</f>
        <v>0</v>
      </c>
      <c r="BL96" s="25">
        <f t="shared" ca="1" si="134"/>
        <v>0</v>
      </c>
      <c r="BM96" s="25">
        <f t="shared" ca="1" si="134"/>
        <v>0</v>
      </c>
      <c r="BN96" s="25">
        <f t="shared" ca="1" si="134"/>
        <v>0</v>
      </c>
      <c r="BO96" s="25">
        <f t="shared" ca="1" si="134"/>
        <v>0</v>
      </c>
      <c r="BP96" s="25">
        <f t="shared" ca="1" si="134"/>
        <v>0</v>
      </c>
      <c r="BQ96" s="25">
        <f t="shared" ca="1" si="134"/>
        <v>0</v>
      </c>
      <c r="BR96" s="25">
        <f t="shared" ca="1" si="134"/>
        <v>0</v>
      </c>
      <c r="BS96" s="25">
        <f t="shared" ca="1" si="134"/>
        <v>0</v>
      </c>
      <c r="BT96" s="25">
        <f ca="1">TotalEmissions!I50</f>
        <v>0</v>
      </c>
      <c r="BU96" s="25">
        <f t="shared" ref="BU96:CC96" ca="1" si="135">BT96+(($CD96-$BT96)/($CD$75-$BT$75))</f>
        <v>0</v>
      </c>
      <c r="BV96" s="25">
        <f t="shared" ca="1" si="135"/>
        <v>0</v>
      </c>
      <c r="BW96" s="25">
        <f t="shared" ca="1" si="135"/>
        <v>0</v>
      </c>
      <c r="BX96" s="25">
        <f t="shared" ca="1" si="135"/>
        <v>0</v>
      </c>
      <c r="BY96" s="25">
        <f t="shared" ca="1" si="135"/>
        <v>0</v>
      </c>
      <c r="BZ96" s="25">
        <f t="shared" ca="1" si="135"/>
        <v>0</v>
      </c>
      <c r="CA96" s="25">
        <f t="shared" ca="1" si="135"/>
        <v>0</v>
      </c>
      <c r="CB96" s="25">
        <f t="shared" ca="1" si="135"/>
        <v>0</v>
      </c>
      <c r="CC96" s="25">
        <f t="shared" ca="1" si="135"/>
        <v>0</v>
      </c>
      <c r="CD96" s="25">
        <f ca="1">TotalEmissions!J50</f>
        <v>0</v>
      </c>
      <c r="CE96" s="25">
        <f t="shared" ref="CE96:CM96" ca="1" si="136">CD96+(($CN96-$CD96)/($CN$75-$CD$75))</f>
        <v>0</v>
      </c>
      <c r="CF96" s="25">
        <f t="shared" ca="1" si="136"/>
        <v>0</v>
      </c>
      <c r="CG96" s="25">
        <f t="shared" ca="1" si="136"/>
        <v>0</v>
      </c>
      <c r="CH96" s="25">
        <f t="shared" ca="1" si="136"/>
        <v>0</v>
      </c>
      <c r="CI96" s="25">
        <f t="shared" ca="1" si="136"/>
        <v>0</v>
      </c>
      <c r="CJ96" s="25">
        <f t="shared" ca="1" si="136"/>
        <v>0</v>
      </c>
      <c r="CK96" s="25">
        <f t="shared" ca="1" si="136"/>
        <v>0</v>
      </c>
      <c r="CL96" s="25">
        <f t="shared" ca="1" si="136"/>
        <v>0</v>
      </c>
      <c r="CM96" s="25">
        <f t="shared" ca="1" si="136"/>
        <v>0</v>
      </c>
      <c r="CN96" s="25">
        <f ca="1">TotalEmissions!K50</f>
        <v>0</v>
      </c>
    </row>
    <row r="97" spans="1:92" x14ac:dyDescent="0.2">
      <c r="A97" s="25" t="str">
        <f>TotalEmissions!A51</f>
        <v>Biomass Industry CCS</v>
      </c>
      <c r="B97" s="25">
        <f ca="1">TotalEmissions!B51</f>
        <v>0</v>
      </c>
      <c r="C97" s="25">
        <f t="shared" ref="C97:K97" ca="1" si="137">B97+(($L97-$B97)/($L$75-$B$75))</f>
        <v>0</v>
      </c>
      <c r="D97" s="25">
        <f t="shared" ca="1" si="137"/>
        <v>0</v>
      </c>
      <c r="E97" s="25">
        <f t="shared" ca="1" si="137"/>
        <v>0</v>
      </c>
      <c r="F97" s="25">
        <f t="shared" ca="1" si="137"/>
        <v>0</v>
      </c>
      <c r="G97" s="25">
        <f t="shared" ca="1" si="137"/>
        <v>0</v>
      </c>
      <c r="H97" s="25">
        <f t="shared" ca="1" si="137"/>
        <v>0</v>
      </c>
      <c r="I97" s="25">
        <f t="shared" ca="1" si="137"/>
        <v>0</v>
      </c>
      <c r="J97" s="25">
        <f t="shared" ca="1" si="137"/>
        <v>0</v>
      </c>
      <c r="K97" s="25">
        <f t="shared" ca="1" si="137"/>
        <v>0</v>
      </c>
      <c r="L97" s="25">
        <f ca="1">TotalEmissions!C51</f>
        <v>0</v>
      </c>
      <c r="M97" s="25">
        <f t="shared" ref="M97:U97" ca="1" si="138">L97+(($V97-$L97)/($V$75-$L$75))</f>
        <v>0</v>
      </c>
      <c r="N97" s="25">
        <f t="shared" ca="1" si="138"/>
        <v>0</v>
      </c>
      <c r="O97" s="25">
        <f t="shared" ca="1" si="138"/>
        <v>0</v>
      </c>
      <c r="P97" s="25">
        <f t="shared" ca="1" si="138"/>
        <v>0</v>
      </c>
      <c r="Q97" s="25">
        <f t="shared" ca="1" si="138"/>
        <v>0</v>
      </c>
      <c r="R97" s="25">
        <f t="shared" ca="1" si="138"/>
        <v>0</v>
      </c>
      <c r="S97" s="25">
        <f t="shared" ca="1" si="138"/>
        <v>0</v>
      </c>
      <c r="T97" s="25">
        <f t="shared" ca="1" si="138"/>
        <v>0</v>
      </c>
      <c r="U97" s="25">
        <f t="shared" ca="1" si="138"/>
        <v>0</v>
      </c>
      <c r="V97" s="25">
        <f ca="1">TotalEmissions!D51</f>
        <v>0</v>
      </c>
      <c r="W97" s="25">
        <f t="shared" ref="W97:AE97" ca="1" si="139">V97+(($AF97-$V97)/($AF$75-$V$75))</f>
        <v>0</v>
      </c>
      <c r="X97" s="25">
        <f t="shared" ca="1" si="139"/>
        <v>0</v>
      </c>
      <c r="Y97" s="25">
        <f t="shared" ca="1" si="139"/>
        <v>0</v>
      </c>
      <c r="Z97" s="25">
        <f t="shared" ca="1" si="139"/>
        <v>0</v>
      </c>
      <c r="AA97" s="25">
        <f t="shared" ca="1" si="139"/>
        <v>0</v>
      </c>
      <c r="AB97" s="25">
        <f t="shared" ca="1" si="139"/>
        <v>0</v>
      </c>
      <c r="AC97" s="25">
        <f t="shared" ca="1" si="139"/>
        <v>0</v>
      </c>
      <c r="AD97" s="25">
        <f t="shared" ca="1" si="139"/>
        <v>0</v>
      </c>
      <c r="AE97" s="25">
        <f t="shared" ca="1" si="139"/>
        <v>0</v>
      </c>
      <c r="AF97" s="25">
        <f ca="1">TotalEmissions!E51</f>
        <v>0</v>
      </c>
      <c r="AG97" s="25">
        <f t="shared" ref="AG97:AO97" ca="1" si="140">AF97+(($AP97-$AF97)/($AP$75-$AF$75))</f>
        <v>0</v>
      </c>
      <c r="AH97" s="25">
        <f t="shared" ca="1" si="140"/>
        <v>0</v>
      </c>
      <c r="AI97" s="25">
        <f t="shared" ca="1" si="140"/>
        <v>0</v>
      </c>
      <c r="AJ97" s="25">
        <f t="shared" ca="1" si="140"/>
        <v>0</v>
      </c>
      <c r="AK97" s="25">
        <f t="shared" ca="1" si="140"/>
        <v>0</v>
      </c>
      <c r="AL97" s="25">
        <f t="shared" ca="1" si="140"/>
        <v>0</v>
      </c>
      <c r="AM97" s="25">
        <f t="shared" ca="1" si="140"/>
        <v>0</v>
      </c>
      <c r="AN97" s="25">
        <f t="shared" ca="1" si="140"/>
        <v>0</v>
      </c>
      <c r="AO97" s="25">
        <f t="shared" ca="1" si="140"/>
        <v>0</v>
      </c>
      <c r="AP97" s="25">
        <f ca="1">TotalEmissions!F51</f>
        <v>0</v>
      </c>
      <c r="AQ97" s="25">
        <f t="shared" ref="AQ97:AY97" ca="1" si="141">AP97+(($AZ97-$AP97)/($AZ$75-$AP$75))</f>
        <v>0</v>
      </c>
      <c r="AR97" s="25">
        <f t="shared" ca="1" si="141"/>
        <v>0</v>
      </c>
      <c r="AS97" s="25">
        <f t="shared" ca="1" si="141"/>
        <v>0</v>
      </c>
      <c r="AT97" s="25">
        <f t="shared" ca="1" si="141"/>
        <v>0</v>
      </c>
      <c r="AU97" s="25">
        <f t="shared" ca="1" si="141"/>
        <v>0</v>
      </c>
      <c r="AV97" s="25">
        <f t="shared" ca="1" si="141"/>
        <v>0</v>
      </c>
      <c r="AW97" s="25">
        <f t="shared" ca="1" si="141"/>
        <v>0</v>
      </c>
      <c r="AX97" s="25">
        <f t="shared" ca="1" si="141"/>
        <v>0</v>
      </c>
      <c r="AY97" s="25">
        <f t="shared" ca="1" si="141"/>
        <v>0</v>
      </c>
      <c r="AZ97" s="25">
        <f ca="1">TotalEmissions!G51</f>
        <v>0</v>
      </c>
      <c r="BA97" s="25">
        <f t="shared" ref="BA97:BI97" ca="1" si="142">AZ97+(($BJ97-$AZ97)/($BJ$75-$AZ$75))</f>
        <v>0</v>
      </c>
      <c r="BB97" s="25">
        <f t="shared" ca="1" si="142"/>
        <v>0</v>
      </c>
      <c r="BC97" s="25">
        <f t="shared" ca="1" si="142"/>
        <v>0</v>
      </c>
      <c r="BD97" s="25">
        <f t="shared" ca="1" si="142"/>
        <v>0</v>
      </c>
      <c r="BE97" s="25">
        <f t="shared" ca="1" si="142"/>
        <v>0</v>
      </c>
      <c r="BF97" s="25">
        <f t="shared" ca="1" si="142"/>
        <v>0</v>
      </c>
      <c r="BG97" s="25">
        <f t="shared" ca="1" si="142"/>
        <v>0</v>
      </c>
      <c r="BH97" s="25">
        <f t="shared" ca="1" si="142"/>
        <v>0</v>
      </c>
      <c r="BI97" s="25">
        <f t="shared" ca="1" si="142"/>
        <v>0</v>
      </c>
      <c r="BJ97" s="25">
        <f ca="1">TotalEmissions!H51</f>
        <v>0</v>
      </c>
      <c r="BK97" s="25">
        <f t="shared" ref="BK97:BS97" ca="1" si="143">BJ97+(($BT97-$BJ97)/($BT$75-$BJ$75))</f>
        <v>0</v>
      </c>
      <c r="BL97" s="25">
        <f t="shared" ca="1" si="143"/>
        <v>0</v>
      </c>
      <c r="BM97" s="25">
        <f t="shared" ca="1" si="143"/>
        <v>0</v>
      </c>
      <c r="BN97" s="25">
        <f t="shared" ca="1" si="143"/>
        <v>0</v>
      </c>
      <c r="BO97" s="25">
        <f t="shared" ca="1" si="143"/>
        <v>0</v>
      </c>
      <c r="BP97" s="25">
        <f t="shared" ca="1" si="143"/>
        <v>0</v>
      </c>
      <c r="BQ97" s="25">
        <f t="shared" ca="1" si="143"/>
        <v>0</v>
      </c>
      <c r="BR97" s="25">
        <f t="shared" ca="1" si="143"/>
        <v>0</v>
      </c>
      <c r="BS97" s="25">
        <f t="shared" ca="1" si="143"/>
        <v>0</v>
      </c>
      <c r="BT97" s="25">
        <f ca="1">TotalEmissions!I51</f>
        <v>0</v>
      </c>
      <c r="BU97" s="25">
        <f t="shared" ref="BU97:CC97" ca="1" si="144">BT97+(($CD97-$BT97)/($CD$75-$BT$75))</f>
        <v>0</v>
      </c>
      <c r="BV97" s="25">
        <f t="shared" ca="1" si="144"/>
        <v>0</v>
      </c>
      <c r="BW97" s="25">
        <f t="shared" ca="1" si="144"/>
        <v>0</v>
      </c>
      <c r="BX97" s="25">
        <f t="shared" ca="1" si="144"/>
        <v>0</v>
      </c>
      <c r="BY97" s="25">
        <f t="shared" ca="1" si="144"/>
        <v>0</v>
      </c>
      <c r="BZ97" s="25">
        <f t="shared" ca="1" si="144"/>
        <v>0</v>
      </c>
      <c r="CA97" s="25">
        <f t="shared" ca="1" si="144"/>
        <v>0</v>
      </c>
      <c r="CB97" s="25">
        <f t="shared" ca="1" si="144"/>
        <v>0</v>
      </c>
      <c r="CC97" s="25">
        <f t="shared" ca="1" si="144"/>
        <v>0</v>
      </c>
      <c r="CD97" s="25">
        <f ca="1">TotalEmissions!J51</f>
        <v>0</v>
      </c>
      <c r="CE97" s="25">
        <f t="shared" ref="CE97:CM97" ca="1" si="145">CD97+(($CN97-$CD97)/($CN$75-$CD$75))</f>
        <v>0</v>
      </c>
      <c r="CF97" s="25">
        <f t="shared" ca="1" si="145"/>
        <v>0</v>
      </c>
      <c r="CG97" s="25">
        <f t="shared" ca="1" si="145"/>
        <v>0</v>
      </c>
      <c r="CH97" s="25">
        <f t="shared" ca="1" si="145"/>
        <v>0</v>
      </c>
      <c r="CI97" s="25">
        <f t="shared" ca="1" si="145"/>
        <v>0</v>
      </c>
      <c r="CJ97" s="25">
        <f t="shared" ca="1" si="145"/>
        <v>0</v>
      </c>
      <c r="CK97" s="25">
        <f t="shared" ca="1" si="145"/>
        <v>0</v>
      </c>
      <c r="CL97" s="25">
        <f t="shared" ca="1" si="145"/>
        <v>0</v>
      </c>
      <c r="CM97" s="25">
        <f t="shared" ca="1" si="145"/>
        <v>0</v>
      </c>
      <c r="CN97" s="25">
        <f ca="1">TotalEmissions!K51</f>
        <v>0</v>
      </c>
    </row>
    <row r="98" spans="1:92" x14ac:dyDescent="0.2">
      <c r="A98" s="25" t="str">
        <f>TotalEmissions!A58</f>
        <v>Net emissions (CO2 + other gases)</v>
      </c>
      <c r="B98" s="25">
        <f ca="1">TotalEmissions!B58</f>
        <v>48.947477967900774</v>
      </c>
      <c r="C98" s="25">
        <f t="shared" ref="C98:K98" ca="1" si="146">B98+(($L98-$B98)/($L$75-$B$75))</f>
        <v>49.994506011459578</v>
      </c>
      <c r="D98" s="25">
        <f t="shared" ca="1" si="146"/>
        <v>51.041534055018381</v>
      </c>
      <c r="E98" s="25">
        <f t="shared" ca="1" si="146"/>
        <v>52.088562098577185</v>
      </c>
      <c r="F98" s="25">
        <f t="shared" ca="1" si="146"/>
        <v>53.135590142135989</v>
      </c>
      <c r="G98" s="25">
        <f t="shared" ca="1" si="146"/>
        <v>54.182618185694793</v>
      </c>
      <c r="H98" s="25">
        <f t="shared" ca="1" si="146"/>
        <v>55.229646229253596</v>
      </c>
      <c r="I98" s="25">
        <f t="shared" ca="1" si="146"/>
        <v>56.2766742728124</v>
      </c>
      <c r="J98" s="25">
        <f t="shared" ca="1" si="146"/>
        <v>57.323702316371204</v>
      </c>
      <c r="K98" s="25">
        <f t="shared" ca="1" si="146"/>
        <v>58.370730359930008</v>
      </c>
      <c r="L98" s="25">
        <f ca="1">TotalEmissions!C58</f>
        <v>59.417758403488818</v>
      </c>
      <c r="M98" s="25">
        <f t="shared" ref="M98:U98" ca="1" si="147">L98+(($V98-$L98)/($V$75-$L$75))</f>
        <v>60.199844777399129</v>
      </c>
      <c r="N98" s="25">
        <f t="shared" ca="1" si="147"/>
        <v>60.981931151309439</v>
      </c>
      <c r="O98" s="25">
        <f t="shared" ca="1" si="147"/>
        <v>61.764017525219749</v>
      </c>
      <c r="P98" s="25">
        <f t="shared" ca="1" si="147"/>
        <v>62.54610389913006</v>
      </c>
      <c r="Q98" s="25">
        <f t="shared" ca="1" si="147"/>
        <v>63.32819027304037</v>
      </c>
      <c r="R98" s="25">
        <f t="shared" ca="1" si="147"/>
        <v>64.11027664695068</v>
      </c>
      <c r="S98" s="25">
        <f t="shared" ca="1" si="147"/>
        <v>64.892363020860998</v>
      </c>
      <c r="T98" s="25">
        <f t="shared" ca="1" si="147"/>
        <v>65.674449394771315</v>
      </c>
      <c r="U98" s="25">
        <f t="shared" ca="1" si="147"/>
        <v>66.456535768681633</v>
      </c>
      <c r="V98" s="25">
        <f ca="1">TotalEmissions!D58</f>
        <v>67.23862214259195</v>
      </c>
      <c r="W98" s="25">
        <f t="shared" ref="W98:AE98" ca="1" si="148">V98+(($AF98-$V98)/($AF$75-$V$75))</f>
        <v>67.709609851405375</v>
      </c>
      <c r="X98" s="25">
        <f t="shared" ca="1" si="148"/>
        <v>68.1805975602188</v>
      </c>
      <c r="Y98" s="25">
        <f t="shared" ca="1" si="148"/>
        <v>68.651585269032225</v>
      </c>
      <c r="Z98" s="25">
        <f t="shared" ca="1" si="148"/>
        <v>69.12257297784565</v>
      </c>
      <c r="AA98" s="25">
        <f t="shared" ca="1" si="148"/>
        <v>69.593560686659075</v>
      </c>
      <c r="AB98" s="25">
        <f t="shared" ca="1" si="148"/>
        <v>70.064548395472499</v>
      </c>
      <c r="AC98" s="25">
        <f t="shared" ca="1" si="148"/>
        <v>70.535536104285924</v>
      </c>
      <c r="AD98" s="25">
        <f t="shared" ca="1" si="148"/>
        <v>71.006523813099349</v>
      </c>
      <c r="AE98" s="25">
        <f t="shared" ca="1" si="148"/>
        <v>71.477511521912774</v>
      </c>
      <c r="AF98" s="25">
        <f ca="1">TotalEmissions!E58</f>
        <v>71.948499230726156</v>
      </c>
      <c r="AG98" s="25">
        <f t="shared" ref="AG98:AO98" ca="1" si="149">AF98+(($AP98-$AF98)/($AP$75-$AF$75))</f>
        <v>72.353564568223419</v>
      </c>
      <c r="AH98" s="25">
        <f t="shared" ca="1" si="149"/>
        <v>72.758629905720682</v>
      </c>
      <c r="AI98" s="25">
        <f t="shared" ca="1" si="149"/>
        <v>73.163695243217944</v>
      </c>
      <c r="AJ98" s="25">
        <f t="shared" ca="1" si="149"/>
        <v>73.568760580715207</v>
      </c>
      <c r="AK98" s="25">
        <f t="shared" ca="1" si="149"/>
        <v>73.973825918212469</v>
      </c>
      <c r="AL98" s="25">
        <f t="shared" ca="1" si="149"/>
        <v>74.378891255709732</v>
      </c>
      <c r="AM98" s="25">
        <f t="shared" ca="1" si="149"/>
        <v>74.783956593206995</v>
      </c>
      <c r="AN98" s="25">
        <f t="shared" ca="1" si="149"/>
        <v>75.189021930704257</v>
      </c>
      <c r="AO98" s="25">
        <f t="shared" ca="1" si="149"/>
        <v>75.59408726820152</v>
      </c>
      <c r="AP98" s="25">
        <f ca="1">TotalEmissions!F58</f>
        <v>75.999152605698796</v>
      </c>
      <c r="AQ98" s="25">
        <f t="shared" ref="AQ98:AY98" ca="1" si="150">AP98+(($AZ98-$AP98)/($AZ$75-$AP$75))</f>
        <v>76.187375167662779</v>
      </c>
      <c r="AR98" s="25">
        <f t="shared" ca="1" si="150"/>
        <v>76.375597729626762</v>
      </c>
      <c r="AS98" s="25">
        <f t="shared" ca="1" si="150"/>
        <v>76.563820291590744</v>
      </c>
      <c r="AT98" s="25">
        <f t="shared" ca="1" si="150"/>
        <v>76.752042853554727</v>
      </c>
      <c r="AU98" s="25">
        <f t="shared" ca="1" si="150"/>
        <v>76.940265415518709</v>
      </c>
      <c r="AV98" s="25">
        <f t="shared" ca="1" si="150"/>
        <v>77.128487977482692</v>
      </c>
      <c r="AW98" s="25">
        <f t="shared" ca="1" si="150"/>
        <v>77.316710539446674</v>
      </c>
      <c r="AX98" s="25">
        <f t="shared" ca="1" si="150"/>
        <v>77.504933101410657</v>
      </c>
      <c r="AY98" s="25">
        <f t="shared" ca="1" si="150"/>
        <v>77.69315566337464</v>
      </c>
      <c r="AZ98" s="25">
        <f ca="1">TotalEmissions!G58</f>
        <v>77.88137822533858</v>
      </c>
      <c r="BA98" s="25">
        <f t="shared" ref="BA98:BI98" ca="1" si="151">AZ98+(($BJ98-$AZ98)/($BJ$75-$AZ$75))</f>
        <v>78.262383253891741</v>
      </c>
      <c r="BB98" s="25">
        <f t="shared" ca="1" si="151"/>
        <v>78.643388282444903</v>
      </c>
      <c r="BC98" s="25">
        <f t="shared" ca="1" si="151"/>
        <v>79.024393310998065</v>
      </c>
      <c r="BD98" s="25">
        <f t="shared" ca="1" si="151"/>
        <v>79.405398339551226</v>
      </c>
      <c r="BE98" s="25">
        <f t="shared" ca="1" si="151"/>
        <v>79.786403368104388</v>
      </c>
      <c r="BF98" s="25">
        <f t="shared" ca="1" si="151"/>
        <v>80.167408396657549</v>
      </c>
      <c r="BG98" s="25">
        <f t="shared" ca="1" si="151"/>
        <v>80.548413425210711</v>
      </c>
      <c r="BH98" s="25">
        <f t="shared" ca="1" si="151"/>
        <v>80.929418453763873</v>
      </c>
      <c r="BI98" s="25">
        <f t="shared" ca="1" si="151"/>
        <v>81.310423482317034</v>
      </c>
      <c r="BJ98" s="25">
        <f ca="1">TotalEmissions!H58</f>
        <v>81.691428510870224</v>
      </c>
      <c r="BK98" s="25">
        <f t="shared" ref="BK98:BS98" ca="1" si="152">BJ98+(($BT98-$BJ98)/($BT$75-$BJ$75))</f>
        <v>82.126263975485614</v>
      </c>
      <c r="BL98" s="25">
        <f t="shared" ca="1" si="152"/>
        <v>82.561099440101003</v>
      </c>
      <c r="BM98" s="25">
        <f t="shared" ca="1" si="152"/>
        <v>82.995934904716393</v>
      </c>
      <c r="BN98" s="25">
        <f t="shared" ca="1" si="152"/>
        <v>83.430770369331782</v>
      </c>
      <c r="BO98" s="25">
        <f t="shared" ca="1" si="152"/>
        <v>83.865605833947171</v>
      </c>
      <c r="BP98" s="25">
        <f t="shared" ca="1" si="152"/>
        <v>84.300441298562561</v>
      </c>
      <c r="BQ98" s="25">
        <f t="shared" ca="1" si="152"/>
        <v>84.73527676317795</v>
      </c>
      <c r="BR98" s="25">
        <f t="shared" ca="1" si="152"/>
        <v>85.170112227793339</v>
      </c>
      <c r="BS98" s="25">
        <f t="shared" ca="1" si="152"/>
        <v>85.604947692408729</v>
      </c>
      <c r="BT98" s="25">
        <f ca="1">TotalEmissions!I58</f>
        <v>86.039783157024061</v>
      </c>
      <c r="BU98" s="25">
        <f t="shared" ref="BU98:CC98" ca="1" si="153">BT98+(($CD98-$BT98)/($CD$75-$BT$75))</f>
        <v>86.443073291734876</v>
      </c>
      <c r="BV98" s="25">
        <f t="shared" ca="1" si="153"/>
        <v>86.846363426445691</v>
      </c>
      <c r="BW98" s="25">
        <f t="shared" ca="1" si="153"/>
        <v>87.249653561156506</v>
      </c>
      <c r="BX98" s="25">
        <f t="shared" ca="1" si="153"/>
        <v>87.652943695867322</v>
      </c>
      <c r="BY98" s="25">
        <f t="shared" ca="1" si="153"/>
        <v>88.056233830578137</v>
      </c>
      <c r="BZ98" s="25">
        <f t="shared" ca="1" si="153"/>
        <v>88.459523965288952</v>
      </c>
      <c r="CA98" s="25">
        <f t="shared" ca="1" si="153"/>
        <v>88.862814099999767</v>
      </c>
      <c r="CB98" s="25">
        <f t="shared" ca="1" si="153"/>
        <v>89.266104234710582</v>
      </c>
      <c r="CC98" s="25">
        <f t="shared" ca="1" si="153"/>
        <v>89.669394369421397</v>
      </c>
      <c r="CD98" s="25">
        <f ca="1">TotalEmissions!J58</f>
        <v>90.072684504132255</v>
      </c>
      <c r="CE98" s="25">
        <f t="shared" ref="CE98:CM98" ca="1" si="154">CD98+(($CN98-$CD98)/($CN$75-$CD$75))</f>
        <v>90.632661749731028</v>
      </c>
      <c r="CF98" s="25">
        <f t="shared" ca="1" si="154"/>
        <v>91.192638995329801</v>
      </c>
      <c r="CG98" s="25">
        <f t="shared" ca="1" si="154"/>
        <v>91.752616240928575</v>
      </c>
      <c r="CH98" s="25">
        <f t="shared" ca="1" si="154"/>
        <v>92.312593486527348</v>
      </c>
      <c r="CI98" s="25">
        <f t="shared" ca="1" si="154"/>
        <v>92.872570732126121</v>
      </c>
      <c r="CJ98" s="25">
        <f t="shared" ca="1" si="154"/>
        <v>93.432547977724894</v>
      </c>
      <c r="CK98" s="25">
        <f t="shared" ca="1" si="154"/>
        <v>93.992525223323668</v>
      </c>
      <c r="CL98" s="25">
        <f t="shared" ca="1" si="154"/>
        <v>94.552502468922441</v>
      </c>
      <c r="CM98" s="25">
        <f t="shared" ca="1" si="154"/>
        <v>95.112479714521214</v>
      </c>
      <c r="CN98" s="25">
        <f ca="1">TotalEmissions!K58</f>
        <v>95.672456960119973</v>
      </c>
    </row>
    <row r="99" spans="1:92" x14ac:dyDescent="0.2">
      <c r="A99" s="21" t="s">
        <v>279</v>
      </c>
      <c r="B99" s="25">
        <f ca="1">B98+B94+B95+B96+B97</f>
        <v>48.947477967900774</v>
      </c>
      <c r="C99" s="25">
        <f t="shared" ref="C99:BN99" ca="1" si="155">C98+C94+C95+C96+C97</f>
        <v>49.994506011459578</v>
      </c>
      <c r="D99" s="25">
        <f t="shared" ca="1" si="155"/>
        <v>51.041534055018381</v>
      </c>
      <c r="E99" s="25">
        <f t="shared" ca="1" si="155"/>
        <v>52.088562098577185</v>
      </c>
      <c r="F99" s="25">
        <f t="shared" ca="1" si="155"/>
        <v>53.135590142135989</v>
      </c>
      <c r="G99" s="25">
        <f t="shared" ca="1" si="155"/>
        <v>54.182618185694793</v>
      </c>
      <c r="H99" s="25">
        <f t="shared" ca="1" si="155"/>
        <v>55.229646229253596</v>
      </c>
      <c r="I99" s="25">
        <f t="shared" ca="1" si="155"/>
        <v>56.2766742728124</v>
      </c>
      <c r="J99" s="25">
        <f t="shared" ca="1" si="155"/>
        <v>57.323702316371204</v>
      </c>
      <c r="K99" s="25">
        <f t="shared" ca="1" si="155"/>
        <v>58.370730359930008</v>
      </c>
      <c r="L99" s="25">
        <f ca="1">L98+L94+L95+L96+L97</f>
        <v>59.417758403488818</v>
      </c>
      <c r="M99" s="25">
        <f t="shared" ca="1" si="155"/>
        <v>60.199844777399129</v>
      </c>
      <c r="N99" s="25">
        <f t="shared" ca="1" si="155"/>
        <v>60.981931151309439</v>
      </c>
      <c r="O99" s="25">
        <f t="shared" ca="1" si="155"/>
        <v>61.764017525219749</v>
      </c>
      <c r="P99" s="25">
        <f t="shared" ca="1" si="155"/>
        <v>62.54610389913006</v>
      </c>
      <c r="Q99" s="25">
        <f t="shared" ca="1" si="155"/>
        <v>63.32819027304037</v>
      </c>
      <c r="R99" s="25">
        <f t="shared" ca="1" si="155"/>
        <v>64.11027664695068</v>
      </c>
      <c r="S99" s="25">
        <f t="shared" ca="1" si="155"/>
        <v>64.892363020860998</v>
      </c>
      <c r="T99" s="25">
        <f t="shared" ca="1" si="155"/>
        <v>65.674449394771315</v>
      </c>
      <c r="U99" s="25">
        <f t="shared" ca="1" si="155"/>
        <v>66.456535768681633</v>
      </c>
      <c r="V99" s="25">
        <f t="shared" ca="1" si="155"/>
        <v>67.23862214259195</v>
      </c>
      <c r="W99" s="25">
        <f t="shared" ca="1" si="155"/>
        <v>67.709609851405375</v>
      </c>
      <c r="X99" s="25">
        <f t="shared" ca="1" si="155"/>
        <v>68.1805975602188</v>
      </c>
      <c r="Y99" s="25">
        <f t="shared" ca="1" si="155"/>
        <v>68.651585269032225</v>
      </c>
      <c r="Z99" s="25">
        <f t="shared" ca="1" si="155"/>
        <v>69.12257297784565</v>
      </c>
      <c r="AA99" s="25">
        <f t="shared" ca="1" si="155"/>
        <v>69.593560686659075</v>
      </c>
      <c r="AB99" s="25">
        <f t="shared" ca="1" si="155"/>
        <v>70.064548395472499</v>
      </c>
      <c r="AC99" s="25">
        <f t="shared" ca="1" si="155"/>
        <v>70.535536104285924</v>
      </c>
      <c r="AD99" s="25">
        <f t="shared" ca="1" si="155"/>
        <v>71.006523813099349</v>
      </c>
      <c r="AE99" s="25">
        <f t="shared" ca="1" si="155"/>
        <v>71.477511521912774</v>
      </c>
      <c r="AF99" s="25">
        <f t="shared" ca="1" si="155"/>
        <v>71.948499230726156</v>
      </c>
      <c r="AG99" s="25">
        <f t="shared" ca="1" si="155"/>
        <v>72.353564568223419</v>
      </c>
      <c r="AH99" s="25">
        <f t="shared" ca="1" si="155"/>
        <v>72.758629905720682</v>
      </c>
      <c r="AI99" s="25">
        <f t="shared" ca="1" si="155"/>
        <v>73.163695243217944</v>
      </c>
      <c r="AJ99" s="25">
        <f t="shared" ca="1" si="155"/>
        <v>73.568760580715207</v>
      </c>
      <c r="AK99" s="25">
        <f t="shared" ca="1" si="155"/>
        <v>73.973825918212469</v>
      </c>
      <c r="AL99" s="25">
        <f t="shared" ca="1" si="155"/>
        <v>74.378891255709732</v>
      </c>
      <c r="AM99" s="25">
        <f t="shared" ca="1" si="155"/>
        <v>74.783956593206995</v>
      </c>
      <c r="AN99" s="25">
        <f t="shared" ca="1" si="155"/>
        <v>75.189021930704257</v>
      </c>
      <c r="AO99" s="25">
        <f t="shared" ca="1" si="155"/>
        <v>75.59408726820152</v>
      </c>
      <c r="AP99" s="25">
        <f t="shared" ca="1" si="155"/>
        <v>75.999152605698796</v>
      </c>
      <c r="AQ99" s="25">
        <f t="shared" ca="1" si="155"/>
        <v>76.187375167662779</v>
      </c>
      <c r="AR99" s="25">
        <f t="shared" ca="1" si="155"/>
        <v>76.375597729626762</v>
      </c>
      <c r="AS99" s="25">
        <f t="shared" ca="1" si="155"/>
        <v>76.563820291590744</v>
      </c>
      <c r="AT99" s="25">
        <f t="shared" ca="1" si="155"/>
        <v>76.752042853554727</v>
      </c>
      <c r="AU99" s="25">
        <f t="shared" ca="1" si="155"/>
        <v>76.940265415518709</v>
      </c>
      <c r="AV99" s="25">
        <f t="shared" ca="1" si="155"/>
        <v>77.128487977482692</v>
      </c>
      <c r="AW99" s="25">
        <f t="shared" ca="1" si="155"/>
        <v>77.316710539446674</v>
      </c>
      <c r="AX99" s="25">
        <f t="shared" ca="1" si="155"/>
        <v>77.504933101410657</v>
      </c>
      <c r="AY99" s="25">
        <f t="shared" ca="1" si="155"/>
        <v>77.69315566337464</v>
      </c>
      <c r="AZ99" s="25">
        <f t="shared" ca="1" si="155"/>
        <v>77.88137822533858</v>
      </c>
      <c r="BA99" s="25">
        <f t="shared" ca="1" si="155"/>
        <v>78.262383253891741</v>
      </c>
      <c r="BB99" s="25">
        <f t="shared" ca="1" si="155"/>
        <v>78.643388282444903</v>
      </c>
      <c r="BC99" s="25">
        <f t="shared" ca="1" si="155"/>
        <v>79.024393310998065</v>
      </c>
      <c r="BD99" s="25">
        <f t="shared" ca="1" si="155"/>
        <v>79.405398339551226</v>
      </c>
      <c r="BE99" s="25">
        <f t="shared" ca="1" si="155"/>
        <v>79.786403368104388</v>
      </c>
      <c r="BF99" s="25">
        <f t="shared" ca="1" si="155"/>
        <v>80.167408396657549</v>
      </c>
      <c r="BG99" s="25">
        <f t="shared" ca="1" si="155"/>
        <v>80.548413425210711</v>
      </c>
      <c r="BH99" s="25">
        <f t="shared" ca="1" si="155"/>
        <v>80.929418453763873</v>
      </c>
      <c r="BI99" s="25">
        <f t="shared" ca="1" si="155"/>
        <v>81.310423482317034</v>
      </c>
      <c r="BJ99" s="25">
        <f t="shared" ca="1" si="155"/>
        <v>81.691428510870224</v>
      </c>
      <c r="BK99" s="25">
        <f t="shared" ca="1" si="155"/>
        <v>82.126263975485614</v>
      </c>
      <c r="BL99" s="25">
        <f t="shared" ca="1" si="155"/>
        <v>82.561099440101003</v>
      </c>
      <c r="BM99" s="25">
        <f t="shared" ca="1" si="155"/>
        <v>82.995934904716393</v>
      </c>
      <c r="BN99" s="25">
        <f t="shared" ca="1" si="155"/>
        <v>83.430770369331782</v>
      </c>
      <c r="BO99" s="25">
        <f t="shared" ref="BO99:CN99" ca="1" si="156">BO98+BO94+BO95+BO96+BO97</f>
        <v>83.865605833947171</v>
      </c>
      <c r="BP99" s="25">
        <f t="shared" ca="1" si="156"/>
        <v>84.300441298562561</v>
      </c>
      <c r="BQ99" s="25">
        <f t="shared" ca="1" si="156"/>
        <v>84.73527676317795</v>
      </c>
      <c r="BR99" s="25">
        <f t="shared" ca="1" si="156"/>
        <v>85.170112227793339</v>
      </c>
      <c r="BS99" s="25">
        <f t="shared" ca="1" si="156"/>
        <v>85.604947692408729</v>
      </c>
      <c r="BT99" s="25">
        <f t="shared" ca="1" si="156"/>
        <v>86.039783157024061</v>
      </c>
      <c r="BU99" s="25">
        <f t="shared" ca="1" si="156"/>
        <v>86.443073291734876</v>
      </c>
      <c r="BV99" s="25">
        <f t="shared" ca="1" si="156"/>
        <v>86.846363426445691</v>
      </c>
      <c r="BW99" s="25">
        <f t="shared" ca="1" si="156"/>
        <v>87.249653561156506</v>
      </c>
      <c r="BX99" s="25">
        <f t="shared" ca="1" si="156"/>
        <v>87.652943695867322</v>
      </c>
      <c r="BY99" s="25">
        <f t="shared" ca="1" si="156"/>
        <v>88.056233830578137</v>
      </c>
      <c r="BZ99" s="25">
        <f t="shared" ca="1" si="156"/>
        <v>88.459523965288952</v>
      </c>
      <c r="CA99" s="25">
        <f t="shared" ca="1" si="156"/>
        <v>88.862814099999767</v>
      </c>
      <c r="CB99" s="25">
        <f t="shared" ca="1" si="156"/>
        <v>89.266104234710582</v>
      </c>
      <c r="CC99" s="25">
        <f t="shared" ca="1" si="156"/>
        <v>89.669394369421397</v>
      </c>
      <c r="CD99" s="25">
        <f t="shared" ca="1" si="156"/>
        <v>90.072684504132255</v>
      </c>
      <c r="CE99" s="25">
        <f t="shared" ca="1" si="156"/>
        <v>90.632661749731028</v>
      </c>
      <c r="CF99" s="25">
        <f t="shared" ca="1" si="156"/>
        <v>91.192638995329801</v>
      </c>
      <c r="CG99" s="25">
        <f t="shared" ca="1" si="156"/>
        <v>91.752616240928575</v>
      </c>
      <c r="CH99" s="25">
        <f t="shared" ca="1" si="156"/>
        <v>92.312593486527348</v>
      </c>
      <c r="CI99" s="25">
        <f t="shared" ca="1" si="156"/>
        <v>92.872570732126121</v>
      </c>
      <c r="CJ99" s="25">
        <f t="shared" ca="1" si="156"/>
        <v>93.432547977724894</v>
      </c>
      <c r="CK99" s="25">
        <f t="shared" ca="1" si="156"/>
        <v>93.992525223323668</v>
      </c>
      <c r="CL99" s="25">
        <f t="shared" ca="1" si="156"/>
        <v>94.552502468922441</v>
      </c>
      <c r="CM99" s="25">
        <f t="shared" ca="1" si="156"/>
        <v>95.112479714521214</v>
      </c>
      <c r="CN99" s="25">
        <f t="shared" ca="1" si="156"/>
        <v>95.672456960119973</v>
      </c>
    </row>
    <row r="102" spans="1:92" x14ac:dyDescent="0.2">
      <c r="A102" s="211" t="s">
        <v>238</v>
      </c>
      <c r="B102" s="253">
        <f ca="1">((B83-B124)/(LN(B83)-LN(B124)))*LN(B80/B118)</f>
        <v>0</v>
      </c>
      <c r="C102" s="253">
        <f t="shared" ref="C102:K102" ca="1" si="157">B102+(($L102-$B102)/($L$75-$B$75))</f>
        <v>-4.504895779700013E-3</v>
      </c>
      <c r="D102" s="253">
        <f t="shared" ca="1" si="157"/>
        <v>-9.0097915594000259E-3</v>
      </c>
      <c r="E102" s="253">
        <f t="shared" ca="1" si="157"/>
        <v>-1.3514687339100039E-2</v>
      </c>
      <c r="F102" s="253">
        <f t="shared" ca="1" si="157"/>
        <v>-1.8019583118800052E-2</v>
      </c>
      <c r="G102" s="253">
        <f t="shared" ca="1" si="157"/>
        <v>-2.2524478898500067E-2</v>
      </c>
      <c r="H102" s="253">
        <f t="shared" ca="1" si="157"/>
        <v>-2.7029374678200081E-2</v>
      </c>
      <c r="I102" s="253">
        <f t="shared" ca="1" si="157"/>
        <v>-3.1534270457900096E-2</v>
      </c>
      <c r="J102" s="253">
        <f t="shared" ca="1" si="157"/>
        <v>-3.6039166237600111E-2</v>
      </c>
      <c r="K102" s="253">
        <f t="shared" ca="1" si="157"/>
        <v>-4.0544062017300125E-2</v>
      </c>
      <c r="L102">
        <f ca="1">-'MitTable(LMDI I)DEq'!C$6</f>
        <v>-4.5048957797000126E-2</v>
      </c>
      <c r="M102" s="25">
        <f ca="1">L102+(($V102-$L102)/($V$75-$L$75))</f>
        <v>-0.18616908248322178</v>
      </c>
      <c r="N102" s="25">
        <f t="shared" ref="N102:U102" ca="1" si="158">M102+(($V102-$L102)/($V$75-$L$75))</f>
        <v>-0.32728920716944343</v>
      </c>
      <c r="O102" s="25">
        <f t="shared" ca="1" si="158"/>
        <v>-0.46840933185566508</v>
      </c>
      <c r="P102" s="25">
        <f t="shared" ca="1" si="158"/>
        <v>-0.60952945654188673</v>
      </c>
      <c r="Q102" s="25">
        <f t="shared" ca="1" si="158"/>
        <v>-0.75064958122810843</v>
      </c>
      <c r="R102" s="25">
        <f t="shared" ca="1" si="158"/>
        <v>-0.89176970591433014</v>
      </c>
      <c r="S102" s="25">
        <f t="shared" ca="1" si="158"/>
        <v>-1.0328898306005518</v>
      </c>
      <c r="T102" s="25">
        <f t="shared" ca="1" si="158"/>
        <v>-1.1740099552867735</v>
      </c>
      <c r="U102" s="25">
        <f t="shared" ca="1" si="158"/>
        <v>-1.3151300799729952</v>
      </c>
      <c r="V102">
        <f ca="1">-'MitTable(LMDI I)DEq'!D$6</f>
        <v>-1.4562502046592167</v>
      </c>
      <c r="W102" s="25">
        <f ca="1">V102+(($AF102-$V102)/($AF$75-$V$75))</f>
        <v>-1.6421116843277392</v>
      </c>
      <c r="X102" s="25">
        <f t="shared" ref="X102:AE102" ca="1" si="159">W102+(($AF102-$V102)/($AF$75-$V$75))</f>
        <v>-1.8279731639962615</v>
      </c>
      <c r="Y102" s="25">
        <f t="shared" ca="1" si="159"/>
        <v>-2.0138346436647838</v>
      </c>
      <c r="Z102" s="25">
        <f t="shared" ca="1" si="159"/>
        <v>-2.1996961233333061</v>
      </c>
      <c r="AA102" s="25">
        <f t="shared" ca="1" si="159"/>
        <v>-2.3855576030018284</v>
      </c>
      <c r="AB102" s="25">
        <f t="shared" ca="1" si="159"/>
        <v>-2.5714190826703507</v>
      </c>
      <c r="AC102" s="25">
        <f t="shared" ca="1" si="159"/>
        <v>-2.757280562338873</v>
      </c>
      <c r="AD102" s="25">
        <f t="shared" ca="1" si="159"/>
        <v>-2.9431420420073953</v>
      </c>
      <c r="AE102" s="25">
        <f t="shared" ca="1" si="159"/>
        <v>-3.1290035216759176</v>
      </c>
      <c r="AF102">
        <f ca="1">-'MitTable(LMDI I)DEq'!E$6</f>
        <v>-3.3148650013444407</v>
      </c>
      <c r="AG102" s="25">
        <f ca="1">AF102+(($AP102-$AF102)/($AP$75-$AF$75))</f>
        <v>-3.2114458463234619</v>
      </c>
      <c r="AH102" s="25">
        <f t="shared" ref="AH102:AO102" ca="1" si="160">AG102+(($AP102-$AF102)/($AP$75-$AF$75))</f>
        <v>-3.108026691302483</v>
      </c>
      <c r="AI102" s="25">
        <f t="shared" ca="1" si="160"/>
        <v>-3.0046075362815041</v>
      </c>
      <c r="AJ102" s="25">
        <f t="shared" ca="1" si="160"/>
        <v>-2.9011883812605253</v>
      </c>
      <c r="AK102" s="25">
        <f t="shared" ca="1" si="160"/>
        <v>-2.7977692262395464</v>
      </c>
      <c r="AL102" s="25">
        <f t="shared" ca="1" si="160"/>
        <v>-2.6943500712185675</v>
      </c>
      <c r="AM102" s="25">
        <f t="shared" ca="1" si="160"/>
        <v>-2.5909309161975886</v>
      </c>
      <c r="AN102" s="25">
        <f t="shared" ca="1" si="160"/>
        <v>-2.4875117611766098</v>
      </c>
      <c r="AO102" s="25">
        <f t="shared" ca="1" si="160"/>
        <v>-2.3840926061556309</v>
      </c>
      <c r="AP102">
        <f ca="1">-'MitTable(LMDI I)DEq'!F$6</f>
        <v>-2.2806734511346538</v>
      </c>
      <c r="AQ102" s="25">
        <f ca="1">AP102+(($AZ102-$AP102)/($AZ$75-$AP$75))</f>
        <v>-2.2239203649537829</v>
      </c>
      <c r="AR102" s="25">
        <f t="shared" ref="AR102:AY102" ca="1" si="161">AQ102+(($AZ102-$AP102)/($AZ$75-$AP$75))</f>
        <v>-2.1671672787729119</v>
      </c>
      <c r="AS102" s="25">
        <f t="shared" ca="1" si="161"/>
        <v>-2.110414192592041</v>
      </c>
      <c r="AT102" s="25">
        <f t="shared" ca="1" si="161"/>
        <v>-2.0536611064111701</v>
      </c>
      <c r="AU102" s="25">
        <f t="shared" ca="1" si="161"/>
        <v>-1.9969080202302989</v>
      </c>
      <c r="AV102" s="25">
        <f t="shared" ca="1" si="161"/>
        <v>-1.9401549340494277</v>
      </c>
      <c r="AW102" s="25">
        <f t="shared" ca="1" si="161"/>
        <v>-1.8834018478685566</v>
      </c>
      <c r="AX102" s="25">
        <f t="shared" ca="1" si="161"/>
        <v>-1.8266487616876854</v>
      </c>
      <c r="AY102" s="25">
        <f t="shared" ca="1" si="161"/>
        <v>-1.7698956755068143</v>
      </c>
      <c r="AZ102">
        <f ca="1">-'MitTable(LMDI I)DEq'!G$6</f>
        <v>-1.7131425893259427</v>
      </c>
      <c r="BA102" s="25">
        <f ca="1">AZ102+(($BJ102-$AZ102)/($BJ$75-$AZ$75))</f>
        <v>-1.5131701271975064</v>
      </c>
      <c r="BB102" s="25">
        <f t="shared" ref="BB102:BI102" ca="1" si="162">BA102+(($BJ102-$AZ102)/($BJ$75-$AZ$75))</f>
        <v>-1.3131976650690702</v>
      </c>
      <c r="BC102" s="25">
        <f t="shared" ca="1" si="162"/>
        <v>-1.113225202940634</v>
      </c>
      <c r="BD102" s="25">
        <f t="shared" ca="1" si="162"/>
        <v>-0.91325274081219765</v>
      </c>
      <c r="BE102" s="25">
        <f t="shared" ca="1" si="162"/>
        <v>-0.71328027868376132</v>
      </c>
      <c r="BF102" s="25">
        <f t="shared" ca="1" si="162"/>
        <v>-0.51330781655532498</v>
      </c>
      <c r="BG102" s="25">
        <f t="shared" ca="1" si="162"/>
        <v>-0.31333535442688865</v>
      </c>
      <c r="BH102" s="25">
        <f t="shared" ca="1" si="162"/>
        <v>-0.11336289229845231</v>
      </c>
      <c r="BI102" s="25">
        <f t="shared" ca="1" si="162"/>
        <v>8.6609569829984023E-2</v>
      </c>
      <c r="BJ102">
        <f ca="1">-'MitTable(LMDI I)DEq'!H$6</f>
        <v>0.28658203195842075</v>
      </c>
      <c r="BK102" s="25">
        <f ca="1">BJ102+(($BT102-$BJ102)/($BT$75-$BJ$75))</f>
        <v>0.35486502849607887</v>
      </c>
      <c r="BL102" s="25">
        <f t="shared" ref="BL102:BS102" ca="1" si="163">BK102+(($BT102-$BJ102)/($BT$75-$BJ$75))</f>
        <v>0.423148025033737</v>
      </c>
      <c r="BM102" s="25">
        <f t="shared" ca="1" si="163"/>
        <v>0.49143102157139512</v>
      </c>
      <c r="BN102" s="25">
        <f t="shared" ca="1" si="163"/>
        <v>0.55971401810905319</v>
      </c>
      <c r="BO102" s="25">
        <f t="shared" ca="1" si="163"/>
        <v>0.62799701464671132</v>
      </c>
      <c r="BP102" s="25">
        <f t="shared" ca="1" si="163"/>
        <v>0.69628001118436944</v>
      </c>
      <c r="BQ102" s="25">
        <f t="shared" ca="1" si="163"/>
        <v>0.76456300772202757</v>
      </c>
      <c r="BR102" s="25">
        <f t="shared" ca="1" si="163"/>
        <v>0.83284600425968569</v>
      </c>
      <c r="BS102" s="25">
        <f t="shared" ca="1" si="163"/>
        <v>0.90112900079734382</v>
      </c>
      <c r="BT102">
        <f ca="1">-'MitTable(LMDI I)DEq'!I$6</f>
        <v>0.96941199733500205</v>
      </c>
      <c r="BU102" s="25">
        <f ca="1">BT102+(($CD102-$BT102)/($CD$75-$BT$75))</f>
        <v>0.93303785261683525</v>
      </c>
      <c r="BV102" s="25">
        <f t="shared" ref="BV102:CC102" ca="1" si="164">BU102+(($CD102-$BT102)/($CD$75-$BT$75))</f>
        <v>0.89666370789866845</v>
      </c>
      <c r="BW102" s="25">
        <f t="shared" ca="1" si="164"/>
        <v>0.86028956318050165</v>
      </c>
      <c r="BX102" s="25">
        <f t="shared" ca="1" si="164"/>
        <v>0.82391541846233485</v>
      </c>
      <c r="BY102" s="25">
        <f t="shared" ca="1" si="164"/>
        <v>0.78754127374416805</v>
      </c>
      <c r="BZ102" s="25">
        <f t="shared" ca="1" si="164"/>
        <v>0.75116712902600125</v>
      </c>
      <c r="CA102" s="25">
        <f t="shared" ca="1" si="164"/>
        <v>0.71479298430783444</v>
      </c>
      <c r="CB102" s="25">
        <f t="shared" ca="1" si="164"/>
        <v>0.67841883958966764</v>
      </c>
      <c r="CC102" s="25">
        <f t="shared" ca="1" si="164"/>
        <v>0.64204469487150084</v>
      </c>
      <c r="CD102">
        <f ca="1">-'MitTable(LMDI I)DEq'!J$6</f>
        <v>0.6056705501533336</v>
      </c>
      <c r="CE102" s="25">
        <f ca="1">CD102+(($CN102-$CD102)/($CN$75-$CD$75))</f>
        <v>0.62750893906495597</v>
      </c>
      <c r="CF102" s="25">
        <f t="shared" ref="CF102:CM102" ca="1" si="165">CE102+(($CN102-$CD102)/($CN$75-$CD$75))</f>
        <v>0.64934732797657835</v>
      </c>
      <c r="CG102" s="25">
        <f t="shared" ca="1" si="165"/>
        <v>0.67118571688820072</v>
      </c>
      <c r="CH102" s="25">
        <f t="shared" ca="1" si="165"/>
        <v>0.6930241057998231</v>
      </c>
      <c r="CI102" s="25">
        <f t="shared" ca="1" si="165"/>
        <v>0.71486249471144547</v>
      </c>
      <c r="CJ102" s="25">
        <f t="shared" ca="1" si="165"/>
        <v>0.73670088362306785</v>
      </c>
      <c r="CK102" s="25">
        <f t="shared" ca="1" si="165"/>
        <v>0.75853927253469022</v>
      </c>
      <c r="CL102" s="25">
        <f t="shared" ca="1" si="165"/>
        <v>0.7803776614463126</v>
      </c>
      <c r="CM102" s="25">
        <f t="shared" ca="1" si="165"/>
        <v>0.80221605035793497</v>
      </c>
      <c r="CN102">
        <f ca="1">-'MitTable(LMDI I)DEq'!K$6</f>
        <v>0.82405443926955713</v>
      </c>
    </row>
    <row r="103" spans="1:92" x14ac:dyDescent="0.2">
      <c r="A103" s="212" t="s">
        <v>231</v>
      </c>
      <c r="B103">
        <f ca="1">-'MitTable(LMDI I)DEq'!B$3</f>
        <v>-1.930580328775526E-9</v>
      </c>
      <c r="C103" s="25">
        <f t="shared" ref="C103:K103" ca="1" si="166">B103+(($L103-$B103)/($L$75-$B$75))</f>
        <v>-4.0863367014911424E-2</v>
      </c>
      <c r="D103" s="25">
        <f t="shared" ca="1" si="166"/>
        <v>-8.1726732099242527E-2</v>
      </c>
      <c r="E103" s="25">
        <f t="shared" ca="1" si="166"/>
        <v>-0.12259009718357362</v>
      </c>
      <c r="F103" s="25">
        <f t="shared" ca="1" si="166"/>
        <v>-0.16345346226790472</v>
      </c>
      <c r="G103" s="25">
        <f t="shared" ca="1" si="166"/>
        <v>-0.20431682735223583</v>
      </c>
      <c r="H103" s="25">
        <f t="shared" ca="1" si="166"/>
        <v>-0.24518019243656691</v>
      </c>
      <c r="I103" s="25">
        <f t="shared" ca="1" si="166"/>
        <v>-0.286043557520898</v>
      </c>
      <c r="J103" s="25">
        <f t="shared" ca="1" si="166"/>
        <v>-0.32690692260522908</v>
      </c>
      <c r="K103" s="25">
        <f t="shared" ca="1" si="166"/>
        <v>-0.36777028768956016</v>
      </c>
      <c r="L103">
        <f ca="1">-'MitTable(LMDI I)DEq'!C$3</f>
        <v>-0.40863365277389124</v>
      </c>
      <c r="M103" s="25">
        <f t="shared" ref="M103:U103" ca="1" si="167">L103+(($V103-$L103)/($V$75-$L$75))</f>
        <v>-0.46306754157949798</v>
      </c>
      <c r="N103" s="25">
        <f t="shared" ca="1" si="167"/>
        <v>-0.51750143038510465</v>
      </c>
      <c r="O103" s="25">
        <f t="shared" ca="1" si="167"/>
        <v>-0.57193531919071139</v>
      </c>
      <c r="P103" s="25">
        <f t="shared" ca="1" si="167"/>
        <v>-0.62636920799631812</v>
      </c>
      <c r="Q103" s="25">
        <f t="shared" ca="1" si="167"/>
        <v>-0.68080309680192486</v>
      </c>
      <c r="R103" s="25">
        <f t="shared" ca="1" si="167"/>
        <v>-0.73523698560753159</v>
      </c>
      <c r="S103" s="25">
        <f t="shared" ca="1" si="167"/>
        <v>-0.78967087441313832</v>
      </c>
      <c r="T103" s="25">
        <f t="shared" ca="1" si="167"/>
        <v>-0.84410476321874506</v>
      </c>
      <c r="U103" s="25">
        <f t="shared" ca="1" si="167"/>
        <v>-0.89853865202435179</v>
      </c>
      <c r="V103">
        <f ca="1">-'MitTable(LMDI I)DEq'!D$3</f>
        <v>-0.9529725408299583</v>
      </c>
      <c r="W103" s="25">
        <f t="shared" ref="W103:AE103" ca="1" si="168">V103+(($AF103-$V103)/($AF$75-$V$75))</f>
        <v>-0.99085478127797266</v>
      </c>
      <c r="X103" s="25">
        <f t="shared" ca="1" si="168"/>
        <v>-1.028737021725987</v>
      </c>
      <c r="Y103" s="25">
        <f t="shared" ca="1" si="168"/>
        <v>-1.0666192621740014</v>
      </c>
      <c r="Z103" s="25">
        <f t="shared" ca="1" si="168"/>
        <v>-1.1045015026220157</v>
      </c>
      <c r="AA103" s="25">
        <f t="shared" ca="1" si="168"/>
        <v>-1.1423837430700301</v>
      </c>
      <c r="AB103" s="25">
        <f t="shared" ca="1" si="168"/>
        <v>-1.1802659835180445</v>
      </c>
      <c r="AC103" s="25">
        <f t="shared" ca="1" si="168"/>
        <v>-1.2181482239660588</v>
      </c>
      <c r="AD103" s="25">
        <f t="shared" ca="1" si="168"/>
        <v>-1.2560304644140732</v>
      </c>
      <c r="AE103" s="25">
        <f t="shared" ca="1" si="168"/>
        <v>-1.2939127048620875</v>
      </c>
      <c r="AF103">
        <f ca="1">-'MitTable(LMDI I)DEq'!E$3</f>
        <v>-1.3317949453101023</v>
      </c>
      <c r="AG103" s="25">
        <f t="shared" ref="AG103:AO103" ca="1" si="169">AF103+(($AP103-$AF103)/($AP$75-$AF$75))</f>
        <v>-1.3843716300756743</v>
      </c>
      <c r="AH103" s="25">
        <f t="shared" ca="1" si="169"/>
        <v>-1.4369483148412463</v>
      </c>
      <c r="AI103" s="25">
        <f t="shared" ca="1" si="169"/>
        <v>-1.4895249996068183</v>
      </c>
      <c r="AJ103" s="25">
        <f t="shared" ca="1" si="169"/>
        <v>-1.5421016843723903</v>
      </c>
      <c r="AK103" s="25">
        <f t="shared" ca="1" si="169"/>
        <v>-1.5946783691379622</v>
      </c>
      <c r="AL103" s="25">
        <f t="shared" ca="1" si="169"/>
        <v>-1.6472550539035342</v>
      </c>
      <c r="AM103" s="25">
        <f t="shared" ca="1" si="169"/>
        <v>-1.6998317386691062</v>
      </c>
      <c r="AN103" s="25">
        <f t="shared" ca="1" si="169"/>
        <v>-1.7524084234346782</v>
      </c>
      <c r="AO103" s="25">
        <f t="shared" ca="1" si="169"/>
        <v>-1.8049851082002502</v>
      </c>
      <c r="AP103">
        <f ca="1">-'MitTable(LMDI I)DEq'!F$3</f>
        <v>-1.8575617929658228</v>
      </c>
      <c r="AQ103" s="25">
        <f t="shared" ref="AQ103:AY103" ca="1" si="170">AP103+(($AZ103-$AP103)/($AZ$75-$AP$75))</f>
        <v>-1.9382679127929767</v>
      </c>
      <c r="AR103" s="25">
        <f t="shared" ca="1" si="170"/>
        <v>-2.0189740326201306</v>
      </c>
      <c r="AS103" s="25">
        <f t="shared" ca="1" si="170"/>
        <v>-2.0996801524472843</v>
      </c>
      <c r="AT103" s="25">
        <f t="shared" ca="1" si="170"/>
        <v>-2.180386272274438</v>
      </c>
      <c r="AU103" s="25">
        <f t="shared" ca="1" si="170"/>
        <v>-2.2610923921015917</v>
      </c>
      <c r="AV103" s="25">
        <f t="shared" ca="1" si="170"/>
        <v>-2.3417985119287454</v>
      </c>
      <c r="AW103" s="25">
        <f t="shared" ca="1" si="170"/>
        <v>-2.4225046317558991</v>
      </c>
      <c r="AX103" s="25">
        <f t="shared" ca="1" si="170"/>
        <v>-2.5032107515830528</v>
      </c>
      <c r="AY103" s="25">
        <f t="shared" ca="1" si="170"/>
        <v>-2.5839168714102065</v>
      </c>
      <c r="AZ103">
        <f ca="1">-'MitTable(LMDI I)DEq'!G$3</f>
        <v>-2.6646229912373616</v>
      </c>
      <c r="BA103" s="25">
        <f t="shared" ref="BA103:BI103" ca="1" si="171">AZ103+(($BJ103-$AZ103)/($BJ$75-$AZ$75))</f>
        <v>-2.7720299170950704</v>
      </c>
      <c r="BB103" s="25">
        <f t="shared" ca="1" si="171"/>
        <v>-2.8794368429527792</v>
      </c>
      <c r="BC103" s="25">
        <f t="shared" ca="1" si="171"/>
        <v>-2.9868437688104881</v>
      </c>
      <c r="BD103" s="25">
        <f t="shared" ca="1" si="171"/>
        <v>-3.0942506946681969</v>
      </c>
      <c r="BE103" s="25">
        <f t="shared" ca="1" si="171"/>
        <v>-3.2016576205259057</v>
      </c>
      <c r="BF103" s="25">
        <f t="shared" ca="1" si="171"/>
        <v>-3.3090645463836146</v>
      </c>
      <c r="BG103" s="25">
        <f t="shared" ca="1" si="171"/>
        <v>-3.4164714722413234</v>
      </c>
      <c r="BH103" s="25">
        <f t="shared" ca="1" si="171"/>
        <v>-3.5238783980990322</v>
      </c>
      <c r="BI103" s="25">
        <f t="shared" ca="1" si="171"/>
        <v>-3.6312853239567411</v>
      </c>
      <c r="BJ103">
        <f ca="1">-'MitTable(LMDI I)DEq'!H$3</f>
        <v>-3.7386922498144504</v>
      </c>
      <c r="BK103" s="25">
        <f t="shared" ref="BK103:BS103" ca="1" si="172">BJ103+(($BT103-$BJ103)/($BT$75-$BJ$75))</f>
        <v>-3.8407169225304498</v>
      </c>
      <c r="BL103" s="25">
        <f t="shared" ca="1" si="172"/>
        <v>-3.9427415952464493</v>
      </c>
      <c r="BM103" s="25">
        <f t="shared" ca="1" si="172"/>
        <v>-4.0447662679624488</v>
      </c>
      <c r="BN103" s="25">
        <f t="shared" ca="1" si="172"/>
        <v>-4.1467909406784482</v>
      </c>
      <c r="BO103" s="25">
        <f t="shared" ca="1" si="172"/>
        <v>-4.2488156133944477</v>
      </c>
      <c r="BP103" s="25">
        <f t="shared" ca="1" si="172"/>
        <v>-4.3508402861104472</v>
      </c>
      <c r="BQ103" s="25">
        <f t="shared" ca="1" si="172"/>
        <v>-4.4528649588264466</v>
      </c>
      <c r="BR103" s="25">
        <f t="shared" ca="1" si="172"/>
        <v>-4.5548896315424461</v>
      </c>
      <c r="BS103" s="25">
        <f t="shared" ca="1" si="172"/>
        <v>-4.6569143042584455</v>
      </c>
      <c r="BT103">
        <f ca="1">-'MitTable(LMDI I)DEq'!I$3</f>
        <v>-4.758938976974445</v>
      </c>
      <c r="BU103" s="25">
        <f t="shared" ref="BU103:CC103" ca="1" si="173">BT103+(($CD103-$BT103)/($CD$75-$BT$75))</f>
        <v>-4.8812305426863789</v>
      </c>
      <c r="BV103" s="25">
        <f t="shared" ca="1" si="173"/>
        <v>-5.0035221083983128</v>
      </c>
      <c r="BW103" s="25">
        <f t="shared" ca="1" si="173"/>
        <v>-5.1258136741102467</v>
      </c>
      <c r="BX103" s="25">
        <f t="shared" ca="1" si="173"/>
        <v>-5.2481052398221806</v>
      </c>
      <c r="BY103" s="25">
        <f t="shared" ca="1" si="173"/>
        <v>-5.3703968055341145</v>
      </c>
      <c r="BZ103" s="25">
        <f t="shared" ca="1" si="173"/>
        <v>-5.4926883712460484</v>
      </c>
      <c r="CA103" s="25">
        <f t="shared" ca="1" si="173"/>
        <v>-5.6149799369579823</v>
      </c>
      <c r="CB103" s="25">
        <f t="shared" ca="1" si="173"/>
        <v>-5.7372715026699161</v>
      </c>
      <c r="CC103" s="25">
        <f t="shared" ca="1" si="173"/>
        <v>-5.85956306838185</v>
      </c>
      <c r="CD103">
        <f ca="1">-'MitTable(LMDI I)DEq'!J$3</f>
        <v>-5.9818546340937848</v>
      </c>
      <c r="CE103" s="25">
        <f t="shared" ref="CE103:CM103" ca="1" si="174">CD103+(($CN103-$CD103)/($CN$75-$CD$75))</f>
        <v>-6.1695318733043027</v>
      </c>
      <c r="CF103" s="25">
        <f t="shared" ca="1" si="174"/>
        <v>-6.3572091125148207</v>
      </c>
      <c r="CG103" s="25">
        <f t="shared" ca="1" si="174"/>
        <v>-6.5448863517253386</v>
      </c>
      <c r="CH103" s="25">
        <f t="shared" ca="1" si="174"/>
        <v>-6.7325635909358565</v>
      </c>
      <c r="CI103" s="25">
        <f t="shared" ca="1" si="174"/>
        <v>-6.9202408301463745</v>
      </c>
      <c r="CJ103" s="25">
        <f t="shared" ca="1" si="174"/>
        <v>-7.1079180693568924</v>
      </c>
      <c r="CK103" s="25">
        <f t="shared" ca="1" si="174"/>
        <v>-7.2955953085674103</v>
      </c>
      <c r="CL103" s="25">
        <f t="shared" ca="1" si="174"/>
        <v>-7.4832725477779283</v>
      </c>
      <c r="CM103" s="25">
        <f t="shared" ca="1" si="174"/>
        <v>-7.6709497869884462</v>
      </c>
      <c r="CN103">
        <f ca="1">-'MitTable(LMDI I)DEq'!K$3</f>
        <v>-7.858627026198965</v>
      </c>
    </row>
    <row r="104" spans="1:92" x14ac:dyDescent="0.2">
      <c r="A104" s="212" t="s">
        <v>232</v>
      </c>
      <c r="B104">
        <f ca="1">-'MitTable(LMDI I)DEq'!B$4</f>
        <v>0.21416754134207142</v>
      </c>
      <c r="C104" s="25">
        <f t="shared" ref="C104:K104" ca="1" si="175">B104+(($L104-$B104)/($L$75-$B$75))</f>
        <v>0.23960019475821651</v>
      </c>
      <c r="D104" s="25">
        <f t="shared" ca="1" si="175"/>
        <v>0.26503284817436162</v>
      </c>
      <c r="E104" s="25">
        <f t="shared" ca="1" si="175"/>
        <v>0.29046550159050671</v>
      </c>
      <c r="F104" s="25">
        <f t="shared" ca="1" si="175"/>
        <v>0.3158981550066518</v>
      </c>
      <c r="G104" s="25">
        <f t="shared" ca="1" si="175"/>
        <v>0.34133080842279689</v>
      </c>
      <c r="H104" s="25">
        <f t="shared" ca="1" si="175"/>
        <v>0.36676346183894198</v>
      </c>
      <c r="I104" s="25">
        <f t="shared" ca="1" si="175"/>
        <v>0.39219611525508707</v>
      </c>
      <c r="J104" s="25">
        <f t="shared" ca="1" si="175"/>
        <v>0.41762876867123216</v>
      </c>
      <c r="K104" s="25">
        <f t="shared" ca="1" si="175"/>
        <v>0.44306142208737725</v>
      </c>
      <c r="L104">
        <f ca="1">-'MitTable(LMDI I)DEq'!C$4</f>
        <v>0.4684940755035224</v>
      </c>
      <c r="M104" s="25">
        <f t="shared" ref="M104:U104" ca="1" si="176">L104+(($V104-$L104)/($V$75-$L$75))</f>
        <v>0.49158931477466261</v>
      </c>
      <c r="N104" s="25">
        <f t="shared" ca="1" si="176"/>
        <v>0.51468455404580282</v>
      </c>
      <c r="O104" s="25">
        <f t="shared" ca="1" si="176"/>
        <v>0.53777979331694303</v>
      </c>
      <c r="P104" s="25">
        <f t="shared" ca="1" si="176"/>
        <v>0.56087503258808324</v>
      </c>
      <c r="Q104" s="25">
        <f t="shared" ca="1" si="176"/>
        <v>0.58397027185922346</v>
      </c>
      <c r="R104" s="25">
        <f t="shared" ca="1" si="176"/>
        <v>0.60706551113036367</v>
      </c>
      <c r="S104" s="25">
        <f t="shared" ca="1" si="176"/>
        <v>0.63016075040150388</v>
      </c>
      <c r="T104" s="25">
        <f t="shared" ca="1" si="176"/>
        <v>0.65325598967264409</v>
      </c>
      <c r="U104" s="25">
        <f t="shared" ca="1" si="176"/>
        <v>0.6763512289437843</v>
      </c>
      <c r="V104">
        <f ca="1">-'MitTable(LMDI I)DEq'!D$4</f>
        <v>0.69944646821492462</v>
      </c>
      <c r="W104" s="25">
        <f t="shared" ref="W104:AE104" ca="1" si="177">V104+(($AF104-$V104)/($AF$75-$V$75))</f>
        <v>0.71146599803849431</v>
      </c>
      <c r="X104" s="25">
        <f t="shared" ca="1" si="177"/>
        <v>0.72348552786206399</v>
      </c>
      <c r="Y104" s="25">
        <f t="shared" ca="1" si="177"/>
        <v>0.73550505768563368</v>
      </c>
      <c r="Z104" s="25">
        <f t="shared" ca="1" si="177"/>
        <v>0.74752458750920336</v>
      </c>
      <c r="AA104" s="25">
        <f t="shared" ca="1" si="177"/>
        <v>0.75954411733277305</v>
      </c>
      <c r="AB104" s="25">
        <f t="shared" ca="1" si="177"/>
        <v>0.77156364715634274</v>
      </c>
      <c r="AC104" s="25">
        <f t="shared" ca="1" si="177"/>
        <v>0.78358317697991242</v>
      </c>
      <c r="AD104" s="25">
        <f t="shared" ca="1" si="177"/>
        <v>0.79560270680348211</v>
      </c>
      <c r="AE104" s="25">
        <f t="shared" ca="1" si="177"/>
        <v>0.80762223662705179</v>
      </c>
      <c r="AF104">
        <f ca="1">-'MitTable(LMDI I)DEq'!E$4</f>
        <v>0.81964176645062115</v>
      </c>
      <c r="AG104" s="25">
        <f t="shared" ref="AG104:AO104" ca="1" si="178">AF104+(($AP104-$AF104)/($AP$75-$AF$75))</f>
        <v>0.83630435301435313</v>
      </c>
      <c r="AH104" s="25">
        <f t="shared" ca="1" si="178"/>
        <v>0.85296693957808511</v>
      </c>
      <c r="AI104" s="25">
        <f t="shared" ca="1" si="178"/>
        <v>0.8696295261418171</v>
      </c>
      <c r="AJ104" s="25">
        <f t="shared" ca="1" si="178"/>
        <v>0.88629211270554908</v>
      </c>
      <c r="AK104" s="25">
        <f t="shared" ca="1" si="178"/>
        <v>0.90295469926928107</v>
      </c>
      <c r="AL104" s="25">
        <f t="shared" ca="1" si="178"/>
        <v>0.91961728583301305</v>
      </c>
      <c r="AM104" s="25">
        <f t="shared" ca="1" si="178"/>
        <v>0.93627987239674504</v>
      </c>
      <c r="AN104" s="25">
        <f t="shared" ca="1" si="178"/>
        <v>0.95294245896047702</v>
      </c>
      <c r="AO104" s="25">
        <f t="shared" ca="1" si="178"/>
        <v>0.96960504552420901</v>
      </c>
      <c r="AP104">
        <f ca="1">-'MitTable(LMDI I)DEq'!F$4</f>
        <v>0.9862676320879411</v>
      </c>
      <c r="AQ104" s="25">
        <f t="shared" ref="AQ104:AY104" ca="1" si="179">AP104+(($AZ104-$AP104)/($AZ$75-$AP$75))</f>
        <v>1.0075369920368358</v>
      </c>
      <c r="AR104" s="25">
        <f t="shared" ca="1" si="179"/>
        <v>1.0288063519857304</v>
      </c>
      <c r="AS104" s="25">
        <f t="shared" ca="1" si="179"/>
        <v>1.0500757119346251</v>
      </c>
      <c r="AT104" s="25">
        <f t="shared" ca="1" si="179"/>
        <v>1.0713450718835198</v>
      </c>
      <c r="AU104" s="25">
        <f t="shared" ca="1" si="179"/>
        <v>1.0926144318324145</v>
      </c>
      <c r="AV104" s="25">
        <f t="shared" ca="1" si="179"/>
        <v>1.1138837917813091</v>
      </c>
      <c r="AW104" s="25">
        <f t="shared" ca="1" si="179"/>
        <v>1.1351531517302038</v>
      </c>
      <c r="AX104" s="25">
        <f t="shared" ca="1" si="179"/>
        <v>1.1564225116790985</v>
      </c>
      <c r="AY104" s="25">
        <f t="shared" ca="1" si="179"/>
        <v>1.1776918716279932</v>
      </c>
      <c r="AZ104">
        <f ca="1">-'MitTable(LMDI I)DEq'!G$4</f>
        <v>1.1989612315768883</v>
      </c>
      <c r="BA104" s="25">
        <f t="shared" ref="BA104:BI104" ca="1" si="180">AZ104+(($BJ104-$AZ104)/($BJ$75-$AZ$75))</f>
        <v>1.2173552995402319</v>
      </c>
      <c r="BB104" s="25">
        <f t="shared" ca="1" si="180"/>
        <v>1.2357493675035756</v>
      </c>
      <c r="BC104" s="25">
        <f t="shared" ca="1" si="180"/>
        <v>1.2541434354669192</v>
      </c>
      <c r="BD104" s="25">
        <f t="shared" ca="1" si="180"/>
        <v>1.2725375034302628</v>
      </c>
      <c r="BE104" s="25">
        <f t="shared" ca="1" si="180"/>
        <v>1.2909315713936065</v>
      </c>
      <c r="BF104" s="25">
        <f t="shared" ca="1" si="180"/>
        <v>1.3093256393569501</v>
      </c>
      <c r="BG104" s="25">
        <f t="shared" ca="1" si="180"/>
        <v>1.3277197073202938</v>
      </c>
      <c r="BH104" s="25">
        <f t="shared" ca="1" si="180"/>
        <v>1.3461137752836374</v>
      </c>
      <c r="BI104" s="25">
        <f t="shared" ca="1" si="180"/>
        <v>1.364507843246981</v>
      </c>
      <c r="BJ104">
        <f ca="1">-'MitTable(LMDI I)DEq'!H$4</f>
        <v>1.3829019112103245</v>
      </c>
      <c r="BK104" s="25">
        <f t="shared" ref="BK104:BS104" ca="1" si="181">BJ104+(($BT104-$BJ104)/($BT$75-$BJ$75))</f>
        <v>1.3845204324418503</v>
      </c>
      <c r="BL104" s="25">
        <f t="shared" ca="1" si="181"/>
        <v>1.3861389536733761</v>
      </c>
      <c r="BM104" s="25">
        <f t="shared" ca="1" si="181"/>
        <v>1.387757474904902</v>
      </c>
      <c r="BN104" s="25">
        <f t="shared" ca="1" si="181"/>
        <v>1.3893759961364278</v>
      </c>
      <c r="BO104" s="25">
        <f t="shared" ca="1" si="181"/>
        <v>1.3909945173679537</v>
      </c>
      <c r="BP104" s="25">
        <f t="shared" ca="1" si="181"/>
        <v>1.3926130385994795</v>
      </c>
      <c r="BQ104" s="25">
        <f t="shared" ca="1" si="181"/>
        <v>1.3942315598310053</v>
      </c>
      <c r="BR104" s="25">
        <f t="shared" ca="1" si="181"/>
        <v>1.3958500810625312</v>
      </c>
      <c r="BS104" s="25">
        <f t="shared" ca="1" si="181"/>
        <v>1.397468602294057</v>
      </c>
      <c r="BT104">
        <f ca="1">-'MitTable(LMDI I)DEq'!I$4</f>
        <v>1.3990871235255835</v>
      </c>
      <c r="BU104" s="25">
        <f t="shared" ref="BU104:CC104" ca="1" si="182">BT104+(($CD104-$BT104)/($CD$75-$BT$75))</f>
        <v>1.3920690659573089</v>
      </c>
      <c r="BV104" s="25">
        <f t="shared" ca="1" si="182"/>
        <v>1.3850510083890344</v>
      </c>
      <c r="BW104" s="25">
        <f t="shared" ca="1" si="182"/>
        <v>1.3780329508207598</v>
      </c>
      <c r="BX104" s="25">
        <f t="shared" ca="1" si="182"/>
        <v>1.3710148932524853</v>
      </c>
      <c r="BY104" s="25">
        <f t="shared" ca="1" si="182"/>
        <v>1.3639968356842107</v>
      </c>
      <c r="BZ104" s="25">
        <f t="shared" ca="1" si="182"/>
        <v>1.3569787781159361</v>
      </c>
      <c r="CA104" s="25">
        <f t="shared" ca="1" si="182"/>
        <v>1.3499607205476616</v>
      </c>
      <c r="CB104" s="25">
        <f t="shared" ca="1" si="182"/>
        <v>1.342942662979387</v>
      </c>
      <c r="CC104" s="25">
        <f t="shared" ca="1" si="182"/>
        <v>1.3359246054111125</v>
      </c>
      <c r="CD104">
        <f ca="1">-'MitTable(LMDI I)DEq'!J$4</f>
        <v>1.3289065478428386</v>
      </c>
      <c r="CE104" s="25">
        <f t="shared" ref="CE104:CM104" ca="1" si="183">CD104+(($CN104-$CD104)/($CN$75-$CD$75))</f>
        <v>1.3212476596466567</v>
      </c>
      <c r="CF104" s="25">
        <f t="shared" ca="1" si="183"/>
        <v>1.3135887714504748</v>
      </c>
      <c r="CG104" s="25">
        <f t="shared" ca="1" si="183"/>
        <v>1.3059298832542929</v>
      </c>
      <c r="CH104" s="25">
        <f t="shared" ca="1" si="183"/>
        <v>1.2982709950581111</v>
      </c>
      <c r="CI104" s="25">
        <f t="shared" ca="1" si="183"/>
        <v>1.2906121068619292</v>
      </c>
      <c r="CJ104" s="25">
        <f t="shared" ca="1" si="183"/>
        <v>1.2829532186657473</v>
      </c>
      <c r="CK104" s="25">
        <f t="shared" ca="1" si="183"/>
        <v>1.2752943304695654</v>
      </c>
      <c r="CL104" s="25">
        <f t="shared" ca="1" si="183"/>
        <v>1.2676354422733835</v>
      </c>
      <c r="CM104" s="25">
        <f t="shared" ca="1" si="183"/>
        <v>1.2599765540772017</v>
      </c>
      <c r="CN104">
        <f ca="1">-'MitTable(LMDI I)DEq'!K$4</f>
        <v>1.2523176658810196</v>
      </c>
    </row>
    <row r="105" spans="1:92" x14ac:dyDescent="0.2">
      <c r="A105" s="212" t="s">
        <v>233</v>
      </c>
      <c r="B105">
        <f ca="1">-'MitTable(LMDI I)DEq'!B$5</f>
        <v>-0.22728013802802283</v>
      </c>
      <c r="C105" s="25">
        <f t="shared" ref="C105:K105" ca="1" si="184">B105+(($L105-$B105)/($L$75-$B$75))</f>
        <v>-0.68789938504920134</v>
      </c>
      <c r="D105" s="25">
        <f t="shared" ca="1" si="184"/>
        <v>-1.1485186320703797</v>
      </c>
      <c r="E105" s="25">
        <f t="shared" ca="1" si="184"/>
        <v>-1.6091378790915583</v>
      </c>
      <c r="F105" s="25">
        <f t="shared" ca="1" si="184"/>
        <v>-2.0697571261127368</v>
      </c>
      <c r="G105" s="25">
        <f t="shared" ca="1" si="184"/>
        <v>-2.5303763731339153</v>
      </c>
      <c r="H105" s="25">
        <f t="shared" ca="1" si="184"/>
        <v>-2.9909956201550938</v>
      </c>
      <c r="I105" s="25">
        <f t="shared" ca="1" si="184"/>
        <v>-3.4516148671762723</v>
      </c>
      <c r="J105" s="25">
        <f t="shared" ca="1" si="184"/>
        <v>-3.9122341141974508</v>
      </c>
      <c r="K105" s="25">
        <f t="shared" ca="1" si="184"/>
        <v>-4.3728533612186293</v>
      </c>
      <c r="L105">
        <f ca="1">-'MitTable(LMDI I)DEq'!C$5</f>
        <v>-4.8334726082398083</v>
      </c>
      <c r="M105" s="25">
        <f t="shared" ref="M105:U105" ca="1" si="185">L105+(($V105-$L105)/($V$75-$L$75))</f>
        <v>-5.7017125604414813</v>
      </c>
      <c r="N105" s="25">
        <f t="shared" ca="1" si="185"/>
        <v>-6.5699525126431544</v>
      </c>
      <c r="O105" s="25">
        <f t="shared" ca="1" si="185"/>
        <v>-7.4381924648448274</v>
      </c>
      <c r="P105" s="25">
        <f t="shared" ca="1" si="185"/>
        <v>-8.3064324170465014</v>
      </c>
      <c r="Q105" s="25">
        <f t="shared" ca="1" si="185"/>
        <v>-9.1746723692481744</v>
      </c>
      <c r="R105" s="25">
        <f t="shared" ca="1" si="185"/>
        <v>-10.042912321449847</v>
      </c>
      <c r="S105" s="25">
        <f t="shared" ca="1" si="185"/>
        <v>-10.911152273651521</v>
      </c>
      <c r="T105" s="25">
        <f t="shared" ca="1" si="185"/>
        <v>-11.779392225853194</v>
      </c>
      <c r="U105" s="25">
        <f t="shared" ca="1" si="185"/>
        <v>-12.647632178054867</v>
      </c>
      <c r="V105">
        <f ca="1">-'MitTable(LMDI I)DEq'!D$5</f>
        <v>-13.51587213025654</v>
      </c>
      <c r="W105" s="25">
        <f t="shared" ref="W105:AE105" ca="1" si="186">V105+(($AF105-$V105)/($AF$75-$V$75))</f>
        <v>-13.808956376215297</v>
      </c>
      <c r="X105" s="25">
        <f t="shared" ca="1" si="186"/>
        <v>-14.102040622174055</v>
      </c>
      <c r="Y105" s="25">
        <f t="shared" ca="1" si="186"/>
        <v>-14.395124868132813</v>
      </c>
      <c r="Z105" s="25">
        <f t="shared" ca="1" si="186"/>
        <v>-14.68820911409157</v>
      </c>
      <c r="AA105" s="25">
        <f t="shared" ca="1" si="186"/>
        <v>-14.981293360050328</v>
      </c>
      <c r="AB105" s="25">
        <f t="shared" ca="1" si="186"/>
        <v>-15.274377606009086</v>
      </c>
      <c r="AC105" s="25">
        <f t="shared" ca="1" si="186"/>
        <v>-15.567461851967844</v>
      </c>
      <c r="AD105" s="25">
        <f t="shared" ca="1" si="186"/>
        <v>-15.860546097926601</v>
      </c>
      <c r="AE105" s="25">
        <f t="shared" ca="1" si="186"/>
        <v>-16.153630343885357</v>
      </c>
      <c r="AF105">
        <f ca="1">-'MitTable(LMDI I)DEq'!E$5</f>
        <v>-16.44671458984411</v>
      </c>
      <c r="AG105" s="25">
        <f t="shared" ref="AG105:AO105" ca="1" si="187">AF105+(($AP105-$AF105)/($AP$75-$AF$75))</f>
        <v>-16.485549314474589</v>
      </c>
      <c r="AH105" s="25">
        <f t="shared" ca="1" si="187"/>
        <v>-16.524384039105069</v>
      </c>
      <c r="AI105" s="25">
        <f t="shared" ca="1" si="187"/>
        <v>-16.563218763735549</v>
      </c>
      <c r="AJ105" s="25">
        <f t="shared" ca="1" si="187"/>
        <v>-16.602053488366028</v>
      </c>
      <c r="AK105" s="25">
        <f t="shared" ca="1" si="187"/>
        <v>-16.640888212996508</v>
      </c>
      <c r="AL105" s="25">
        <f t="shared" ca="1" si="187"/>
        <v>-16.679722937626988</v>
      </c>
      <c r="AM105" s="25">
        <f t="shared" ca="1" si="187"/>
        <v>-16.718557662257467</v>
      </c>
      <c r="AN105" s="25">
        <f t="shared" ca="1" si="187"/>
        <v>-16.757392386887947</v>
      </c>
      <c r="AO105" s="25">
        <f t="shared" ca="1" si="187"/>
        <v>-16.796227111518427</v>
      </c>
      <c r="AP105">
        <f ca="1">-'MitTable(LMDI I)DEq'!F$5</f>
        <v>-16.835061836148903</v>
      </c>
      <c r="AQ105" s="25">
        <f t="shared" ref="AQ105:AY105" ca="1" si="188">AP105+(($AZ105-$AP105)/($AZ$75-$AP$75))</f>
        <v>-16.966509074770158</v>
      </c>
      <c r="AR105" s="25">
        <f t="shared" ca="1" si="188"/>
        <v>-17.097956313391414</v>
      </c>
      <c r="AS105" s="25">
        <f t="shared" ca="1" si="188"/>
        <v>-17.22940355201267</v>
      </c>
      <c r="AT105" s="25">
        <f t="shared" ca="1" si="188"/>
        <v>-17.360850790633926</v>
      </c>
      <c r="AU105" s="25">
        <f t="shared" ca="1" si="188"/>
        <v>-17.492298029255181</v>
      </c>
      <c r="AV105" s="25">
        <f t="shared" ca="1" si="188"/>
        <v>-17.623745267876437</v>
      </c>
      <c r="AW105" s="25">
        <f t="shared" ca="1" si="188"/>
        <v>-17.755192506497693</v>
      </c>
      <c r="AX105" s="25">
        <f t="shared" ca="1" si="188"/>
        <v>-17.886639745118948</v>
      </c>
      <c r="AY105" s="25">
        <f t="shared" ca="1" si="188"/>
        <v>-18.018086983740204</v>
      </c>
      <c r="AZ105">
        <f ca="1">-'MitTable(LMDI I)DEq'!G$5</f>
        <v>-18.149534222361474</v>
      </c>
      <c r="BA105" s="25">
        <f t="shared" ref="BA105:BI105" ca="1" si="189">AZ105+(($BJ105-$AZ105)/($BJ$75-$AZ$75))</f>
        <v>-18.29733138030624</v>
      </c>
      <c r="BB105" s="25">
        <f t="shared" ca="1" si="189"/>
        <v>-18.445128538251005</v>
      </c>
      <c r="BC105" s="25">
        <f t="shared" ca="1" si="189"/>
        <v>-18.592925696195771</v>
      </c>
      <c r="BD105" s="25">
        <f t="shared" ca="1" si="189"/>
        <v>-18.740722854140536</v>
      </c>
      <c r="BE105" s="25">
        <f t="shared" ca="1" si="189"/>
        <v>-18.888520012085301</v>
      </c>
      <c r="BF105" s="25">
        <f t="shared" ca="1" si="189"/>
        <v>-19.036317170030067</v>
      </c>
      <c r="BG105" s="25">
        <f t="shared" ca="1" si="189"/>
        <v>-19.184114327974832</v>
      </c>
      <c r="BH105" s="25">
        <f t="shared" ca="1" si="189"/>
        <v>-19.331911485919598</v>
      </c>
      <c r="BI105" s="25">
        <f t="shared" ca="1" si="189"/>
        <v>-19.479708643864363</v>
      </c>
      <c r="BJ105">
        <f ca="1">-'MitTable(LMDI I)DEq'!H$5</f>
        <v>-19.627505801809118</v>
      </c>
      <c r="BK105" s="25">
        <f t="shared" ref="BK105:BS105" ca="1" si="190">BJ105+(($BT105-$BJ105)/($BT$75-$BJ$75))</f>
        <v>-19.593608646321258</v>
      </c>
      <c r="BL105" s="25">
        <f t="shared" ca="1" si="190"/>
        <v>-19.559711490833397</v>
      </c>
      <c r="BM105" s="25">
        <f t="shared" ca="1" si="190"/>
        <v>-19.525814335345537</v>
      </c>
      <c r="BN105" s="25">
        <f t="shared" ca="1" si="190"/>
        <v>-19.491917179857676</v>
      </c>
      <c r="BO105" s="25">
        <f t="shared" ca="1" si="190"/>
        <v>-19.458020024369816</v>
      </c>
      <c r="BP105" s="25">
        <f t="shared" ca="1" si="190"/>
        <v>-19.424122868881955</v>
      </c>
      <c r="BQ105" s="25">
        <f t="shared" ca="1" si="190"/>
        <v>-19.390225713394095</v>
      </c>
      <c r="BR105" s="25">
        <f t="shared" ca="1" si="190"/>
        <v>-19.356328557906235</v>
      </c>
      <c r="BS105" s="25">
        <f t="shared" ca="1" si="190"/>
        <v>-19.322431402418374</v>
      </c>
      <c r="BT105">
        <f ca="1">-'MitTable(LMDI I)DEq'!I$5</f>
        <v>-19.288534246930521</v>
      </c>
      <c r="BU105" s="25">
        <f t="shared" ref="BU105:CC105" ca="1" si="191">BT105+(($CD105-$BT105)/($CD$75-$BT$75))</f>
        <v>-19.239920089533889</v>
      </c>
      <c r="BV105" s="25">
        <f t="shared" ca="1" si="191"/>
        <v>-19.191305932137254</v>
      </c>
      <c r="BW105" s="25">
        <f t="shared" ca="1" si="191"/>
        <v>-19.142691774740619</v>
      </c>
      <c r="BX105" s="25">
        <f t="shared" ca="1" si="191"/>
        <v>-19.094077617343984</v>
      </c>
      <c r="BY105" s="25">
        <f t="shared" ca="1" si="191"/>
        <v>-19.045463459947349</v>
      </c>
      <c r="BZ105" s="25">
        <f t="shared" ca="1" si="191"/>
        <v>-18.996849302550714</v>
      </c>
      <c r="CA105" s="25">
        <f t="shared" ca="1" si="191"/>
        <v>-18.948235145154079</v>
      </c>
      <c r="CB105" s="25">
        <f t="shared" ca="1" si="191"/>
        <v>-18.899620987757444</v>
      </c>
      <c r="CC105" s="25">
        <f t="shared" ca="1" si="191"/>
        <v>-18.851006830360809</v>
      </c>
      <c r="CD105">
        <f ca="1">-'MitTable(LMDI I)DEq'!J$5</f>
        <v>-18.802392672964189</v>
      </c>
      <c r="CE105" s="25">
        <f t="shared" ref="CE105:CM105" ca="1" si="192">CD105+(($CN105-$CD105)/($CN$75-$CD$75))</f>
        <v>-18.825230525306395</v>
      </c>
      <c r="CF105" s="25">
        <f t="shared" ca="1" si="192"/>
        <v>-18.848068377648602</v>
      </c>
      <c r="CG105" s="25">
        <f t="shared" ca="1" si="192"/>
        <v>-18.870906229990808</v>
      </c>
      <c r="CH105" s="25">
        <f t="shared" ca="1" si="192"/>
        <v>-18.893744082333015</v>
      </c>
      <c r="CI105" s="25">
        <f t="shared" ca="1" si="192"/>
        <v>-18.916581934675222</v>
      </c>
      <c r="CJ105" s="25">
        <f t="shared" ca="1" si="192"/>
        <v>-18.939419787017428</v>
      </c>
      <c r="CK105" s="25">
        <f t="shared" ca="1" si="192"/>
        <v>-18.962257639359635</v>
      </c>
      <c r="CL105" s="25">
        <f t="shared" ca="1" si="192"/>
        <v>-18.985095491701841</v>
      </c>
      <c r="CM105" s="25">
        <f t="shared" ca="1" si="192"/>
        <v>-19.007933344044048</v>
      </c>
      <c r="CN105">
        <f ca="1">-'MitTable(LMDI I)DEq'!K$5</f>
        <v>-19.030771196386244</v>
      </c>
    </row>
    <row r="106" spans="1:92" x14ac:dyDescent="0.2">
      <c r="A106" s="212" t="s">
        <v>270</v>
      </c>
      <c r="B106">
        <f ca="1">-'MitTable(LMDI I)DEq'!B$7</f>
        <v>0.11462076505914047</v>
      </c>
      <c r="C106" s="25">
        <f t="shared" ref="C106:K106" ca="1" si="193">B106+(($L106-$B106)/($L$75-$B$75))</f>
        <v>-7.0271455405077468E-2</v>
      </c>
      <c r="D106" s="25">
        <f t="shared" ca="1" si="193"/>
        <v>-0.25516367586929539</v>
      </c>
      <c r="E106" s="25">
        <f t="shared" ca="1" si="193"/>
        <v>-0.44005589633351333</v>
      </c>
      <c r="F106" s="25">
        <f t="shared" ca="1" si="193"/>
        <v>-0.62494811679773132</v>
      </c>
      <c r="G106" s="25">
        <f t="shared" ca="1" si="193"/>
        <v>-0.80984033726194926</v>
      </c>
      <c r="H106" s="25">
        <f t="shared" ca="1" si="193"/>
        <v>-0.9947325577261672</v>
      </c>
      <c r="I106" s="25">
        <f t="shared" ca="1" si="193"/>
        <v>-1.179624778190385</v>
      </c>
      <c r="J106" s="25">
        <f t="shared" ca="1" si="193"/>
        <v>-1.3645169986546031</v>
      </c>
      <c r="K106" s="25">
        <f t="shared" ca="1" si="193"/>
        <v>-1.5494092191188211</v>
      </c>
      <c r="L106">
        <f ca="1">-'MitTable(LMDI I)DEq'!C$7</f>
        <v>-1.734301439583039</v>
      </c>
      <c r="M106" s="25">
        <f t="shared" ref="M106:U106" ca="1" si="194">L106+(($V106-$L106)/($V$75-$L$75))</f>
        <v>-1.9332111001453203</v>
      </c>
      <c r="N106" s="25">
        <f t="shared" ca="1" si="194"/>
        <v>-2.1321207607076014</v>
      </c>
      <c r="O106" s="25">
        <f t="shared" ca="1" si="194"/>
        <v>-2.3310304212698827</v>
      </c>
      <c r="P106" s="25">
        <f t="shared" ca="1" si="194"/>
        <v>-2.529940081832164</v>
      </c>
      <c r="Q106" s="25">
        <f t="shared" ca="1" si="194"/>
        <v>-2.7288497423944453</v>
      </c>
      <c r="R106" s="25">
        <f t="shared" ca="1" si="194"/>
        <v>-2.9277594029567267</v>
      </c>
      <c r="S106" s="25">
        <f t="shared" ca="1" si="194"/>
        <v>-3.126669063519008</v>
      </c>
      <c r="T106" s="25">
        <f t="shared" ca="1" si="194"/>
        <v>-3.3255787240812893</v>
      </c>
      <c r="U106" s="25">
        <f t="shared" ca="1" si="194"/>
        <v>-3.5244883846435706</v>
      </c>
      <c r="V106">
        <f ca="1">-'MitTable(LMDI I)DEq'!D$7</f>
        <v>-3.7233980452058515</v>
      </c>
      <c r="W106" s="25">
        <f t="shared" ref="W106:AE106" ca="1" si="195">V106+(($AF106-$V106)/($AF$75-$V$75))</f>
        <v>-4.19959933051401</v>
      </c>
      <c r="X106" s="25">
        <f t="shared" ca="1" si="195"/>
        <v>-4.6758006158221681</v>
      </c>
      <c r="Y106" s="25">
        <f t="shared" ca="1" si="195"/>
        <v>-5.1520019011303262</v>
      </c>
      <c r="Z106" s="25">
        <f t="shared" ca="1" si="195"/>
        <v>-5.6282031864384843</v>
      </c>
      <c r="AA106" s="25">
        <f t="shared" ca="1" si="195"/>
        <v>-6.1044044717466424</v>
      </c>
      <c r="AB106" s="25">
        <f t="shared" ca="1" si="195"/>
        <v>-6.5806057570548004</v>
      </c>
      <c r="AC106" s="25">
        <f t="shared" ca="1" si="195"/>
        <v>-7.0568070423629585</v>
      </c>
      <c r="AD106" s="25">
        <f t="shared" ca="1" si="195"/>
        <v>-7.5330083276711166</v>
      </c>
      <c r="AE106" s="25">
        <f t="shared" ca="1" si="195"/>
        <v>-8.0092096129792747</v>
      </c>
      <c r="AF106">
        <f ca="1">-'MitTable(LMDI I)DEq'!E$7</f>
        <v>-8.4854108982874337</v>
      </c>
      <c r="AG106" s="25">
        <f t="shared" ref="AG106:AO106" ca="1" si="196">AF106+(($AP106-$AF106)/($AP$75-$AF$75))</f>
        <v>-9.0256246295828806</v>
      </c>
      <c r="AH106" s="25">
        <f t="shared" ca="1" si="196"/>
        <v>-9.5658383608783275</v>
      </c>
      <c r="AI106" s="25">
        <f t="shared" ca="1" si="196"/>
        <v>-10.106052092173774</v>
      </c>
      <c r="AJ106" s="25">
        <f t="shared" ca="1" si="196"/>
        <v>-10.646265823469221</v>
      </c>
      <c r="AK106" s="25">
        <f t="shared" ca="1" si="196"/>
        <v>-11.186479554764668</v>
      </c>
      <c r="AL106" s="25">
        <f t="shared" ca="1" si="196"/>
        <v>-11.726693286060115</v>
      </c>
      <c r="AM106" s="25">
        <f t="shared" ca="1" si="196"/>
        <v>-12.266907017355562</v>
      </c>
      <c r="AN106" s="25">
        <f t="shared" ca="1" si="196"/>
        <v>-12.807120748651009</v>
      </c>
      <c r="AO106" s="25">
        <f t="shared" ca="1" si="196"/>
        <v>-13.347334479946456</v>
      </c>
      <c r="AP106">
        <f ca="1">-'MitTable(LMDI I)DEq'!F$7</f>
        <v>-13.887548211241905</v>
      </c>
      <c r="AQ106" s="25">
        <f t="shared" ref="AQ106:AY106" ca="1" si="197">AP106+(($AZ106-$AP106)/($AZ$75-$AP$75))</f>
        <v>-14.191568616814791</v>
      </c>
      <c r="AR106" s="25">
        <f t="shared" ca="1" si="197"/>
        <v>-14.495589022387676</v>
      </c>
      <c r="AS106" s="25">
        <f t="shared" ca="1" si="197"/>
        <v>-14.799609427960561</v>
      </c>
      <c r="AT106" s="25">
        <f t="shared" ca="1" si="197"/>
        <v>-15.103629833533446</v>
      </c>
      <c r="AU106" s="25">
        <f t="shared" ca="1" si="197"/>
        <v>-15.407650239106331</v>
      </c>
      <c r="AV106" s="25">
        <f t="shared" ca="1" si="197"/>
        <v>-15.711670644679216</v>
      </c>
      <c r="AW106" s="25">
        <f t="shared" ca="1" si="197"/>
        <v>-16.015691050252101</v>
      </c>
      <c r="AX106" s="25">
        <f t="shared" ca="1" si="197"/>
        <v>-16.319711455824987</v>
      </c>
      <c r="AY106" s="25">
        <f t="shared" ca="1" si="197"/>
        <v>-16.623731861397872</v>
      </c>
      <c r="AZ106">
        <f ca="1">-'MitTable(LMDI I)DEq'!G$7</f>
        <v>-16.927752266970764</v>
      </c>
      <c r="BA106" s="25">
        <f t="shared" ref="BA106:BI106" ca="1" si="198">AZ106+(($BJ106-$AZ106)/($BJ$75-$AZ$75))</f>
        <v>-17.079182528830273</v>
      </c>
      <c r="BB106" s="25">
        <f t="shared" ca="1" si="198"/>
        <v>-17.230612790689783</v>
      </c>
      <c r="BC106" s="25">
        <f t="shared" ca="1" si="198"/>
        <v>-17.382043052549292</v>
      </c>
      <c r="BD106" s="25">
        <f t="shared" ca="1" si="198"/>
        <v>-17.533473314408802</v>
      </c>
      <c r="BE106" s="25">
        <f t="shared" ca="1" si="198"/>
        <v>-17.684903576268312</v>
      </c>
      <c r="BF106" s="25">
        <f t="shared" ca="1" si="198"/>
        <v>-17.836333838127821</v>
      </c>
      <c r="BG106" s="25">
        <f t="shared" ca="1" si="198"/>
        <v>-17.987764099987331</v>
      </c>
      <c r="BH106" s="25">
        <f t="shared" ca="1" si="198"/>
        <v>-18.13919436184684</v>
      </c>
      <c r="BI106" s="25">
        <f t="shared" ca="1" si="198"/>
        <v>-18.29062462370635</v>
      </c>
      <c r="BJ106">
        <f ca="1">-'MitTable(LMDI I)DEq'!H$7</f>
        <v>-18.442054885565867</v>
      </c>
      <c r="BK106" s="25">
        <f t="shared" ref="BK106:BS106" ca="1" si="199">BJ106+(($BT106-$BJ106)/($BT$75-$BJ$75))</f>
        <v>-18.727130794031073</v>
      </c>
      <c r="BL106" s="25">
        <f t="shared" ca="1" si="199"/>
        <v>-19.012206702496279</v>
      </c>
      <c r="BM106" s="25">
        <f t="shared" ca="1" si="199"/>
        <v>-19.297282610961485</v>
      </c>
      <c r="BN106" s="25">
        <f t="shared" ca="1" si="199"/>
        <v>-19.582358519426691</v>
      </c>
      <c r="BO106" s="25">
        <f t="shared" ca="1" si="199"/>
        <v>-19.867434427891897</v>
      </c>
      <c r="BP106" s="25">
        <f t="shared" ca="1" si="199"/>
        <v>-20.152510336357103</v>
      </c>
      <c r="BQ106" s="25">
        <f t="shared" ca="1" si="199"/>
        <v>-20.43758624482231</v>
      </c>
      <c r="BR106" s="25">
        <f t="shared" ca="1" si="199"/>
        <v>-20.722662153287516</v>
      </c>
      <c r="BS106" s="25">
        <f t="shared" ca="1" si="199"/>
        <v>-21.007738061752722</v>
      </c>
      <c r="BT106">
        <f ca="1">-'MitTable(LMDI I)DEq'!I$7</f>
        <v>-21.292813970217924</v>
      </c>
      <c r="BU106" s="25">
        <f t="shared" ref="BU106:CC106" ca="1" si="200">BT106+(($CD106-$BT106)/($CD$75-$BT$75))</f>
        <v>-21.617635562671012</v>
      </c>
      <c r="BV106" s="25">
        <f t="shared" ca="1" si="200"/>
        <v>-21.942457155124099</v>
      </c>
      <c r="BW106" s="25">
        <f t="shared" ca="1" si="200"/>
        <v>-22.267278747577187</v>
      </c>
      <c r="BX106" s="25">
        <f t="shared" ca="1" si="200"/>
        <v>-22.592100340030274</v>
      </c>
      <c r="BY106" s="25">
        <f t="shared" ca="1" si="200"/>
        <v>-22.916921932483362</v>
      </c>
      <c r="BZ106" s="25">
        <f t="shared" ca="1" si="200"/>
        <v>-23.241743524936449</v>
      </c>
      <c r="CA106" s="25">
        <f t="shared" ca="1" si="200"/>
        <v>-23.566565117389537</v>
      </c>
      <c r="CB106" s="25">
        <f t="shared" ca="1" si="200"/>
        <v>-23.891386709842624</v>
      </c>
      <c r="CC106" s="25">
        <f t="shared" ca="1" si="200"/>
        <v>-24.216208302295712</v>
      </c>
      <c r="CD106">
        <f ca="1">-'MitTable(LMDI I)DEq'!J$7</f>
        <v>-24.541029894748814</v>
      </c>
      <c r="CE106" s="25">
        <f t="shared" ref="CE106:CM106" ca="1" si="201">CD106+(($CN106-$CD106)/($CN$75-$CD$75))</f>
        <v>-24.774085614439059</v>
      </c>
      <c r="CF106" s="25">
        <f t="shared" ca="1" si="201"/>
        <v>-25.007141334129305</v>
      </c>
      <c r="CG106" s="25">
        <f t="shared" ca="1" si="201"/>
        <v>-25.24019705381955</v>
      </c>
      <c r="CH106" s="25">
        <f t="shared" ca="1" si="201"/>
        <v>-25.473252773509795</v>
      </c>
      <c r="CI106" s="25">
        <f t="shared" ca="1" si="201"/>
        <v>-25.706308493200041</v>
      </c>
      <c r="CJ106" s="25">
        <f t="shared" ca="1" si="201"/>
        <v>-25.939364212890286</v>
      </c>
      <c r="CK106" s="25">
        <f t="shared" ca="1" si="201"/>
        <v>-26.172419932580532</v>
      </c>
      <c r="CL106" s="25">
        <f t="shared" ca="1" si="201"/>
        <v>-26.405475652270777</v>
      </c>
      <c r="CM106" s="25">
        <f t="shared" ca="1" si="201"/>
        <v>-26.638531371961022</v>
      </c>
      <c r="CN106">
        <f ca="1">-'MitTable(LMDI I)DEq'!K$7</f>
        <v>-26.871587091651264</v>
      </c>
    </row>
    <row r="107" spans="1:92" x14ac:dyDescent="0.2">
      <c r="A107" s="212" t="s">
        <v>271</v>
      </c>
      <c r="B107">
        <f ca="1">-'MitTable(LMDI I)DEq'!B$8</f>
        <v>-3.4435258669839666E-2</v>
      </c>
      <c r="C107" s="25">
        <f t="shared" ref="C107:K107" ca="1" si="202">B107+(($L107-$B107)/($L$75-$B$75))</f>
        <v>-0.10143270447672076</v>
      </c>
      <c r="D107" s="25">
        <f t="shared" ca="1" si="202"/>
        <v>-0.16843015028360186</v>
      </c>
      <c r="E107" s="25">
        <f t="shared" ca="1" si="202"/>
        <v>-0.23542759609048297</v>
      </c>
      <c r="F107" s="25">
        <f t="shared" ca="1" si="202"/>
        <v>-0.30242504189736408</v>
      </c>
      <c r="G107" s="25">
        <f t="shared" ca="1" si="202"/>
        <v>-0.36942248770424518</v>
      </c>
      <c r="H107" s="25">
        <f t="shared" ca="1" si="202"/>
        <v>-0.43641993351112629</v>
      </c>
      <c r="I107" s="25">
        <f t="shared" ca="1" si="202"/>
        <v>-0.50341737931800734</v>
      </c>
      <c r="J107" s="25">
        <f t="shared" ca="1" si="202"/>
        <v>-0.57041482512488839</v>
      </c>
      <c r="K107" s="25">
        <f t="shared" ca="1" si="202"/>
        <v>-0.63741227093176944</v>
      </c>
      <c r="L107">
        <f ca="1">-'MitTable(LMDI I)DEq'!C$8</f>
        <v>-0.7044097167386506</v>
      </c>
      <c r="M107" s="25">
        <f t="shared" ref="M107:U107" ca="1" si="203">L107+(($V107-$L107)/($V$75-$L$75))</f>
        <v>-0.84782866046536653</v>
      </c>
      <c r="N107" s="25">
        <f t="shared" ca="1" si="203"/>
        <v>-0.99124760419208247</v>
      </c>
      <c r="O107" s="25">
        <f t="shared" ca="1" si="203"/>
        <v>-1.1346665479187985</v>
      </c>
      <c r="P107" s="25">
        <f t="shared" ca="1" si="203"/>
        <v>-1.2780854916455144</v>
      </c>
      <c r="Q107" s="25">
        <f t="shared" ca="1" si="203"/>
        <v>-1.4215044353722304</v>
      </c>
      <c r="R107" s="25">
        <f t="shared" ca="1" si="203"/>
        <v>-1.5649233790989463</v>
      </c>
      <c r="S107" s="25">
        <f t="shared" ca="1" si="203"/>
        <v>-1.7083423228256622</v>
      </c>
      <c r="T107" s="25">
        <f t="shared" ca="1" si="203"/>
        <v>-1.8517612665523782</v>
      </c>
      <c r="U107" s="25">
        <f t="shared" ca="1" si="203"/>
        <v>-1.9951802102790941</v>
      </c>
      <c r="V107">
        <f ca="1">-'MitTable(LMDI I)DEq'!D$8</f>
        <v>-2.13859915400581</v>
      </c>
      <c r="W107" s="25">
        <f t="shared" ref="W107:AE107" ca="1" si="204">V107+(($AF107-$V107)/($AF$75-$V$75))</f>
        <v>-2.3533489604305697</v>
      </c>
      <c r="X107" s="25">
        <f t="shared" ca="1" si="204"/>
        <v>-2.5680987668553295</v>
      </c>
      <c r="Y107" s="25">
        <f t="shared" ca="1" si="204"/>
        <v>-2.7828485732800892</v>
      </c>
      <c r="Z107" s="25">
        <f t="shared" ca="1" si="204"/>
        <v>-2.9975983797048489</v>
      </c>
      <c r="AA107" s="25">
        <f t="shared" ca="1" si="204"/>
        <v>-3.2123481861296086</v>
      </c>
      <c r="AB107" s="25">
        <f t="shared" ca="1" si="204"/>
        <v>-3.4270979925543683</v>
      </c>
      <c r="AC107" s="25">
        <f t="shared" ca="1" si="204"/>
        <v>-3.641847798979128</v>
      </c>
      <c r="AD107" s="25">
        <f t="shared" ca="1" si="204"/>
        <v>-3.8565976054038877</v>
      </c>
      <c r="AE107" s="25">
        <f t="shared" ca="1" si="204"/>
        <v>-4.071347411828647</v>
      </c>
      <c r="AF107">
        <f ca="1">-'MitTable(LMDI I)DEq'!E$8</f>
        <v>-4.2860972182534063</v>
      </c>
      <c r="AG107" s="25">
        <f t="shared" ref="AG107:AO107" ca="1" si="205">AF107+(($AP107-$AF107)/($AP$75-$AF$75))</f>
        <v>-4.4691767955446648</v>
      </c>
      <c r="AH107" s="25">
        <f t="shared" ca="1" si="205"/>
        <v>-4.6522563728359234</v>
      </c>
      <c r="AI107" s="25">
        <f t="shared" ca="1" si="205"/>
        <v>-4.835335950127182</v>
      </c>
      <c r="AJ107" s="25">
        <f t="shared" ca="1" si="205"/>
        <v>-5.0184155274184405</v>
      </c>
      <c r="AK107" s="25">
        <f t="shared" ca="1" si="205"/>
        <v>-5.2014951047096991</v>
      </c>
      <c r="AL107" s="25">
        <f t="shared" ca="1" si="205"/>
        <v>-5.3845746820009577</v>
      </c>
      <c r="AM107" s="25">
        <f t="shared" ca="1" si="205"/>
        <v>-5.5676542592922162</v>
      </c>
      <c r="AN107" s="25">
        <f t="shared" ca="1" si="205"/>
        <v>-5.7507338365834748</v>
      </c>
      <c r="AO107" s="25">
        <f t="shared" ca="1" si="205"/>
        <v>-5.9338134138747334</v>
      </c>
      <c r="AP107">
        <f ca="1">-'MitTable(LMDI I)DEq'!F$8</f>
        <v>-6.1168929911659919</v>
      </c>
      <c r="AQ107" s="25">
        <f t="shared" ref="AQ107:AY107" ca="1" si="206">AP107+(($AZ107-$AP107)/($AZ$75-$AP$75))</f>
        <v>-6.1766504351827844</v>
      </c>
      <c r="AR107" s="25">
        <f t="shared" ca="1" si="206"/>
        <v>-6.236407879199577</v>
      </c>
      <c r="AS107" s="25">
        <f t="shared" ca="1" si="206"/>
        <v>-6.2961653232163695</v>
      </c>
      <c r="AT107" s="25">
        <f t="shared" ca="1" si="206"/>
        <v>-6.355922767233162</v>
      </c>
      <c r="AU107" s="25">
        <f t="shared" ca="1" si="206"/>
        <v>-6.4156802112499545</v>
      </c>
      <c r="AV107" s="25">
        <f t="shared" ca="1" si="206"/>
        <v>-6.475437655266747</v>
      </c>
      <c r="AW107" s="25">
        <f t="shared" ca="1" si="206"/>
        <v>-6.5351950992835395</v>
      </c>
      <c r="AX107" s="25">
        <f t="shared" ca="1" si="206"/>
        <v>-6.594952543300332</v>
      </c>
      <c r="AY107" s="25">
        <f t="shared" ca="1" si="206"/>
        <v>-6.6547099873171245</v>
      </c>
      <c r="AZ107">
        <f ca="1">-'MitTable(LMDI I)DEq'!G$8</f>
        <v>-6.7144674313339143</v>
      </c>
      <c r="BA107" s="25">
        <f t="shared" ref="BA107:BI107" ca="1" si="207">AZ107+(($BJ107-$AZ107)/($BJ$75-$AZ$75))</f>
        <v>-6.7947963124087112</v>
      </c>
      <c r="BB107" s="25">
        <f t="shared" ca="1" si="207"/>
        <v>-6.875125193483508</v>
      </c>
      <c r="BC107" s="25">
        <f t="shared" ca="1" si="207"/>
        <v>-6.9554540745583049</v>
      </c>
      <c r="BD107" s="25">
        <f t="shared" ca="1" si="207"/>
        <v>-7.0357829556331017</v>
      </c>
      <c r="BE107" s="25">
        <f t="shared" ca="1" si="207"/>
        <v>-7.1161118367078986</v>
      </c>
      <c r="BF107" s="25">
        <f t="shared" ca="1" si="207"/>
        <v>-7.1964407177826955</v>
      </c>
      <c r="BG107" s="25">
        <f t="shared" ca="1" si="207"/>
        <v>-7.2767695988574923</v>
      </c>
      <c r="BH107" s="25">
        <f t="shared" ca="1" si="207"/>
        <v>-7.3570984799322892</v>
      </c>
      <c r="BI107" s="25">
        <f t="shared" ca="1" si="207"/>
        <v>-7.437427361007086</v>
      </c>
      <c r="BJ107">
        <f ca="1">-'MitTable(LMDI I)DEq'!H$8</f>
        <v>-7.5177562420818846</v>
      </c>
      <c r="BK107" s="25">
        <f t="shared" ref="BK107:BS107" ca="1" si="208">BJ107+(($BT107-$BJ107)/($BT$75-$BJ$75))</f>
        <v>-7.6041143900750834</v>
      </c>
      <c r="BL107" s="25">
        <f t="shared" ca="1" si="208"/>
        <v>-7.6904725380682821</v>
      </c>
      <c r="BM107" s="25">
        <f t="shared" ca="1" si="208"/>
        <v>-7.7768306860614809</v>
      </c>
      <c r="BN107" s="25">
        <f t="shared" ca="1" si="208"/>
        <v>-7.8631888340546796</v>
      </c>
      <c r="BO107" s="25">
        <f t="shared" ca="1" si="208"/>
        <v>-7.9495469820478784</v>
      </c>
      <c r="BP107" s="25">
        <f t="shared" ca="1" si="208"/>
        <v>-8.0359051300410762</v>
      </c>
      <c r="BQ107" s="25">
        <f t="shared" ca="1" si="208"/>
        <v>-8.1222632780342749</v>
      </c>
      <c r="BR107" s="25">
        <f t="shared" ca="1" si="208"/>
        <v>-8.2086214260274737</v>
      </c>
      <c r="BS107" s="25">
        <f t="shared" ca="1" si="208"/>
        <v>-8.2949795740206724</v>
      </c>
      <c r="BT107">
        <f ca="1">-'MitTable(LMDI I)DEq'!I$8</f>
        <v>-8.3813377220138694</v>
      </c>
      <c r="BU107" s="25">
        <f t="shared" ref="BU107:CC107" ca="1" si="209">BT107+(($CD107-$BT107)/($CD$75-$BT$75))</f>
        <v>-8.4202100914294231</v>
      </c>
      <c r="BV107" s="25">
        <f t="shared" ca="1" si="209"/>
        <v>-8.4590824608449768</v>
      </c>
      <c r="BW107" s="25">
        <f t="shared" ca="1" si="209"/>
        <v>-8.4979548302605306</v>
      </c>
      <c r="BX107" s="25">
        <f t="shared" ca="1" si="209"/>
        <v>-8.5368271996760843</v>
      </c>
      <c r="BY107" s="25">
        <f t="shared" ca="1" si="209"/>
        <v>-8.575699569091638</v>
      </c>
      <c r="BZ107" s="25">
        <f t="shared" ca="1" si="209"/>
        <v>-8.6145719385071917</v>
      </c>
      <c r="CA107" s="25">
        <f t="shared" ca="1" si="209"/>
        <v>-8.6534443079227454</v>
      </c>
      <c r="CB107" s="25">
        <f t="shared" ca="1" si="209"/>
        <v>-8.6923166773382992</v>
      </c>
      <c r="CC107" s="25">
        <f t="shared" ca="1" si="209"/>
        <v>-8.7311890467538529</v>
      </c>
      <c r="CD107">
        <f ca="1">-'MitTable(LMDI I)DEq'!J$8</f>
        <v>-8.7700614161694102</v>
      </c>
      <c r="CE107" s="25">
        <f t="shared" ref="CE107:CM107" ca="1" si="210">CD107+(($CN107-$CD107)/($CN$75-$CD$75))</f>
        <v>-8.7816919502043262</v>
      </c>
      <c r="CF107" s="25">
        <f t="shared" ca="1" si="210"/>
        <v>-8.7933224842392441</v>
      </c>
      <c r="CG107" s="25">
        <f t="shared" ca="1" si="210"/>
        <v>-8.804953018274162</v>
      </c>
      <c r="CH107" s="25">
        <f t="shared" ca="1" si="210"/>
        <v>-8.8165835523090799</v>
      </c>
      <c r="CI107" s="25">
        <f t="shared" ca="1" si="210"/>
        <v>-8.8282140863439977</v>
      </c>
      <c r="CJ107" s="25">
        <f t="shared" ca="1" si="210"/>
        <v>-8.8398446203789156</v>
      </c>
      <c r="CK107" s="25">
        <f t="shared" ca="1" si="210"/>
        <v>-8.8514751544138335</v>
      </c>
      <c r="CL107" s="25">
        <f t="shared" ca="1" si="210"/>
        <v>-8.8631056884487514</v>
      </c>
      <c r="CM107" s="25">
        <f t="shared" ca="1" si="210"/>
        <v>-8.8747362224836692</v>
      </c>
      <c r="CN107">
        <f ca="1">-'MitTable(LMDI I)DEq'!K$8</f>
        <v>-8.88636675651858</v>
      </c>
    </row>
    <row r="108" spans="1:92" x14ac:dyDescent="0.2">
      <c r="A108" s="210" t="s">
        <v>336</v>
      </c>
      <c r="B108" s="25">
        <f t="shared" ref="B108:AG108" ca="1" si="211">B126-B85</f>
        <v>-5.2692492802930424E-4</v>
      </c>
      <c r="C108" s="25">
        <f t="shared" ca="1" si="211"/>
        <v>-2.3681250495913853E-2</v>
      </c>
      <c r="D108" s="25">
        <f t="shared" ca="1" si="211"/>
        <v>-4.6835576063798401E-2</v>
      </c>
      <c r="E108" s="25">
        <f t="shared" ca="1" si="211"/>
        <v>-6.9989901631682949E-2</v>
      </c>
      <c r="F108" s="25">
        <f t="shared" ca="1" si="211"/>
        <v>-9.3144227199567498E-2</v>
      </c>
      <c r="G108" s="25">
        <f t="shared" ca="1" si="211"/>
        <v>-0.11629855276745205</v>
      </c>
      <c r="H108" s="25">
        <f t="shared" ca="1" si="211"/>
        <v>-0.13945287833533659</v>
      </c>
      <c r="I108" s="25">
        <f t="shared" ca="1" si="211"/>
        <v>-0.16260720390322114</v>
      </c>
      <c r="J108" s="25">
        <f t="shared" ca="1" si="211"/>
        <v>-0.18576152947110547</v>
      </c>
      <c r="K108" s="25">
        <f t="shared" ca="1" si="211"/>
        <v>-0.20891585503899002</v>
      </c>
      <c r="L108" s="25">
        <f t="shared" ca="1" si="211"/>
        <v>-0.23207018060687301</v>
      </c>
      <c r="M108" s="25">
        <f t="shared" ca="1" si="211"/>
        <v>-0.23468346066656531</v>
      </c>
      <c r="N108" s="25">
        <f t="shared" ca="1" si="211"/>
        <v>-0.23729674072625762</v>
      </c>
      <c r="O108" s="25">
        <f t="shared" ca="1" si="211"/>
        <v>-0.23991002078594992</v>
      </c>
      <c r="P108" s="25">
        <f t="shared" ca="1" si="211"/>
        <v>-0.24252330084564244</v>
      </c>
      <c r="Q108" s="25">
        <f t="shared" ca="1" si="211"/>
        <v>-0.24513658090533474</v>
      </c>
      <c r="R108" s="25">
        <f t="shared" ca="1" si="211"/>
        <v>-0.24774986096502705</v>
      </c>
      <c r="S108" s="25">
        <f t="shared" ca="1" si="211"/>
        <v>-0.25036314102471935</v>
      </c>
      <c r="T108" s="25">
        <f t="shared" ca="1" si="211"/>
        <v>-0.25297642108441165</v>
      </c>
      <c r="U108" s="25">
        <f t="shared" ca="1" si="211"/>
        <v>-0.25558970114410395</v>
      </c>
      <c r="V108" s="25">
        <f t="shared" ca="1" si="211"/>
        <v>-0.25820298120379492</v>
      </c>
      <c r="W108" s="25">
        <f t="shared" ca="1" si="211"/>
        <v>-0.26235378533601805</v>
      </c>
      <c r="X108" s="25">
        <f t="shared" ca="1" si="211"/>
        <v>-0.26650458946824096</v>
      </c>
      <c r="Y108" s="25">
        <f t="shared" ca="1" si="211"/>
        <v>-0.27065539360046387</v>
      </c>
      <c r="Z108" s="25">
        <f t="shared" ca="1" si="211"/>
        <v>-0.274806197732687</v>
      </c>
      <c r="AA108" s="25">
        <f t="shared" ca="1" si="211"/>
        <v>-0.27895700186491013</v>
      </c>
      <c r="AB108" s="25">
        <f t="shared" ca="1" si="211"/>
        <v>-0.28310780599713303</v>
      </c>
      <c r="AC108" s="25">
        <f t="shared" ca="1" si="211"/>
        <v>-0.28725861012935594</v>
      </c>
      <c r="AD108" s="25">
        <f t="shared" ca="1" si="211"/>
        <v>-0.29140941426157907</v>
      </c>
      <c r="AE108" s="25">
        <f t="shared" ca="1" si="211"/>
        <v>-0.2955602183938022</v>
      </c>
      <c r="AF108" s="25">
        <f t="shared" ca="1" si="211"/>
        <v>-0.29971102252602577</v>
      </c>
      <c r="AG108" s="25">
        <f t="shared" ca="1" si="211"/>
        <v>-0.33173839036996156</v>
      </c>
      <c r="AH108" s="25">
        <f t="shared" ref="AH108:BM108" ca="1" si="212">AH126-AH85</f>
        <v>-0.36376575821389734</v>
      </c>
      <c r="AI108" s="25">
        <f t="shared" ca="1" si="212"/>
        <v>-0.3957931260578329</v>
      </c>
      <c r="AJ108" s="25">
        <f t="shared" ca="1" si="212"/>
        <v>-0.42782049390176868</v>
      </c>
      <c r="AK108" s="25">
        <f t="shared" ca="1" si="212"/>
        <v>-0.45984786174570447</v>
      </c>
      <c r="AL108" s="25">
        <f t="shared" ca="1" si="212"/>
        <v>-0.49187522958964003</v>
      </c>
      <c r="AM108" s="25">
        <f t="shared" ca="1" si="212"/>
        <v>-0.52390259743357581</v>
      </c>
      <c r="AN108" s="25">
        <f t="shared" ca="1" si="212"/>
        <v>-0.5559299652775116</v>
      </c>
      <c r="AO108" s="25">
        <f t="shared" ca="1" si="212"/>
        <v>-0.58795733312144738</v>
      </c>
      <c r="AP108" s="25">
        <f t="shared" ca="1" si="212"/>
        <v>-0.61998470096538449</v>
      </c>
      <c r="AQ108" s="25">
        <f t="shared" ca="1" si="212"/>
        <v>-0.66305968478651889</v>
      </c>
      <c r="AR108" s="25">
        <f t="shared" ca="1" si="212"/>
        <v>-0.70613466860765262</v>
      </c>
      <c r="AS108" s="25">
        <f t="shared" ca="1" si="212"/>
        <v>-0.74920965242878634</v>
      </c>
      <c r="AT108" s="25">
        <f t="shared" ca="1" si="212"/>
        <v>-0.79228463624992029</v>
      </c>
      <c r="AU108" s="25">
        <f t="shared" ca="1" si="212"/>
        <v>-0.83535962007105402</v>
      </c>
      <c r="AV108" s="25">
        <f t="shared" ca="1" si="212"/>
        <v>-0.87843460389218775</v>
      </c>
      <c r="AW108" s="25">
        <f t="shared" ca="1" si="212"/>
        <v>-0.92150958771332148</v>
      </c>
      <c r="AX108" s="25">
        <f t="shared" ca="1" si="212"/>
        <v>-0.9645845715344552</v>
      </c>
      <c r="AY108" s="25">
        <f t="shared" ca="1" si="212"/>
        <v>-1.0076595553555892</v>
      </c>
      <c r="AZ108" s="25">
        <f t="shared" ca="1" si="212"/>
        <v>-1.0507345391767253</v>
      </c>
      <c r="BA108" s="25">
        <f t="shared" ca="1" si="212"/>
        <v>-1.0390204004309145</v>
      </c>
      <c r="BB108" s="25">
        <f t="shared" ca="1" si="212"/>
        <v>-1.0273062616851039</v>
      </c>
      <c r="BC108" s="25">
        <f t="shared" ca="1" si="212"/>
        <v>-1.0155921229392932</v>
      </c>
      <c r="BD108" s="25">
        <f t="shared" ca="1" si="212"/>
        <v>-1.0038779841934828</v>
      </c>
      <c r="BE108" s="25">
        <f t="shared" ca="1" si="212"/>
        <v>-0.99216384544767222</v>
      </c>
      <c r="BF108" s="25">
        <f t="shared" ca="1" si="212"/>
        <v>-0.9804497067018616</v>
      </c>
      <c r="BG108" s="25">
        <f t="shared" ca="1" si="212"/>
        <v>-0.9687355679560512</v>
      </c>
      <c r="BH108" s="25">
        <f t="shared" ca="1" si="212"/>
        <v>-0.95702142921024058</v>
      </c>
      <c r="BI108" s="25">
        <f t="shared" ca="1" si="212"/>
        <v>-0.94530729046442996</v>
      </c>
      <c r="BJ108" s="25">
        <f t="shared" ca="1" si="212"/>
        <v>-0.93359315171862045</v>
      </c>
      <c r="BK108" s="25">
        <f t="shared" ca="1" si="212"/>
        <v>-0.93015359949361787</v>
      </c>
      <c r="BL108" s="25">
        <f t="shared" ca="1" si="212"/>
        <v>-0.92671404726861528</v>
      </c>
      <c r="BM108" s="25">
        <f t="shared" ca="1" si="212"/>
        <v>-0.92327449504361248</v>
      </c>
      <c r="BN108" s="25">
        <f t="shared" ref="BN108:CN108" ca="1" si="213">BN126-BN85</f>
        <v>-0.91983494281860989</v>
      </c>
      <c r="BO108" s="25">
        <f t="shared" ca="1" si="213"/>
        <v>-0.91639539059360731</v>
      </c>
      <c r="BP108" s="25">
        <f t="shared" ca="1" si="213"/>
        <v>-0.9129558383686045</v>
      </c>
      <c r="BQ108" s="25">
        <f t="shared" ca="1" si="213"/>
        <v>-0.90951628614360192</v>
      </c>
      <c r="BR108" s="25">
        <f t="shared" ca="1" si="213"/>
        <v>-0.90607673391859933</v>
      </c>
      <c r="BS108" s="25">
        <f t="shared" ca="1" si="213"/>
        <v>-0.90263718169359675</v>
      </c>
      <c r="BT108" s="25">
        <f t="shared" ca="1" si="213"/>
        <v>-0.89919762946859305</v>
      </c>
      <c r="BU108" s="25">
        <f t="shared" ca="1" si="213"/>
        <v>-0.95890614651046513</v>
      </c>
      <c r="BV108" s="25">
        <f t="shared" ca="1" si="213"/>
        <v>-1.0186146635523372</v>
      </c>
      <c r="BW108" s="25">
        <f t="shared" ca="1" si="213"/>
        <v>-1.0783231805942095</v>
      </c>
      <c r="BX108" s="25">
        <f t="shared" ca="1" si="213"/>
        <v>-1.1380316976360816</v>
      </c>
      <c r="BY108" s="25">
        <f t="shared" ca="1" si="213"/>
        <v>-1.1977402146779537</v>
      </c>
      <c r="BZ108" s="25">
        <f t="shared" ca="1" si="213"/>
        <v>-1.2574487317198257</v>
      </c>
      <c r="CA108" s="25">
        <f t="shared" ca="1" si="213"/>
        <v>-1.3171572487616978</v>
      </c>
      <c r="CB108" s="25">
        <f t="shared" ca="1" si="213"/>
        <v>-1.3768657658035701</v>
      </c>
      <c r="CC108" s="25">
        <f t="shared" ca="1" si="213"/>
        <v>-1.4365742828454422</v>
      </c>
      <c r="CD108" s="25">
        <f t="shared" ca="1" si="213"/>
        <v>-1.4962827998873158</v>
      </c>
      <c r="CE108" s="25">
        <f t="shared" ca="1" si="213"/>
        <v>-1.5768130832623382</v>
      </c>
      <c r="CF108" s="25">
        <f t="shared" ca="1" si="213"/>
        <v>-1.6573433666373605</v>
      </c>
      <c r="CG108" s="25">
        <f t="shared" ca="1" si="213"/>
        <v>-1.7378736500123828</v>
      </c>
      <c r="CH108" s="25">
        <f t="shared" ca="1" si="213"/>
        <v>-1.8184039333874051</v>
      </c>
      <c r="CI108" s="25">
        <f t="shared" ca="1" si="213"/>
        <v>-1.8989342167624277</v>
      </c>
      <c r="CJ108" s="25">
        <f t="shared" ca="1" si="213"/>
        <v>-1.97946450013745</v>
      </c>
      <c r="CK108" s="25">
        <f t="shared" ca="1" si="213"/>
        <v>-2.0599947835124723</v>
      </c>
      <c r="CL108" s="25">
        <f t="shared" ca="1" si="213"/>
        <v>-2.1405250668874949</v>
      </c>
      <c r="CM108" s="25">
        <f t="shared" ca="1" si="213"/>
        <v>-2.2210553502625174</v>
      </c>
      <c r="CN108" s="25">
        <f t="shared" ca="1" si="213"/>
        <v>-2.3015856336375387</v>
      </c>
    </row>
    <row r="109" spans="1:92" x14ac:dyDescent="0.2">
      <c r="A109" s="210" t="s">
        <v>272</v>
      </c>
      <c r="B109" s="25">
        <f ca="1">-TotalEmissions!B74</f>
        <v>0.1090670132115088</v>
      </c>
      <c r="C109" s="25">
        <f t="shared" ref="C109:K109" ca="1" si="214">B109+(($L109-$B109)/($L$75-$B$75))</f>
        <v>-7.6805837200775162E-2</v>
      </c>
      <c r="D109" s="25">
        <f t="shared" ca="1" si="214"/>
        <v>-0.26267868761305913</v>
      </c>
      <c r="E109" s="25">
        <f t="shared" ca="1" si="214"/>
        <v>-0.44855153802534309</v>
      </c>
      <c r="F109" s="25">
        <f t="shared" ca="1" si="214"/>
        <v>-0.63442438843762705</v>
      </c>
      <c r="G109" s="25">
        <f t="shared" ca="1" si="214"/>
        <v>-0.82029723884991101</v>
      </c>
      <c r="H109" s="25">
        <f t="shared" ca="1" si="214"/>
        <v>-1.006170089262195</v>
      </c>
      <c r="I109" s="25">
        <f t="shared" ca="1" si="214"/>
        <v>-1.1920429396744789</v>
      </c>
      <c r="J109" s="25">
        <f t="shared" ca="1" si="214"/>
        <v>-1.3779157900867629</v>
      </c>
      <c r="K109" s="25">
        <f t="shared" ca="1" si="214"/>
        <v>-1.5637886404990469</v>
      </c>
      <c r="L109" s="25">
        <f ca="1">-TotalEmissions!C74</f>
        <v>-1.7496614909113308</v>
      </c>
      <c r="M109" s="25">
        <f t="shared" ref="M109:U109" ca="1" si="215">L109+(($V109-$L109)/($V$75-$L$75))</f>
        <v>-2.3606293386381116</v>
      </c>
      <c r="N109" s="25">
        <f t="shared" ca="1" si="215"/>
        <v>-2.9715971863648925</v>
      </c>
      <c r="O109" s="25">
        <f t="shared" ca="1" si="215"/>
        <v>-3.5825650340916733</v>
      </c>
      <c r="P109" s="25">
        <f t="shared" ca="1" si="215"/>
        <v>-4.1935328818184541</v>
      </c>
      <c r="Q109" s="25">
        <f t="shared" ca="1" si="215"/>
        <v>-4.8045007295452349</v>
      </c>
      <c r="R109" s="25">
        <f t="shared" ca="1" si="215"/>
        <v>-5.4154685772720157</v>
      </c>
      <c r="S109" s="25">
        <f t="shared" ca="1" si="215"/>
        <v>-6.0264364249987965</v>
      </c>
      <c r="T109" s="25">
        <f t="shared" ca="1" si="215"/>
        <v>-6.6374042727255773</v>
      </c>
      <c r="U109" s="25">
        <f t="shared" ca="1" si="215"/>
        <v>-7.2483721204523581</v>
      </c>
      <c r="V109" s="25">
        <f ca="1">-TotalEmissions!D74</f>
        <v>-7.8593399681791407</v>
      </c>
      <c r="W109" s="25">
        <f t="shared" ref="W109:AE109" ca="1" si="216">V109+(($AF109-$V109)/($AF$75-$V$75))</f>
        <v>-8.1519878992084731</v>
      </c>
      <c r="X109" s="25">
        <f t="shared" ca="1" si="216"/>
        <v>-8.4446358302378055</v>
      </c>
      <c r="Y109" s="25">
        <f t="shared" ca="1" si="216"/>
        <v>-8.7372837612671379</v>
      </c>
      <c r="Z109" s="25">
        <f t="shared" ca="1" si="216"/>
        <v>-9.0299316922964703</v>
      </c>
      <c r="AA109" s="25">
        <f t="shared" ca="1" si="216"/>
        <v>-9.3225796233258027</v>
      </c>
      <c r="AB109" s="25">
        <f t="shared" ca="1" si="216"/>
        <v>-9.6152275543551351</v>
      </c>
      <c r="AC109" s="25">
        <f t="shared" ca="1" si="216"/>
        <v>-9.9078754853844675</v>
      </c>
      <c r="AD109" s="25">
        <f t="shared" ca="1" si="216"/>
        <v>-10.2005234164138</v>
      </c>
      <c r="AE109" s="25">
        <f t="shared" ca="1" si="216"/>
        <v>-10.493171347443132</v>
      </c>
      <c r="AF109" s="25">
        <f ca="1">-TotalEmissions!E74</f>
        <v>-10.785819278472463</v>
      </c>
      <c r="AG109" s="25">
        <f t="shared" ref="AG109:AO109" ca="1" si="217">AF109+(($AP109-$AF109)/($AP$75-$AF$75))</f>
        <v>-11.030041174870741</v>
      </c>
      <c r="AH109" s="25">
        <f t="shared" ca="1" si="217"/>
        <v>-11.274263071269019</v>
      </c>
      <c r="AI109" s="25">
        <f t="shared" ca="1" si="217"/>
        <v>-11.518484967667296</v>
      </c>
      <c r="AJ109" s="25">
        <f t="shared" ca="1" si="217"/>
        <v>-11.762706864065574</v>
      </c>
      <c r="AK109" s="25">
        <f t="shared" ca="1" si="217"/>
        <v>-12.006928760463852</v>
      </c>
      <c r="AL109" s="25">
        <f t="shared" ca="1" si="217"/>
        <v>-12.25115065686213</v>
      </c>
      <c r="AM109" s="25">
        <f t="shared" ca="1" si="217"/>
        <v>-12.495372553260408</v>
      </c>
      <c r="AN109" s="25">
        <f t="shared" ca="1" si="217"/>
        <v>-12.739594449658686</v>
      </c>
      <c r="AO109" s="25">
        <f t="shared" ca="1" si="217"/>
        <v>-12.983816346056964</v>
      </c>
      <c r="AP109" s="25">
        <f ca="1">-TotalEmissions!F74</f>
        <v>-13.228038242455245</v>
      </c>
      <c r="AQ109" s="25">
        <f t="shared" ref="AQ109:AY109" ca="1" si="218">AP109+(($AZ109-$AP109)/($AZ$75-$AP$75))</f>
        <v>-12.838760457514638</v>
      </c>
      <c r="AR109" s="25">
        <f t="shared" ca="1" si="218"/>
        <v>-12.449482672574032</v>
      </c>
      <c r="AS109" s="25">
        <f t="shared" ca="1" si="218"/>
        <v>-12.060204887633425</v>
      </c>
      <c r="AT109" s="25">
        <f t="shared" ca="1" si="218"/>
        <v>-11.670927102692819</v>
      </c>
      <c r="AU109" s="25">
        <f t="shared" ca="1" si="218"/>
        <v>-11.281649317752212</v>
      </c>
      <c r="AV109" s="25">
        <f t="shared" ca="1" si="218"/>
        <v>-10.892371532811605</v>
      </c>
      <c r="AW109" s="25">
        <f t="shared" ca="1" si="218"/>
        <v>-10.503093747870999</v>
      </c>
      <c r="AX109" s="25">
        <f t="shared" ca="1" si="218"/>
        <v>-10.113815962930392</v>
      </c>
      <c r="AY109" s="25">
        <f t="shared" ca="1" si="218"/>
        <v>-9.7245381779897855</v>
      </c>
      <c r="AZ109" s="25">
        <f ca="1">-TotalEmissions!G74</f>
        <v>-9.3352603930491806</v>
      </c>
      <c r="BA109" s="25">
        <f t="shared" ref="BA109:BI109" ca="1" si="219">AZ109+(($BJ109-$AZ109)/($BJ$75-$AZ$75))</f>
        <v>-9.2270918311902204</v>
      </c>
      <c r="BB109" s="25">
        <f t="shared" ca="1" si="219"/>
        <v>-9.1189232693312601</v>
      </c>
      <c r="BC109" s="25">
        <f t="shared" ca="1" si="219"/>
        <v>-9.0107547074722998</v>
      </c>
      <c r="BD109" s="25">
        <f t="shared" ca="1" si="219"/>
        <v>-8.9025861456133395</v>
      </c>
      <c r="BE109" s="25">
        <f t="shared" ca="1" si="219"/>
        <v>-8.7944175837543792</v>
      </c>
      <c r="BF109" s="25">
        <f t="shared" ca="1" si="219"/>
        <v>-8.6862490218954189</v>
      </c>
      <c r="BG109" s="25">
        <f t="shared" ca="1" si="219"/>
        <v>-8.5780804600364586</v>
      </c>
      <c r="BH109" s="25">
        <f t="shared" ca="1" si="219"/>
        <v>-8.4699118981774983</v>
      </c>
      <c r="BI109" s="25">
        <f t="shared" ca="1" si="219"/>
        <v>-8.3617433363185381</v>
      </c>
      <c r="BJ109" s="25">
        <f ca="1">-TotalEmissions!H74</f>
        <v>-8.2535747744595707</v>
      </c>
      <c r="BK109" s="25">
        <f t="shared" ref="BK109:BS109" ca="1" si="220">BJ109+(($BT109-$BJ109)/($BT$75-$BJ$75))</f>
        <v>-8.0629135525689648</v>
      </c>
      <c r="BL109" s="25">
        <f t="shared" ca="1" si="220"/>
        <v>-7.8722523306783581</v>
      </c>
      <c r="BM109" s="25">
        <f t="shared" ca="1" si="220"/>
        <v>-7.6815911087877513</v>
      </c>
      <c r="BN109" s="25">
        <f t="shared" ca="1" si="220"/>
        <v>-7.4909298868971446</v>
      </c>
      <c r="BO109" s="25">
        <f t="shared" ca="1" si="220"/>
        <v>-7.3002686650065378</v>
      </c>
      <c r="BP109" s="25">
        <f t="shared" ca="1" si="220"/>
        <v>-7.1096074431159311</v>
      </c>
      <c r="BQ109" s="25">
        <f t="shared" ca="1" si="220"/>
        <v>-6.9189462212253243</v>
      </c>
      <c r="BR109" s="25">
        <f t="shared" ca="1" si="220"/>
        <v>-6.7282849993347176</v>
      </c>
      <c r="BS109" s="25">
        <f t="shared" ca="1" si="220"/>
        <v>-6.5376237774441108</v>
      </c>
      <c r="BT109" s="25">
        <f ca="1">-TotalEmissions!I74</f>
        <v>-6.3469625555535067</v>
      </c>
      <c r="BU109" s="25">
        <f t="shared" ref="BU109:CC109" ca="1" si="221">BT109+(($CD109-$BT109)/($CD$75-$BT$75))</f>
        <v>-6.0295366122397889</v>
      </c>
      <c r="BV109" s="25">
        <f t="shared" ca="1" si="221"/>
        <v>-5.712110668926071</v>
      </c>
      <c r="BW109" s="25">
        <f t="shared" ca="1" si="221"/>
        <v>-5.3946847256123531</v>
      </c>
      <c r="BX109" s="25">
        <f t="shared" ca="1" si="221"/>
        <v>-5.0772587822986353</v>
      </c>
      <c r="BY109" s="25">
        <f t="shared" ca="1" si="221"/>
        <v>-4.7598328389849174</v>
      </c>
      <c r="BZ109" s="25">
        <f t="shared" ca="1" si="221"/>
        <v>-4.4424068956711995</v>
      </c>
      <c r="CA109" s="25">
        <f t="shared" ca="1" si="221"/>
        <v>-4.1249809523574816</v>
      </c>
      <c r="CB109" s="25">
        <f t="shared" ca="1" si="221"/>
        <v>-3.8075550090437633</v>
      </c>
      <c r="CC109" s="25">
        <f t="shared" ca="1" si="221"/>
        <v>-3.490129065730045</v>
      </c>
      <c r="CD109" s="25">
        <f ca="1">-TotalEmissions!J74</f>
        <v>-3.1727031224163249</v>
      </c>
      <c r="CE109" s="25">
        <f t="shared" ref="CE109:CM109" ca="1" si="222">CD109+(($CN109-$CD109)/($CN$75-$CD$75))</f>
        <v>-2.9812316783275477</v>
      </c>
      <c r="CF109" s="25">
        <f t="shared" ca="1" si="222"/>
        <v>-2.7897602342387704</v>
      </c>
      <c r="CG109" s="25">
        <f t="shared" ca="1" si="222"/>
        <v>-2.5982887901499931</v>
      </c>
      <c r="CH109" s="25">
        <f t="shared" ca="1" si="222"/>
        <v>-2.4068173460612159</v>
      </c>
      <c r="CI109" s="25">
        <f t="shared" ca="1" si="222"/>
        <v>-2.2153459019724386</v>
      </c>
      <c r="CJ109" s="25">
        <f t="shared" ca="1" si="222"/>
        <v>-2.0238744578836614</v>
      </c>
      <c r="CK109" s="25">
        <f t="shared" ca="1" si="222"/>
        <v>-1.8324030137948841</v>
      </c>
      <c r="CL109" s="25">
        <f t="shared" ca="1" si="222"/>
        <v>-1.6409315697061069</v>
      </c>
      <c r="CM109" s="25">
        <f t="shared" ca="1" si="222"/>
        <v>-1.4494601256173296</v>
      </c>
      <c r="CN109" s="25">
        <f ca="1">-TotalEmissions!K74</f>
        <v>-1.2579886815285519</v>
      </c>
    </row>
    <row r="110" spans="1:92" x14ac:dyDescent="0.2">
      <c r="A110" s="210" t="s">
        <v>273</v>
      </c>
      <c r="B110" s="25">
        <f ca="1">-TotalEmissions!B71</f>
        <v>4.0720318020291302E-2</v>
      </c>
      <c r="C110" s="25">
        <f t="shared" ref="C110:K110" ca="1" si="223">B110+(($L110-$B110)/($L$75-$B$75))</f>
        <v>-0.34337402996580002</v>
      </c>
      <c r="D110" s="25">
        <f t="shared" ca="1" si="223"/>
        <v>-0.72746837795189134</v>
      </c>
      <c r="E110" s="25">
        <f t="shared" ca="1" si="223"/>
        <v>-1.1115627259379828</v>
      </c>
      <c r="F110" s="25">
        <f t="shared" ca="1" si="223"/>
        <v>-1.495657073924074</v>
      </c>
      <c r="G110" s="25">
        <f t="shared" ca="1" si="223"/>
        <v>-1.8797514219101652</v>
      </c>
      <c r="H110" s="25">
        <f t="shared" ca="1" si="223"/>
        <v>-2.2638457698962564</v>
      </c>
      <c r="I110" s="25">
        <f t="shared" ca="1" si="223"/>
        <v>-2.6479401178823476</v>
      </c>
      <c r="J110" s="25">
        <f t="shared" ca="1" si="223"/>
        <v>-3.0320344658684388</v>
      </c>
      <c r="K110" s="25">
        <f t="shared" ca="1" si="223"/>
        <v>-3.41612881385453</v>
      </c>
      <c r="L110" s="25">
        <f ca="1">-TotalEmissions!C71</f>
        <v>-3.8002231618406217</v>
      </c>
      <c r="M110" s="25">
        <f t="shared" ref="M110:U110" ca="1" si="224">L110+(($V110-$L110)/($V$75-$L$75))</f>
        <v>-4.4089355087733226</v>
      </c>
      <c r="N110" s="25">
        <f t="shared" ca="1" si="224"/>
        <v>-5.0176478557060236</v>
      </c>
      <c r="O110" s="25">
        <f t="shared" ca="1" si="224"/>
        <v>-5.6263602026387245</v>
      </c>
      <c r="P110" s="25">
        <f t="shared" ca="1" si="224"/>
        <v>-6.2350725495714254</v>
      </c>
      <c r="Q110" s="25">
        <f t="shared" ca="1" si="224"/>
        <v>-6.8437848965041264</v>
      </c>
      <c r="R110" s="25">
        <f t="shared" ca="1" si="224"/>
        <v>-7.4524972434368273</v>
      </c>
      <c r="S110" s="25">
        <f t="shared" ca="1" si="224"/>
        <v>-8.0612095903695291</v>
      </c>
      <c r="T110" s="25">
        <f t="shared" ca="1" si="224"/>
        <v>-8.6699219373022309</v>
      </c>
      <c r="U110" s="25">
        <f t="shared" ca="1" si="224"/>
        <v>-9.2786342842349327</v>
      </c>
      <c r="V110" s="25">
        <f ca="1">-TotalEmissions!D71</f>
        <v>-9.8873466311676346</v>
      </c>
      <c r="W110" s="25">
        <f t="shared" ref="W110:AE110" ca="1" si="225">V110+(($AF110-$V110)/($AF$75-$V$75))</f>
        <v>-10.233329898006293</v>
      </c>
      <c r="X110" s="25">
        <f t="shared" ca="1" si="225"/>
        <v>-10.579313164844951</v>
      </c>
      <c r="Y110" s="25">
        <f t="shared" ca="1" si="225"/>
        <v>-10.925296431683609</v>
      </c>
      <c r="Z110" s="25">
        <f t="shared" ca="1" si="225"/>
        <v>-11.271279698522267</v>
      </c>
      <c r="AA110" s="25">
        <f t="shared" ca="1" si="225"/>
        <v>-11.617262965360926</v>
      </c>
      <c r="AB110" s="25">
        <f t="shared" ca="1" si="225"/>
        <v>-11.963246232199584</v>
      </c>
      <c r="AC110" s="25">
        <f t="shared" ca="1" si="225"/>
        <v>-12.309229499038242</v>
      </c>
      <c r="AD110" s="25">
        <f t="shared" ca="1" si="225"/>
        <v>-12.6552127658769</v>
      </c>
      <c r="AE110" s="25">
        <f t="shared" ca="1" si="225"/>
        <v>-13.001196032715558</v>
      </c>
      <c r="AF110" s="25">
        <f ca="1">-TotalEmissions!E71</f>
        <v>-13.347179299554213</v>
      </c>
      <c r="AG110" s="25">
        <f t="shared" ref="AG110:AO110" ca="1" si="226">AF110+(($AP110-$AF110)/($AP$75-$AF$75))</f>
        <v>-13.566786749307266</v>
      </c>
      <c r="AH110" s="25">
        <f t="shared" ca="1" si="226"/>
        <v>-13.786394199060318</v>
      </c>
      <c r="AI110" s="25">
        <f t="shared" ca="1" si="226"/>
        <v>-14.006001648813371</v>
      </c>
      <c r="AJ110" s="25">
        <f t="shared" ca="1" si="226"/>
        <v>-14.225609098566423</v>
      </c>
      <c r="AK110" s="25">
        <f t="shared" ca="1" si="226"/>
        <v>-14.445216548319475</v>
      </c>
      <c r="AL110" s="25">
        <f t="shared" ca="1" si="226"/>
        <v>-14.664823998072528</v>
      </c>
      <c r="AM110" s="25">
        <f t="shared" ca="1" si="226"/>
        <v>-14.88443144782558</v>
      </c>
      <c r="AN110" s="25">
        <f t="shared" ca="1" si="226"/>
        <v>-15.104038897578633</v>
      </c>
      <c r="AO110" s="25">
        <f t="shared" ca="1" si="226"/>
        <v>-15.323646347331685</v>
      </c>
      <c r="AP110" s="25">
        <f ca="1">-TotalEmissions!F71</f>
        <v>-15.543253797084741</v>
      </c>
      <c r="AQ110" s="25">
        <f t="shared" ref="AQ110:AY110" ca="1" si="227">AP110+(($AZ110-$AP110)/($AZ$75-$AP$75))</f>
        <v>-15.637666357645495</v>
      </c>
      <c r="AR110" s="25">
        <f t="shared" ca="1" si="227"/>
        <v>-15.732078918206248</v>
      </c>
      <c r="AS110" s="25">
        <f t="shared" ca="1" si="227"/>
        <v>-15.826491478767002</v>
      </c>
      <c r="AT110" s="25">
        <f t="shared" ca="1" si="227"/>
        <v>-15.920904039327755</v>
      </c>
      <c r="AU110" s="25">
        <f t="shared" ca="1" si="227"/>
        <v>-16.015316599888507</v>
      </c>
      <c r="AV110" s="25">
        <f t="shared" ca="1" si="227"/>
        <v>-16.109729160449259</v>
      </c>
      <c r="AW110" s="25">
        <f t="shared" ca="1" si="227"/>
        <v>-16.204141721010011</v>
      </c>
      <c r="AX110" s="25">
        <f t="shared" ca="1" si="227"/>
        <v>-16.298554281570762</v>
      </c>
      <c r="AY110" s="25">
        <f t="shared" ca="1" si="227"/>
        <v>-16.392966842131514</v>
      </c>
      <c r="AZ110" s="25">
        <f ca="1">-TotalEmissions!G71</f>
        <v>-16.48737940269227</v>
      </c>
      <c r="BA110" s="25">
        <f t="shared" ref="BA110:BI110" ca="1" si="228">AZ110+(($BJ110-$AZ110)/($BJ$75-$AZ$75))</f>
        <v>-16.603213465477104</v>
      </c>
      <c r="BB110" s="25">
        <f t="shared" ca="1" si="228"/>
        <v>-16.719047528261939</v>
      </c>
      <c r="BC110" s="25">
        <f t="shared" ca="1" si="228"/>
        <v>-16.834881591046774</v>
      </c>
      <c r="BD110" s="25">
        <f t="shared" ca="1" si="228"/>
        <v>-16.950715653831608</v>
      </c>
      <c r="BE110" s="25">
        <f t="shared" ca="1" si="228"/>
        <v>-17.066549716616443</v>
      </c>
      <c r="BF110" s="25">
        <f t="shared" ca="1" si="228"/>
        <v>-17.182383779401277</v>
      </c>
      <c r="BG110" s="25">
        <f t="shared" ca="1" si="228"/>
        <v>-17.298217842186112</v>
      </c>
      <c r="BH110" s="25">
        <f t="shared" ca="1" si="228"/>
        <v>-17.414051904970947</v>
      </c>
      <c r="BI110" s="25">
        <f t="shared" ca="1" si="228"/>
        <v>-17.529885967755781</v>
      </c>
      <c r="BJ110" s="25">
        <f ca="1">-TotalEmissions!H71</f>
        <v>-17.645720030540616</v>
      </c>
      <c r="BK110" s="25">
        <f t="shared" ref="BK110:BS110" ca="1" si="229">BJ110+(($BT110-$BJ110)/($BT$75-$BJ$75))</f>
        <v>-17.769917636380839</v>
      </c>
      <c r="BL110" s="25">
        <f t="shared" ca="1" si="229"/>
        <v>-17.894115242221062</v>
      </c>
      <c r="BM110" s="25">
        <f t="shared" ca="1" si="229"/>
        <v>-18.018312848061285</v>
      </c>
      <c r="BN110" s="25">
        <f t="shared" ca="1" si="229"/>
        <v>-18.142510453901508</v>
      </c>
      <c r="BO110" s="25">
        <f t="shared" ca="1" si="229"/>
        <v>-18.266708059741731</v>
      </c>
      <c r="BP110" s="25">
        <f t="shared" ca="1" si="229"/>
        <v>-18.390905665581954</v>
      </c>
      <c r="BQ110" s="25">
        <f t="shared" ca="1" si="229"/>
        <v>-18.515103271422177</v>
      </c>
      <c r="BR110" s="25">
        <f t="shared" ca="1" si="229"/>
        <v>-18.6393008772624</v>
      </c>
      <c r="BS110" s="25">
        <f t="shared" ca="1" si="229"/>
        <v>-18.763498483102623</v>
      </c>
      <c r="BT110" s="25">
        <f ca="1">-TotalEmissions!I71</f>
        <v>-18.887696088942835</v>
      </c>
      <c r="BU110" s="25">
        <f t="shared" ref="BU110:CC110" ca="1" si="230">BT110+(($CD110-$BT110)/($CD$75-$BT$75))</f>
        <v>-18.991731035142443</v>
      </c>
      <c r="BV110" s="25">
        <f t="shared" ca="1" si="230"/>
        <v>-19.095765981342055</v>
      </c>
      <c r="BW110" s="25">
        <f t="shared" ca="1" si="230"/>
        <v>-19.199800927541666</v>
      </c>
      <c r="BX110" s="25">
        <f t="shared" ca="1" si="230"/>
        <v>-19.303835873741278</v>
      </c>
      <c r="BY110" s="25">
        <f t="shared" ca="1" si="230"/>
        <v>-19.407870819940889</v>
      </c>
      <c r="BZ110" s="25">
        <f t="shared" ca="1" si="230"/>
        <v>-19.511905766140501</v>
      </c>
      <c r="CA110" s="25">
        <f t="shared" ca="1" si="230"/>
        <v>-19.615940712340112</v>
      </c>
      <c r="CB110" s="25">
        <f t="shared" ca="1" si="230"/>
        <v>-19.719975658539724</v>
      </c>
      <c r="CC110" s="25">
        <f t="shared" ca="1" si="230"/>
        <v>-19.824010604739335</v>
      </c>
      <c r="CD110" s="25">
        <f ca="1">-TotalEmissions!J71</f>
        <v>-19.928045550938933</v>
      </c>
      <c r="CE110" s="25">
        <f t="shared" ref="CE110:CM110" ca="1" si="231">CD110+(($CN110-$CD110)/($CN$75-$CD$75))</f>
        <v>-20.057847554701674</v>
      </c>
      <c r="CF110" s="25">
        <f t="shared" ca="1" si="231"/>
        <v>-20.187649558464415</v>
      </c>
      <c r="CG110" s="25">
        <f t="shared" ca="1" si="231"/>
        <v>-20.317451562227156</v>
      </c>
      <c r="CH110" s="25">
        <f t="shared" ca="1" si="231"/>
        <v>-20.447253565989897</v>
      </c>
      <c r="CI110" s="25">
        <f t="shared" ca="1" si="231"/>
        <v>-20.577055569752638</v>
      </c>
      <c r="CJ110" s="25">
        <f t="shared" ca="1" si="231"/>
        <v>-20.706857573515379</v>
      </c>
      <c r="CK110" s="25">
        <f t="shared" ca="1" si="231"/>
        <v>-20.83665957727812</v>
      </c>
      <c r="CL110" s="25">
        <f t="shared" ca="1" si="231"/>
        <v>-20.966461581040861</v>
      </c>
      <c r="CM110" s="25">
        <f t="shared" ca="1" si="231"/>
        <v>-21.096263584803602</v>
      </c>
      <c r="CN110" s="25">
        <f ca="1">-TotalEmissions!K71</f>
        <v>-21.22606558856636</v>
      </c>
    </row>
    <row r="111" spans="1:92" x14ac:dyDescent="0.2">
      <c r="B111" s="25"/>
      <c r="C111" s="25"/>
      <c r="D111" s="25"/>
      <c r="E111" s="25"/>
      <c r="F111" s="25"/>
      <c r="G111" s="25"/>
      <c r="H111" s="25"/>
      <c r="I111" s="25"/>
      <c r="J111" s="25"/>
      <c r="K111" s="25"/>
      <c r="L111" s="25"/>
      <c r="M111" s="25"/>
      <c r="N111" s="25"/>
      <c r="O111" s="25"/>
      <c r="P111" s="25"/>
      <c r="Q111" s="25"/>
      <c r="R111" s="25"/>
      <c r="S111" s="25"/>
      <c r="T111" s="25"/>
      <c r="U111" s="25"/>
      <c r="V111" s="25"/>
      <c r="W111" s="25"/>
      <c r="X111" s="25"/>
      <c r="Y111" s="25"/>
      <c r="Z111" s="25"/>
      <c r="AA111" s="25"/>
      <c r="AB111" s="25"/>
      <c r="AC111" s="25"/>
      <c r="AD111" s="25"/>
      <c r="AE111" s="25"/>
      <c r="AF111" s="25"/>
      <c r="AG111" s="25"/>
      <c r="AH111" s="25"/>
      <c r="AI111" s="25"/>
      <c r="AJ111" s="25"/>
      <c r="AK111" s="25"/>
      <c r="AL111" s="25"/>
      <c r="AM111" s="25"/>
      <c r="AN111" s="25"/>
      <c r="AO111" s="25"/>
      <c r="AP111" s="25"/>
      <c r="AQ111" s="25"/>
      <c r="AR111" s="25"/>
      <c r="AS111" s="25"/>
      <c r="AT111" s="25"/>
      <c r="AU111" s="25"/>
      <c r="AV111" s="25"/>
      <c r="AW111" s="25"/>
      <c r="AX111" s="25"/>
      <c r="AY111" s="25"/>
      <c r="AZ111" s="25"/>
      <c r="BA111" s="25"/>
      <c r="BB111" s="25"/>
      <c r="BC111" s="25"/>
      <c r="BD111" s="25"/>
      <c r="BE111" s="25"/>
      <c r="BF111" s="25"/>
      <c r="BG111" s="25"/>
      <c r="BH111" s="25"/>
      <c r="BI111" s="25"/>
      <c r="BJ111" s="25"/>
      <c r="BK111" s="25"/>
      <c r="BL111" s="25"/>
      <c r="BM111" s="25"/>
      <c r="BN111" s="25"/>
      <c r="BO111" s="25"/>
      <c r="BP111" s="25"/>
      <c r="BQ111" s="25"/>
      <c r="BR111" s="25"/>
      <c r="BS111" s="25"/>
      <c r="BT111" s="25"/>
      <c r="BU111" s="25"/>
      <c r="BV111" s="25"/>
      <c r="BW111" s="25"/>
      <c r="BX111" s="25"/>
      <c r="BY111" s="25"/>
      <c r="BZ111" s="25"/>
      <c r="CA111" s="25"/>
      <c r="CB111" s="25"/>
      <c r="CC111" s="25"/>
      <c r="CD111" s="25"/>
      <c r="CE111" s="25"/>
      <c r="CF111" s="25"/>
      <c r="CG111" s="25"/>
      <c r="CH111" s="25"/>
      <c r="CI111" s="25"/>
      <c r="CJ111" s="25"/>
      <c r="CK111" s="25"/>
      <c r="CL111" s="25"/>
      <c r="CM111" s="25"/>
      <c r="CN111" s="25"/>
    </row>
    <row r="112" spans="1:92" x14ac:dyDescent="0.2">
      <c r="A112" s="25">
        <f ca="1">SUM(B112:K112)</f>
        <v>-32.068489749320662</v>
      </c>
      <c r="B112" s="25">
        <f ca="1">B124-B83</f>
        <v>0.10721556345621508</v>
      </c>
      <c r="C112" s="25">
        <f t="shared" ref="C112:L112" ca="1" si="232">C124-C83</f>
        <v>-0.62924322285229195</v>
      </c>
      <c r="D112" s="25">
        <f t="shared" ca="1" si="232"/>
        <v>-1.365702009160799</v>
      </c>
      <c r="E112" s="25">
        <f t="shared" ca="1" si="232"/>
        <v>-2.102160795469306</v>
      </c>
      <c r="F112" s="25">
        <f t="shared" ca="1" si="232"/>
        <v>-2.838619581777813</v>
      </c>
      <c r="G112" s="25">
        <f t="shared" ca="1" si="232"/>
        <v>-3.5750783680863201</v>
      </c>
      <c r="H112" s="25">
        <f t="shared" ca="1" si="232"/>
        <v>-4.3115371543948271</v>
      </c>
      <c r="I112" s="25">
        <f t="shared" ca="1" si="232"/>
        <v>-5.0479959407033341</v>
      </c>
      <c r="J112" s="25">
        <f t="shared" ca="1" si="232"/>
        <v>-5.7844547270118412</v>
      </c>
      <c r="K112" s="25">
        <f t="shared" ca="1" si="232"/>
        <v>-6.5209135133203446</v>
      </c>
      <c r="L112" s="25">
        <f t="shared" ca="1" si="232"/>
        <v>-7.2573722996288517</v>
      </c>
      <c r="M112" s="25"/>
      <c r="N112" s="25"/>
      <c r="O112" s="25"/>
      <c r="P112" s="25"/>
      <c r="Q112" s="25"/>
      <c r="R112" s="25"/>
      <c r="S112" s="25"/>
      <c r="T112" s="25"/>
      <c r="U112" s="25"/>
      <c r="W112" s="25"/>
      <c r="X112" s="25"/>
      <c r="Y112" s="25"/>
      <c r="Z112" s="25"/>
      <c r="AA112" s="25"/>
      <c r="AB112" s="25"/>
      <c r="AC112" s="25"/>
      <c r="AD112" s="25"/>
      <c r="AE112" s="25"/>
      <c r="AG112" s="25"/>
      <c r="AH112" s="25"/>
      <c r="AI112" s="25"/>
      <c r="AJ112" s="25"/>
      <c r="AK112" s="25"/>
      <c r="AL112" s="25"/>
      <c r="AM112" s="25"/>
      <c r="AN112" s="25"/>
      <c r="AO112" s="25"/>
      <c r="AQ112" s="25"/>
      <c r="AR112" s="25"/>
      <c r="AS112" s="25"/>
      <c r="AT112" s="25"/>
      <c r="AU112" s="25"/>
      <c r="AV112" s="25"/>
      <c r="AW112" s="25"/>
      <c r="AX112" s="25"/>
      <c r="AY112" s="25"/>
      <c r="BA112" s="25"/>
      <c r="BB112" s="25"/>
      <c r="BC112" s="25"/>
      <c r="BD112" s="25"/>
      <c r="BE112" s="25"/>
      <c r="BF112" s="25"/>
      <c r="BG112" s="25"/>
      <c r="BH112" s="25"/>
      <c r="BI112" s="25"/>
      <c r="BK112" s="25"/>
      <c r="BL112" s="25"/>
      <c r="BM112" s="25"/>
      <c r="BN112" s="25"/>
      <c r="BO112" s="25"/>
      <c r="BP112" s="25"/>
      <c r="BQ112" s="25"/>
      <c r="BR112" s="25"/>
      <c r="BS112" s="25"/>
      <c r="BU112" s="25"/>
      <c r="BV112" s="25"/>
      <c r="BW112" s="25"/>
      <c r="BX112" s="25"/>
      <c r="BY112" s="25"/>
      <c r="BZ112" s="25"/>
      <c r="CA112" s="25"/>
      <c r="CB112" s="25"/>
      <c r="CC112" s="25"/>
      <c r="CE112" s="25"/>
      <c r="CF112" s="25"/>
      <c r="CG112" s="25"/>
      <c r="CH112" s="25"/>
      <c r="CI112" s="25"/>
      <c r="CJ112" s="25"/>
      <c r="CK112" s="25"/>
      <c r="CL112" s="25"/>
      <c r="CM112" s="25"/>
    </row>
    <row r="113" spans="1:92" ht="18" customHeight="1" x14ac:dyDescent="0.2">
      <c r="A113" s="21" t="s">
        <v>375</v>
      </c>
      <c r="B113" s="238">
        <v>2010</v>
      </c>
      <c r="C113" s="238">
        <v>2011</v>
      </c>
      <c r="D113" s="238">
        <v>2012</v>
      </c>
      <c r="E113" s="238">
        <v>2013</v>
      </c>
      <c r="F113" s="238">
        <v>2014</v>
      </c>
      <c r="G113" s="238">
        <v>2015</v>
      </c>
      <c r="H113" s="238">
        <v>2016</v>
      </c>
      <c r="I113" s="238">
        <v>2017</v>
      </c>
      <c r="J113" s="238">
        <v>2018</v>
      </c>
      <c r="K113" s="238">
        <v>2019</v>
      </c>
      <c r="L113" s="238">
        <v>2020</v>
      </c>
      <c r="M113" s="238">
        <v>2021</v>
      </c>
      <c r="N113" s="238">
        <v>2022</v>
      </c>
      <c r="O113" s="238">
        <v>2023</v>
      </c>
      <c r="P113" s="238">
        <v>2024</v>
      </c>
      <c r="Q113" s="238">
        <v>2025</v>
      </c>
      <c r="R113" s="238">
        <v>2026</v>
      </c>
      <c r="S113" s="238">
        <v>2027</v>
      </c>
      <c r="T113" s="238">
        <v>2028</v>
      </c>
      <c r="U113" s="238">
        <v>2029</v>
      </c>
      <c r="V113" s="238">
        <v>2030</v>
      </c>
      <c r="W113" s="238">
        <v>2031</v>
      </c>
      <c r="X113" s="238">
        <v>2032</v>
      </c>
      <c r="Y113" s="238">
        <v>2033</v>
      </c>
      <c r="Z113" s="238">
        <v>2034</v>
      </c>
      <c r="AA113" s="238">
        <v>2035</v>
      </c>
      <c r="AB113" s="238">
        <v>2036</v>
      </c>
      <c r="AC113" s="238">
        <v>2037</v>
      </c>
      <c r="AD113" s="238">
        <v>2038</v>
      </c>
      <c r="AE113" s="238">
        <v>2039</v>
      </c>
      <c r="AF113" s="238">
        <v>2040</v>
      </c>
      <c r="AG113" s="238">
        <v>2041</v>
      </c>
      <c r="AH113" s="238">
        <v>2042</v>
      </c>
      <c r="AI113" s="238">
        <v>2043</v>
      </c>
      <c r="AJ113" s="238">
        <v>2044</v>
      </c>
      <c r="AK113" s="238">
        <v>2045</v>
      </c>
      <c r="AL113" s="238">
        <v>2046</v>
      </c>
      <c r="AM113" s="238">
        <v>2047</v>
      </c>
      <c r="AN113" s="238">
        <v>2048</v>
      </c>
      <c r="AO113" s="238">
        <v>2049</v>
      </c>
      <c r="AP113" s="238">
        <v>2050</v>
      </c>
      <c r="AQ113" s="238">
        <v>2051</v>
      </c>
      <c r="AR113" s="238">
        <v>2052</v>
      </c>
      <c r="AS113" s="238">
        <v>2053</v>
      </c>
      <c r="AT113" s="238">
        <v>2054</v>
      </c>
      <c r="AU113" s="238">
        <v>2055</v>
      </c>
      <c r="AV113" s="238">
        <v>2056</v>
      </c>
      <c r="AW113" s="238">
        <v>2057</v>
      </c>
      <c r="AX113" s="238">
        <v>2058</v>
      </c>
      <c r="AY113" s="238">
        <v>2059</v>
      </c>
      <c r="AZ113" s="238">
        <v>2060</v>
      </c>
      <c r="BA113" s="238">
        <v>2061</v>
      </c>
      <c r="BB113" s="238">
        <v>2062</v>
      </c>
      <c r="BC113" s="238">
        <v>2063</v>
      </c>
      <c r="BD113" s="238">
        <v>2064</v>
      </c>
      <c r="BE113" s="238">
        <v>2065</v>
      </c>
      <c r="BF113" s="238">
        <v>2066</v>
      </c>
      <c r="BG113" s="238">
        <v>2067</v>
      </c>
      <c r="BH113" s="238">
        <v>2068</v>
      </c>
      <c r="BI113" s="238">
        <v>2069</v>
      </c>
      <c r="BJ113" s="238">
        <v>2070</v>
      </c>
      <c r="BK113" s="238">
        <v>2071</v>
      </c>
      <c r="BL113" s="238">
        <v>2072</v>
      </c>
      <c r="BM113" s="238">
        <v>2073</v>
      </c>
      <c r="BN113" s="238">
        <v>2074</v>
      </c>
      <c r="BO113" s="238">
        <v>2075</v>
      </c>
      <c r="BP113" s="238">
        <v>2076</v>
      </c>
      <c r="BQ113" s="238">
        <v>2077</v>
      </c>
      <c r="BR113" s="238">
        <v>2078</v>
      </c>
      <c r="BS113" s="238">
        <v>2079</v>
      </c>
      <c r="BT113" s="238">
        <v>2080</v>
      </c>
      <c r="BU113" s="238">
        <v>2081</v>
      </c>
      <c r="BV113" s="238">
        <v>2082</v>
      </c>
      <c r="BW113" s="238">
        <v>2083</v>
      </c>
      <c r="BX113" s="238">
        <v>2084</v>
      </c>
      <c r="BY113" s="238">
        <v>2085</v>
      </c>
      <c r="BZ113" s="238">
        <v>2086</v>
      </c>
      <c r="CA113" s="238">
        <v>2087</v>
      </c>
      <c r="CB113" s="238">
        <v>2088</v>
      </c>
      <c r="CC113" s="238">
        <v>2089</v>
      </c>
      <c r="CD113" s="238">
        <v>2090</v>
      </c>
      <c r="CE113" s="238">
        <v>2091</v>
      </c>
      <c r="CF113" s="238">
        <v>2092</v>
      </c>
      <c r="CG113" s="238">
        <v>2093</v>
      </c>
      <c r="CH113" s="238">
        <v>2094</v>
      </c>
      <c r="CI113" s="238">
        <v>2095</v>
      </c>
      <c r="CJ113" s="238">
        <v>2096</v>
      </c>
      <c r="CK113" s="238">
        <v>2097</v>
      </c>
      <c r="CL113" s="238">
        <v>2098</v>
      </c>
      <c r="CM113" s="238">
        <v>2099</v>
      </c>
      <c r="CN113" s="238">
        <v>2100</v>
      </c>
    </row>
    <row r="114" spans="1:92" ht="18" customHeight="1" x14ac:dyDescent="0.2">
      <c r="A114" s="238" t="str">
        <f>ExpKayaRatiosInt!A2</f>
        <v>P</v>
      </c>
      <c r="B114" s="238">
        <f ca="1">ExpKayaRatiosRef!E2</f>
        <v>6.9217978520000001</v>
      </c>
      <c r="C114">
        <f t="shared" ref="C114:K114" ca="1" si="233">B114+($L114-$B114)/($L$75-$B$75)</f>
        <v>6.9967682620999998</v>
      </c>
      <c r="D114">
        <f t="shared" ca="1" si="233"/>
        <v>7.0717386721999995</v>
      </c>
      <c r="E114">
        <f t="shared" ca="1" si="233"/>
        <v>7.1467090822999992</v>
      </c>
      <c r="F114">
        <f t="shared" ca="1" si="233"/>
        <v>7.221679492399999</v>
      </c>
      <c r="G114">
        <f t="shared" ca="1" si="233"/>
        <v>7.2966499024999987</v>
      </c>
      <c r="H114">
        <f t="shared" ca="1" si="233"/>
        <v>7.3716203125999984</v>
      </c>
      <c r="I114">
        <f t="shared" ca="1" si="233"/>
        <v>7.4465907226999981</v>
      </c>
      <c r="J114">
        <f t="shared" ca="1" si="233"/>
        <v>7.5215611327999978</v>
      </c>
      <c r="K114">
        <f t="shared" ca="1" si="233"/>
        <v>7.5965315428999975</v>
      </c>
      <c r="L114" s="238">
        <f ca="1">ExpKayaRatiosRef!F2</f>
        <v>7.6715019529999999</v>
      </c>
      <c r="M114">
        <f t="shared" ref="M114:U114" ca="1" si="234">L114+($V114-$L114)/($V$75-$L$75)</f>
        <v>6.9043517576999998</v>
      </c>
      <c r="N114">
        <f t="shared" ca="1" si="234"/>
        <v>6.1372015623999996</v>
      </c>
      <c r="O114">
        <f t="shared" ca="1" si="234"/>
        <v>5.3700513670999994</v>
      </c>
      <c r="P114">
        <f t="shared" ca="1" si="234"/>
        <v>4.6029011717999992</v>
      </c>
      <c r="Q114">
        <f t="shared" ca="1" si="234"/>
        <v>3.8357509764999991</v>
      </c>
      <c r="R114">
        <f t="shared" ca="1" si="234"/>
        <v>3.0686007811999989</v>
      </c>
      <c r="S114">
        <f t="shared" ca="1" si="234"/>
        <v>2.3014505858999987</v>
      </c>
      <c r="T114">
        <f t="shared" ca="1" si="234"/>
        <v>1.5343003905999988</v>
      </c>
      <c r="U114">
        <f t="shared" ca="1" si="234"/>
        <v>0.76715019529999884</v>
      </c>
      <c r="V114" s="238">
        <f>ExpKayaRatiosRef!G36</f>
        <v>0</v>
      </c>
      <c r="X114" s="238"/>
      <c r="Y114" s="238"/>
      <c r="Z114" s="238"/>
      <c r="AA114" s="238"/>
      <c r="AB114" s="238"/>
      <c r="AC114" s="238"/>
      <c r="AD114" s="238"/>
      <c r="AE114" s="238"/>
      <c r="AF114" s="238">
        <f>ExpKayaRatiosRef!H36</f>
        <v>0</v>
      </c>
      <c r="AH114" s="238"/>
      <c r="AI114" s="238"/>
      <c r="AJ114" s="238"/>
      <c r="AK114" s="238"/>
      <c r="AL114" s="238"/>
      <c r="AM114" s="238"/>
      <c r="AN114" s="238"/>
      <c r="AO114" s="238"/>
      <c r="AP114" s="238">
        <f>ExpKayaRatiosRef!I36</f>
        <v>0</v>
      </c>
      <c r="AR114" s="238"/>
      <c r="AS114" s="238"/>
      <c r="AT114" s="238"/>
      <c r="AU114" s="238"/>
      <c r="AV114" s="238"/>
      <c r="AW114" s="238"/>
      <c r="AX114" s="238"/>
      <c r="AY114" s="238"/>
      <c r="AZ114" s="238">
        <f>ExpKayaRatiosRef!J36</f>
        <v>0</v>
      </c>
      <c r="BB114" s="238"/>
      <c r="BC114" s="238"/>
      <c r="BD114" s="238"/>
      <c r="BE114" s="238"/>
      <c r="BF114" s="238"/>
      <c r="BG114" s="238"/>
      <c r="BH114" s="238"/>
      <c r="BI114" s="238"/>
      <c r="BJ114" s="238">
        <f>ExpKayaRatiosRef!K36</f>
        <v>0</v>
      </c>
      <c r="BL114" s="238"/>
      <c r="BM114" s="238"/>
      <c r="BN114" s="238"/>
      <c r="BO114" s="238"/>
      <c r="BP114" s="238"/>
      <c r="BQ114" s="238"/>
      <c r="BR114" s="238"/>
      <c r="BS114" s="238"/>
      <c r="BT114" s="238">
        <f>ExpKayaRatiosRef!L36</f>
        <v>0</v>
      </c>
      <c r="BV114" s="238"/>
      <c r="BW114" s="238"/>
      <c r="BX114" s="238"/>
      <c r="BY114" s="238"/>
      <c r="BZ114" s="238"/>
      <c r="CA114" s="238"/>
      <c r="CB114" s="238"/>
      <c r="CC114" s="238"/>
      <c r="CD114" s="238">
        <f>ExpKayaRatiosRef!M36</f>
        <v>0</v>
      </c>
      <c r="CF114" s="238"/>
      <c r="CG114" s="238"/>
      <c r="CH114" s="238"/>
      <c r="CI114" s="238"/>
      <c r="CJ114" s="238"/>
      <c r="CK114" s="238"/>
      <c r="CL114" s="238"/>
      <c r="CM114" s="238"/>
      <c r="CN114" s="238">
        <f>ExpKayaRatiosRef!N36</f>
        <v>0</v>
      </c>
    </row>
    <row r="115" spans="1:92" ht="18" customHeight="1" x14ac:dyDescent="0.2">
      <c r="A115" s="238" t="str">
        <f>ExpKayaRatiosInt!A3</f>
        <v>GNP/P</v>
      </c>
      <c r="B115" s="238">
        <f ca="1">ExpKayaRatiosRef!E3</f>
        <v>10879.842592952973</v>
      </c>
      <c r="C115">
        <f t="shared" ref="C115:K115" ca="1" si="235">B115+($L115-$B115)/($L$75-$B$75)</f>
        <v>11248.710252417788</v>
      </c>
      <c r="D115">
        <f t="shared" ca="1" si="235"/>
        <v>11617.577911882603</v>
      </c>
      <c r="E115">
        <f t="shared" ca="1" si="235"/>
        <v>11986.445571347418</v>
      </c>
      <c r="F115">
        <f t="shared" ca="1" si="235"/>
        <v>12355.313230812233</v>
      </c>
      <c r="G115">
        <f t="shared" ca="1" si="235"/>
        <v>12724.180890277048</v>
      </c>
      <c r="H115">
        <f t="shared" ca="1" si="235"/>
        <v>13093.048549741863</v>
      </c>
      <c r="I115">
        <f t="shared" ca="1" si="235"/>
        <v>13461.916209206678</v>
      </c>
      <c r="J115">
        <f t="shared" ca="1" si="235"/>
        <v>13830.783868671493</v>
      </c>
      <c r="K115">
        <f t="shared" ca="1" si="235"/>
        <v>14199.651528136308</v>
      </c>
      <c r="L115" s="238">
        <f ca="1">ExpKayaRatiosRef!F3</f>
        <v>14568.519187601125</v>
      </c>
      <c r="M115">
        <f t="shared" ref="M115:U115" ca="1" si="236">L115+($V115-$L115)/($V$75-$L$75)</f>
        <v>13111.665677704768</v>
      </c>
      <c r="N115">
        <f t="shared" ca="1" si="236"/>
        <v>11654.812167808412</v>
      </c>
      <c r="O115">
        <f t="shared" ca="1" si="236"/>
        <v>10197.958657912055</v>
      </c>
      <c r="P115">
        <f t="shared" ca="1" si="236"/>
        <v>8741.1051480156984</v>
      </c>
      <c r="Q115">
        <f t="shared" ca="1" si="236"/>
        <v>7284.2516381193418</v>
      </c>
      <c r="R115">
        <f t="shared" ca="1" si="236"/>
        <v>5827.3981282229852</v>
      </c>
      <c r="S115">
        <f t="shared" ca="1" si="236"/>
        <v>4370.5446183266286</v>
      </c>
      <c r="T115">
        <f t="shared" ca="1" si="236"/>
        <v>2913.6911084302724</v>
      </c>
      <c r="U115">
        <f t="shared" ca="1" si="236"/>
        <v>1456.8375985339162</v>
      </c>
      <c r="V115" s="238">
        <f ca="1">ExpKayaRatiosRef!G37</f>
        <v>-1.5911362435476719E-2</v>
      </c>
      <c r="X115" s="238"/>
      <c r="Y115" s="238"/>
      <c r="Z115" s="238"/>
      <c r="AA115" s="238"/>
      <c r="AB115" s="238"/>
      <c r="AC115" s="238"/>
      <c r="AD115" s="238"/>
      <c r="AE115" s="238"/>
      <c r="AF115" s="238">
        <f ca="1">ExpKayaRatiosRef!H37</f>
        <v>-8.9783946942350642E-3</v>
      </c>
      <c r="AH115" s="238"/>
      <c r="AI115" s="238"/>
      <c r="AJ115" s="238"/>
      <c r="AK115" s="238"/>
      <c r="AL115" s="238"/>
      <c r="AM115" s="238"/>
      <c r="AN115" s="238"/>
      <c r="AO115" s="238"/>
      <c r="AP115" s="238">
        <f ca="1">ExpKayaRatiosRef!I37</f>
        <v>-6.1527684155266611E-3</v>
      </c>
      <c r="AR115" s="238"/>
      <c r="AS115" s="238"/>
      <c r="AT115" s="238"/>
      <c r="AU115" s="238"/>
      <c r="AV115" s="238"/>
      <c r="AW115" s="238"/>
      <c r="AX115" s="238"/>
      <c r="AY115" s="238"/>
      <c r="AZ115" s="238">
        <f ca="1">ExpKayaRatiosRef!J37</f>
        <v>-4.6032044000007648E-3</v>
      </c>
      <c r="BB115" s="238"/>
      <c r="BC115" s="238"/>
      <c r="BD115" s="238"/>
      <c r="BE115" s="238"/>
      <c r="BF115" s="238"/>
      <c r="BG115" s="238"/>
      <c r="BH115" s="238"/>
      <c r="BI115" s="238"/>
      <c r="BJ115" s="238">
        <f ca="1">ExpKayaRatiosRef!K37</f>
        <v>-4.47210727809076E-3</v>
      </c>
      <c r="BL115" s="238"/>
      <c r="BM115" s="238"/>
      <c r="BN115" s="238"/>
      <c r="BO115" s="238"/>
      <c r="BP115" s="238"/>
      <c r="BQ115" s="238"/>
      <c r="BR115" s="238"/>
      <c r="BS115" s="238"/>
      <c r="BT115" s="238">
        <f ca="1">ExpKayaRatiosRef!L37</f>
        <v>-3.8675189702364649E-3</v>
      </c>
      <c r="BV115" s="238"/>
      <c r="BW115" s="238"/>
      <c r="BX115" s="238"/>
      <c r="BY115" s="238"/>
      <c r="BZ115" s="238"/>
      <c r="CA115" s="238"/>
      <c r="CB115" s="238"/>
      <c r="CC115" s="238"/>
      <c r="CD115" s="238">
        <f ca="1">ExpKayaRatiosRef!M37</f>
        <v>-3.3261878154643466E-3</v>
      </c>
      <c r="CF115" s="238"/>
      <c r="CG115" s="238"/>
      <c r="CH115" s="238"/>
      <c r="CI115" s="238"/>
      <c r="CJ115" s="238"/>
      <c r="CK115" s="238"/>
      <c r="CL115" s="238"/>
      <c r="CM115" s="238"/>
      <c r="CN115" s="238">
        <f ca="1">ExpKayaRatiosRef!N37</f>
        <v>-2.8463482862456195E-3</v>
      </c>
    </row>
    <row r="116" spans="1:92" ht="18" customHeight="1" x14ac:dyDescent="0.2">
      <c r="A116" s="238" t="str">
        <f>ExpKayaRatiosInt!A4</f>
        <v>FE/GNP</v>
      </c>
      <c r="B116" s="238">
        <f ca="1">ExpKayaRatiosRef!E4</f>
        <v>4.8881986641254178</v>
      </c>
      <c r="C116">
        <f t="shared" ref="C116:K116" ca="1" si="237">B116+($L116-$B116)/($L$75-$B$75)</f>
        <v>4.7778878649205225</v>
      </c>
      <c r="D116">
        <f t="shared" ca="1" si="237"/>
        <v>4.6675770657156272</v>
      </c>
      <c r="E116">
        <f t="shared" ca="1" si="237"/>
        <v>4.557266266510732</v>
      </c>
      <c r="F116">
        <f t="shared" ca="1" si="237"/>
        <v>4.4469554673058367</v>
      </c>
      <c r="G116">
        <f t="shared" ca="1" si="237"/>
        <v>4.3366446681009414</v>
      </c>
      <c r="H116">
        <f t="shared" ca="1" si="237"/>
        <v>4.2263338688960461</v>
      </c>
      <c r="I116">
        <f t="shared" ca="1" si="237"/>
        <v>4.1160230696911508</v>
      </c>
      <c r="J116">
        <f t="shared" ca="1" si="237"/>
        <v>4.0057122704862556</v>
      </c>
      <c r="K116">
        <f t="shared" ca="1" si="237"/>
        <v>3.8954014712813598</v>
      </c>
      <c r="L116" s="238">
        <f ca="1">ExpKayaRatiosRef!F4</f>
        <v>3.785090672076461</v>
      </c>
      <c r="M116">
        <f t="shared" ref="M116:U116" ca="1" si="238">L116+($V116-$L116)/($V$75-$L$75)</f>
        <v>3.4065110070635454</v>
      </c>
      <c r="N116">
        <f t="shared" ca="1" si="238"/>
        <v>3.0279313420506297</v>
      </c>
      <c r="O116">
        <f t="shared" ca="1" si="238"/>
        <v>2.6493516770377141</v>
      </c>
      <c r="P116">
        <f t="shared" ca="1" si="238"/>
        <v>2.2707720120247985</v>
      </c>
      <c r="Q116">
        <f t="shared" ca="1" si="238"/>
        <v>1.8921923470118829</v>
      </c>
      <c r="R116">
        <f t="shared" ca="1" si="238"/>
        <v>1.5136126819989673</v>
      </c>
      <c r="S116">
        <f t="shared" ca="1" si="238"/>
        <v>1.1350330169860516</v>
      </c>
      <c r="T116">
        <f t="shared" ca="1" si="238"/>
        <v>0.7564533519731359</v>
      </c>
      <c r="U116">
        <f t="shared" ca="1" si="238"/>
        <v>0.37787368696022017</v>
      </c>
      <c r="V116" s="238">
        <f ca="1">ExpKayaRatiosRef!G38</f>
        <v>-7.0597805269659525E-4</v>
      </c>
      <c r="X116" s="238"/>
      <c r="Y116" s="238"/>
      <c r="Z116" s="238"/>
      <c r="AA116" s="238"/>
      <c r="AB116" s="238"/>
      <c r="AC116" s="238"/>
      <c r="AD116" s="238"/>
      <c r="AE116" s="238"/>
      <c r="AF116" s="238">
        <f ca="1">ExpKayaRatiosRef!H38</f>
        <v>-2.9578367543422377E-3</v>
      </c>
      <c r="AH116" s="238"/>
      <c r="AI116" s="238"/>
      <c r="AJ116" s="238"/>
      <c r="AK116" s="238"/>
      <c r="AL116" s="238"/>
      <c r="AM116" s="238"/>
      <c r="AN116" s="238"/>
      <c r="AO116" s="238"/>
      <c r="AP116" s="238">
        <f ca="1">ExpKayaRatiosRef!I38</f>
        <v>-1.032965633481511E-3</v>
      </c>
      <c r="AR116" s="238"/>
      <c r="AS116" s="238"/>
      <c r="AT116" s="238"/>
      <c r="AU116" s="238"/>
      <c r="AV116" s="238"/>
      <c r="AW116" s="238"/>
      <c r="AX116" s="238"/>
      <c r="AY116" s="238"/>
      <c r="AZ116" s="238">
        <f ca="1">ExpKayaRatiosRef!J38</f>
        <v>8.1960400776304166E-4</v>
      </c>
      <c r="BB116" s="238"/>
      <c r="BC116" s="238"/>
      <c r="BD116" s="238"/>
      <c r="BE116" s="238"/>
      <c r="BF116" s="238"/>
      <c r="BG116" s="238"/>
      <c r="BH116" s="238"/>
      <c r="BI116" s="238"/>
      <c r="BJ116" s="238">
        <f ca="1">ExpKayaRatiosRef!K38</f>
        <v>-1.372691711801307E-4</v>
      </c>
      <c r="BL116" s="238"/>
      <c r="BM116" s="238"/>
      <c r="BN116" s="238"/>
      <c r="BO116" s="238"/>
      <c r="BP116" s="238"/>
      <c r="BQ116" s="238"/>
      <c r="BR116" s="238"/>
      <c r="BS116" s="238"/>
      <c r="BT116" s="238">
        <f ca="1">ExpKayaRatiosRef!L38</f>
        <v>-7.1492121305671776E-4</v>
      </c>
      <c r="BV116" s="238"/>
      <c r="BW116" s="238"/>
      <c r="BX116" s="238"/>
      <c r="BY116" s="238"/>
      <c r="BZ116" s="238"/>
      <c r="CA116" s="238"/>
      <c r="CB116" s="238"/>
      <c r="CC116" s="238"/>
      <c r="CD116" s="238">
        <f ca="1">ExpKayaRatiosRef!M38</f>
        <v>9.3771600018909961E-4</v>
      </c>
      <c r="CF116" s="238"/>
      <c r="CG116" s="238"/>
      <c r="CH116" s="238"/>
      <c r="CI116" s="238"/>
      <c r="CJ116" s="238"/>
      <c r="CK116" s="238"/>
      <c r="CL116" s="238"/>
      <c r="CM116" s="238"/>
      <c r="CN116" s="238">
        <f ca="1">ExpKayaRatiosRef!N38</f>
        <v>1.9360781322397872E-3</v>
      </c>
    </row>
    <row r="117" spans="1:92" ht="18" customHeight="1" x14ac:dyDescent="0.2">
      <c r="A117" s="238" t="str">
        <f>ExpKayaRatiosInt!A5</f>
        <v>PEDEq/FE</v>
      </c>
      <c r="B117" s="238">
        <f ca="1">ExpKayaRatiosRef!E5</f>
        <v>1.375178461283006</v>
      </c>
      <c r="C117">
        <f t="shared" ref="C117:K117" ca="1" si="239">B117+($L117-$B117)/($L$75-$B$75)</f>
        <v>1.3781374227945165</v>
      </c>
      <c r="D117">
        <f t="shared" ca="1" si="239"/>
        <v>1.3810963843060269</v>
      </c>
      <c r="E117">
        <f t="shared" ca="1" si="239"/>
        <v>1.3840553458175373</v>
      </c>
      <c r="F117">
        <f t="shared" ca="1" si="239"/>
        <v>1.3870143073290477</v>
      </c>
      <c r="G117">
        <f t="shared" ca="1" si="239"/>
        <v>1.3899732688405582</v>
      </c>
      <c r="H117">
        <f t="shared" ca="1" si="239"/>
        <v>1.3929322303520686</v>
      </c>
      <c r="I117">
        <f t="shared" ca="1" si="239"/>
        <v>1.395891191863579</v>
      </c>
      <c r="J117">
        <f t="shared" ca="1" si="239"/>
        <v>1.3988501533750894</v>
      </c>
      <c r="K117">
        <f t="shared" ca="1" si="239"/>
        <v>1.4018091148865999</v>
      </c>
      <c r="L117" s="238">
        <f ca="1">ExpKayaRatiosRef!F5</f>
        <v>1.4047680763981099</v>
      </c>
      <c r="M117">
        <f t="shared" ref="M117:U117" ca="1" si="240">L117+($V117-$L117)/($V$75-$L$75)</f>
        <v>1.2642912687582988</v>
      </c>
      <c r="N117">
        <f t="shared" ca="1" si="240"/>
        <v>1.1238144611184877</v>
      </c>
      <c r="O117">
        <f t="shared" ca="1" si="240"/>
        <v>0.98333765347867674</v>
      </c>
      <c r="P117">
        <f t="shared" ca="1" si="240"/>
        <v>0.84286084583886578</v>
      </c>
      <c r="Q117">
        <f t="shared" ca="1" si="240"/>
        <v>0.70238403819905482</v>
      </c>
      <c r="R117">
        <f t="shared" ca="1" si="240"/>
        <v>0.56190723055924385</v>
      </c>
      <c r="S117">
        <f t="shared" ca="1" si="240"/>
        <v>0.42143042291943289</v>
      </c>
      <c r="T117">
        <f t="shared" ca="1" si="240"/>
        <v>0.28095361527962193</v>
      </c>
      <c r="U117">
        <f t="shared" ca="1" si="240"/>
        <v>0.14047680763981094</v>
      </c>
      <c r="V117" s="238">
        <f>ExpKayaRatiosRef!G39</f>
        <v>0</v>
      </c>
      <c r="X117" s="238"/>
      <c r="Y117" s="238"/>
      <c r="Z117" s="238"/>
      <c r="AA117" s="238"/>
      <c r="AB117" s="238"/>
      <c r="AC117" s="238"/>
      <c r="AD117" s="238"/>
      <c r="AE117" s="238"/>
      <c r="AF117" s="238">
        <f>ExpKayaRatiosRef!H39</f>
        <v>0</v>
      </c>
      <c r="AH117" s="238"/>
      <c r="AI117" s="238"/>
      <c r="AJ117" s="238"/>
      <c r="AK117" s="238"/>
      <c r="AL117" s="238"/>
      <c r="AM117" s="238"/>
      <c r="AN117" s="238"/>
      <c r="AO117" s="238"/>
      <c r="AP117" s="238">
        <f>ExpKayaRatiosRef!I39</f>
        <v>0</v>
      </c>
      <c r="AR117" s="238"/>
      <c r="AS117" s="238"/>
      <c r="AT117" s="238"/>
      <c r="AU117" s="238"/>
      <c r="AV117" s="238"/>
      <c r="AW117" s="238"/>
      <c r="AX117" s="238"/>
      <c r="AY117" s="238"/>
      <c r="AZ117" s="238">
        <f>ExpKayaRatiosRef!J39</f>
        <v>0</v>
      </c>
      <c r="BB117" s="238"/>
      <c r="BC117" s="238"/>
      <c r="BD117" s="238"/>
      <c r="BE117" s="238"/>
      <c r="BF117" s="238"/>
      <c r="BG117" s="238"/>
      <c r="BH117" s="238"/>
      <c r="BI117" s="238"/>
      <c r="BJ117" s="238">
        <f>ExpKayaRatiosRef!K39</f>
        <v>0</v>
      </c>
      <c r="BL117" s="238"/>
      <c r="BM117" s="238"/>
      <c r="BN117" s="238"/>
      <c r="BO117" s="238"/>
      <c r="BP117" s="238"/>
      <c r="BQ117" s="238"/>
      <c r="BR117" s="238"/>
      <c r="BS117" s="238"/>
      <c r="BT117" s="238">
        <f>ExpKayaRatiosRef!L39</f>
        <v>0</v>
      </c>
      <c r="BV117" s="238"/>
      <c r="BW117" s="238"/>
      <c r="BX117" s="238"/>
      <c r="BY117" s="238"/>
      <c r="BZ117" s="238"/>
      <c r="CA117" s="238"/>
      <c r="CB117" s="238"/>
      <c r="CC117" s="238"/>
      <c r="CD117" s="238">
        <f>ExpKayaRatiosRef!M39</f>
        <v>0</v>
      </c>
      <c r="CF117" s="238"/>
      <c r="CG117" s="238"/>
      <c r="CH117" s="238"/>
      <c r="CI117" s="238"/>
      <c r="CJ117" s="238"/>
      <c r="CK117" s="238"/>
      <c r="CL117" s="238"/>
      <c r="CM117" s="238"/>
      <c r="CN117" s="238">
        <f>ExpKayaRatiosRef!N39</f>
        <v>0</v>
      </c>
    </row>
    <row r="118" spans="1:92" ht="18" customHeight="1" x14ac:dyDescent="0.2">
      <c r="A118" s="238" t="str">
        <f>ExpKayaRatiosInt!A6</f>
        <v>PEFF/PEDEq</v>
      </c>
      <c r="B118" s="238">
        <f ca="1">ExpKayaRatiosRef!E6</f>
        <v>0.85060341362881065</v>
      </c>
      <c r="C118">
        <f t="shared" ref="C118:K118" ca="1" si="241">B118+($L118-$B118)/($L$75-$B$75)</f>
        <v>0.84987725768235856</v>
      </c>
      <c r="D118">
        <f t="shared" ca="1" si="241"/>
        <v>0.84915110173590647</v>
      </c>
      <c r="E118">
        <f t="shared" ca="1" si="241"/>
        <v>0.84842494578945438</v>
      </c>
      <c r="F118">
        <f t="shared" ca="1" si="241"/>
        <v>0.84769878984300229</v>
      </c>
      <c r="G118">
        <f t="shared" ca="1" si="241"/>
        <v>0.8469726338965502</v>
      </c>
      <c r="H118">
        <f t="shared" ca="1" si="241"/>
        <v>0.84624647795009811</v>
      </c>
      <c r="I118">
        <f t="shared" ca="1" si="241"/>
        <v>0.84552032200364602</v>
      </c>
      <c r="J118">
        <f t="shared" ca="1" si="241"/>
        <v>0.84479416605719393</v>
      </c>
      <c r="K118">
        <f t="shared" ca="1" si="241"/>
        <v>0.84406801011074184</v>
      </c>
      <c r="L118" s="238">
        <f ca="1">ExpKayaRatiosRef!F6</f>
        <v>0.84334185416428931</v>
      </c>
      <c r="M118">
        <f t="shared" ref="M118:U118" ca="1" si="242">L118+($V118-$L118)/($V$75-$L$75)</f>
        <v>0.75900766874786041</v>
      </c>
      <c r="N118">
        <f t="shared" ca="1" si="242"/>
        <v>0.67467348333143151</v>
      </c>
      <c r="O118">
        <f t="shared" ca="1" si="242"/>
        <v>0.59033929791500261</v>
      </c>
      <c r="P118">
        <f t="shared" ca="1" si="242"/>
        <v>0.50600511249857372</v>
      </c>
      <c r="Q118">
        <f t="shared" ca="1" si="242"/>
        <v>0.42167092708214482</v>
      </c>
      <c r="R118">
        <f t="shared" ca="1" si="242"/>
        <v>0.33733674166571592</v>
      </c>
      <c r="S118">
        <f t="shared" ca="1" si="242"/>
        <v>0.25300255624928703</v>
      </c>
      <c r="T118">
        <f t="shared" ca="1" si="242"/>
        <v>0.1686683708328581</v>
      </c>
      <c r="U118">
        <f t="shared" ca="1" si="242"/>
        <v>8.4334185416429175E-2</v>
      </c>
      <c r="V118" s="238">
        <f>ExpKayaRatiosRef!G40</f>
        <v>0</v>
      </c>
      <c r="X118" s="238"/>
      <c r="Y118" s="238"/>
      <c r="Z118" s="238"/>
      <c r="AA118" s="238"/>
      <c r="AB118" s="238"/>
      <c r="AC118" s="238"/>
      <c r="AD118" s="238"/>
      <c r="AE118" s="238"/>
      <c r="AF118" s="238">
        <f>ExpKayaRatiosRef!H40</f>
        <v>0</v>
      </c>
      <c r="AH118" s="238"/>
      <c r="AI118" s="238"/>
      <c r="AJ118" s="238"/>
      <c r="AK118" s="238"/>
      <c r="AL118" s="238"/>
      <c r="AM118" s="238"/>
      <c r="AN118" s="238"/>
      <c r="AO118" s="238"/>
      <c r="AP118" s="238">
        <f>ExpKayaRatiosRef!I40</f>
        <v>0</v>
      </c>
      <c r="AR118" s="238"/>
      <c r="AS118" s="238"/>
      <c r="AT118" s="238"/>
      <c r="AU118" s="238"/>
      <c r="AV118" s="238"/>
      <c r="AW118" s="238"/>
      <c r="AX118" s="238"/>
      <c r="AY118" s="238"/>
      <c r="AZ118" s="238">
        <f>ExpKayaRatiosRef!J40</f>
        <v>0</v>
      </c>
      <c r="BB118" s="238"/>
      <c r="BC118" s="238"/>
      <c r="BD118" s="238"/>
      <c r="BE118" s="238"/>
      <c r="BF118" s="238"/>
      <c r="BG118" s="238"/>
      <c r="BH118" s="238"/>
      <c r="BI118" s="238"/>
      <c r="BJ118" s="238">
        <f>ExpKayaRatiosRef!K40</f>
        <v>0</v>
      </c>
      <c r="BL118" s="238"/>
      <c r="BM118" s="238"/>
      <c r="BN118" s="238"/>
      <c r="BO118" s="238"/>
      <c r="BP118" s="238"/>
      <c r="BQ118" s="238"/>
      <c r="BR118" s="238"/>
      <c r="BS118" s="238"/>
      <c r="BT118" s="238">
        <f>ExpKayaRatiosRef!L40</f>
        <v>0</v>
      </c>
      <c r="BV118" s="238"/>
      <c r="BW118" s="238"/>
      <c r="BX118" s="238"/>
      <c r="BY118" s="238"/>
      <c r="BZ118" s="238"/>
      <c r="CA118" s="238"/>
      <c r="CB118" s="238"/>
      <c r="CC118" s="238"/>
      <c r="CD118" s="238">
        <f>ExpKayaRatiosRef!M40</f>
        <v>0</v>
      </c>
      <c r="CF118" s="238"/>
      <c r="CG118" s="238"/>
      <c r="CH118" s="238"/>
      <c r="CI118" s="238"/>
      <c r="CJ118" s="238"/>
      <c r="CK118" s="238"/>
      <c r="CL118" s="238"/>
      <c r="CM118" s="238"/>
      <c r="CN118" s="238">
        <f>ExpKayaRatiosRef!N40</f>
        <v>0</v>
      </c>
    </row>
    <row r="119" spans="1:92" ht="18" customHeight="1" x14ac:dyDescent="0.2">
      <c r="A119" s="238"/>
      <c r="B119" s="238"/>
      <c r="C119" s="25"/>
      <c r="D119" s="25"/>
      <c r="E119" s="25"/>
      <c r="F119" s="25"/>
      <c r="G119" s="25"/>
      <c r="H119" s="25"/>
      <c r="I119" s="25"/>
      <c r="J119" s="25"/>
      <c r="K119" s="25"/>
      <c r="L119" s="238"/>
      <c r="M119" s="25"/>
      <c r="N119" s="25"/>
      <c r="O119" s="25"/>
      <c r="P119" s="25"/>
      <c r="Q119" s="25"/>
      <c r="R119" s="25"/>
      <c r="S119" s="25"/>
      <c r="T119" s="25"/>
      <c r="U119" s="25"/>
      <c r="V119" s="238"/>
      <c r="W119" s="25"/>
      <c r="X119" s="25"/>
      <c r="Y119" s="25"/>
      <c r="Z119" s="25"/>
      <c r="AA119" s="25"/>
      <c r="AB119" s="25"/>
      <c r="AC119" s="25"/>
      <c r="AD119" s="25"/>
      <c r="AE119" s="25"/>
      <c r="AF119" s="238"/>
      <c r="AG119" s="25"/>
      <c r="AH119" s="25"/>
      <c r="AI119" s="25"/>
      <c r="AJ119" s="25"/>
      <c r="AK119" s="25"/>
      <c r="AL119" s="25"/>
      <c r="AM119" s="25"/>
      <c r="AN119" s="25"/>
      <c r="AO119" s="25"/>
      <c r="AP119" s="238"/>
      <c r="AQ119" s="25"/>
      <c r="AR119" s="25"/>
      <c r="AS119" s="25"/>
      <c r="AT119" s="25"/>
      <c r="AU119" s="25"/>
      <c r="AV119" s="25"/>
      <c r="AW119" s="25"/>
      <c r="AX119" s="25"/>
      <c r="AY119" s="25"/>
      <c r="AZ119" s="238"/>
      <c r="BA119" s="25"/>
      <c r="BB119" s="25"/>
      <c r="BC119" s="25"/>
      <c r="BD119" s="25"/>
      <c r="BE119" s="25"/>
      <c r="BF119" s="25"/>
      <c r="BG119" s="25"/>
      <c r="BH119" s="25"/>
      <c r="BI119" s="25"/>
      <c r="BJ119" s="238"/>
      <c r="BK119" s="25"/>
      <c r="BL119" s="25"/>
      <c r="BM119" s="25"/>
      <c r="BN119" s="25"/>
      <c r="BO119" s="25"/>
      <c r="BP119" s="25"/>
      <c r="BQ119" s="25"/>
      <c r="BR119" s="25"/>
      <c r="BS119" s="25"/>
      <c r="BT119" s="238"/>
      <c r="BU119" s="25"/>
      <c r="BV119" s="25"/>
      <c r="BW119" s="25"/>
      <c r="BX119" s="25"/>
      <c r="BY119" s="25"/>
      <c r="BZ119" s="25"/>
      <c r="CA119" s="25"/>
      <c r="CB119" s="25"/>
      <c r="CC119" s="25"/>
      <c r="CD119" s="238"/>
      <c r="CE119" s="25"/>
      <c r="CF119" s="25"/>
      <c r="CG119" s="25"/>
      <c r="CH119" s="25"/>
      <c r="CI119" s="25"/>
      <c r="CJ119" s="25"/>
      <c r="CK119" s="25"/>
      <c r="CL119" s="25"/>
      <c r="CM119" s="25"/>
      <c r="CN119" s="238"/>
    </row>
    <row r="120" spans="1:92" ht="18" customHeight="1" x14ac:dyDescent="0.2">
      <c r="A120" s="21"/>
      <c r="B120" s="238"/>
      <c r="C120" s="25"/>
      <c r="D120" s="25"/>
      <c r="E120" s="25"/>
      <c r="F120" s="25"/>
      <c r="G120" s="25"/>
      <c r="H120" s="25"/>
      <c r="I120" s="25"/>
      <c r="J120" s="25"/>
      <c r="K120" s="25"/>
      <c r="L120" s="238"/>
      <c r="M120" s="25"/>
      <c r="N120" s="25"/>
      <c r="O120" s="25"/>
      <c r="P120" s="25"/>
      <c r="Q120" s="25"/>
      <c r="R120" s="25"/>
      <c r="S120" s="25"/>
      <c r="T120" s="25"/>
      <c r="U120" s="25"/>
      <c r="V120" s="238"/>
      <c r="W120" s="25"/>
      <c r="X120" s="25"/>
      <c r="Y120" s="25"/>
      <c r="Z120" s="25"/>
      <c r="AA120" s="25"/>
      <c r="AB120" s="25"/>
      <c r="AC120" s="25"/>
      <c r="AD120" s="25"/>
      <c r="AE120" s="25"/>
      <c r="AF120" s="238"/>
      <c r="AG120" s="25"/>
      <c r="AH120" s="25"/>
      <c r="AI120" s="25"/>
      <c r="AJ120" s="25"/>
      <c r="AK120" s="25"/>
      <c r="AL120" s="25"/>
      <c r="AM120" s="25"/>
      <c r="AN120" s="25"/>
      <c r="AO120" s="25"/>
      <c r="AP120" s="238"/>
      <c r="AQ120" s="25"/>
      <c r="AR120" s="25"/>
      <c r="AS120" s="25"/>
      <c r="AT120" s="25"/>
      <c r="AU120" s="25"/>
      <c r="AV120" s="25"/>
      <c r="AW120" s="25"/>
      <c r="AX120" s="25"/>
      <c r="AY120" s="25"/>
      <c r="AZ120" s="238"/>
      <c r="BA120" s="25"/>
      <c r="BB120" s="25"/>
      <c r="BC120" s="25"/>
      <c r="BD120" s="25"/>
      <c r="BE120" s="25"/>
      <c r="BF120" s="25"/>
      <c r="BG120" s="25"/>
      <c r="BH120" s="25"/>
      <c r="BI120" s="25"/>
      <c r="BJ120" s="238"/>
      <c r="BK120" s="25"/>
      <c r="BL120" s="25"/>
      <c r="BM120" s="25"/>
      <c r="BN120" s="25"/>
      <c r="BO120" s="25"/>
      <c r="BP120" s="25"/>
      <c r="BQ120" s="25"/>
      <c r="BR120" s="25"/>
      <c r="BS120" s="25"/>
      <c r="BT120" s="238"/>
      <c r="BU120" s="25"/>
      <c r="BV120" s="25"/>
      <c r="BW120" s="25"/>
      <c r="BX120" s="25"/>
      <c r="BY120" s="25"/>
      <c r="BZ120" s="25"/>
      <c r="CA120" s="25"/>
      <c r="CB120" s="25"/>
      <c r="CC120" s="25"/>
      <c r="CD120" s="238"/>
      <c r="CE120" s="25"/>
      <c r="CF120" s="25"/>
      <c r="CG120" s="25"/>
      <c r="CH120" s="25"/>
      <c r="CI120" s="25"/>
      <c r="CJ120" s="25"/>
      <c r="CK120" s="25"/>
      <c r="CL120" s="25"/>
      <c r="CM120" s="25"/>
      <c r="CN120" s="238"/>
    </row>
    <row r="121" spans="1:92" ht="18" customHeight="1" x14ac:dyDescent="0.2">
      <c r="A121" s="21"/>
      <c r="B121" s="238"/>
      <c r="C121" s="25"/>
      <c r="D121" s="25"/>
      <c r="E121" s="25"/>
      <c r="F121" s="25"/>
      <c r="G121" s="25"/>
      <c r="H121" s="25"/>
      <c r="I121" s="25"/>
      <c r="J121" s="25"/>
      <c r="K121" s="25"/>
      <c r="L121" s="238"/>
      <c r="M121" s="25"/>
      <c r="N121" s="25"/>
      <c r="O121" s="25"/>
      <c r="P121" s="25"/>
      <c r="Q121" s="25"/>
      <c r="R121" s="25"/>
      <c r="S121" s="25"/>
      <c r="T121" s="25"/>
      <c r="U121" s="25"/>
      <c r="V121" s="238"/>
      <c r="W121" s="25"/>
      <c r="X121" s="25"/>
      <c r="Y121" s="25"/>
      <c r="Z121" s="25"/>
      <c r="AA121" s="25"/>
      <c r="AB121" s="25"/>
      <c r="AC121" s="25"/>
      <c r="AD121" s="25"/>
      <c r="AE121" s="25"/>
      <c r="AF121" s="238"/>
      <c r="AG121" s="25"/>
      <c r="AH121" s="25"/>
      <c r="AI121" s="25"/>
      <c r="AJ121" s="25"/>
      <c r="AK121" s="25"/>
      <c r="AL121" s="25"/>
      <c r="AM121" s="25"/>
      <c r="AN121" s="25"/>
      <c r="AO121" s="25"/>
      <c r="AP121" s="238"/>
      <c r="AQ121" s="25"/>
      <c r="AR121" s="25"/>
      <c r="AS121" s="25"/>
      <c r="AT121" s="25"/>
      <c r="AU121" s="25"/>
      <c r="AV121" s="25"/>
      <c r="AW121" s="25"/>
      <c r="AX121" s="25"/>
      <c r="AY121" s="25"/>
      <c r="AZ121" s="238"/>
      <c r="BA121" s="25"/>
      <c r="BB121" s="25"/>
      <c r="BC121" s="25"/>
      <c r="BD121" s="25"/>
      <c r="BE121" s="25"/>
      <c r="BF121" s="25"/>
      <c r="BG121" s="25"/>
      <c r="BH121" s="25"/>
      <c r="BI121" s="25"/>
      <c r="BJ121" s="238"/>
      <c r="BK121" s="25"/>
      <c r="BL121" s="25"/>
      <c r="BM121" s="25"/>
      <c r="BN121" s="25"/>
      <c r="BO121" s="25"/>
      <c r="BP121" s="25"/>
      <c r="BQ121" s="25"/>
      <c r="BR121" s="25"/>
      <c r="BS121" s="25"/>
      <c r="BT121" s="238"/>
      <c r="BU121" s="25"/>
      <c r="BV121" s="25"/>
      <c r="BW121" s="25"/>
      <c r="BX121" s="25"/>
      <c r="BY121" s="25"/>
      <c r="BZ121" s="25"/>
      <c r="CA121" s="25"/>
      <c r="CB121" s="25"/>
      <c r="CC121" s="25"/>
      <c r="CD121" s="238"/>
      <c r="CE121" s="25"/>
      <c r="CF121" s="25"/>
      <c r="CG121" s="25"/>
      <c r="CH121" s="25"/>
      <c r="CI121" s="25"/>
      <c r="CJ121" s="25"/>
      <c r="CK121" s="25"/>
      <c r="CL121" s="25"/>
      <c r="CM121" s="25"/>
      <c r="CN121" s="238"/>
    </row>
    <row r="122" spans="1:92" ht="18" customHeight="1" x14ac:dyDescent="0.2">
      <c r="A122" s="21"/>
      <c r="B122" s="238"/>
      <c r="C122" s="25"/>
      <c r="D122" s="25"/>
      <c r="E122" s="25"/>
      <c r="F122" s="25"/>
      <c r="G122" s="25"/>
      <c r="H122" s="25"/>
      <c r="I122" s="25"/>
      <c r="J122" s="25"/>
      <c r="K122" s="25"/>
      <c r="L122" s="238"/>
      <c r="M122" s="25"/>
      <c r="N122" s="25"/>
      <c r="O122" s="25"/>
      <c r="P122" s="25"/>
      <c r="Q122" s="25"/>
      <c r="R122" s="25"/>
      <c r="S122" s="25"/>
      <c r="T122" s="25"/>
      <c r="U122" s="25"/>
      <c r="V122" s="238"/>
      <c r="W122" s="25"/>
      <c r="X122" s="25"/>
      <c r="Y122" s="25"/>
      <c r="Z122" s="25"/>
      <c r="AA122" s="25"/>
      <c r="AB122" s="25"/>
      <c r="AC122" s="25"/>
      <c r="AD122" s="25"/>
      <c r="AE122" s="25"/>
      <c r="AF122" s="238"/>
      <c r="AG122" s="25"/>
      <c r="AH122" s="25"/>
      <c r="AI122" s="25"/>
      <c r="AJ122" s="25"/>
      <c r="AK122" s="25"/>
      <c r="AL122" s="25"/>
      <c r="AM122" s="25"/>
      <c r="AN122" s="25"/>
      <c r="AO122" s="25"/>
      <c r="AP122" s="238"/>
      <c r="AQ122" s="25"/>
      <c r="AR122" s="25"/>
      <c r="AS122" s="25"/>
      <c r="AT122" s="25"/>
      <c r="AU122" s="25"/>
      <c r="AV122" s="25"/>
      <c r="AW122" s="25"/>
      <c r="AX122" s="25"/>
      <c r="AY122" s="25"/>
      <c r="AZ122" s="238"/>
      <c r="BA122" s="25"/>
      <c r="BB122" s="25"/>
      <c r="BC122" s="25"/>
      <c r="BD122" s="25"/>
      <c r="BE122" s="25"/>
      <c r="BF122" s="25"/>
      <c r="BG122" s="25"/>
      <c r="BH122" s="25"/>
      <c r="BI122" s="25"/>
      <c r="BJ122" s="238"/>
      <c r="BK122" s="25"/>
      <c r="BL122" s="25"/>
      <c r="BM122" s="25"/>
      <c r="BN122" s="25"/>
      <c r="BO122" s="25"/>
      <c r="BP122" s="25"/>
      <c r="BQ122" s="25"/>
      <c r="BR122" s="25"/>
      <c r="BS122" s="25"/>
      <c r="BT122" s="238"/>
      <c r="BU122" s="25"/>
      <c r="BV122" s="25"/>
      <c r="BW122" s="25"/>
      <c r="BX122" s="25"/>
      <c r="BY122" s="25"/>
      <c r="BZ122" s="25"/>
      <c r="CA122" s="25"/>
      <c r="CB122" s="25"/>
      <c r="CC122" s="25"/>
      <c r="CD122" s="238"/>
      <c r="CE122" s="25"/>
      <c r="CF122" s="25"/>
      <c r="CG122" s="25"/>
      <c r="CH122" s="25"/>
      <c r="CI122" s="25"/>
      <c r="CJ122" s="25"/>
      <c r="CK122" s="25"/>
      <c r="CL122" s="25"/>
      <c r="CM122" s="25"/>
      <c r="CN122" s="238"/>
    </row>
    <row r="123" spans="1:92" ht="18" customHeight="1" x14ac:dyDescent="0.2">
      <c r="A123" s="21"/>
      <c r="B123" s="238"/>
      <c r="C123" s="25"/>
      <c r="D123" s="25"/>
      <c r="E123" s="25"/>
      <c r="F123" s="25"/>
      <c r="G123" s="25"/>
      <c r="H123" s="25"/>
      <c r="I123" s="25"/>
      <c r="J123" s="25"/>
      <c r="K123" s="25"/>
      <c r="L123" s="238"/>
      <c r="M123" s="25"/>
      <c r="N123" s="25"/>
      <c r="O123" s="25"/>
      <c r="P123" s="25"/>
      <c r="Q123" s="25"/>
      <c r="R123" s="25"/>
      <c r="S123" s="25"/>
      <c r="T123" s="25"/>
      <c r="U123" s="25"/>
      <c r="V123" s="238"/>
      <c r="W123" s="25"/>
      <c r="X123" s="25"/>
      <c r="Y123" s="25"/>
      <c r="Z123" s="25"/>
      <c r="AA123" s="25"/>
      <c r="AB123" s="25"/>
      <c r="AC123" s="25"/>
      <c r="AD123" s="25"/>
      <c r="AE123" s="25"/>
      <c r="AF123" s="238"/>
      <c r="AG123" s="25"/>
      <c r="AH123" s="25"/>
      <c r="AI123" s="25"/>
      <c r="AJ123" s="25"/>
      <c r="AK123" s="25"/>
      <c r="AL123" s="25"/>
      <c r="AM123" s="25"/>
      <c r="AN123" s="25"/>
      <c r="AO123" s="25"/>
      <c r="AP123" s="238"/>
      <c r="AQ123" s="25"/>
      <c r="AR123" s="25"/>
      <c r="AS123" s="25"/>
      <c r="AT123" s="25"/>
      <c r="AU123" s="25"/>
      <c r="AV123" s="25"/>
      <c r="AW123" s="25"/>
      <c r="AX123" s="25"/>
      <c r="AY123" s="25"/>
      <c r="AZ123" s="238"/>
      <c r="BA123" s="25"/>
      <c r="BB123" s="25"/>
      <c r="BC123" s="25"/>
      <c r="BD123" s="25"/>
      <c r="BE123" s="25"/>
      <c r="BF123" s="25"/>
      <c r="BG123" s="25"/>
      <c r="BH123" s="25"/>
      <c r="BI123" s="25"/>
      <c r="BJ123" s="238"/>
      <c r="BK123" s="25"/>
      <c r="BL123" s="25"/>
      <c r="BM123" s="25"/>
      <c r="BN123" s="25"/>
      <c r="BO123" s="25"/>
      <c r="BP123" s="25"/>
      <c r="BQ123" s="25"/>
      <c r="BR123" s="25"/>
      <c r="BS123" s="25"/>
      <c r="BT123" s="238"/>
      <c r="BU123" s="25"/>
      <c r="BV123" s="25"/>
      <c r="BW123" s="25"/>
      <c r="BX123" s="25"/>
      <c r="BY123" s="25"/>
      <c r="BZ123" s="25"/>
      <c r="CA123" s="25"/>
      <c r="CB123" s="25"/>
      <c r="CC123" s="25"/>
      <c r="CD123" s="238"/>
      <c r="CE123" s="25"/>
      <c r="CF123" s="25"/>
      <c r="CG123" s="25"/>
      <c r="CH123" s="25"/>
      <c r="CI123" s="25"/>
      <c r="CJ123" s="25"/>
      <c r="CK123" s="25"/>
      <c r="CL123" s="25"/>
      <c r="CM123" s="25"/>
      <c r="CN123" s="238"/>
    </row>
    <row r="124" spans="1:92" x14ac:dyDescent="0.2">
      <c r="A124" s="25" t="s">
        <v>43</v>
      </c>
      <c r="B124" s="25">
        <f ca="1">B125+B135</f>
        <v>30.597844759623207</v>
      </c>
      <c r="C124" s="25">
        <f t="shared" ref="C124:BN124" ca="1" si="243">C125+C135</f>
        <v>30.454240377764162</v>
      </c>
      <c r="D124" s="25">
        <f t="shared" ca="1" si="243"/>
        <v>30.310635995905116</v>
      </c>
      <c r="E124" s="25">
        <f t="shared" ca="1" si="243"/>
        <v>30.167031614046071</v>
      </c>
      <c r="F124" s="25">
        <f t="shared" ca="1" si="243"/>
        <v>30.023427232187025</v>
      </c>
      <c r="G124" s="25">
        <f t="shared" ca="1" si="243"/>
        <v>29.879822850327979</v>
      </c>
      <c r="H124" s="25">
        <f t="shared" ca="1" si="243"/>
        <v>29.736218468468934</v>
      </c>
      <c r="I124" s="25">
        <f t="shared" ca="1" si="243"/>
        <v>29.592614086609888</v>
      </c>
      <c r="J124" s="25">
        <f t="shared" ca="1" si="243"/>
        <v>29.449009704750843</v>
      </c>
      <c r="K124" s="25">
        <f t="shared" ca="1" si="243"/>
        <v>29.305405322891801</v>
      </c>
      <c r="L124" s="25">
        <f t="shared" ca="1" si="243"/>
        <v>29.161800941032769</v>
      </c>
      <c r="M124" s="25">
        <f t="shared" ca="1" si="243"/>
        <v>28.254721053965614</v>
      </c>
      <c r="N124" s="25">
        <f t="shared" ca="1" si="243"/>
        <v>27.347641166898462</v>
      </c>
      <c r="O124" s="25">
        <f t="shared" ca="1" si="243"/>
        <v>26.440561279831311</v>
      </c>
      <c r="P124" s="25">
        <f t="shared" ca="1" si="243"/>
        <v>25.533481392764159</v>
      </c>
      <c r="Q124" s="25">
        <f t="shared" ca="1" si="243"/>
        <v>24.626401505697007</v>
      </c>
      <c r="R124" s="25">
        <f t="shared" ca="1" si="243"/>
        <v>23.719321618629852</v>
      </c>
      <c r="S124" s="25">
        <f t="shared" ca="1" si="243"/>
        <v>22.8122417315627</v>
      </c>
      <c r="T124" s="25">
        <f t="shared" ca="1" si="243"/>
        <v>21.905161844495549</v>
      </c>
      <c r="U124" s="25">
        <f t="shared" ca="1" si="243"/>
        <v>20.998081957428397</v>
      </c>
      <c r="V124" s="25">
        <f t="shared" ca="1" si="243"/>
        <v>20.091002070361235</v>
      </c>
      <c r="W124" s="25">
        <f t="shared" ca="1" si="243"/>
        <v>19.241203572700893</v>
      </c>
      <c r="X124" s="25">
        <f t="shared" ca="1" si="243"/>
        <v>18.391405075040552</v>
      </c>
      <c r="Y124" s="25">
        <f t="shared" ca="1" si="243"/>
        <v>17.541606577380211</v>
      </c>
      <c r="Z124" s="25">
        <f t="shared" ca="1" si="243"/>
        <v>16.691808079719866</v>
      </c>
      <c r="AA124" s="25">
        <f t="shared" ca="1" si="243"/>
        <v>15.842009582059525</v>
      </c>
      <c r="AB124" s="25">
        <f t="shared" ca="1" si="243"/>
        <v>14.992211084399184</v>
      </c>
      <c r="AC124" s="25">
        <f t="shared" ca="1" si="243"/>
        <v>14.142412586738841</v>
      </c>
      <c r="AD124" s="25">
        <f t="shared" ca="1" si="243"/>
        <v>13.292614089078498</v>
      </c>
      <c r="AE124" s="25">
        <f t="shared" ca="1" si="243"/>
        <v>12.442815591418157</v>
      </c>
      <c r="AF124" s="25">
        <f t="shared" ca="1" si="243"/>
        <v>11.593017093757812</v>
      </c>
      <c r="AG124" s="25">
        <f t="shared" ca="1" si="243"/>
        <v>11.299721822743066</v>
      </c>
      <c r="AH124" s="25">
        <f t="shared" ca="1" si="243"/>
        <v>11.006426551728319</v>
      </c>
      <c r="AI124" s="25">
        <f t="shared" ca="1" si="243"/>
        <v>10.713131280713572</v>
      </c>
      <c r="AJ124" s="25">
        <f t="shared" ca="1" si="243"/>
        <v>10.419836009698825</v>
      </c>
      <c r="AK124" s="25">
        <f t="shared" ca="1" si="243"/>
        <v>10.126540738684078</v>
      </c>
      <c r="AL124" s="25">
        <f t="shared" ca="1" si="243"/>
        <v>9.8332454676693324</v>
      </c>
      <c r="AM124" s="25">
        <f t="shared" ca="1" si="243"/>
        <v>9.5399501966545852</v>
      </c>
      <c r="AN124" s="25">
        <f t="shared" ca="1" si="243"/>
        <v>9.246654925639838</v>
      </c>
      <c r="AO124" s="25">
        <f t="shared" ca="1" si="243"/>
        <v>8.9533596546250926</v>
      </c>
      <c r="AP124" s="25">
        <f t="shared" ca="1" si="243"/>
        <v>8.6600643836103437</v>
      </c>
      <c r="AQ124" s="25">
        <f t="shared" ca="1" si="243"/>
        <v>8.6621128335143567</v>
      </c>
      <c r="AR124" s="25">
        <f t="shared" ca="1" si="243"/>
        <v>8.6641612834183697</v>
      </c>
      <c r="AS124" s="25">
        <f t="shared" ca="1" si="243"/>
        <v>8.6662097333223826</v>
      </c>
      <c r="AT124" s="25">
        <f t="shared" ca="1" si="243"/>
        <v>8.6682581832263956</v>
      </c>
      <c r="AU124" s="25">
        <f t="shared" ca="1" si="243"/>
        <v>8.6703066331304086</v>
      </c>
      <c r="AV124" s="25">
        <f t="shared" ca="1" si="243"/>
        <v>8.6723550830344216</v>
      </c>
      <c r="AW124" s="25">
        <f t="shared" ca="1" si="243"/>
        <v>8.6744035329384346</v>
      </c>
      <c r="AX124" s="25">
        <f t="shared" ca="1" si="243"/>
        <v>8.6764519828424476</v>
      </c>
      <c r="AY124" s="25">
        <f t="shared" ca="1" si="243"/>
        <v>8.6785004327464605</v>
      </c>
      <c r="AZ124" s="25">
        <f t="shared" ca="1" si="243"/>
        <v>8.6805488826504753</v>
      </c>
      <c r="BA124" s="25">
        <f t="shared" ca="1" si="243"/>
        <v>8.7973445975553641</v>
      </c>
      <c r="BB124" s="25">
        <f t="shared" ca="1" si="243"/>
        <v>8.914140312460253</v>
      </c>
      <c r="BC124" s="25">
        <f t="shared" ca="1" si="243"/>
        <v>9.0309360273651418</v>
      </c>
      <c r="BD124" s="25">
        <f t="shared" ca="1" si="243"/>
        <v>9.1477317422700306</v>
      </c>
      <c r="BE124" s="25">
        <f t="shared" ca="1" si="243"/>
        <v>9.2645274571749194</v>
      </c>
      <c r="BF124" s="25">
        <f t="shared" ca="1" si="243"/>
        <v>9.3813231720798065</v>
      </c>
      <c r="BG124" s="25">
        <f t="shared" ca="1" si="243"/>
        <v>9.4981188869846953</v>
      </c>
      <c r="BH124" s="25">
        <f t="shared" ca="1" si="243"/>
        <v>9.6149146018895841</v>
      </c>
      <c r="BI124" s="25">
        <f t="shared" ca="1" si="243"/>
        <v>9.731710316794473</v>
      </c>
      <c r="BJ124" s="25">
        <f t="shared" ca="1" si="243"/>
        <v>9.8485060316993565</v>
      </c>
      <c r="BK124" s="25">
        <f t="shared" ca="1" si="243"/>
        <v>9.7927161196723755</v>
      </c>
      <c r="BL124" s="25">
        <f t="shared" ca="1" si="243"/>
        <v>9.7369262076453929</v>
      </c>
      <c r="BM124" s="25">
        <f t="shared" ca="1" si="243"/>
        <v>9.6811362956184119</v>
      </c>
      <c r="BN124" s="25">
        <f t="shared" ca="1" si="243"/>
        <v>9.625346383591431</v>
      </c>
      <c r="BO124" s="25">
        <f t="shared" ref="BO124:CN124" ca="1" si="244">BO125+BO135</f>
        <v>9.5695564715644501</v>
      </c>
      <c r="BP124" s="25">
        <f t="shared" ca="1" si="244"/>
        <v>9.5137665595374692</v>
      </c>
      <c r="BQ124" s="25">
        <f t="shared" ca="1" si="244"/>
        <v>9.4579766475104865</v>
      </c>
      <c r="BR124" s="25">
        <f t="shared" ca="1" si="244"/>
        <v>9.4021867354835056</v>
      </c>
      <c r="BS124" s="25">
        <f t="shared" ca="1" si="244"/>
        <v>9.3463968234565247</v>
      </c>
      <c r="BT124" s="25">
        <f t="shared" ca="1" si="244"/>
        <v>9.2906069114295455</v>
      </c>
      <c r="BU124" s="25">
        <f t="shared" ca="1" si="244"/>
        <v>9.2082966699528157</v>
      </c>
      <c r="BV124" s="25">
        <f t="shared" ca="1" si="244"/>
        <v>9.1259864284760859</v>
      </c>
      <c r="BW124" s="25">
        <f t="shared" ca="1" si="244"/>
        <v>9.043676186999356</v>
      </c>
      <c r="BX124" s="25">
        <f t="shared" ca="1" si="244"/>
        <v>8.9613659455226262</v>
      </c>
      <c r="BY124" s="25">
        <f t="shared" ca="1" si="244"/>
        <v>8.8790557040458982</v>
      </c>
      <c r="BZ124" s="25">
        <f t="shared" ca="1" si="244"/>
        <v>8.7967454625691683</v>
      </c>
      <c r="CA124" s="25">
        <f t="shared" ca="1" si="244"/>
        <v>8.7144352210924385</v>
      </c>
      <c r="CB124" s="25">
        <f t="shared" ca="1" si="244"/>
        <v>8.6321249796157105</v>
      </c>
      <c r="CC124" s="25">
        <f t="shared" ca="1" si="244"/>
        <v>8.5498147381389806</v>
      </c>
      <c r="CD124" s="25">
        <f t="shared" ca="1" si="244"/>
        <v>8.4675044966622472</v>
      </c>
      <c r="CE124" s="25">
        <f t="shared" ca="1" si="244"/>
        <v>8.4941181882936476</v>
      </c>
      <c r="CF124" s="25">
        <f t="shared" ca="1" si="244"/>
        <v>8.520731879925048</v>
      </c>
      <c r="CG124" s="25">
        <f t="shared" ca="1" si="244"/>
        <v>8.5473455715564466</v>
      </c>
      <c r="CH124" s="25">
        <f t="shared" ca="1" si="244"/>
        <v>8.5739592631878452</v>
      </c>
      <c r="CI124" s="25">
        <f t="shared" ca="1" si="244"/>
        <v>8.6005729548192456</v>
      </c>
      <c r="CJ124" s="25">
        <f t="shared" ca="1" si="244"/>
        <v>8.6271866464506459</v>
      </c>
      <c r="CK124" s="25">
        <f t="shared" ca="1" si="244"/>
        <v>8.6538003380820445</v>
      </c>
      <c r="CL124" s="25">
        <f t="shared" ca="1" si="244"/>
        <v>8.6804140297134431</v>
      </c>
      <c r="CM124" s="25">
        <f t="shared" ca="1" si="244"/>
        <v>8.7070277213448435</v>
      </c>
      <c r="CN124" s="25">
        <f t="shared" ca="1" si="244"/>
        <v>8.7336414129762421</v>
      </c>
    </row>
    <row r="125" spans="1:92" x14ac:dyDescent="0.2">
      <c r="A125" s="25" t="str">
        <f>TotalEmissions!A5</f>
        <v>NFC</v>
      </c>
      <c r="B125" s="25">
        <f ca="1">TotalEmissions!B5</f>
        <v>30.597844759623207</v>
      </c>
      <c r="C125" s="25">
        <f t="shared" ref="C125:K125" ca="1" si="245">B125+(($L125-$B125)/($L$75-$B$75))</f>
        <v>30.450957059860226</v>
      </c>
      <c r="D125" s="25">
        <f t="shared" ca="1" si="245"/>
        <v>30.304069360097245</v>
      </c>
      <c r="E125" s="25">
        <f t="shared" ca="1" si="245"/>
        <v>30.157181660334263</v>
      </c>
      <c r="F125" s="25">
        <f t="shared" ca="1" si="245"/>
        <v>30.010293960571282</v>
      </c>
      <c r="G125" s="25">
        <f t="shared" ca="1" si="245"/>
        <v>29.863406260808301</v>
      </c>
      <c r="H125" s="25">
        <f t="shared" ca="1" si="245"/>
        <v>29.716518561045319</v>
      </c>
      <c r="I125" s="25">
        <f t="shared" ca="1" si="245"/>
        <v>29.569630861282338</v>
      </c>
      <c r="J125" s="25">
        <f t="shared" ca="1" si="245"/>
        <v>29.422743161519357</v>
      </c>
      <c r="K125" s="25">
        <f t="shared" ca="1" si="245"/>
        <v>29.275855461756375</v>
      </c>
      <c r="L125" s="25">
        <f ca="1">TotalEmissions!C5</f>
        <v>29.128967761993408</v>
      </c>
      <c r="M125" s="25">
        <f t="shared" ref="M125:U125" ca="1" si="246">L125+(($V125-$L125)/($V$75-$L$75))</f>
        <v>28.100830443900634</v>
      </c>
      <c r="N125" s="25">
        <f t="shared" ca="1" si="246"/>
        <v>27.072693125807859</v>
      </c>
      <c r="O125" s="25">
        <f t="shared" ca="1" si="246"/>
        <v>26.044555807715085</v>
      </c>
      <c r="P125" s="25">
        <f t="shared" ca="1" si="246"/>
        <v>25.016418489622311</v>
      </c>
      <c r="Q125" s="25">
        <f t="shared" ca="1" si="246"/>
        <v>23.988281171529536</v>
      </c>
      <c r="R125" s="25">
        <f t="shared" ca="1" si="246"/>
        <v>22.960143853436762</v>
      </c>
      <c r="S125" s="25">
        <f t="shared" ca="1" si="246"/>
        <v>21.932006535343987</v>
      </c>
      <c r="T125" s="25">
        <f t="shared" ca="1" si="246"/>
        <v>20.903869217251213</v>
      </c>
      <c r="U125" s="25">
        <f t="shared" ca="1" si="246"/>
        <v>19.875731899158438</v>
      </c>
      <c r="V125" s="25">
        <f ca="1">TotalEmissions!D5</f>
        <v>18.847594581065653</v>
      </c>
      <c r="W125" s="25">
        <f t="shared" ref="W125:AE125" ca="1" si="247">V125+(($AF125-$V125)/($AF$75-$V$75))</f>
        <v>17.876604428312881</v>
      </c>
      <c r="X125" s="25">
        <f t="shared" ca="1" si="247"/>
        <v>16.905614275560108</v>
      </c>
      <c r="Y125" s="25">
        <f t="shared" ca="1" si="247"/>
        <v>15.934624122807334</v>
      </c>
      <c r="Z125" s="25">
        <f t="shared" ca="1" si="247"/>
        <v>14.963633970054559</v>
      </c>
      <c r="AA125" s="25">
        <f t="shared" ca="1" si="247"/>
        <v>13.992643817301785</v>
      </c>
      <c r="AB125" s="25">
        <f t="shared" ca="1" si="247"/>
        <v>13.02165366454901</v>
      </c>
      <c r="AC125" s="25">
        <f t="shared" ca="1" si="247"/>
        <v>12.050663511796236</v>
      </c>
      <c r="AD125" s="25">
        <f t="shared" ca="1" si="247"/>
        <v>11.079673359043461</v>
      </c>
      <c r="AE125" s="25">
        <f t="shared" ca="1" si="247"/>
        <v>10.108683206290687</v>
      </c>
      <c r="AF125" s="25">
        <f ca="1">TotalEmissions!E5</f>
        <v>9.1376930535379106</v>
      </c>
      <c r="AG125" s="25">
        <f t="shared" ref="AG125:AO125" ca="1" si="248">AF125+(($AP125-$AF125)/($AP$75-$AF$75))</f>
        <v>8.7858993691254224</v>
      </c>
      <c r="AH125" s="25">
        <f t="shared" ca="1" si="248"/>
        <v>8.4341056847129341</v>
      </c>
      <c r="AI125" s="25">
        <f t="shared" ca="1" si="248"/>
        <v>8.0823120003004458</v>
      </c>
      <c r="AJ125" s="25">
        <f t="shared" ca="1" si="248"/>
        <v>7.7305183158879576</v>
      </c>
      <c r="AK125" s="25">
        <f t="shared" ca="1" si="248"/>
        <v>7.3787246314754693</v>
      </c>
      <c r="AL125" s="25">
        <f t="shared" ca="1" si="248"/>
        <v>7.026930947062981</v>
      </c>
      <c r="AM125" s="25">
        <f t="shared" ca="1" si="248"/>
        <v>6.6751372626504928</v>
      </c>
      <c r="AN125" s="25">
        <f t="shared" ca="1" si="248"/>
        <v>6.3233435782380045</v>
      </c>
      <c r="AO125" s="25">
        <f t="shared" ca="1" si="248"/>
        <v>5.9715498938255163</v>
      </c>
      <c r="AP125" s="25">
        <f ca="1">TotalEmissions!F5</f>
        <v>5.6197562094130271</v>
      </c>
      <c r="AQ125" s="25">
        <f t="shared" ref="AQ125:AY125" ca="1" si="249">AP125+(($AZ125-$AP125)/($AZ$75-$AP$75))</f>
        <v>5.4930873195230872</v>
      </c>
      <c r="AR125" s="25">
        <f t="shared" ca="1" si="249"/>
        <v>5.3664184296331472</v>
      </c>
      <c r="AS125" s="25">
        <f t="shared" ca="1" si="249"/>
        <v>5.2397495397432072</v>
      </c>
      <c r="AT125" s="25">
        <f t="shared" ca="1" si="249"/>
        <v>5.1130806498532673</v>
      </c>
      <c r="AU125" s="25">
        <f t="shared" ca="1" si="249"/>
        <v>4.9864117599633273</v>
      </c>
      <c r="AV125" s="25">
        <f t="shared" ca="1" si="249"/>
        <v>4.8597428700733873</v>
      </c>
      <c r="AW125" s="25">
        <f t="shared" ca="1" si="249"/>
        <v>4.7330739801834474</v>
      </c>
      <c r="AX125" s="25">
        <f t="shared" ca="1" si="249"/>
        <v>4.6064050902935074</v>
      </c>
      <c r="AY125" s="25">
        <f t="shared" ca="1" si="249"/>
        <v>4.4797362004035675</v>
      </c>
      <c r="AZ125" s="25">
        <f ca="1">TotalEmissions!G5</f>
        <v>4.3530673105136266</v>
      </c>
      <c r="BA125" s="25">
        <f t="shared" ref="BA125:BI125" ca="1" si="250">AZ125+(($BJ125-$AZ125)/($BJ$75-$AZ$75))</f>
        <v>4.2805590190040972</v>
      </c>
      <c r="BB125" s="25">
        <f t="shared" ca="1" si="250"/>
        <v>4.2080507274945678</v>
      </c>
      <c r="BC125" s="25">
        <f t="shared" ca="1" si="250"/>
        <v>4.1355424359850383</v>
      </c>
      <c r="BD125" s="25">
        <f t="shared" ca="1" si="250"/>
        <v>4.0630341444755089</v>
      </c>
      <c r="BE125" s="25">
        <f t="shared" ca="1" si="250"/>
        <v>3.9905258529659791</v>
      </c>
      <c r="BF125" s="25">
        <f t="shared" ca="1" si="250"/>
        <v>3.9180175614564492</v>
      </c>
      <c r="BG125" s="25">
        <f t="shared" ca="1" si="250"/>
        <v>3.8455092699469193</v>
      </c>
      <c r="BH125" s="25">
        <f t="shared" ca="1" si="250"/>
        <v>3.7730009784373895</v>
      </c>
      <c r="BI125" s="25">
        <f t="shared" ca="1" si="250"/>
        <v>3.7004926869278596</v>
      </c>
      <c r="BJ125" s="25">
        <f ca="1">TotalEmissions!H5</f>
        <v>3.6279843954183288</v>
      </c>
      <c r="BK125" s="25">
        <f t="shared" ref="BK125:BS125" ca="1" si="251">BJ125+(($BT125-$BJ125)/($BT$75-$BJ$75))</f>
        <v>3.5703725598833524</v>
      </c>
      <c r="BL125" s="25">
        <f t="shared" ca="1" si="251"/>
        <v>3.5127607243483761</v>
      </c>
      <c r="BM125" s="25">
        <f t="shared" ca="1" si="251"/>
        <v>3.4551488888133997</v>
      </c>
      <c r="BN125" s="25">
        <f t="shared" ca="1" si="251"/>
        <v>3.3975370532784233</v>
      </c>
      <c r="BO125" s="25">
        <f t="shared" ca="1" si="251"/>
        <v>3.3399252177434469</v>
      </c>
      <c r="BP125" s="25">
        <f t="shared" ca="1" si="251"/>
        <v>3.2823133822084705</v>
      </c>
      <c r="BQ125" s="25">
        <f t="shared" ca="1" si="251"/>
        <v>3.2247015466734941</v>
      </c>
      <c r="BR125" s="25">
        <f t="shared" ca="1" si="251"/>
        <v>3.1670897111385177</v>
      </c>
      <c r="BS125" s="25">
        <f t="shared" ca="1" si="251"/>
        <v>3.1094778756035413</v>
      </c>
      <c r="BT125" s="25">
        <f ca="1">TotalEmissions!I5</f>
        <v>3.0518660400685649</v>
      </c>
      <c r="BU125" s="25">
        <f t="shared" ref="BU125:CC125" ca="1" si="252">BT125+(($CD125-$BT125)/($CD$75-$BT$75))</f>
        <v>3.0312928608218876</v>
      </c>
      <c r="BV125" s="25">
        <f t="shared" ca="1" si="252"/>
        <v>3.0107196815752104</v>
      </c>
      <c r="BW125" s="25">
        <f t="shared" ca="1" si="252"/>
        <v>2.9901465023285332</v>
      </c>
      <c r="BX125" s="25">
        <f t="shared" ca="1" si="252"/>
        <v>2.969573323081856</v>
      </c>
      <c r="BY125" s="25">
        <f t="shared" ca="1" si="252"/>
        <v>2.9490001438351787</v>
      </c>
      <c r="BZ125" s="25">
        <f t="shared" ca="1" si="252"/>
        <v>2.9284269645885015</v>
      </c>
      <c r="CA125" s="25">
        <f t="shared" ca="1" si="252"/>
        <v>2.9078537853418243</v>
      </c>
      <c r="CB125" s="25">
        <f t="shared" ca="1" si="252"/>
        <v>2.887280606095147</v>
      </c>
      <c r="CC125" s="25">
        <f t="shared" ca="1" si="252"/>
        <v>2.8667074268484698</v>
      </c>
      <c r="CD125" s="25">
        <f ca="1">TotalEmissions!J5</f>
        <v>2.8461342476017908</v>
      </c>
      <c r="CE125" s="25">
        <f t="shared" ref="CE125:CM125" ca="1" si="253">CD125+(($CN125-$CD125)/($CN$75-$CD$75))</f>
        <v>2.8628343902197528</v>
      </c>
      <c r="CF125" s="25">
        <f t="shared" ca="1" si="253"/>
        <v>2.8795345328377149</v>
      </c>
      <c r="CG125" s="25">
        <f t="shared" ca="1" si="253"/>
        <v>2.8962346754556769</v>
      </c>
      <c r="CH125" s="25">
        <f t="shared" ca="1" si="253"/>
        <v>2.912934818073639</v>
      </c>
      <c r="CI125" s="25">
        <f t="shared" ca="1" si="253"/>
        <v>2.929634960691601</v>
      </c>
      <c r="CJ125" s="25">
        <f t="shared" ca="1" si="253"/>
        <v>2.9463351033095631</v>
      </c>
      <c r="CK125" s="25">
        <f t="shared" ca="1" si="253"/>
        <v>2.9630352459275251</v>
      </c>
      <c r="CL125" s="25">
        <f t="shared" ca="1" si="253"/>
        <v>2.9797353885454871</v>
      </c>
      <c r="CM125" s="25">
        <f t="shared" ca="1" si="253"/>
        <v>2.9964355311634492</v>
      </c>
      <c r="CN125" s="25">
        <f ca="1">TotalEmissions!K5</f>
        <v>3.0131356737814112</v>
      </c>
    </row>
    <row r="126" spans="1:92" s="25" customFormat="1" ht="18" customHeight="1" x14ac:dyDescent="0.2">
      <c r="A126" s="179" t="s">
        <v>343</v>
      </c>
      <c r="B126" s="25">
        <f ca="1">B127+B136</f>
        <v>1.6191182434558868</v>
      </c>
      <c r="C126" s="25">
        <f t="shared" ref="C126:BN126" ca="1" si="254">C127+C136</f>
        <v>1.6186383542585341</v>
      </c>
      <c r="D126" s="25">
        <f t="shared" ca="1" si="254"/>
        <v>1.6181584650611813</v>
      </c>
      <c r="E126" s="25">
        <f t="shared" ca="1" si="254"/>
        <v>1.6176785758638286</v>
      </c>
      <c r="F126" s="25">
        <f t="shared" ca="1" si="254"/>
        <v>1.6171986866664758</v>
      </c>
      <c r="G126" s="25">
        <f t="shared" ca="1" si="254"/>
        <v>1.6167187974691231</v>
      </c>
      <c r="H126" s="25">
        <f t="shared" ca="1" si="254"/>
        <v>1.6162389082717703</v>
      </c>
      <c r="I126" s="25">
        <f t="shared" ca="1" si="254"/>
        <v>1.6157590190744175</v>
      </c>
      <c r="J126" s="25">
        <f t="shared" ca="1" si="254"/>
        <v>1.615279129877065</v>
      </c>
      <c r="K126" s="25">
        <f t="shared" ca="1" si="254"/>
        <v>1.6147992406797123</v>
      </c>
      <c r="L126" s="25">
        <f t="shared" ca="1" si="254"/>
        <v>1.6143193514823604</v>
      </c>
      <c r="M126" s="25">
        <f t="shared" ca="1" si="254"/>
        <v>1.6285526109995165</v>
      </c>
      <c r="N126" s="25">
        <f t="shared" ca="1" si="254"/>
        <v>1.6427858705166727</v>
      </c>
      <c r="O126" s="25">
        <f t="shared" ca="1" si="254"/>
        <v>1.6570191300338288</v>
      </c>
      <c r="P126" s="25">
        <f t="shared" ca="1" si="254"/>
        <v>1.6712523895509848</v>
      </c>
      <c r="Q126" s="25">
        <f t="shared" ca="1" si="254"/>
        <v>1.6854856490681409</v>
      </c>
      <c r="R126" s="25">
        <f t="shared" ca="1" si="254"/>
        <v>1.6997189085852971</v>
      </c>
      <c r="S126" s="25">
        <f t="shared" ca="1" si="254"/>
        <v>1.7139521681024532</v>
      </c>
      <c r="T126" s="25">
        <f t="shared" ca="1" si="254"/>
        <v>1.7281854276196094</v>
      </c>
      <c r="U126" s="25">
        <f t="shared" ca="1" si="254"/>
        <v>1.7424186871367655</v>
      </c>
      <c r="V126" s="25">
        <f t="shared" ca="1" si="254"/>
        <v>1.7566519466539221</v>
      </c>
      <c r="W126" s="25">
        <f t="shared" ca="1" si="254"/>
        <v>1.760735442737738</v>
      </c>
      <c r="X126" s="25">
        <f t="shared" ca="1" si="254"/>
        <v>1.7648189388215541</v>
      </c>
      <c r="Y126" s="25">
        <f t="shared" ca="1" si="254"/>
        <v>1.7689024349053701</v>
      </c>
      <c r="Z126" s="25">
        <f t="shared" ca="1" si="254"/>
        <v>1.772985930989186</v>
      </c>
      <c r="AA126" s="25">
        <f t="shared" ca="1" si="254"/>
        <v>1.7770694270730019</v>
      </c>
      <c r="AB126" s="25">
        <f t="shared" ca="1" si="254"/>
        <v>1.7811529231568179</v>
      </c>
      <c r="AC126" s="25">
        <f t="shared" ca="1" si="254"/>
        <v>1.785236419240634</v>
      </c>
      <c r="AD126" s="25">
        <f t="shared" ca="1" si="254"/>
        <v>1.7893199153244499</v>
      </c>
      <c r="AE126" s="25">
        <f t="shared" ca="1" si="254"/>
        <v>1.7934034114082658</v>
      </c>
      <c r="AF126" s="25">
        <f t="shared" ca="1" si="254"/>
        <v>1.7974869074920812</v>
      </c>
      <c r="AG126" s="25">
        <f t="shared" ca="1" si="254"/>
        <v>1.7850165626965462</v>
      </c>
      <c r="AH126" s="25">
        <f t="shared" ca="1" si="254"/>
        <v>1.7725462179010112</v>
      </c>
      <c r="AI126" s="25">
        <f t="shared" ca="1" si="254"/>
        <v>1.7600758731054764</v>
      </c>
      <c r="AJ126" s="25">
        <f t="shared" ca="1" si="254"/>
        <v>1.7476055283099414</v>
      </c>
      <c r="AK126" s="25">
        <f t="shared" ca="1" si="254"/>
        <v>1.7351351835144064</v>
      </c>
      <c r="AL126" s="25">
        <f t="shared" ca="1" si="254"/>
        <v>1.7226648387188717</v>
      </c>
      <c r="AM126" s="25">
        <f t="shared" ca="1" si="254"/>
        <v>1.7101944939233367</v>
      </c>
      <c r="AN126" s="25">
        <f t="shared" ca="1" si="254"/>
        <v>1.6977241491278017</v>
      </c>
      <c r="AO126" s="25">
        <f t="shared" ca="1" si="254"/>
        <v>1.6852538043322667</v>
      </c>
      <c r="AP126" s="25">
        <f t="shared" ca="1" si="254"/>
        <v>1.6727834595367312</v>
      </c>
      <c r="AQ126" s="25">
        <f t="shared" ca="1" si="254"/>
        <v>1.6539510000215765</v>
      </c>
      <c r="AR126" s="25">
        <f t="shared" ca="1" si="254"/>
        <v>1.6351185405064219</v>
      </c>
      <c r="AS126" s="25">
        <f t="shared" ca="1" si="254"/>
        <v>1.6162860809912674</v>
      </c>
      <c r="AT126" s="25">
        <f t="shared" ca="1" si="254"/>
        <v>1.5974536214761126</v>
      </c>
      <c r="AU126" s="25">
        <f t="shared" ca="1" si="254"/>
        <v>1.578621161960958</v>
      </c>
      <c r="AV126" s="25">
        <f t="shared" ca="1" si="254"/>
        <v>1.5597887024458035</v>
      </c>
      <c r="AW126" s="25">
        <f t="shared" ca="1" si="254"/>
        <v>1.5409562429306489</v>
      </c>
      <c r="AX126" s="25">
        <f t="shared" ca="1" si="254"/>
        <v>1.5221237834154944</v>
      </c>
      <c r="AY126" s="25">
        <f t="shared" ca="1" si="254"/>
        <v>1.5032913239003396</v>
      </c>
      <c r="AZ126" s="25">
        <f t="shared" ca="1" si="254"/>
        <v>1.4844588643851844</v>
      </c>
      <c r="BA126" s="25">
        <f t="shared" ca="1" si="254"/>
        <v>1.5061899093924391</v>
      </c>
      <c r="BB126" s="25">
        <f t="shared" ca="1" si="254"/>
        <v>1.5279209543996937</v>
      </c>
      <c r="BC126" s="25">
        <f t="shared" ca="1" si="254"/>
        <v>1.5496519994069482</v>
      </c>
      <c r="BD126" s="25">
        <f t="shared" ca="1" si="254"/>
        <v>1.5713830444142025</v>
      </c>
      <c r="BE126" s="25">
        <f t="shared" ca="1" si="254"/>
        <v>1.593114089421457</v>
      </c>
      <c r="BF126" s="25">
        <f t="shared" ca="1" si="254"/>
        <v>1.6148451344287116</v>
      </c>
      <c r="BG126" s="25">
        <f t="shared" ca="1" si="254"/>
        <v>1.6365761794359659</v>
      </c>
      <c r="BH126" s="25">
        <f t="shared" ca="1" si="254"/>
        <v>1.6583072244432204</v>
      </c>
      <c r="BI126" s="25">
        <f t="shared" ca="1" si="254"/>
        <v>1.680038269450475</v>
      </c>
      <c r="BJ126" s="25">
        <f t="shared" ca="1" si="254"/>
        <v>1.7017693144577302</v>
      </c>
      <c r="BK126" s="25">
        <f t="shared" ca="1" si="254"/>
        <v>1.730184037374541</v>
      </c>
      <c r="BL126" s="25">
        <f t="shared" ca="1" si="254"/>
        <v>1.7585987602913518</v>
      </c>
      <c r="BM126" s="25">
        <f t="shared" ca="1" si="254"/>
        <v>1.7870134832081628</v>
      </c>
      <c r="BN126" s="25">
        <f t="shared" ca="1" si="254"/>
        <v>1.8154282061249736</v>
      </c>
      <c r="BO126" s="25">
        <f t="shared" ref="BO126:CN126" ca="1" si="255">BO127+BO136</f>
        <v>1.8438429290417844</v>
      </c>
      <c r="BP126" s="25">
        <f t="shared" ca="1" si="255"/>
        <v>1.8722576519585954</v>
      </c>
      <c r="BQ126" s="25">
        <f t="shared" ca="1" si="255"/>
        <v>1.9006723748754062</v>
      </c>
      <c r="BR126" s="25">
        <f t="shared" ca="1" si="255"/>
        <v>1.929087097792217</v>
      </c>
      <c r="BS126" s="25">
        <f t="shared" ca="1" si="255"/>
        <v>1.9575018207090278</v>
      </c>
      <c r="BT126" s="25">
        <f t="shared" ca="1" si="255"/>
        <v>1.9859165436258384</v>
      </c>
      <c r="BU126" s="25">
        <f t="shared" ca="1" si="255"/>
        <v>1.970119799550351</v>
      </c>
      <c r="BV126" s="25">
        <f t="shared" ca="1" si="255"/>
        <v>1.9543230554748636</v>
      </c>
      <c r="BW126" s="25">
        <f t="shared" ca="1" si="255"/>
        <v>1.938526311399376</v>
      </c>
      <c r="BX126" s="25">
        <f t="shared" ca="1" si="255"/>
        <v>1.9227295673238887</v>
      </c>
      <c r="BY126" s="25">
        <f t="shared" ca="1" si="255"/>
        <v>1.9069328232484013</v>
      </c>
      <c r="BZ126" s="25">
        <f t="shared" ca="1" si="255"/>
        <v>1.8911360791729139</v>
      </c>
      <c r="CA126" s="25">
        <f t="shared" ca="1" si="255"/>
        <v>1.8753393350974266</v>
      </c>
      <c r="CB126" s="25">
        <f t="shared" ca="1" si="255"/>
        <v>1.859542591021939</v>
      </c>
      <c r="CC126" s="25">
        <f t="shared" ca="1" si="255"/>
        <v>1.8437458469464516</v>
      </c>
      <c r="CD126" s="25">
        <f t="shared" ca="1" si="255"/>
        <v>1.8279491028709645</v>
      </c>
      <c r="CE126" s="25">
        <f t="shared" ca="1" si="255"/>
        <v>1.7864612247833669</v>
      </c>
      <c r="CF126" s="25">
        <f t="shared" ca="1" si="255"/>
        <v>1.7449733466957693</v>
      </c>
      <c r="CG126" s="25">
        <f t="shared" ca="1" si="255"/>
        <v>1.7034854686081717</v>
      </c>
      <c r="CH126" s="25">
        <f t="shared" ca="1" si="255"/>
        <v>1.6619975905205742</v>
      </c>
      <c r="CI126" s="25">
        <f t="shared" ca="1" si="255"/>
        <v>1.6205097124329764</v>
      </c>
      <c r="CJ126" s="25">
        <f t="shared" ca="1" si="255"/>
        <v>1.5790218343453788</v>
      </c>
      <c r="CK126" s="25">
        <f t="shared" ca="1" si="255"/>
        <v>1.5375339562577812</v>
      </c>
      <c r="CL126" s="25">
        <f t="shared" ca="1" si="255"/>
        <v>1.4960460781701834</v>
      </c>
      <c r="CM126" s="25">
        <f t="shared" ca="1" si="255"/>
        <v>1.4545582000825859</v>
      </c>
      <c r="CN126" s="25">
        <f t="shared" ca="1" si="255"/>
        <v>1.4130703219949887</v>
      </c>
    </row>
    <row r="127" spans="1:92" x14ac:dyDescent="0.2">
      <c r="A127" s="25" t="str">
        <f>TotalEmissions!A8</f>
        <v>NIC (Net Industry Carbon)</v>
      </c>
      <c r="B127" s="25">
        <f ca="1">TotalEmissions!B8</f>
        <v>1.6191182434558868</v>
      </c>
      <c r="C127" s="25">
        <f t="shared" ref="C127:K127" ca="1" si="256">B127+(($L127-$B127)/($L$75-$B$75))</f>
        <v>1.6169414162635802</v>
      </c>
      <c r="D127" s="25">
        <f t="shared" ca="1" si="256"/>
        <v>1.6147645890712736</v>
      </c>
      <c r="E127" s="25">
        <f t="shared" ca="1" si="256"/>
        <v>1.612587761878967</v>
      </c>
      <c r="F127" s="25">
        <f t="shared" ca="1" si="256"/>
        <v>1.6104109346866604</v>
      </c>
      <c r="G127" s="25">
        <f t="shared" ca="1" si="256"/>
        <v>1.6082341074943538</v>
      </c>
      <c r="H127" s="25">
        <f t="shared" ca="1" si="256"/>
        <v>1.6060572803020472</v>
      </c>
      <c r="I127" s="25">
        <f t="shared" ca="1" si="256"/>
        <v>1.6038804531097406</v>
      </c>
      <c r="J127" s="25">
        <f t="shared" ca="1" si="256"/>
        <v>1.601703625917434</v>
      </c>
      <c r="K127" s="25">
        <f t="shared" ca="1" si="256"/>
        <v>1.5995267987251274</v>
      </c>
      <c r="L127" s="25">
        <f ca="1">TotalEmissions!C8</f>
        <v>1.5973499715328217</v>
      </c>
      <c r="M127" s="25">
        <f t="shared" ref="M127:U127" ca="1" si="257">L127+(($V127-$L127)/($V$75-$L$75))</f>
        <v>1.5410775254170099</v>
      </c>
      <c r="N127" s="25">
        <f t="shared" ca="1" si="257"/>
        <v>1.4848050793011982</v>
      </c>
      <c r="O127" s="25">
        <f t="shared" ca="1" si="257"/>
        <v>1.4285326331853865</v>
      </c>
      <c r="P127" s="25">
        <f t="shared" ca="1" si="257"/>
        <v>1.3722601870695748</v>
      </c>
      <c r="Q127" s="25">
        <f t="shared" ca="1" si="257"/>
        <v>1.315987740953763</v>
      </c>
      <c r="R127" s="25">
        <f t="shared" ca="1" si="257"/>
        <v>1.2597152948379513</v>
      </c>
      <c r="S127" s="25">
        <f t="shared" ca="1" si="257"/>
        <v>1.2034428487221396</v>
      </c>
      <c r="T127" s="25">
        <f t="shared" ca="1" si="257"/>
        <v>1.1471704026063279</v>
      </c>
      <c r="U127" s="25">
        <f t="shared" ca="1" si="257"/>
        <v>1.0908979564905161</v>
      </c>
      <c r="V127" s="25">
        <f ca="1">TotalEmissions!D8</f>
        <v>1.0346255103747048</v>
      </c>
      <c r="W127" s="25">
        <f t="shared" ref="W127:AE127" ca="1" si="258">V127+(($AF127-$V127)/($AF$75-$V$75))</f>
        <v>0.96915476024150837</v>
      </c>
      <c r="X127" s="25">
        <f t="shared" ca="1" si="258"/>
        <v>0.9036840101083119</v>
      </c>
      <c r="Y127" s="25">
        <f t="shared" ca="1" si="258"/>
        <v>0.83821325997511542</v>
      </c>
      <c r="Z127" s="25">
        <f t="shared" ca="1" si="258"/>
        <v>0.77274250984191895</v>
      </c>
      <c r="AA127" s="25">
        <f t="shared" ca="1" si="258"/>
        <v>0.70727175970872247</v>
      </c>
      <c r="AB127" s="25">
        <f t="shared" ca="1" si="258"/>
        <v>0.64180100957552599</v>
      </c>
      <c r="AC127" s="25">
        <f t="shared" ca="1" si="258"/>
        <v>0.57633025944232952</v>
      </c>
      <c r="AD127" s="25">
        <f t="shared" ca="1" si="258"/>
        <v>0.51085950930913304</v>
      </c>
      <c r="AE127" s="25">
        <f t="shared" ca="1" si="258"/>
        <v>0.44538875917593657</v>
      </c>
      <c r="AF127" s="25">
        <f ca="1">TotalEmissions!E8</f>
        <v>0.37991800904273987</v>
      </c>
      <c r="AG127" s="25">
        <f t="shared" ref="AG127:AO127" ca="1" si="259">AF127+(($AP127-$AF127)/($AP$75-$AF$75))</f>
        <v>0.3710897463063399</v>
      </c>
      <c r="AH127" s="25">
        <f t="shared" ca="1" si="259"/>
        <v>0.36226148356993992</v>
      </c>
      <c r="AI127" s="25">
        <f t="shared" ca="1" si="259"/>
        <v>0.35343322083353995</v>
      </c>
      <c r="AJ127" s="25">
        <f t="shared" ca="1" si="259"/>
        <v>0.34460495809713998</v>
      </c>
      <c r="AK127" s="25">
        <f t="shared" ca="1" si="259"/>
        <v>0.33577669536074001</v>
      </c>
      <c r="AL127" s="25">
        <f t="shared" ca="1" si="259"/>
        <v>0.32694843262434004</v>
      </c>
      <c r="AM127" s="25">
        <f t="shared" ca="1" si="259"/>
        <v>0.31812016988794006</v>
      </c>
      <c r="AN127" s="25">
        <f t="shared" ca="1" si="259"/>
        <v>0.30929190715154009</v>
      </c>
      <c r="AO127" s="25">
        <f t="shared" ca="1" si="259"/>
        <v>0.30046364441514012</v>
      </c>
      <c r="AP127" s="25">
        <f ca="1">TotalEmissions!F8</f>
        <v>0.29163538167874015</v>
      </c>
      <c r="AQ127" s="25">
        <f t="shared" ref="AQ127:AY127" ca="1" si="260">AP127+(($AZ127-$AP127)/($AZ$75-$AP$75))</f>
        <v>0.28774513055880863</v>
      </c>
      <c r="AR127" s="25">
        <f t="shared" ca="1" si="260"/>
        <v>0.28385487943887711</v>
      </c>
      <c r="AS127" s="25">
        <f t="shared" ca="1" si="260"/>
        <v>0.27996462831894559</v>
      </c>
      <c r="AT127" s="25">
        <f t="shared" ca="1" si="260"/>
        <v>0.27607437719901406</v>
      </c>
      <c r="AU127" s="25">
        <f t="shared" ca="1" si="260"/>
        <v>0.27218412607908254</v>
      </c>
      <c r="AV127" s="25">
        <f t="shared" ca="1" si="260"/>
        <v>0.26829387495915102</v>
      </c>
      <c r="AW127" s="25">
        <f t="shared" ca="1" si="260"/>
        <v>0.2644036238392195</v>
      </c>
      <c r="AX127" s="25">
        <f t="shared" ca="1" si="260"/>
        <v>0.26051337271928798</v>
      </c>
      <c r="AY127" s="25">
        <f t="shared" ca="1" si="260"/>
        <v>0.25662312159935646</v>
      </c>
      <c r="AZ127" s="25">
        <f ca="1">TotalEmissions!G8</f>
        <v>0.25273287047942478</v>
      </c>
      <c r="BA127" s="25">
        <f t="shared" ref="BA127:BI127" ca="1" si="261">AZ127+(($BJ127-$AZ127)/($BJ$75-$AZ$75))</f>
        <v>0.25398681685328484</v>
      </c>
      <c r="BB127" s="25">
        <f t="shared" ca="1" si="261"/>
        <v>0.2552407632271449</v>
      </c>
      <c r="BC127" s="25">
        <f t="shared" ca="1" si="261"/>
        <v>0.25649470960100496</v>
      </c>
      <c r="BD127" s="25">
        <f t="shared" ca="1" si="261"/>
        <v>0.25774865597486502</v>
      </c>
      <c r="BE127" s="25">
        <f t="shared" ca="1" si="261"/>
        <v>0.25900260234872508</v>
      </c>
      <c r="BF127" s="25">
        <f t="shared" ca="1" si="261"/>
        <v>0.26025654872258513</v>
      </c>
      <c r="BG127" s="25">
        <f t="shared" ca="1" si="261"/>
        <v>0.26151049509644519</v>
      </c>
      <c r="BH127" s="25">
        <f t="shared" ca="1" si="261"/>
        <v>0.26276444147030525</v>
      </c>
      <c r="BI127" s="25">
        <f t="shared" ca="1" si="261"/>
        <v>0.26401838784416531</v>
      </c>
      <c r="BJ127" s="25">
        <f ca="1">TotalEmissions!H8</f>
        <v>0.26527233421802521</v>
      </c>
      <c r="BK127" s="25">
        <f t="shared" ref="BK127:BS127" ca="1" si="262">BJ127+(($BT127-$BJ127)/($BT$75-$BJ$75))</f>
        <v>0.26743469883998233</v>
      </c>
      <c r="BL127" s="25">
        <f t="shared" ca="1" si="262"/>
        <v>0.26959706346193946</v>
      </c>
      <c r="BM127" s="25">
        <f t="shared" ca="1" si="262"/>
        <v>0.27175942808389658</v>
      </c>
      <c r="BN127" s="25">
        <f t="shared" ca="1" si="262"/>
        <v>0.27392179270585371</v>
      </c>
      <c r="BO127" s="25">
        <f t="shared" ca="1" si="262"/>
        <v>0.27608415732781083</v>
      </c>
      <c r="BP127" s="25">
        <f t="shared" ca="1" si="262"/>
        <v>0.27824652194976796</v>
      </c>
      <c r="BQ127" s="25">
        <f t="shared" ca="1" si="262"/>
        <v>0.28040888657172508</v>
      </c>
      <c r="BR127" s="25">
        <f t="shared" ca="1" si="262"/>
        <v>0.2825712511936822</v>
      </c>
      <c r="BS127" s="25">
        <f t="shared" ca="1" si="262"/>
        <v>0.28473361581563933</v>
      </c>
      <c r="BT127" s="25">
        <f ca="1">TotalEmissions!I8</f>
        <v>0.28689598043759662</v>
      </c>
      <c r="BU127" s="25">
        <f t="shared" ref="BU127:CC127" ca="1" si="263">BT127+(($CD127-$BT127)/($CD$75-$BT$75))</f>
        <v>0.28662810871998468</v>
      </c>
      <c r="BV127" s="25">
        <f t="shared" ca="1" si="263"/>
        <v>0.28636023700237273</v>
      </c>
      <c r="BW127" s="25">
        <f t="shared" ca="1" si="263"/>
        <v>0.28609236528476079</v>
      </c>
      <c r="BX127" s="25">
        <f t="shared" ca="1" si="263"/>
        <v>0.28582449356714884</v>
      </c>
      <c r="BY127" s="25">
        <f t="shared" ca="1" si="263"/>
        <v>0.2855566218495369</v>
      </c>
      <c r="BZ127" s="25">
        <f t="shared" ca="1" si="263"/>
        <v>0.28528875013192495</v>
      </c>
      <c r="CA127" s="25">
        <f t="shared" ca="1" si="263"/>
        <v>0.28502087841431301</v>
      </c>
      <c r="CB127" s="25">
        <f t="shared" ca="1" si="263"/>
        <v>0.28475300669670106</v>
      </c>
      <c r="CC127" s="25">
        <f t="shared" ca="1" si="263"/>
        <v>0.28448513497908912</v>
      </c>
      <c r="CD127" s="25">
        <f ca="1">TotalEmissions!J8</f>
        <v>0.28421726326147712</v>
      </c>
      <c r="CE127" s="25">
        <f t="shared" ref="CE127:CM127" ca="1" si="264">CD127+(($CN127-$CD127)/($CN$75-$CD$75))</f>
        <v>0.28467806577682492</v>
      </c>
      <c r="CF127" s="25">
        <f t="shared" ca="1" si="264"/>
        <v>0.28513886829217272</v>
      </c>
      <c r="CG127" s="25">
        <f t="shared" ca="1" si="264"/>
        <v>0.28559967080752052</v>
      </c>
      <c r="CH127" s="25">
        <f t="shared" ca="1" si="264"/>
        <v>0.28606047332286832</v>
      </c>
      <c r="CI127" s="25">
        <f t="shared" ca="1" si="264"/>
        <v>0.28652127583821613</v>
      </c>
      <c r="CJ127" s="25">
        <f t="shared" ca="1" si="264"/>
        <v>0.28698207835356393</v>
      </c>
      <c r="CK127" s="25">
        <f t="shared" ca="1" si="264"/>
        <v>0.28744288086891173</v>
      </c>
      <c r="CL127" s="25">
        <f t="shared" ca="1" si="264"/>
        <v>0.28790368338425953</v>
      </c>
      <c r="CM127" s="25">
        <f t="shared" ca="1" si="264"/>
        <v>0.28836448589960734</v>
      </c>
      <c r="CN127" s="25">
        <f ca="1">TotalEmissions!K8</f>
        <v>0.28882528841495514</v>
      </c>
    </row>
    <row r="128" spans="1:92" x14ac:dyDescent="0.2">
      <c r="A128" s="25" t="str">
        <f>TotalEmissions!A11</f>
        <v>other gases</v>
      </c>
      <c r="B128" s="25">
        <f ca="1">TotalEmissions!B11</f>
        <v>13.375585601370156</v>
      </c>
      <c r="C128" s="25">
        <f t="shared" ref="C128:K128" ca="1" si="265">B128+(($L128-$B128)/($L$75-$B$75))</f>
        <v>13.251978691722876</v>
      </c>
      <c r="D128" s="25">
        <f t="shared" ca="1" si="265"/>
        <v>13.128371782075595</v>
      </c>
      <c r="E128" s="25">
        <f t="shared" ca="1" si="265"/>
        <v>13.004764872428314</v>
      </c>
      <c r="F128" s="25">
        <f t="shared" ca="1" si="265"/>
        <v>12.881157962781034</v>
      </c>
      <c r="G128" s="25">
        <f t="shared" ca="1" si="265"/>
        <v>12.757551053133753</v>
      </c>
      <c r="H128" s="25">
        <f t="shared" ca="1" si="265"/>
        <v>12.633944143486472</v>
      </c>
      <c r="I128" s="25">
        <f t="shared" ca="1" si="265"/>
        <v>12.510337233839191</v>
      </c>
      <c r="J128" s="25">
        <f t="shared" ca="1" si="265"/>
        <v>12.386730324191911</v>
      </c>
      <c r="K128" s="25">
        <f t="shared" ca="1" si="265"/>
        <v>12.26312341454463</v>
      </c>
      <c r="L128" s="25">
        <f ca="1">TotalEmissions!C11</f>
        <v>12.139516504897342</v>
      </c>
      <c r="M128" s="25">
        <f t="shared" ref="M128:U128" ca="1" si="266">L128+(($V128-$L128)/($V$75-$L$75))</f>
        <v>11.7132506795539</v>
      </c>
      <c r="N128" s="25">
        <f t="shared" ca="1" si="266"/>
        <v>11.286984854210457</v>
      </c>
      <c r="O128" s="25">
        <f t="shared" ca="1" si="266"/>
        <v>10.860719028867015</v>
      </c>
      <c r="P128" s="25">
        <f t="shared" ca="1" si="266"/>
        <v>10.434453203523573</v>
      </c>
      <c r="Q128" s="25">
        <f t="shared" ca="1" si="266"/>
        <v>10.00818737818013</v>
      </c>
      <c r="R128" s="25">
        <f t="shared" ca="1" si="266"/>
        <v>9.5819215528366879</v>
      </c>
      <c r="S128" s="25">
        <f t="shared" ca="1" si="266"/>
        <v>9.1556557274932455</v>
      </c>
      <c r="T128" s="25">
        <f t="shared" ca="1" si="266"/>
        <v>8.7293899021498031</v>
      </c>
      <c r="U128" s="25">
        <f t="shared" ca="1" si="266"/>
        <v>8.3031240768063608</v>
      </c>
      <c r="V128" s="25">
        <f ca="1">TotalEmissions!D11</f>
        <v>7.876858251462914</v>
      </c>
      <c r="W128" s="25">
        <f t="shared" ref="W128:AE128" ca="1" si="267">V128+(($AF128-$V128)/($AF$75-$V$75))</f>
        <v>7.6579269419973377</v>
      </c>
      <c r="X128" s="25">
        <f t="shared" ca="1" si="267"/>
        <v>7.4389956325317614</v>
      </c>
      <c r="Y128" s="25">
        <f t="shared" ca="1" si="267"/>
        <v>7.2200643230661852</v>
      </c>
      <c r="Z128" s="25">
        <f t="shared" ca="1" si="267"/>
        <v>7.0011330136006089</v>
      </c>
      <c r="AA128" s="25">
        <f t="shared" ca="1" si="267"/>
        <v>6.7822017041350326</v>
      </c>
      <c r="AB128" s="25">
        <f t="shared" ca="1" si="267"/>
        <v>6.5632703946694564</v>
      </c>
      <c r="AC128" s="25">
        <f t="shared" ca="1" si="267"/>
        <v>6.3443390852038801</v>
      </c>
      <c r="AD128" s="25">
        <f t="shared" ca="1" si="267"/>
        <v>6.1254077757383039</v>
      </c>
      <c r="AE128" s="25">
        <f t="shared" ca="1" si="267"/>
        <v>5.9064764662727276</v>
      </c>
      <c r="AF128" s="25">
        <f ca="1">TotalEmissions!E11</f>
        <v>5.6875451568071531</v>
      </c>
      <c r="AG128" s="25">
        <f t="shared" ref="AG128:AO128" ca="1" si="268">AF128+(($AP128-$AF128)/($AP$75-$AF$75))</f>
        <v>5.5652704178196633</v>
      </c>
      <c r="AH128" s="25">
        <f t="shared" ca="1" si="268"/>
        <v>5.4429956788321725</v>
      </c>
      <c r="AI128" s="25">
        <f t="shared" ca="1" si="268"/>
        <v>5.3207209398446818</v>
      </c>
      <c r="AJ128" s="25">
        <f t="shared" ca="1" si="268"/>
        <v>5.198446200857191</v>
      </c>
      <c r="AK128" s="25">
        <f t="shared" ca="1" si="268"/>
        <v>5.0761714618697003</v>
      </c>
      <c r="AL128" s="25">
        <f t="shared" ca="1" si="268"/>
        <v>4.9538967228822095</v>
      </c>
      <c r="AM128" s="25">
        <f t="shared" ca="1" si="268"/>
        <v>4.8316219838947188</v>
      </c>
      <c r="AN128" s="25">
        <f t="shared" ca="1" si="268"/>
        <v>4.709347244907228</v>
      </c>
      <c r="AO128" s="25">
        <f t="shared" ca="1" si="268"/>
        <v>4.5870725059197373</v>
      </c>
      <c r="AP128" s="25">
        <f ca="1">TotalEmissions!F11</f>
        <v>4.4647977669322501</v>
      </c>
      <c r="AQ128" s="25">
        <f t="shared" ref="AQ128:AY128" ca="1" si="269">AP128+(($AZ128-$AP128)/($AZ$75-$AP$75))</f>
        <v>4.3955564470171593</v>
      </c>
      <c r="AR128" s="25">
        <f t="shared" ca="1" si="269"/>
        <v>4.3263151271020686</v>
      </c>
      <c r="AS128" s="25">
        <f t="shared" ca="1" si="269"/>
        <v>4.2570738071869778</v>
      </c>
      <c r="AT128" s="25">
        <f t="shared" ca="1" si="269"/>
        <v>4.1878324872718871</v>
      </c>
      <c r="AU128" s="25">
        <f t="shared" ca="1" si="269"/>
        <v>4.1185911673567963</v>
      </c>
      <c r="AV128" s="25">
        <f t="shared" ca="1" si="269"/>
        <v>4.0493498474417056</v>
      </c>
      <c r="AW128" s="25">
        <f t="shared" ca="1" si="269"/>
        <v>3.9801085275266153</v>
      </c>
      <c r="AX128" s="25">
        <f t="shared" ca="1" si="269"/>
        <v>3.910867207611525</v>
      </c>
      <c r="AY128" s="25">
        <f t="shared" ca="1" si="269"/>
        <v>3.8416258876964346</v>
      </c>
      <c r="AZ128" s="25">
        <f ca="1">TotalEmissions!G11</f>
        <v>3.7723845677813461</v>
      </c>
      <c r="BA128" s="25">
        <f t="shared" ref="BA128:BI128" ca="1" si="270">AZ128+(($BJ128-$AZ128)/($BJ$75-$AZ$75))</f>
        <v>3.713051157818346</v>
      </c>
      <c r="BB128" s="25">
        <f t="shared" ca="1" si="270"/>
        <v>3.653717747855346</v>
      </c>
      <c r="BC128" s="25">
        <f t="shared" ca="1" si="270"/>
        <v>3.5943843378923459</v>
      </c>
      <c r="BD128" s="25">
        <f t="shared" ca="1" si="270"/>
        <v>3.5350509279293458</v>
      </c>
      <c r="BE128" s="25">
        <f t="shared" ca="1" si="270"/>
        <v>3.4757175179663458</v>
      </c>
      <c r="BF128" s="25">
        <f t="shared" ca="1" si="270"/>
        <v>3.4163841080033457</v>
      </c>
      <c r="BG128" s="25">
        <f t="shared" ca="1" si="270"/>
        <v>3.3570506980403456</v>
      </c>
      <c r="BH128" s="25">
        <f t="shared" ca="1" si="270"/>
        <v>3.2977172880773455</v>
      </c>
      <c r="BI128" s="25">
        <f t="shared" ca="1" si="270"/>
        <v>3.2383838781143455</v>
      </c>
      <c r="BJ128" s="25">
        <f ca="1">TotalEmissions!H11</f>
        <v>3.179050468151345</v>
      </c>
      <c r="BK128" s="25">
        <f t="shared" ref="BK128:BS128" ca="1" si="271">BJ128+(($BT128-$BJ128)/($BT$75-$BJ$75))</f>
        <v>3.1320480798843171</v>
      </c>
      <c r="BL128" s="25">
        <f t="shared" ca="1" si="271"/>
        <v>3.0850456916172893</v>
      </c>
      <c r="BM128" s="25">
        <f t="shared" ca="1" si="271"/>
        <v>3.0380433033502614</v>
      </c>
      <c r="BN128" s="25">
        <f t="shared" ca="1" si="271"/>
        <v>2.9910409150832336</v>
      </c>
      <c r="BO128" s="25">
        <f t="shared" ca="1" si="271"/>
        <v>2.9440385268162057</v>
      </c>
      <c r="BP128" s="25">
        <f t="shared" ca="1" si="271"/>
        <v>2.8970361385491779</v>
      </c>
      <c r="BQ128" s="25">
        <f t="shared" ca="1" si="271"/>
        <v>2.85003375028215</v>
      </c>
      <c r="BR128" s="25">
        <f t="shared" ca="1" si="271"/>
        <v>2.8030313620151222</v>
      </c>
      <c r="BS128" s="25">
        <f t="shared" ca="1" si="271"/>
        <v>2.7560289737480943</v>
      </c>
      <c r="BT128" s="25">
        <f ca="1">TotalEmissions!I11</f>
        <v>2.7090265854810647</v>
      </c>
      <c r="BU128" s="25">
        <f t="shared" ref="BU128:CC128" ca="1" si="272">BT128+(($CD128-$BT128)/($CD$75-$BT$75))</f>
        <v>2.6688832210222353</v>
      </c>
      <c r="BV128" s="25">
        <f t="shared" ca="1" si="272"/>
        <v>2.6287398565634064</v>
      </c>
      <c r="BW128" s="25">
        <f t="shared" ca="1" si="272"/>
        <v>2.5885964921045774</v>
      </c>
      <c r="BX128" s="25">
        <f t="shared" ca="1" si="272"/>
        <v>2.5484531276457485</v>
      </c>
      <c r="BY128" s="25">
        <f t="shared" ca="1" si="272"/>
        <v>2.5083097631869196</v>
      </c>
      <c r="BZ128" s="25">
        <f t="shared" ca="1" si="272"/>
        <v>2.4681663987280906</v>
      </c>
      <c r="CA128" s="25">
        <f t="shared" ca="1" si="272"/>
        <v>2.4280230342692617</v>
      </c>
      <c r="CB128" s="25">
        <f t="shared" ca="1" si="272"/>
        <v>2.3878796698104328</v>
      </c>
      <c r="CC128" s="25">
        <f t="shared" ca="1" si="272"/>
        <v>2.3477363053516038</v>
      </c>
      <c r="CD128" s="25">
        <f ca="1">TotalEmissions!J11</f>
        <v>2.3075929408927731</v>
      </c>
      <c r="CE128" s="25">
        <f t="shared" ref="CE128:CM128" ca="1" si="273">CD128+(($CN128-$CD128)/($CN$75-$CD$75))</f>
        <v>2.2722115030675343</v>
      </c>
      <c r="CF128" s="25">
        <f t="shared" ca="1" si="273"/>
        <v>2.2368300652422954</v>
      </c>
      <c r="CG128" s="25">
        <f t="shared" ca="1" si="273"/>
        <v>2.2014486274170566</v>
      </c>
      <c r="CH128" s="25">
        <f t="shared" ca="1" si="273"/>
        <v>2.1660671895918178</v>
      </c>
      <c r="CI128" s="25">
        <f t="shared" ca="1" si="273"/>
        <v>2.1306857517665789</v>
      </c>
      <c r="CJ128" s="25">
        <f t="shared" ca="1" si="273"/>
        <v>2.0953043139413401</v>
      </c>
      <c r="CK128" s="25">
        <f t="shared" ca="1" si="273"/>
        <v>2.0599228761161013</v>
      </c>
      <c r="CL128" s="25">
        <f t="shared" ca="1" si="273"/>
        <v>2.0245414382908624</v>
      </c>
      <c r="CM128" s="25">
        <f t="shared" ca="1" si="273"/>
        <v>1.9891600004656236</v>
      </c>
      <c r="CN128" s="25">
        <f ca="1">TotalEmissions!K11</f>
        <v>1.9537785626403839</v>
      </c>
    </row>
    <row r="129" spans="1:164" x14ac:dyDescent="0.2">
      <c r="A129" s="25" t="str">
        <f>TotalEmissions!A14</f>
        <v>Land use</v>
      </c>
      <c r="B129" s="25">
        <f ca="1">TotalEmissions!B14</f>
        <v>3.6114053332115086</v>
      </c>
      <c r="C129" s="25">
        <f t="shared" ref="C129:K129" ca="1" si="274">B129+(($L129-$B129)/($L$75-$B$75))</f>
        <v>3.5965442471992248</v>
      </c>
      <c r="D129" s="25">
        <f t="shared" ca="1" si="274"/>
        <v>3.5816831611869411</v>
      </c>
      <c r="E129" s="25">
        <f t="shared" ca="1" si="274"/>
        <v>3.5668220751746573</v>
      </c>
      <c r="F129" s="25">
        <f t="shared" ca="1" si="274"/>
        <v>3.5519609891623736</v>
      </c>
      <c r="G129" s="25">
        <f t="shared" ca="1" si="274"/>
        <v>3.5370999031500898</v>
      </c>
      <c r="H129" s="25">
        <f t="shared" ca="1" si="274"/>
        <v>3.5222388171378061</v>
      </c>
      <c r="I129" s="25">
        <f t="shared" ca="1" si="274"/>
        <v>3.5073777311255223</v>
      </c>
      <c r="J129" s="25">
        <f t="shared" ca="1" si="274"/>
        <v>3.4925166451132386</v>
      </c>
      <c r="K129" s="25">
        <f t="shared" ca="1" si="274"/>
        <v>3.4776555591009548</v>
      </c>
      <c r="L129" s="25">
        <f ca="1">TotalEmissions!C14</f>
        <v>3.4627944730886693</v>
      </c>
      <c r="M129" s="25">
        <f t="shared" ref="M129:U129" ca="1" si="275">L129+(($V129-$L129)/($V$75-$L$75))</f>
        <v>2.9586724944618883</v>
      </c>
      <c r="N129" s="25">
        <f t="shared" ca="1" si="275"/>
        <v>2.4545505158351073</v>
      </c>
      <c r="O129" s="25">
        <f t="shared" ca="1" si="275"/>
        <v>1.9504285372083263</v>
      </c>
      <c r="P129" s="25">
        <f t="shared" ca="1" si="275"/>
        <v>1.4463065585815453</v>
      </c>
      <c r="Q129" s="25">
        <f t="shared" ca="1" si="275"/>
        <v>0.94218457995476435</v>
      </c>
      <c r="R129" s="25">
        <f t="shared" ca="1" si="275"/>
        <v>0.43806260132798336</v>
      </c>
      <c r="S129" s="25">
        <f t="shared" ca="1" si="275"/>
        <v>-6.6059377298797628E-2</v>
      </c>
      <c r="T129" s="25">
        <f t="shared" ca="1" si="275"/>
        <v>-0.57018135592557861</v>
      </c>
      <c r="U129" s="25">
        <f t="shared" ca="1" si="275"/>
        <v>-1.0743033345523596</v>
      </c>
      <c r="V129" s="25">
        <f ca="1">TotalEmissions!D14</f>
        <v>-1.5784253131791401</v>
      </c>
      <c r="W129" s="25">
        <f t="shared" ref="W129:AE129" ca="1" si="276">V129+(($AF129-$V129)/($AF$75-$V$75))</f>
        <v>-1.8813328233084725</v>
      </c>
      <c r="X129" s="25">
        <f t="shared" ca="1" si="276"/>
        <v>-2.1842403334378049</v>
      </c>
      <c r="Y129" s="25">
        <f t="shared" ca="1" si="276"/>
        <v>-2.4871478435671373</v>
      </c>
      <c r="Z129" s="25">
        <f t="shared" ca="1" si="276"/>
        <v>-2.7900553536964696</v>
      </c>
      <c r="AA129" s="25">
        <f t="shared" ca="1" si="276"/>
        <v>-3.092962863825802</v>
      </c>
      <c r="AB129" s="25">
        <f t="shared" ca="1" si="276"/>
        <v>-3.3958703739551344</v>
      </c>
      <c r="AC129" s="25">
        <f t="shared" ca="1" si="276"/>
        <v>-3.6987778840844667</v>
      </c>
      <c r="AD129" s="25">
        <f t="shared" ca="1" si="276"/>
        <v>-4.0016853942137987</v>
      </c>
      <c r="AE129" s="25">
        <f t="shared" ca="1" si="276"/>
        <v>-4.3045929043431306</v>
      </c>
      <c r="AF129" s="25">
        <f ca="1">TotalEmissions!E14</f>
        <v>-4.6075004144724625</v>
      </c>
      <c r="AG129" s="25">
        <f t="shared" ref="AG129:AO129" ca="1" si="277">AF129+(($AP129-$AF129)/($AP$75-$AF$75))</f>
        <v>-4.9648744125707402</v>
      </c>
      <c r="AH129" s="25">
        <f t="shared" ca="1" si="277"/>
        <v>-5.3222484106690189</v>
      </c>
      <c r="AI129" s="25">
        <f t="shared" ca="1" si="277"/>
        <v>-5.6796224087672975</v>
      </c>
      <c r="AJ129" s="25">
        <f t="shared" ca="1" si="277"/>
        <v>-6.0369964068655761</v>
      </c>
      <c r="AK129" s="25">
        <f t="shared" ca="1" si="277"/>
        <v>-6.3943704049638548</v>
      </c>
      <c r="AL129" s="25">
        <f t="shared" ca="1" si="277"/>
        <v>-6.7517444030621334</v>
      </c>
      <c r="AM129" s="25">
        <f t="shared" ca="1" si="277"/>
        <v>-7.109118401160412</v>
      </c>
      <c r="AN129" s="25">
        <f t="shared" ca="1" si="277"/>
        <v>-7.4664923992586907</v>
      </c>
      <c r="AO129" s="25">
        <f t="shared" ca="1" si="277"/>
        <v>-7.8238663973569693</v>
      </c>
      <c r="AP129" s="25">
        <f ca="1">TotalEmissions!F14</f>
        <v>-8.1812403954552444</v>
      </c>
      <c r="AQ129" s="25">
        <f t="shared" ref="AQ129:AY129" ca="1" si="278">AP129+(($AZ129-$AP129)/($AZ$75-$AP$75))</f>
        <v>-8.1531110253146384</v>
      </c>
      <c r="AR129" s="25">
        <f t="shared" ca="1" si="278"/>
        <v>-8.1249816551740324</v>
      </c>
      <c r="AS129" s="25">
        <f t="shared" ca="1" si="278"/>
        <v>-8.0968522850334264</v>
      </c>
      <c r="AT129" s="25">
        <f t="shared" ca="1" si="278"/>
        <v>-8.0687229148928203</v>
      </c>
      <c r="AU129" s="25">
        <f t="shared" ca="1" si="278"/>
        <v>-8.0405935447522143</v>
      </c>
      <c r="AV129" s="25">
        <f t="shared" ca="1" si="278"/>
        <v>-8.0124641746116083</v>
      </c>
      <c r="AW129" s="25">
        <f t="shared" ca="1" si="278"/>
        <v>-7.9843348044710023</v>
      </c>
      <c r="AX129" s="25">
        <f t="shared" ca="1" si="278"/>
        <v>-7.9562054343303963</v>
      </c>
      <c r="AY129" s="25">
        <f t="shared" ca="1" si="278"/>
        <v>-7.9280760641897903</v>
      </c>
      <c r="AZ129" s="25">
        <f ca="1">TotalEmissions!G14</f>
        <v>-7.8999466940491807</v>
      </c>
      <c r="BA129" s="25">
        <f t="shared" ref="BA129:BI129" ca="1" si="279">AZ129+(($BJ129-$AZ129)/($BJ$75-$AZ$75))</f>
        <v>-7.8626830742702198</v>
      </c>
      <c r="BB129" s="25">
        <f t="shared" ca="1" si="279"/>
        <v>-7.825419454491259</v>
      </c>
      <c r="BC129" s="25">
        <f t="shared" ca="1" si="279"/>
        <v>-7.7881558347122981</v>
      </c>
      <c r="BD129" s="25">
        <f t="shared" ca="1" si="279"/>
        <v>-7.7508922149333372</v>
      </c>
      <c r="BE129" s="25">
        <f t="shared" ca="1" si="279"/>
        <v>-7.7136285951543764</v>
      </c>
      <c r="BF129" s="25">
        <f t="shared" ca="1" si="279"/>
        <v>-7.6763649753754155</v>
      </c>
      <c r="BG129" s="25">
        <f t="shared" ca="1" si="279"/>
        <v>-7.6391013555964546</v>
      </c>
      <c r="BH129" s="25">
        <f t="shared" ca="1" si="279"/>
        <v>-7.6018377358174938</v>
      </c>
      <c r="BI129" s="25">
        <f t="shared" ca="1" si="279"/>
        <v>-7.5645741160385329</v>
      </c>
      <c r="BJ129" s="25">
        <f ca="1">TotalEmissions!H14</f>
        <v>-7.5273104962595703</v>
      </c>
      <c r="BK129" s="25">
        <f t="shared" ref="BK129:BS129" ca="1" si="280">BJ129+(($BT129-$BJ129)/($BT$75-$BJ$75))</f>
        <v>-7.3178543419089639</v>
      </c>
      <c r="BL129" s="25">
        <f t="shared" ca="1" si="280"/>
        <v>-7.1083981875583575</v>
      </c>
      <c r="BM129" s="25">
        <f t="shared" ca="1" si="280"/>
        <v>-6.8989420332077511</v>
      </c>
      <c r="BN129" s="25">
        <f t="shared" ca="1" si="280"/>
        <v>-6.6894858788571447</v>
      </c>
      <c r="BO129" s="25">
        <f t="shared" ca="1" si="280"/>
        <v>-6.4800297245065384</v>
      </c>
      <c r="BP129" s="25">
        <f t="shared" ca="1" si="280"/>
        <v>-6.270573570155932</v>
      </c>
      <c r="BQ129" s="25">
        <f t="shared" ca="1" si="280"/>
        <v>-6.0611174158053256</v>
      </c>
      <c r="BR129" s="25">
        <f t="shared" ca="1" si="280"/>
        <v>-5.8516612614547192</v>
      </c>
      <c r="BS129" s="25">
        <f t="shared" ca="1" si="280"/>
        <v>-5.6422051071041128</v>
      </c>
      <c r="BT129" s="25">
        <f ca="1">TotalEmissions!I14</f>
        <v>-5.4327489527535064</v>
      </c>
      <c r="BU129" s="25">
        <f t="shared" ref="BU129:CC129" ca="1" si="281">BT129+(($CD129-$BT129)/($CD$75-$BT$75))</f>
        <v>-5.2182895604297883</v>
      </c>
      <c r="BV129" s="25">
        <f t="shared" ca="1" si="281"/>
        <v>-5.0038301681060702</v>
      </c>
      <c r="BW129" s="25">
        <f t="shared" ca="1" si="281"/>
        <v>-4.789370775782352</v>
      </c>
      <c r="BX129" s="25">
        <f t="shared" ca="1" si="281"/>
        <v>-4.5749113834586339</v>
      </c>
      <c r="BY129" s="25">
        <f t="shared" ca="1" si="281"/>
        <v>-4.3604519911349158</v>
      </c>
      <c r="BZ129" s="25">
        <f t="shared" ca="1" si="281"/>
        <v>-4.1459925988111976</v>
      </c>
      <c r="CA129" s="25">
        <f t="shared" ca="1" si="281"/>
        <v>-3.9315332064874795</v>
      </c>
      <c r="CB129" s="25">
        <f t="shared" ca="1" si="281"/>
        <v>-3.7170738141637614</v>
      </c>
      <c r="CC129" s="25">
        <f t="shared" ca="1" si="281"/>
        <v>-3.5026144218400432</v>
      </c>
      <c r="CD129" s="25">
        <f ca="1">TotalEmissions!J14</f>
        <v>-3.2881550295163251</v>
      </c>
      <c r="CE129" s="25">
        <f t="shared" ref="CE129:CM129" ca="1" si="282">CD129+(($CN129-$CD129)/($CN$75-$CD$75))</f>
        <v>-3.1378048472475477</v>
      </c>
      <c r="CF129" s="25">
        <f t="shared" ca="1" si="282"/>
        <v>-2.9874546649787703</v>
      </c>
      <c r="CG129" s="25">
        <f t="shared" ca="1" si="282"/>
        <v>-2.8371044827099929</v>
      </c>
      <c r="CH129" s="25">
        <f t="shared" ca="1" si="282"/>
        <v>-2.6867543004412155</v>
      </c>
      <c r="CI129" s="25">
        <f t="shared" ca="1" si="282"/>
        <v>-2.5364041181724382</v>
      </c>
      <c r="CJ129" s="25">
        <f t="shared" ca="1" si="282"/>
        <v>-2.3860539359036608</v>
      </c>
      <c r="CK129" s="25">
        <f t="shared" ca="1" si="282"/>
        <v>-2.2357037536348834</v>
      </c>
      <c r="CL129" s="25">
        <f t="shared" ca="1" si="282"/>
        <v>-2.085353571366106</v>
      </c>
      <c r="CM129" s="25">
        <f t="shared" ca="1" si="282"/>
        <v>-1.9350033890973286</v>
      </c>
      <c r="CN129" s="25">
        <f ca="1">TotalEmissions!K14</f>
        <v>-1.7846532068285519</v>
      </c>
    </row>
    <row r="130" spans="1:164" x14ac:dyDescent="0.2">
      <c r="A130" s="25"/>
      <c r="B130" s="25"/>
      <c r="C130" s="25"/>
      <c r="D130" s="25"/>
      <c r="E130" s="25"/>
      <c r="F130" s="25"/>
      <c r="G130" s="25"/>
      <c r="H130" s="25"/>
      <c r="I130" s="25"/>
      <c r="J130" s="25"/>
      <c r="K130" s="25"/>
      <c r="L130" s="25"/>
      <c r="M130" s="25"/>
      <c r="N130" s="25"/>
      <c r="O130" s="25"/>
      <c r="P130" s="25"/>
      <c r="Q130" s="25"/>
      <c r="R130" s="25"/>
      <c r="S130" s="25"/>
      <c r="T130" s="25"/>
      <c r="U130" s="25"/>
      <c r="V130" s="25"/>
      <c r="W130" s="25"/>
      <c r="X130" s="25"/>
      <c r="Y130" s="25"/>
      <c r="Z130" s="25"/>
      <c r="AA130" s="25"/>
      <c r="AB130" s="25"/>
      <c r="AC130" s="25"/>
      <c r="AD130" s="25"/>
      <c r="AE130" s="25"/>
      <c r="AF130" s="25"/>
      <c r="AG130" s="25"/>
      <c r="AH130" s="25"/>
      <c r="AI130" s="25"/>
      <c r="AJ130" s="25"/>
      <c r="AK130" s="25"/>
      <c r="AL130" s="25"/>
      <c r="AM130" s="25"/>
      <c r="AN130" s="25"/>
      <c r="AO130" s="25"/>
      <c r="AP130" s="25"/>
      <c r="AQ130" s="25"/>
      <c r="AR130" s="25"/>
      <c r="AS130" s="25"/>
      <c r="AT130" s="25"/>
      <c r="AU130" s="25"/>
      <c r="AV130" s="25"/>
      <c r="AW130" s="25"/>
      <c r="AX130" s="25"/>
      <c r="AY130" s="25"/>
      <c r="AZ130" s="25"/>
      <c r="BA130" s="25"/>
      <c r="BB130" s="25"/>
      <c r="BC130" s="25"/>
      <c r="BD130" s="25"/>
      <c r="BE130" s="25"/>
      <c r="BF130" s="25"/>
      <c r="BG130" s="25"/>
      <c r="BH130" s="25"/>
      <c r="BI130" s="25"/>
      <c r="BJ130" s="25"/>
      <c r="BK130" s="25"/>
      <c r="BL130" s="25"/>
      <c r="BM130" s="25"/>
      <c r="BN130" s="25"/>
      <c r="BO130" s="25"/>
      <c r="BP130" s="25"/>
      <c r="BQ130" s="25"/>
      <c r="BR130" s="25"/>
      <c r="BS130" s="25"/>
      <c r="BT130" s="25"/>
      <c r="BU130" s="25"/>
      <c r="BV130" s="25"/>
      <c r="BW130" s="25"/>
      <c r="BX130" s="25"/>
      <c r="BY130" s="25"/>
      <c r="BZ130" s="25"/>
      <c r="CA130" s="25"/>
      <c r="CB130" s="25"/>
      <c r="CC130" s="25"/>
      <c r="CD130" s="25"/>
      <c r="CE130" s="25"/>
      <c r="CF130" s="25"/>
      <c r="CG130" s="25"/>
      <c r="CH130" s="25"/>
      <c r="CI130" s="25"/>
      <c r="CJ130" s="25"/>
      <c r="CK130" s="25"/>
      <c r="CL130" s="25"/>
      <c r="CM130" s="25"/>
      <c r="CN130" s="25"/>
    </row>
    <row r="131" spans="1:164" x14ac:dyDescent="0.2">
      <c r="A131" s="26" t="s">
        <v>26</v>
      </c>
      <c r="B131" s="25">
        <f ca="1">OtherGases!H14/1000</f>
        <v>9.7598326080322266</v>
      </c>
      <c r="C131" s="25">
        <f t="shared" ref="C131:K133" ca="1" si="283">B131+(($L131-$B131)/($L$75-$B$75))</f>
        <v>9.6213222372436515</v>
      </c>
      <c r="D131" s="25">
        <f t="shared" ca="1" si="283"/>
        <v>9.4828118664550765</v>
      </c>
      <c r="E131" s="25">
        <f t="shared" ca="1" si="283"/>
        <v>9.3443014956665014</v>
      </c>
      <c r="F131" s="25">
        <f t="shared" ca="1" si="283"/>
        <v>9.2057911248779263</v>
      </c>
      <c r="G131" s="25">
        <f t="shared" ca="1" si="283"/>
        <v>9.0672807540893512</v>
      </c>
      <c r="H131" s="25">
        <f t="shared" ca="1" si="283"/>
        <v>8.9287703833007761</v>
      </c>
      <c r="I131" s="25">
        <f t="shared" ca="1" si="283"/>
        <v>8.790260012512201</v>
      </c>
      <c r="J131" s="25">
        <f t="shared" ca="1" si="283"/>
        <v>8.6517496417236259</v>
      </c>
      <c r="K131" s="25">
        <f t="shared" ca="1" si="283"/>
        <v>8.5132392709350508</v>
      </c>
      <c r="L131" s="25">
        <f ca="1">OtherGases!I14/1000</f>
        <v>8.3747289001464829</v>
      </c>
      <c r="M131" s="25">
        <f t="shared" ref="M131:U133" ca="1" si="284">L131+(($V131-$L131)/($V$75-$L$75))</f>
        <v>8.1008865005493149</v>
      </c>
      <c r="N131" s="25">
        <f t="shared" ca="1" si="284"/>
        <v>7.827044100952147</v>
      </c>
      <c r="O131" s="25">
        <f t="shared" ca="1" si="284"/>
        <v>7.553201701354979</v>
      </c>
      <c r="P131" s="25">
        <f t="shared" ca="1" si="284"/>
        <v>7.2793593017578111</v>
      </c>
      <c r="Q131" s="25">
        <f t="shared" ca="1" si="284"/>
        <v>7.0055169021606432</v>
      </c>
      <c r="R131" s="25">
        <f t="shared" ca="1" si="284"/>
        <v>6.7316745025634752</v>
      </c>
      <c r="S131" s="25">
        <f t="shared" ca="1" si="284"/>
        <v>6.4578321029663073</v>
      </c>
      <c r="T131" s="25">
        <f t="shared" ca="1" si="284"/>
        <v>6.1839897033691393</v>
      </c>
      <c r="U131" s="25">
        <f t="shared" ca="1" si="284"/>
        <v>5.9101473037719714</v>
      </c>
      <c r="V131" s="25">
        <f ca="1">OtherGases!J14/1000</f>
        <v>5.6363049041748043</v>
      </c>
      <c r="W131" s="25">
        <f t="shared" ref="W131:AE133" ca="1" si="285">V131+(($AF131-$V131)/($AF$75-$V$75))</f>
        <v>5.4674764425659177</v>
      </c>
      <c r="X131" s="25">
        <f t="shared" ca="1" si="285"/>
        <v>5.298647980957031</v>
      </c>
      <c r="Y131" s="25">
        <f t="shared" ca="1" si="285"/>
        <v>5.1298195193481444</v>
      </c>
      <c r="Z131" s="25">
        <f t="shared" ca="1" si="285"/>
        <v>4.9609910577392577</v>
      </c>
      <c r="AA131" s="25">
        <f t="shared" ca="1" si="285"/>
        <v>4.7921625961303711</v>
      </c>
      <c r="AB131" s="25">
        <f t="shared" ca="1" si="285"/>
        <v>4.6233341345214845</v>
      </c>
      <c r="AC131" s="25">
        <f t="shared" ca="1" si="285"/>
        <v>4.4545056729125978</v>
      </c>
      <c r="AD131" s="25">
        <f t="shared" ca="1" si="285"/>
        <v>4.2856772113037112</v>
      </c>
      <c r="AE131" s="25">
        <f t="shared" ca="1" si="285"/>
        <v>4.1168487496948245</v>
      </c>
      <c r="AF131" s="25">
        <f ca="1">OtherGases!K14/1000</f>
        <v>3.9480202880859374</v>
      </c>
      <c r="AG131" s="25">
        <f t="shared" ref="AG131:AO133" ca="1" si="286">AF131+(($AP131-$AF131)/($AP$75-$AF$75))</f>
        <v>3.8511244088745116</v>
      </c>
      <c r="AH131" s="25">
        <f t="shared" ca="1" si="286"/>
        <v>3.7542285296630857</v>
      </c>
      <c r="AI131" s="25">
        <f t="shared" ca="1" si="286"/>
        <v>3.6573326504516599</v>
      </c>
      <c r="AJ131" s="25">
        <f t="shared" ca="1" si="286"/>
        <v>3.5604367712402341</v>
      </c>
      <c r="AK131" s="25">
        <f t="shared" ca="1" si="286"/>
        <v>3.4635408920288082</v>
      </c>
      <c r="AL131" s="25">
        <f t="shared" ca="1" si="286"/>
        <v>3.3666450128173824</v>
      </c>
      <c r="AM131" s="25">
        <f t="shared" ca="1" si="286"/>
        <v>3.2697491336059565</v>
      </c>
      <c r="AN131" s="25">
        <f t="shared" ca="1" si="286"/>
        <v>3.1728532543945307</v>
      </c>
      <c r="AO131" s="25">
        <f t="shared" ca="1" si="286"/>
        <v>3.0759573751831049</v>
      </c>
      <c r="AP131" s="25">
        <f ca="1">OtherGases!L14/1000</f>
        <v>2.9790614959716795</v>
      </c>
      <c r="AQ131" s="25">
        <f t="shared" ref="AQ131:AY133" ca="1" si="287">AP131+(($AZ131-$AP131)/($AZ$75-$AP$75))</f>
        <v>2.9207437866210935</v>
      </c>
      <c r="AR131" s="25">
        <f t="shared" ca="1" si="287"/>
        <v>2.8624260772705075</v>
      </c>
      <c r="AS131" s="25">
        <f t="shared" ca="1" si="287"/>
        <v>2.8041083679199215</v>
      </c>
      <c r="AT131" s="25">
        <f t="shared" ca="1" si="287"/>
        <v>2.7457906585693355</v>
      </c>
      <c r="AU131" s="25">
        <f t="shared" ca="1" si="287"/>
        <v>2.6874729492187495</v>
      </c>
      <c r="AV131" s="25">
        <f t="shared" ca="1" si="287"/>
        <v>2.6291552398681635</v>
      </c>
      <c r="AW131" s="25">
        <f t="shared" ca="1" si="287"/>
        <v>2.5708375305175775</v>
      </c>
      <c r="AX131" s="25">
        <f t="shared" ca="1" si="287"/>
        <v>2.5125198211669915</v>
      </c>
      <c r="AY131" s="25">
        <f t="shared" ca="1" si="287"/>
        <v>2.4542021118164055</v>
      </c>
      <c r="AZ131" s="25">
        <f ca="1">OtherGases!M14/1000</f>
        <v>2.3958844024658204</v>
      </c>
      <c r="BA131" s="25">
        <f t="shared" ref="BA131:BI133" ca="1" si="288">AZ131+(($BJ131-$AZ131)/($BJ$75-$AZ$75))</f>
        <v>2.3479846414947509</v>
      </c>
      <c r="BB131" s="25">
        <f t="shared" ca="1" si="288"/>
        <v>2.3000848805236815</v>
      </c>
      <c r="BC131" s="25">
        <f t="shared" ca="1" si="288"/>
        <v>2.2521851195526121</v>
      </c>
      <c r="BD131" s="25">
        <f t="shared" ca="1" si="288"/>
        <v>2.2042853585815427</v>
      </c>
      <c r="BE131" s="25">
        <f t="shared" ca="1" si="288"/>
        <v>2.1563855976104733</v>
      </c>
      <c r="BF131" s="25">
        <f t="shared" ca="1" si="288"/>
        <v>2.1084858366394039</v>
      </c>
      <c r="BG131" s="25">
        <f t="shared" ca="1" si="288"/>
        <v>2.0605860756683345</v>
      </c>
      <c r="BH131" s="25">
        <f t="shared" ca="1" si="288"/>
        <v>2.0126863146972651</v>
      </c>
      <c r="BI131" s="25">
        <f t="shared" ca="1" si="288"/>
        <v>1.9647865537261957</v>
      </c>
      <c r="BJ131" s="25">
        <f ca="1">OtherGases!N14/1000</f>
        <v>1.916886792755127</v>
      </c>
      <c r="BK131" s="25">
        <f t="shared" ref="BK131:BS133" ca="1" si="289">BJ131+(($BT131-$BJ131)/($BT$75-$BJ$75))</f>
        <v>1.8796674686050414</v>
      </c>
      <c r="BL131" s="25">
        <f t="shared" ca="1" si="289"/>
        <v>1.8424481444549559</v>
      </c>
      <c r="BM131" s="25">
        <f t="shared" ca="1" si="289"/>
        <v>1.8052288203048703</v>
      </c>
      <c r="BN131" s="25">
        <f t="shared" ca="1" si="289"/>
        <v>1.7680094961547848</v>
      </c>
      <c r="BO131" s="25">
        <f t="shared" ca="1" si="289"/>
        <v>1.7307901720046992</v>
      </c>
      <c r="BP131" s="25">
        <f t="shared" ca="1" si="289"/>
        <v>1.6935708478546136</v>
      </c>
      <c r="BQ131" s="25">
        <f t="shared" ca="1" si="289"/>
        <v>1.6563515237045281</v>
      </c>
      <c r="BR131" s="25">
        <f t="shared" ca="1" si="289"/>
        <v>1.6191321995544425</v>
      </c>
      <c r="BS131" s="25">
        <f t="shared" ca="1" si="289"/>
        <v>1.581912875404357</v>
      </c>
      <c r="BT131" s="25">
        <f ca="1">OtherGases!O14/1000</f>
        <v>1.5446935512542723</v>
      </c>
      <c r="BU131" s="25">
        <f t="shared" ref="BU131:CC133" ca="1" si="290">BT131+(($CD131-$BT131)/($CD$75-$BT$75))</f>
        <v>1.5125686506271361</v>
      </c>
      <c r="BV131" s="25">
        <f t="shared" ca="1" si="290"/>
        <v>1.4804437499999998</v>
      </c>
      <c r="BW131" s="25">
        <f t="shared" ca="1" si="290"/>
        <v>1.4483188493728636</v>
      </c>
      <c r="BX131" s="25">
        <f t="shared" ca="1" si="290"/>
        <v>1.4161939487457273</v>
      </c>
      <c r="BY131" s="25">
        <f t="shared" ca="1" si="290"/>
        <v>1.3840690481185911</v>
      </c>
      <c r="BZ131" s="25">
        <f t="shared" ca="1" si="290"/>
        <v>1.3519441474914549</v>
      </c>
      <c r="CA131" s="25">
        <f t="shared" ca="1" si="290"/>
        <v>1.3198192468643186</v>
      </c>
      <c r="CB131" s="25">
        <f t="shared" ca="1" si="290"/>
        <v>1.2876943462371824</v>
      </c>
      <c r="CC131" s="25">
        <f t="shared" ca="1" si="290"/>
        <v>1.2555694456100461</v>
      </c>
      <c r="CD131" s="25">
        <f ca="1">OtherGases!P14/1000</f>
        <v>1.2234445449829101</v>
      </c>
      <c r="CE131" s="25">
        <f t="shared" ref="CE131:CM133" ca="1" si="291">CD131+(($CN131-$CD131)/($CN$75-$CD$75))</f>
        <v>1.1946047356796263</v>
      </c>
      <c r="CF131" s="25">
        <f t="shared" ca="1" si="291"/>
        <v>1.1657649263763425</v>
      </c>
      <c r="CG131" s="25">
        <f t="shared" ca="1" si="291"/>
        <v>1.1369251170730588</v>
      </c>
      <c r="CH131" s="25">
        <f t="shared" ca="1" si="291"/>
        <v>1.108085307769775</v>
      </c>
      <c r="CI131" s="25">
        <f t="shared" ca="1" si="291"/>
        <v>1.0792454984664912</v>
      </c>
      <c r="CJ131" s="25">
        <f t="shared" ca="1" si="291"/>
        <v>1.0504056891632074</v>
      </c>
      <c r="CK131" s="25">
        <f t="shared" ca="1" si="291"/>
        <v>1.0215658798599236</v>
      </c>
      <c r="CL131" s="25">
        <f t="shared" ca="1" si="291"/>
        <v>0.99272607055663997</v>
      </c>
      <c r="CM131" s="25">
        <f t="shared" ca="1" si="291"/>
        <v>0.9638862612533563</v>
      </c>
      <c r="CN131" s="25">
        <f ca="1">OtherGases!Q14/1000</f>
        <v>0.93504645195007319</v>
      </c>
      <c r="CO131" s="25"/>
      <c r="CP131" s="25"/>
      <c r="CQ131" s="25"/>
      <c r="CR131" s="25"/>
      <c r="CS131" s="25"/>
      <c r="CT131" s="25"/>
      <c r="CU131" s="25"/>
      <c r="CV131" s="25"/>
      <c r="CW131" s="25"/>
      <c r="CX131" s="25"/>
      <c r="CY131" s="25"/>
      <c r="CZ131" s="25"/>
      <c r="DA131" s="25"/>
      <c r="DB131" s="25"/>
      <c r="DC131" s="25"/>
      <c r="DD131" s="25"/>
      <c r="DE131" s="25"/>
      <c r="DF131" s="25"/>
      <c r="DG131" s="25"/>
      <c r="DH131" s="25"/>
      <c r="DI131" s="25"/>
      <c r="DJ131" s="25"/>
      <c r="DK131" s="25"/>
      <c r="DL131" s="25"/>
      <c r="DM131" s="25"/>
      <c r="DN131" s="25"/>
      <c r="DO131" s="25"/>
      <c r="DP131" s="25"/>
      <c r="DQ131" s="25"/>
      <c r="DR131" s="25"/>
      <c r="DS131" s="25"/>
      <c r="DT131" s="25"/>
      <c r="DU131" s="25"/>
      <c r="DV131" s="25"/>
      <c r="DW131" s="25"/>
      <c r="DX131" s="25"/>
      <c r="DY131" s="25"/>
      <c r="DZ131" s="25"/>
      <c r="EA131" s="25"/>
      <c r="EB131" s="25"/>
      <c r="EC131" s="25"/>
      <c r="ED131" s="25"/>
      <c r="EE131" s="25"/>
      <c r="EF131" s="25"/>
      <c r="EG131" s="25"/>
      <c r="EH131" s="25"/>
      <c r="EI131" s="25"/>
      <c r="EJ131" s="25"/>
      <c r="EK131" s="25"/>
      <c r="EL131" s="25"/>
      <c r="EM131" s="25"/>
      <c r="EN131" s="25"/>
      <c r="EO131" s="25"/>
      <c r="EP131" s="25"/>
      <c r="EQ131" s="25"/>
      <c r="ER131" s="25"/>
      <c r="ES131" s="25"/>
      <c r="ET131" s="25"/>
      <c r="EU131" s="25"/>
      <c r="EV131" s="25"/>
      <c r="EW131" s="25"/>
      <c r="EX131" s="25"/>
      <c r="EY131" s="25"/>
      <c r="EZ131" s="25"/>
      <c r="FA131" s="25"/>
      <c r="FB131" s="25"/>
      <c r="FC131" s="25"/>
      <c r="FD131" s="25"/>
      <c r="FE131" s="25"/>
      <c r="FF131" s="25"/>
      <c r="FG131" s="25"/>
      <c r="FH131" s="25"/>
    </row>
    <row r="132" spans="1:164" x14ac:dyDescent="0.2">
      <c r="A132" s="26" t="s">
        <v>21</v>
      </c>
      <c r="B132" s="25">
        <f ca="1">OtherGases!H15/1000</f>
        <v>2.6832770661627281</v>
      </c>
      <c r="C132" s="25">
        <f t="shared" ca="1" si="283"/>
        <v>2.6599118367257413</v>
      </c>
      <c r="D132" s="25">
        <f t="shared" ca="1" si="283"/>
        <v>2.6365466072887545</v>
      </c>
      <c r="E132" s="25">
        <f t="shared" ca="1" si="283"/>
        <v>2.6131813778517676</v>
      </c>
      <c r="F132" s="25">
        <f t="shared" ca="1" si="283"/>
        <v>2.5898161484147808</v>
      </c>
      <c r="G132" s="25">
        <f t="shared" ca="1" si="283"/>
        <v>2.566450918977794</v>
      </c>
      <c r="H132" s="25">
        <f t="shared" ca="1" si="283"/>
        <v>2.5430856895408072</v>
      </c>
      <c r="I132" s="25">
        <f t="shared" ca="1" si="283"/>
        <v>2.5197204601038203</v>
      </c>
      <c r="J132" s="25">
        <f t="shared" ca="1" si="283"/>
        <v>2.4963552306668335</v>
      </c>
      <c r="K132" s="25">
        <f t="shared" ca="1" si="283"/>
        <v>2.4729900012298467</v>
      </c>
      <c r="L132" s="25">
        <f ca="1">OtherGases!I15/1000</f>
        <v>2.4496247717928576</v>
      </c>
      <c r="M132" s="25">
        <f t="shared" ca="1" si="284"/>
        <v>2.3982094150685986</v>
      </c>
      <c r="N132" s="25">
        <f t="shared" ca="1" si="284"/>
        <v>2.3467940583443396</v>
      </c>
      <c r="O132" s="25">
        <f t="shared" ca="1" si="284"/>
        <v>2.2953787016200806</v>
      </c>
      <c r="P132" s="25">
        <f t="shared" ca="1" si="284"/>
        <v>2.2439633448958216</v>
      </c>
      <c r="Q132" s="25">
        <f t="shared" ca="1" si="284"/>
        <v>2.1925479881715626</v>
      </c>
      <c r="R132" s="25">
        <f t="shared" ca="1" si="284"/>
        <v>2.1411326314473036</v>
      </c>
      <c r="S132" s="25">
        <f t="shared" ca="1" si="284"/>
        <v>2.0897172747230446</v>
      </c>
      <c r="T132" s="25">
        <f t="shared" ca="1" si="284"/>
        <v>2.0383019179987856</v>
      </c>
      <c r="U132" s="25">
        <f t="shared" ca="1" si="284"/>
        <v>1.9868865612745268</v>
      </c>
      <c r="V132" s="25">
        <f ca="1">OtherGases!J15/1000</f>
        <v>1.9354712045502691</v>
      </c>
      <c r="W132" s="25">
        <f t="shared" ca="1" si="285"/>
        <v>1.8975018347852337</v>
      </c>
      <c r="X132" s="25">
        <f t="shared" ca="1" si="285"/>
        <v>1.8595324650201983</v>
      </c>
      <c r="Y132" s="25">
        <f t="shared" ca="1" si="285"/>
        <v>1.8215630952551629</v>
      </c>
      <c r="Z132" s="25">
        <f t="shared" ca="1" si="285"/>
        <v>1.7835937254901275</v>
      </c>
      <c r="AA132" s="25">
        <f t="shared" ca="1" si="285"/>
        <v>1.7456243557250921</v>
      </c>
      <c r="AB132" s="25">
        <f t="shared" ca="1" si="285"/>
        <v>1.7076549859600567</v>
      </c>
      <c r="AC132" s="25">
        <f t="shared" ca="1" si="285"/>
        <v>1.6696856161950213</v>
      </c>
      <c r="AD132" s="25">
        <f t="shared" ca="1" si="285"/>
        <v>1.6317162464299859</v>
      </c>
      <c r="AE132" s="25">
        <f t="shared" ca="1" si="285"/>
        <v>1.5937468766649505</v>
      </c>
      <c r="AF132" s="25">
        <f ca="1">OtherGases!K15/1000</f>
        <v>1.5557775068999158</v>
      </c>
      <c r="AG132" s="25">
        <f t="shared" ca="1" si="286"/>
        <v>1.5309826370580453</v>
      </c>
      <c r="AH132" s="25">
        <f t="shared" ca="1" si="286"/>
        <v>1.5061877672161748</v>
      </c>
      <c r="AI132" s="25">
        <f t="shared" ca="1" si="286"/>
        <v>1.4813928973743042</v>
      </c>
      <c r="AJ132" s="25">
        <f t="shared" ca="1" si="286"/>
        <v>1.4565980275324337</v>
      </c>
      <c r="AK132" s="25">
        <f t="shared" ca="1" si="286"/>
        <v>1.4318031576905632</v>
      </c>
      <c r="AL132" s="25">
        <f t="shared" ca="1" si="286"/>
        <v>1.4070082878486927</v>
      </c>
      <c r="AM132" s="25">
        <f t="shared" ca="1" si="286"/>
        <v>1.3822134180068222</v>
      </c>
      <c r="AN132" s="25">
        <f t="shared" ca="1" si="286"/>
        <v>1.3574185481649517</v>
      </c>
      <c r="AO132" s="25">
        <f t="shared" ca="1" si="286"/>
        <v>1.3326236783230812</v>
      </c>
      <c r="AP132" s="25">
        <f ca="1">OtherGases!L15/1000</f>
        <v>1.30782880848121</v>
      </c>
      <c r="AQ132" s="25">
        <f t="shared" ca="1" si="287"/>
        <v>1.2965761782840834</v>
      </c>
      <c r="AR132" s="25">
        <f t="shared" ca="1" si="287"/>
        <v>1.2853235480869571</v>
      </c>
      <c r="AS132" s="25">
        <f t="shared" ca="1" si="287"/>
        <v>1.2740709178898308</v>
      </c>
      <c r="AT132" s="25">
        <f t="shared" ca="1" si="287"/>
        <v>1.2628182876927045</v>
      </c>
      <c r="AU132" s="25">
        <f t="shared" ca="1" si="287"/>
        <v>1.2515656574955782</v>
      </c>
      <c r="AV132" s="25">
        <f t="shared" ca="1" si="287"/>
        <v>1.2403130272984519</v>
      </c>
      <c r="AW132" s="25">
        <f t="shared" ca="1" si="287"/>
        <v>1.2290603971013256</v>
      </c>
      <c r="AX132" s="25">
        <f t="shared" ca="1" si="287"/>
        <v>1.2178077669041993</v>
      </c>
      <c r="AY132" s="25">
        <f t="shared" ca="1" si="287"/>
        <v>1.206555136707073</v>
      </c>
      <c r="AZ132" s="25">
        <f ca="1">OtherGases!M15/1000</f>
        <v>1.1953025065099459</v>
      </c>
      <c r="BA132" s="25">
        <f t="shared" ca="1" si="288"/>
        <v>1.1830068595894712</v>
      </c>
      <c r="BB132" s="25">
        <f t="shared" ca="1" si="288"/>
        <v>1.1707112126689965</v>
      </c>
      <c r="BC132" s="25">
        <f t="shared" ca="1" si="288"/>
        <v>1.1584155657485218</v>
      </c>
      <c r="BD132" s="25">
        <f t="shared" ca="1" si="288"/>
        <v>1.1461199188280471</v>
      </c>
      <c r="BE132" s="25">
        <f t="shared" ca="1" si="288"/>
        <v>1.1338242719075724</v>
      </c>
      <c r="BF132" s="25">
        <f t="shared" ca="1" si="288"/>
        <v>1.1215286249870977</v>
      </c>
      <c r="BG132" s="25">
        <f t="shared" ca="1" si="288"/>
        <v>1.109232978066623</v>
      </c>
      <c r="BH132" s="25">
        <f t="shared" ca="1" si="288"/>
        <v>1.0969373311461483</v>
      </c>
      <c r="BI132" s="25">
        <f t="shared" ca="1" si="288"/>
        <v>1.0846416842256736</v>
      </c>
      <c r="BJ132" s="25">
        <f ca="1">OtherGases!N15/1000</f>
        <v>1.0723460373051983</v>
      </c>
      <c r="BK132" s="25">
        <f t="shared" ca="1" si="289"/>
        <v>1.0624812158235137</v>
      </c>
      <c r="BL132" s="25">
        <f t="shared" ca="1" si="289"/>
        <v>1.0526163943418292</v>
      </c>
      <c r="BM132" s="25">
        <f t="shared" ca="1" si="289"/>
        <v>1.0427515728601446</v>
      </c>
      <c r="BN132" s="25">
        <f t="shared" ca="1" si="289"/>
        <v>1.0328867513784601</v>
      </c>
      <c r="BO132" s="25">
        <f t="shared" ca="1" si="289"/>
        <v>1.0230219298967755</v>
      </c>
      <c r="BP132" s="25">
        <f t="shared" ca="1" si="289"/>
        <v>1.013157108415091</v>
      </c>
      <c r="BQ132" s="25">
        <f t="shared" ca="1" si="289"/>
        <v>1.0032922869334064</v>
      </c>
      <c r="BR132" s="25">
        <f t="shared" ca="1" si="289"/>
        <v>0.99342746545172189</v>
      </c>
      <c r="BS132" s="25">
        <f t="shared" ca="1" si="289"/>
        <v>0.98356264397003734</v>
      </c>
      <c r="BT132" s="25">
        <f ca="1">OtherGases!O15/1000</f>
        <v>0.97369782248835224</v>
      </c>
      <c r="BU132" s="25">
        <f t="shared" ca="1" si="290"/>
        <v>0.96568200566924933</v>
      </c>
      <c r="BV132" s="25">
        <f t="shared" ca="1" si="290"/>
        <v>0.95766618885014643</v>
      </c>
      <c r="BW132" s="25">
        <f t="shared" ca="1" si="290"/>
        <v>0.94965037203104352</v>
      </c>
      <c r="BX132" s="25">
        <f t="shared" ca="1" si="290"/>
        <v>0.94163455521194062</v>
      </c>
      <c r="BY132" s="25">
        <f t="shared" ca="1" si="290"/>
        <v>0.93361873839283771</v>
      </c>
      <c r="BZ132" s="25">
        <f t="shared" ca="1" si="290"/>
        <v>0.9256029215737348</v>
      </c>
      <c r="CA132" s="25">
        <f t="shared" ca="1" si="290"/>
        <v>0.9175871047546319</v>
      </c>
      <c r="CB132" s="25">
        <f t="shared" ca="1" si="290"/>
        <v>0.90957128793552899</v>
      </c>
      <c r="CC132" s="25">
        <f t="shared" ca="1" si="290"/>
        <v>0.90155547111642609</v>
      </c>
      <c r="CD132" s="25">
        <f ca="1">OtherGases!P15/1000</f>
        <v>0.89353965429732307</v>
      </c>
      <c r="CE132" s="25">
        <f t="shared" ca="1" si="291"/>
        <v>0.88698882115701982</v>
      </c>
      <c r="CF132" s="25">
        <f t="shared" ca="1" si="291"/>
        <v>0.88043798801671658</v>
      </c>
      <c r="CG132" s="25">
        <f t="shared" ca="1" si="291"/>
        <v>0.87388715487641333</v>
      </c>
      <c r="CH132" s="25">
        <f t="shared" ca="1" si="291"/>
        <v>0.86733632173611008</v>
      </c>
      <c r="CI132" s="25">
        <f t="shared" ca="1" si="291"/>
        <v>0.86078548859580684</v>
      </c>
      <c r="CJ132" s="25">
        <f t="shared" ca="1" si="291"/>
        <v>0.85423465545550359</v>
      </c>
      <c r="CK132" s="25">
        <f t="shared" ca="1" si="291"/>
        <v>0.84768382231520034</v>
      </c>
      <c r="CL132" s="25">
        <f t="shared" ca="1" si="291"/>
        <v>0.84113298917489709</v>
      </c>
      <c r="CM132" s="25">
        <f t="shared" ca="1" si="291"/>
        <v>0.83458215603459385</v>
      </c>
      <c r="CN132" s="25">
        <f ca="1">OtherGases!Q15/1000</f>
        <v>0.8280313228942906</v>
      </c>
      <c r="CO132" s="25"/>
      <c r="CP132" s="25"/>
      <c r="CQ132" s="25"/>
      <c r="CR132" s="25"/>
      <c r="CS132" s="25"/>
      <c r="CT132" s="25"/>
      <c r="CU132" s="25"/>
      <c r="CV132" s="25"/>
      <c r="CW132" s="25"/>
      <c r="CX132" s="25"/>
      <c r="CY132" s="25"/>
      <c r="CZ132" s="25"/>
      <c r="DA132" s="25"/>
      <c r="DB132" s="25"/>
      <c r="DC132" s="25"/>
      <c r="DD132" s="25"/>
      <c r="DE132" s="25"/>
      <c r="DF132" s="25"/>
      <c r="DG132" s="25"/>
      <c r="DH132" s="25"/>
      <c r="DI132" s="25"/>
      <c r="DJ132" s="25"/>
      <c r="DK132" s="25"/>
      <c r="DL132" s="25"/>
      <c r="DM132" s="25"/>
      <c r="DN132" s="25"/>
      <c r="DO132" s="25"/>
      <c r="DP132" s="25"/>
      <c r="DQ132" s="25"/>
      <c r="DR132" s="25"/>
      <c r="DS132" s="25"/>
      <c r="DT132" s="25"/>
      <c r="DU132" s="25"/>
      <c r="DV132" s="25"/>
      <c r="DW132" s="25"/>
      <c r="DX132" s="25"/>
      <c r="DY132" s="25"/>
      <c r="DZ132" s="25"/>
      <c r="EA132" s="25"/>
      <c r="EB132" s="25"/>
      <c r="EC132" s="25"/>
      <c r="ED132" s="25"/>
      <c r="EE132" s="25"/>
      <c r="EF132" s="25"/>
      <c r="EG132" s="25"/>
      <c r="EH132" s="25"/>
      <c r="EI132" s="25"/>
      <c r="EJ132" s="25"/>
      <c r="EK132" s="25"/>
      <c r="EL132" s="25"/>
      <c r="EM132" s="25"/>
      <c r="EN132" s="25"/>
      <c r="EO132" s="25"/>
      <c r="EP132" s="25"/>
      <c r="EQ132" s="25"/>
      <c r="ER132" s="25"/>
      <c r="ES132" s="25"/>
      <c r="ET132" s="25"/>
      <c r="EU132" s="25"/>
      <c r="EV132" s="25"/>
      <c r="EW132" s="25"/>
      <c r="EX132" s="25"/>
      <c r="EY132" s="25"/>
      <c r="EZ132" s="25"/>
      <c r="FA132" s="25"/>
      <c r="FB132" s="25"/>
      <c r="FC132" s="25"/>
      <c r="FD132" s="25"/>
      <c r="FE132" s="25"/>
      <c r="FF132" s="25"/>
      <c r="FG132" s="25"/>
      <c r="FH132" s="25"/>
    </row>
    <row r="133" spans="1:164" x14ac:dyDescent="0.2">
      <c r="A133" s="265" t="s">
        <v>23</v>
      </c>
      <c r="B133" s="25">
        <f ca="1">OtherGases!H16/1000</f>
        <v>0.9324759271752</v>
      </c>
      <c r="C133" s="25">
        <f t="shared" ca="1" si="283"/>
        <v>0.97074461775347998</v>
      </c>
      <c r="D133" s="25">
        <f t="shared" ca="1" si="283"/>
        <v>1.0090133083317601</v>
      </c>
      <c r="E133" s="25">
        <f t="shared" ca="1" si="283"/>
        <v>1.0472819989100401</v>
      </c>
      <c r="F133" s="25">
        <f t="shared" ca="1" si="283"/>
        <v>1.0855506894883202</v>
      </c>
      <c r="G133" s="25">
        <f t="shared" ca="1" si="283"/>
        <v>1.1238193800666003</v>
      </c>
      <c r="H133" s="25">
        <f t="shared" ca="1" si="283"/>
        <v>1.1620880706448804</v>
      </c>
      <c r="I133" s="25">
        <f t="shared" ca="1" si="283"/>
        <v>1.2003567612231605</v>
      </c>
      <c r="J133" s="25">
        <f t="shared" ca="1" si="283"/>
        <v>1.2386254518014406</v>
      </c>
      <c r="K133" s="25">
        <f t="shared" ca="1" si="283"/>
        <v>1.2768941423797207</v>
      </c>
      <c r="L133" s="25">
        <f ca="1">OtherGases!I16/1000</f>
        <v>1.3151628329580003</v>
      </c>
      <c r="M133" s="25">
        <f t="shared" ca="1" si="284"/>
        <v>1.2141547639359842</v>
      </c>
      <c r="N133" s="25">
        <f t="shared" ca="1" si="284"/>
        <v>1.1131466949139681</v>
      </c>
      <c r="O133" s="25">
        <f t="shared" ca="1" si="284"/>
        <v>1.012138625891952</v>
      </c>
      <c r="P133" s="25">
        <f t="shared" ca="1" si="284"/>
        <v>0.91113055686993605</v>
      </c>
      <c r="Q133" s="25">
        <f t="shared" ca="1" si="284"/>
        <v>0.81012248784792007</v>
      </c>
      <c r="R133" s="25">
        <f t="shared" ca="1" si="284"/>
        <v>0.70911441882590409</v>
      </c>
      <c r="S133" s="25">
        <f t="shared" ca="1" si="284"/>
        <v>0.60810634980388811</v>
      </c>
      <c r="T133" s="25">
        <f t="shared" ca="1" si="284"/>
        <v>0.50709828078187213</v>
      </c>
      <c r="U133" s="25">
        <f t="shared" ca="1" si="284"/>
        <v>0.4060902117598561</v>
      </c>
      <c r="V133" s="25">
        <f ca="1">OtherGases!J16/1000</f>
        <v>0.30508214273784001</v>
      </c>
      <c r="W133" s="25">
        <f t="shared" ca="1" si="285"/>
        <v>0.29294866464618602</v>
      </c>
      <c r="X133" s="25">
        <f t="shared" ca="1" si="285"/>
        <v>0.28081518655453203</v>
      </c>
      <c r="Y133" s="25">
        <f t="shared" ca="1" si="285"/>
        <v>0.26868170846287803</v>
      </c>
      <c r="Z133" s="25">
        <f t="shared" ca="1" si="285"/>
        <v>0.25654823037122404</v>
      </c>
      <c r="AA133" s="25">
        <f t="shared" ca="1" si="285"/>
        <v>0.24441475227957005</v>
      </c>
      <c r="AB133" s="25">
        <f t="shared" ca="1" si="285"/>
        <v>0.23228127418791605</v>
      </c>
      <c r="AC133" s="25">
        <f t="shared" ca="1" si="285"/>
        <v>0.22014779609626206</v>
      </c>
      <c r="AD133" s="25">
        <f t="shared" ca="1" si="285"/>
        <v>0.20801431800460807</v>
      </c>
      <c r="AE133" s="25">
        <f t="shared" ca="1" si="285"/>
        <v>0.19588083991295407</v>
      </c>
      <c r="AF133" s="25">
        <f ca="1">OtherGases!K16/1000</f>
        <v>0.1837473618213</v>
      </c>
      <c r="AG133" s="25">
        <f t="shared" ca="1" si="286"/>
        <v>0.18316337188710599</v>
      </c>
      <c r="AH133" s="25">
        <f t="shared" ca="1" si="286"/>
        <v>0.18257938195291198</v>
      </c>
      <c r="AI133" s="25">
        <f t="shared" ca="1" si="286"/>
        <v>0.18199539201871798</v>
      </c>
      <c r="AJ133" s="25">
        <f t="shared" ca="1" si="286"/>
        <v>0.18141140208452397</v>
      </c>
      <c r="AK133" s="25">
        <f t="shared" ca="1" si="286"/>
        <v>0.18082741215032996</v>
      </c>
      <c r="AL133" s="25">
        <f t="shared" ca="1" si="286"/>
        <v>0.18024342221613596</v>
      </c>
      <c r="AM133" s="25">
        <f t="shared" ca="1" si="286"/>
        <v>0.17965943228194195</v>
      </c>
      <c r="AN133" s="25">
        <f t="shared" ca="1" si="286"/>
        <v>0.17907544234774794</v>
      </c>
      <c r="AO133" s="25">
        <f t="shared" ca="1" si="286"/>
        <v>0.17849145241355394</v>
      </c>
      <c r="AP133" s="25">
        <f ca="1">OtherGases!L16/1000</f>
        <v>0.17790746247936001</v>
      </c>
      <c r="AQ133" s="25">
        <f t="shared" ca="1" si="287"/>
        <v>0.17823648211198201</v>
      </c>
      <c r="AR133" s="25">
        <f t="shared" ca="1" si="287"/>
        <v>0.178565501744604</v>
      </c>
      <c r="AS133" s="25">
        <f t="shared" ca="1" si="287"/>
        <v>0.178894521377226</v>
      </c>
      <c r="AT133" s="25">
        <f t="shared" ca="1" si="287"/>
        <v>0.179223541009848</v>
      </c>
      <c r="AU133" s="25">
        <f t="shared" ca="1" si="287"/>
        <v>0.17955256064246999</v>
      </c>
      <c r="AV133" s="25">
        <f t="shared" ca="1" si="287"/>
        <v>0.17988158027509199</v>
      </c>
      <c r="AW133" s="25">
        <f t="shared" ca="1" si="287"/>
        <v>0.18021059990771399</v>
      </c>
      <c r="AX133" s="25">
        <f t="shared" ca="1" si="287"/>
        <v>0.18053961954033598</v>
      </c>
      <c r="AY133" s="25">
        <f t="shared" ca="1" si="287"/>
        <v>0.18086863917295798</v>
      </c>
      <c r="AZ133" s="25">
        <f ca="1">OtherGases!M16/1000</f>
        <v>0.18119765880558003</v>
      </c>
      <c r="BA133" s="25">
        <f t="shared" ca="1" si="288"/>
        <v>0.18205965673412403</v>
      </c>
      <c r="BB133" s="25">
        <f t="shared" ca="1" si="288"/>
        <v>0.18292165466266802</v>
      </c>
      <c r="BC133" s="25">
        <f t="shared" ca="1" si="288"/>
        <v>0.18378365259121202</v>
      </c>
      <c r="BD133" s="25">
        <f t="shared" ca="1" si="288"/>
        <v>0.18464565051975601</v>
      </c>
      <c r="BE133" s="25">
        <f t="shared" ca="1" si="288"/>
        <v>0.18550764844830001</v>
      </c>
      <c r="BF133" s="25">
        <f t="shared" ca="1" si="288"/>
        <v>0.186369646376844</v>
      </c>
      <c r="BG133" s="25">
        <f t="shared" ca="1" si="288"/>
        <v>0.187231644305388</v>
      </c>
      <c r="BH133" s="25">
        <f t="shared" ca="1" si="288"/>
        <v>0.18809364223393199</v>
      </c>
      <c r="BI133" s="25">
        <f t="shared" ca="1" si="288"/>
        <v>0.18895564016247599</v>
      </c>
      <c r="BJ133" s="25">
        <f ca="1">OtherGases!N16/1000</f>
        <v>0.18981763809102001</v>
      </c>
      <c r="BK133" s="25">
        <f t="shared" ca="1" si="289"/>
        <v>0.18989939545576201</v>
      </c>
      <c r="BL133" s="25">
        <f t="shared" ca="1" si="289"/>
        <v>0.18998115282050401</v>
      </c>
      <c r="BM133" s="25">
        <f t="shared" ca="1" si="289"/>
        <v>0.19006291018524601</v>
      </c>
      <c r="BN133" s="25">
        <f t="shared" ca="1" si="289"/>
        <v>0.19014466754998802</v>
      </c>
      <c r="BO133" s="25">
        <f t="shared" ca="1" si="289"/>
        <v>0.19022642491473002</v>
      </c>
      <c r="BP133" s="25">
        <f t="shared" ca="1" si="289"/>
        <v>0.19030818227947202</v>
      </c>
      <c r="BQ133" s="25">
        <f t="shared" ca="1" si="289"/>
        <v>0.19038993964421402</v>
      </c>
      <c r="BR133" s="25">
        <f t="shared" ca="1" si="289"/>
        <v>0.19047169700895603</v>
      </c>
      <c r="BS133" s="25">
        <f t="shared" ca="1" si="289"/>
        <v>0.19055345437369803</v>
      </c>
      <c r="BT133" s="25">
        <f ca="1">OtherGases!O16/1000</f>
        <v>0.19063521173843997</v>
      </c>
      <c r="BU133" s="25">
        <f t="shared" ca="1" si="290"/>
        <v>0.19063256472584997</v>
      </c>
      <c r="BV133" s="25">
        <f t="shared" ca="1" si="290"/>
        <v>0.19062991771325996</v>
      </c>
      <c r="BW133" s="25">
        <f t="shared" ca="1" si="290"/>
        <v>0.19062727070066995</v>
      </c>
      <c r="BX133" s="25">
        <f t="shared" ca="1" si="290"/>
        <v>0.19062462368807995</v>
      </c>
      <c r="BY133" s="25">
        <f t="shared" ca="1" si="290"/>
        <v>0.19062197667548994</v>
      </c>
      <c r="BZ133" s="25">
        <f t="shared" ca="1" si="290"/>
        <v>0.19061932966289993</v>
      </c>
      <c r="CA133" s="25">
        <f t="shared" ca="1" si="290"/>
        <v>0.19061668265030993</v>
      </c>
      <c r="CB133" s="25">
        <f t="shared" ca="1" si="290"/>
        <v>0.19061403563771992</v>
      </c>
      <c r="CC133" s="25">
        <f t="shared" ca="1" si="290"/>
        <v>0.19061138862512991</v>
      </c>
      <c r="CD133" s="25">
        <f ca="1">OtherGases!P16/1000</f>
        <v>0.19060874161253999</v>
      </c>
      <c r="CE133" s="25">
        <f t="shared" ca="1" si="291"/>
        <v>0.19061794623088799</v>
      </c>
      <c r="CF133" s="25">
        <f t="shared" ca="1" si="291"/>
        <v>0.19062715084923598</v>
      </c>
      <c r="CG133" s="25">
        <f t="shared" ca="1" si="291"/>
        <v>0.19063635546758398</v>
      </c>
      <c r="CH133" s="25">
        <f t="shared" ca="1" si="291"/>
        <v>0.19064556008593198</v>
      </c>
      <c r="CI133" s="25">
        <f t="shared" ca="1" si="291"/>
        <v>0.19065476470427997</v>
      </c>
      <c r="CJ133" s="25">
        <f t="shared" ca="1" si="291"/>
        <v>0.19066396932262797</v>
      </c>
      <c r="CK133" s="25">
        <f t="shared" ca="1" si="291"/>
        <v>0.19067317394097597</v>
      </c>
      <c r="CL133" s="25">
        <f t="shared" ca="1" si="291"/>
        <v>0.19068237855932396</v>
      </c>
      <c r="CM133" s="25">
        <f t="shared" ca="1" si="291"/>
        <v>0.19069158317767196</v>
      </c>
      <c r="CN133" s="25">
        <f ca="1">OtherGases!Q16/1000</f>
        <v>0.19070078779602001</v>
      </c>
      <c r="CO133" s="25"/>
      <c r="CP133" s="25"/>
      <c r="CQ133" s="25"/>
      <c r="CR133" s="25"/>
      <c r="CS133" s="25"/>
      <c r="CT133" s="25"/>
      <c r="CU133" s="25"/>
      <c r="CV133" s="25"/>
      <c r="CW133" s="25"/>
      <c r="CX133" s="25"/>
      <c r="CY133" s="25"/>
      <c r="CZ133" s="25"/>
      <c r="DA133" s="25"/>
      <c r="DB133" s="25"/>
      <c r="DC133" s="25"/>
      <c r="DD133" s="25"/>
      <c r="DE133" s="25"/>
      <c r="DF133" s="25"/>
      <c r="DG133" s="25"/>
      <c r="DH133" s="25"/>
      <c r="DI133" s="25"/>
      <c r="DJ133" s="25"/>
      <c r="DK133" s="25"/>
      <c r="DL133" s="25"/>
      <c r="DM133" s="25"/>
      <c r="DN133" s="25"/>
      <c r="DO133" s="25"/>
      <c r="DP133" s="25"/>
      <c r="DQ133" s="25"/>
      <c r="DR133" s="25"/>
      <c r="DS133" s="25"/>
      <c r="DT133" s="25"/>
      <c r="DU133" s="25"/>
      <c r="DV133" s="25"/>
      <c r="DW133" s="25"/>
      <c r="DX133" s="25"/>
      <c r="DY133" s="25"/>
      <c r="DZ133" s="25"/>
      <c r="EA133" s="25"/>
      <c r="EB133" s="25"/>
      <c r="EC133" s="25"/>
      <c r="ED133" s="25"/>
      <c r="EE133" s="25"/>
      <c r="EF133" s="25"/>
      <c r="EG133" s="25"/>
      <c r="EH133" s="25"/>
      <c r="EI133" s="25"/>
      <c r="EJ133" s="25"/>
      <c r="EK133" s="25"/>
      <c r="EL133" s="25"/>
      <c r="EM133" s="25"/>
      <c r="EN133" s="25"/>
      <c r="EO133" s="25"/>
      <c r="EP133" s="25"/>
      <c r="EQ133" s="25"/>
      <c r="ER133" s="25"/>
      <c r="ES133" s="25"/>
      <c r="ET133" s="25"/>
      <c r="EU133" s="25"/>
      <c r="EV133" s="25"/>
      <c r="EW133" s="25"/>
      <c r="EX133" s="25"/>
      <c r="EY133" s="25"/>
      <c r="EZ133" s="25"/>
      <c r="FA133" s="25"/>
      <c r="FB133" s="25"/>
      <c r="FC133" s="25"/>
      <c r="FD133" s="25"/>
      <c r="FE133" s="25"/>
      <c r="FF133" s="25"/>
      <c r="FG133" s="25"/>
      <c r="FH133" s="25"/>
    </row>
    <row r="134" spans="1:164" x14ac:dyDescent="0.2">
      <c r="A134" s="25"/>
      <c r="B134" s="25"/>
      <c r="C134" s="25"/>
      <c r="D134" s="25"/>
      <c r="E134" s="25"/>
      <c r="F134" s="25"/>
      <c r="G134" s="25"/>
      <c r="H134" s="25"/>
      <c r="I134" s="25"/>
      <c r="J134" s="25"/>
      <c r="K134" s="25"/>
      <c r="L134" s="25"/>
      <c r="M134" s="25"/>
      <c r="N134" s="25"/>
      <c r="O134" s="25"/>
      <c r="P134" s="25"/>
      <c r="Q134" s="25"/>
      <c r="R134" s="25"/>
      <c r="S134" s="25"/>
      <c r="T134" s="25"/>
      <c r="U134" s="25"/>
      <c r="V134" s="25"/>
      <c r="W134" s="25"/>
      <c r="X134" s="25"/>
      <c r="Y134" s="25"/>
      <c r="Z134" s="25"/>
      <c r="AA134" s="25"/>
      <c r="AB134" s="25"/>
      <c r="AC134" s="25"/>
      <c r="AD134" s="25"/>
      <c r="AE134" s="25"/>
      <c r="AF134" s="25"/>
      <c r="AG134" s="25"/>
      <c r="AH134" s="25"/>
      <c r="AI134" s="25"/>
      <c r="AJ134" s="25"/>
      <c r="AK134" s="25"/>
      <c r="AL134" s="25"/>
      <c r="AM134" s="25"/>
      <c r="AN134" s="25"/>
      <c r="AO134" s="25"/>
      <c r="AP134" s="25"/>
      <c r="AQ134" s="25"/>
      <c r="AR134" s="25"/>
      <c r="AS134" s="25"/>
      <c r="AT134" s="25"/>
      <c r="AU134" s="25"/>
      <c r="AV134" s="25"/>
      <c r="AW134" s="25"/>
      <c r="AX134" s="25"/>
      <c r="AY134" s="25"/>
      <c r="AZ134" s="25"/>
      <c r="BA134" s="25"/>
      <c r="BB134" s="25"/>
      <c r="BC134" s="25"/>
      <c r="BD134" s="25"/>
      <c r="BE134" s="25"/>
      <c r="BF134" s="25"/>
      <c r="BG134" s="25"/>
      <c r="BH134" s="25"/>
      <c r="BI134" s="25"/>
      <c r="BJ134" s="25"/>
      <c r="BK134" s="25"/>
      <c r="BL134" s="25"/>
      <c r="BM134" s="25"/>
      <c r="BN134" s="25"/>
      <c r="BO134" s="25"/>
      <c r="BP134" s="25"/>
      <c r="BQ134" s="25"/>
      <c r="BR134" s="25"/>
      <c r="BS134" s="25"/>
      <c r="BT134" s="25"/>
      <c r="BU134" s="25"/>
      <c r="BV134" s="25"/>
      <c r="BW134" s="25"/>
      <c r="BX134" s="25"/>
      <c r="BY134" s="25"/>
      <c r="BZ134" s="25"/>
      <c r="CA134" s="25"/>
      <c r="CB134" s="25"/>
      <c r="CC134" s="25"/>
      <c r="CD134" s="25"/>
      <c r="CE134" s="25"/>
      <c r="CF134" s="25"/>
      <c r="CG134" s="25"/>
      <c r="CH134" s="25"/>
      <c r="CI134" s="25"/>
      <c r="CJ134" s="25"/>
      <c r="CK134" s="25"/>
      <c r="CL134" s="25"/>
      <c r="CM134" s="25"/>
      <c r="CN134" s="25"/>
    </row>
    <row r="135" spans="1:164" x14ac:dyDescent="0.2">
      <c r="A135" s="25" t="str">
        <f>TotalEmissions!A17</f>
        <v>Fossil Energy CCS</v>
      </c>
      <c r="B135" s="25">
        <f ca="1">TotalEmissions!B17</f>
        <v>0</v>
      </c>
      <c r="C135" s="25">
        <f t="shared" ref="C135:K135" ca="1" si="292">B135+(($L135-$B135)/($L$75-$B$75))</f>
        <v>3.2833179039359777E-3</v>
      </c>
      <c r="D135" s="25">
        <f t="shared" ca="1" si="292"/>
        <v>6.5666358078719555E-3</v>
      </c>
      <c r="E135" s="25">
        <f t="shared" ca="1" si="292"/>
        <v>9.8499537118079336E-3</v>
      </c>
      <c r="F135" s="25">
        <f t="shared" ca="1" si="292"/>
        <v>1.3133271615743911E-2</v>
      </c>
      <c r="G135" s="25">
        <f t="shared" ca="1" si="292"/>
        <v>1.6416589519679888E-2</v>
      </c>
      <c r="H135" s="25">
        <f t="shared" ca="1" si="292"/>
        <v>1.9699907423615867E-2</v>
      </c>
      <c r="I135" s="25">
        <f t="shared" ca="1" si="292"/>
        <v>2.2983225327551846E-2</v>
      </c>
      <c r="J135" s="25">
        <f t="shared" ca="1" si="292"/>
        <v>2.6266543231487825E-2</v>
      </c>
      <c r="K135" s="25">
        <f t="shared" ca="1" si="292"/>
        <v>2.9549861135423804E-2</v>
      </c>
      <c r="L135" s="25">
        <f ca="1">TotalEmissions!C17</f>
        <v>3.2833179039359776E-2</v>
      </c>
      <c r="M135" s="25">
        <f t="shared" ref="M135:U135" ca="1" si="293">L135+(($V135-$L135)/($V$75-$L$75))</f>
        <v>0.15389061006498181</v>
      </c>
      <c r="N135" s="25">
        <f t="shared" ca="1" si="293"/>
        <v>0.27494804109060383</v>
      </c>
      <c r="O135" s="25">
        <f t="shared" ca="1" si="293"/>
        <v>0.39600547211622583</v>
      </c>
      <c r="P135" s="25">
        <f t="shared" ca="1" si="293"/>
        <v>0.51706290314184788</v>
      </c>
      <c r="Q135" s="25">
        <f t="shared" ca="1" si="293"/>
        <v>0.63812033416746994</v>
      </c>
      <c r="R135" s="25">
        <f t="shared" ca="1" si="293"/>
        <v>0.75917776519309199</v>
      </c>
      <c r="S135" s="25">
        <f t="shared" ca="1" si="293"/>
        <v>0.88023519621871404</v>
      </c>
      <c r="T135" s="25">
        <f t="shared" ca="1" si="293"/>
        <v>1.0012926272443361</v>
      </c>
      <c r="U135" s="25">
        <f t="shared" ca="1" si="293"/>
        <v>1.1223500582699582</v>
      </c>
      <c r="V135" s="25">
        <f ca="1">TotalEmissions!D17</f>
        <v>1.24340748929558</v>
      </c>
      <c r="W135" s="25">
        <f t="shared" ref="W135:AE135" ca="1" si="294">V135+(($AF135-$V135)/($AF$75-$V$75))</f>
        <v>1.3645991443880121</v>
      </c>
      <c r="X135" s="25">
        <f t="shared" ca="1" si="294"/>
        <v>1.4857907994804442</v>
      </c>
      <c r="Y135" s="25">
        <f t="shared" ca="1" si="294"/>
        <v>1.6069824545728764</v>
      </c>
      <c r="Z135" s="25">
        <f t="shared" ca="1" si="294"/>
        <v>1.7281741096653085</v>
      </c>
      <c r="AA135" s="25">
        <f t="shared" ca="1" si="294"/>
        <v>1.8493657647577406</v>
      </c>
      <c r="AB135" s="25">
        <f t="shared" ca="1" si="294"/>
        <v>1.9705574198501727</v>
      </c>
      <c r="AC135" s="25">
        <f t="shared" ca="1" si="294"/>
        <v>2.0917490749426051</v>
      </c>
      <c r="AD135" s="25">
        <f t="shared" ca="1" si="294"/>
        <v>2.2129407300350374</v>
      </c>
      <c r="AE135" s="25">
        <f t="shared" ca="1" si="294"/>
        <v>2.3341323851274698</v>
      </c>
      <c r="AF135" s="25">
        <f ca="1">TotalEmissions!E17</f>
        <v>2.4553240402199017</v>
      </c>
      <c r="AG135" s="25">
        <f t="shared" ref="AG135:AO135" ca="1" si="295">AF135+(($AP135-$AF135)/($AP$75-$AF$75))</f>
        <v>2.5138224536176432</v>
      </c>
      <c r="AH135" s="25">
        <f t="shared" ca="1" si="295"/>
        <v>2.5723208670153848</v>
      </c>
      <c r="AI135" s="25">
        <f t="shared" ca="1" si="295"/>
        <v>2.6308192804131263</v>
      </c>
      <c r="AJ135" s="25">
        <f t="shared" ca="1" si="295"/>
        <v>2.6893176938108678</v>
      </c>
      <c r="AK135" s="25">
        <f t="shared" ca="1" si="295"/>
        <v>2.7478161072086094</v>
      </c>
      <c r="AL135" s="25">
        <f t="shared" ca="1" si="295"/>
        <v>2.8063145206063509</v>
      </c>
      <c r="AM135" s="25">
        <f t="shared" ca="1" si="295"/>
        <v>2.8648129340040924</v>
      </c>
      <c r="AN135" s="25">
        <f t="shared" ca="1" si="295"/>
        <v>2.923311347401834</v>
      </c>
      <c r="AO135" s="25">
        <f t="shared" ca="1" si="295"/>
        <v>2.9818097607995755</v>
      </c>
      <c r="AP135" s="25">
        <f ca="1">TotalEmissions!F17</f>
        <v>3.0403081741973175</v>
      </c>
      <c r="AQ135" s="25">
        <f t="shared" ref="AQ135:AY135" ca="1" si="296">AP135+(($AZ135-$AP135)/($AZ$75-$AP$75))</f>
        <v>3.1690255139912704</v>
      </c>
      <c r="AR135" s="25">
        <f t="shared" ca="1" si="296"/>
        <v>3.2977428537852234</v>
      </c>
      <c r="AS135" s="25">
        <f t="shared" ca="1" si="296"/>
        <v>3.4264601935791763</v>
      </c>
      <c r="AT135" s="25">
        <f t="shared" ca="1" si="296"/>
        <v>3.5551775333731293</v>
      </c>
      <c r="AU135" s="25">
        <f t="shared" ca="1" si="296"/>
        <v>3.6838948731670822</v>
      </c>
      <c r="AV135" s="25">
        <f t="shared" ca="1" si="296"/>
        <v>3.8126122129610351</v>
      </c>
      <c r="AW135" s="25">
        <f t="shared" ca="1" si="296"/>
        <v>3.9413295527549881</v>
      </c>
      <c r="AX135" s="25">
        <f t="shared" ca="1" si="296"/>
        <v>4.070046892548941</v>
      </c>
      <c r="AY135" s="25">
        <f t="shared" ca="1" si="296"/>
        <v>4.198764232342894</v>
      </c>
      <c r="AZ135" s="25">
        <f ca="1">TotalEmissions!G17</f>
        <v>4.3274815721368487</v>
      </c>
      <c r="BA135" s="25">
        <f t="shared" ref="BA135:BI135" ca="1" si="297">AZ135+(($BJ135-$AZ135)/($BJ$75-$AZ$75))</f>
        <v>4.5167855785512669</v>
      </c>
      <c r="BB135" s="25">
        <f t="shared" ca="1" si="297"/>
        <v>4.7060895849656852</v>
      </c>
      <c r="BC135" s="25">
        <f t="shared" ca="1" si="297"/>
        <v>4.8953935913801034</v>
      </c>
      <c r="BD135" s="25">
        <f t="shared" ca="1" si="297"/>
        <v>5.0846975977945217</v>
      </c>
      <c r="BE135" s="25">
        <f t="shared" ca="1" si="297"/>
        <v>5.2740016042089399</v>
      </c>
      <c r="BF135" s="25">
        <f t="shared" ca="1" si="297"/>
        <v>5.4633056106233582</v>
      </c>
      <c r="BG135" s="25">
        <f t="shared" ca="1" si="297"/>
        <v>5.6526096170377764</v>
      </c>
      <c r="BH135" s="25">
        <f t="shared" ca="1" si="297"/>
        <v>5.8419136234521947</v>
      </c>
      <c r="BI135" s="25">
        <f t="shared" ca="1" si="297"/>
        <v>6.0312176298666129</v>
      </c>
      <c r="BJ135" s="25">
        <f ca="1">TotalEmissions!H17</f>
        <v>6.2205216362810276</v>
      </c>
      <c r="BK135" s="25">
        <f t="shared" ref="BK135:BS135" ca="1" si="298">BJ135+(($BT135-$BJ135)/($BT$75-$BJ$75))</f>
        <v>6.2223435597890226</v>
      </c>
      <c r="BL135" s="25">
        <f t="shared" ca="1" si="298"/>
        <v>6.2241654832970177</v>
      </c>
      <c r="BM135" s="25">
        <f t="shared" ca="1" si="298"/>
        <v>6.2259874068050127</v>
      </c>
      <c r="BN135" s="25">
        <f t="shared" ca="1" si="298"/>
        <v>6.2278093303130078</v>
      </c>
      <c r="BO135" s="25">
        <f t="shared" ca="1" si="298"/>
        <v>6.2296312538210028</v>
      </c>
      <c r="BP135" s="25">
        <f t="shared" ca="1" si="298"/>
        <v>6.2314531773289978</v>
      </c>
      <c r="BQ135" s="25">
        <f t="shared" ca="1" si="298"/>
        <v>6.2332751008369929</v>
      </c>
      <c r="BR135" s="25">
        <f t="shared" ca="1" si="298"/>
        <v>6.2350970243449879</v>
      </c>
      <c r="BS135" s="25">
        <f t="shared" ca="1" si="298"/>
        <v>6.236918947852983</v>
      </c>
      <c r="BT135" s="25">
        <f ca="1">TotalEmissions!I17</f>
        <v>6.2387408713609798</v>
      </c>
      <c r="BU135" s="25">
        <f t="shared" ref="BU135:CC135" ca="1" si="299">BT135+(($CD135-$BT135)/($CD$75-$BT$75))</f>
        <v>6.1770038091309276</v>
      </c>
      <c r="BV135" s="25">
        <f t="shared" ca="1" si="299"/>
        <v>6.1152667469008755</v>
      </c>
      <c r="BW135" s="25">
        <f t="shared" ca="1" si="299"/>
        <v>6.0535296846708233</v>
      </c>
      <c r="BX135" s="25">
        <f t="shared" ca="1" si="299"/>
        <v>5.9917926224407712</v>
      </c>
      <c r="BY135" s="25">
        <f t="shared" ca="1" si="299"/>
        <v>5.930055560210719</v>
      </c>
      <c r="BZ135" s="25">
        <f t="shared" ca="1" si="299"/>
        <v>5.8683184979806668</v>
      </c>
      <c r="CA135" s="25">
        <f t="shared" ca="1" si="299"/>
        <v>5.8065814357506147</v>
      </c>
      <c r="CB135" s="25">
        <f t="shared" ca="1" si="299"/>
        <v>5.7448443735205625</v>
      </c>
      <c r="CC135" s="25">
        <f t="shared" ca="1" si="299"/>
        <v>5.6831073112905104</v>
      </c>
      <c r="CD135" s="25">
        <f ca="1">TotalEmissions!J17</f>
        <v>5.6213702490604573</v>
      </c>
      <c r="CE135" s="25">
        <f t="shared" ref="CE135:CM135" ca="1" si="300">CD135+(($CN135-$CD135)/($CN$75-$CD$75))</f>
        <v>5.6312837980738948</v>
      </c>
      <c r="CF135" s="25">
        <f t="shared" ca="1" si="300"/>
        <v>5.6411973470873322</v>
      </c>
      <c r="CG135" s="25">
        <f t="shared" ca="1" si="300"/>
        <v>5.6511108961007697</v>
      </c>
      <c r="CH135" s="25">
        <f t="shared" ca="1" si="300"/>
        <v>5.6610244451142071</v>
      </c>
      <c r="CI135" s="25">
        <f t="shared" ca="1" si="300"/>
        <v>5.6709379941276445</v>
      </c>
      <c r="CJ135" s="25">
        <f t="shared" ca="1" si="300"/>
        <v>5.680851543141082</v>
      </c>
      <c r="CK135" s="25">
        <f t="shared" ca="1" si="300"/>
        <v>5.6907650921545194</v>
      </c>
      <c r="CL135" s="25">
        <f t="shared" ca="1" si="300"/>
        <v>5.7006786411679569</v>
      </c>
      <c r="CM135" s="25">
        <f t="shared" ca="1" si="300"/>
        <v>5.7105921901813943</v>
      </c>
      <c r="CN135" s="25">
        <f ca="1">TotalEmissions!K17</f>
        <v>5.7205057391948309</v>
      </c>
    </row>
    <row r="136" spans="1:164" x14ac:dyDescent="0.2">
      <c r="A136" s="25" t="str">
        <f>TotalEmissions!A18</f>
        <v>Fossil Industry CCS</v>
      </c>
      <c r="B136" s="25">
        <f ca="1">TotalEmissions!B18</f>
        <v>0</v>
      </c>
      <c r="C136" s="25">
        <f t="shared" ref="C136:K136" ca="1" si="301">B136+(($L136-$B136)/($L$75-$B$75))</f>
        <v>1.6969379949538655E-3</v>
      </c>
      <c r="D136" s="25">
        <f t="shared" ca="1" si="301"/>
        <v>3.3938759899077311E-3</v>
      </c>
      <c r="E136" s="25">
        <f t="shared" ca="1" si="301"/>
        <v>5.0908139848615964E-3</v>
      </c>
      <c r="F136" s="25">
        <f t="shared" ca="1" si="301"/>
        <v>6.7877519798154621E-3</v>
      </c>
      <c r="G136" s="25">
        <f t="shared" ca="1" si="301"/>
        <v>8.4846899747693279E-3</v>
      </c>
      <c r="H136" s="25">
        <f t="shared" ca="1" si="301"/>
        <v>1.0181627969723193E-2</v>
      </c>
      <c r="I136" s="25">
        <f t="shared" ca="1" si="301"/>
        <v>1.1878565964677058E-2</v>
      </c>
      <c r="J136" s="25">
        <f t="shared" ca="1" si="301"/>
        <v>1.3575503959630923E-2</v>
      </c>
      <c r="K136" s="25">
        <f t="shared" ca="1" si="301"/>
        <v>1.5272441954584787E-2</v>
      </c>
      <c r="L136" s="25">
        <f ca="1">TotalEmissions!C18</f>
        <v>1.6969379949538656E-2</v>
      </c>
      <c r="M136" s="25">
        <f t="shared" ref="M136:U136" ca="1" si="302">L136+(($V136-$L136)/($V$75-$L$75))</f>
        <v>8.7475085582506523E-2</v>
      </c>
      <c r="N136" s="25">
        <f t="shared" ca="1" si="302"/>
        <v>0.1579807912154744</v>
      </c>
      <c r="O136" s="25">
        <f t="shared" ca="1" si="302"/>
        <v>0.22848649684844227</v>
      </c>
      <c r="P136" s="25">
        <f t="shared" ca="1" si="302"/>
        <v>0.29899220248141012</v>
      </c>
      <c r="Q136" s="25">
        <f t="shared" ca="1" si="302"/>
        <v>0.36949790811437799</v>
      </c>
      <c r="R136" s="25">
        <f t="shared" ca="1" si="302"/>
        <v>0.44000361374734587</v>
      </c>
      <c r="S136" s="25">
        <f t="shared" ca="1" si="302"/>
        <v>0.51050931938031374</v>
      </c>
      <c r="T136" s="25">
        <f t="shared" ca="1" si="302"/>
        <v>0.58101502501328162</v>
      </c>
      <c r="U136" s="25">
        <f t="shared" ca="1" si="302"/>
        <v>0.65152073064624949</v>
      </c>
      <c r="V136" s="25">
        <f ca="1">TotalEmissions!D18</f>
        <v>0.72202643627921737</v>
      </c>
      <c r="W136" s="25">
        <f t="shared" ref="W136:AE136" ca="1" si="303">V136+(($AF136-$V136)/($AF$75-$V$75))</f>
        <v>0.7915806824962297</v>
      </c>
      <c r="X136" s="25">
        <f t="shared" ca="1" si="303"/>
        <v>0.86113492871324215</v>
      </c>
      <c r="Y136" s="25">
        <f t="shared" ca="1" si="303"/>
        <v>0.9306891749302546</v>
      </c>
      <c r="Z136" s="25">
        <f t="shared" ca="1" si="303"/>
        <v>1.0002434211472671</v>
      </c>
      <c r="AA136" s="25">
        <f t="shared" ca="1" si="303"/>
        <v>1.0697976673642795</v>
      </c>
      <c r="AB136" s="25">
        <f t="shared" ca="1" si="303"/>
        <v>1.139351913581292</v>
      </c>
      <c r="AC136" s="25">
        <f t="shared" ca="1" si="303"/>
        <v>1.2089061597983044</v>
      </c>
      <c r="AD136" s="25">
        <f t="shared" ca="1" si="303"/>
        <v>1.2784604060153169</v>
      </c>
      <c r="AE136" s="25">
        <f t="shared" ca="1" si="303"/>
        <v>1.3480146522323293</v>
      </c>
      <c r="AF136" s="25">
        <f ca="1">TotalEmissions!E18</f>
        <v>1.4175688984493413</v>
      </c>
      <c r="AG136" s="25">
        <f t="shared" ref="AG136:AO136" ca="1" si="304">AF136+(($AP136-$AF136)/($AP$75-$AF$75))</f>
        <v>1.4139268163902063</v>
      </c>
      <c r="AH136" s="25">
        <f t="shared" ca="1" si="304"/>
        <v>1.4102847343310714</v>
      </c>
      <c r="AI136" s="25">
        <f t="shared" ca="1" si="304"/>
        <v>1.4066426522719364</v>
      </c>
      <c r="AJ136" s="25">
        <f t="shared" ca="1" si="304"/>
        <v>1.4030005702128014</v>
      </c>
      <c r="AK136" s="25">
        <f t="shared" ca="1" si="304"/>
        <v>1.3993584881536665</v>
      </c>
      <c r="AL136" s="25">
        <f t="shared" ca="1" si="304"/>
        <v>1.3957164060945315</v>
      </c>
      <c r="AM136" s="25">
        <f t="shared" ca="1" si="304"/>
        <v>1.3920743240353965</v>
      </c>
      <c r="AN136" s="25">
        <f t="shared" ca="1" si="304"/>
        <v>1.3884322419762616</v>
      </c>
      <c r="AO136" s="25">
        <f t="shared" ca="1" si="304"/>
        <v>1.3847901599171266</v>
      </c>
      <c r="AP136" s="25">
        <f ca="1">TotalEmissions!F18</f>
        <v>1.381148077857991</v>
      </c>
      <c r="AQ136" s="25">
        <f t="shared" ref="AQ136:AY136" ca="1" si="305">AP136+(($AZ136-$AP136)/($AZ$75-$AP$75))</f>
        <v>1.3662058694627679</v>
      </c>
      <c r="AR136" s="25">
        <f t="shared" ca="1" si="305"/>
        <v>1.3512636610675448</v>
      </c>
      <c r="AS136" s="25">
        <f t="shared" ca="1" si="305"/>
        <v>1.3363214526723217</v>
      </c>
      <c r="AT136" s="25">
        <f t="shared" ca="1" si="305"/>
        <v>1.3213792442770986</v>
      </c>
      <c r="AU136" s="25">
        <f t="shared" ca="1" si="305"/>
        <v>1.3064370358818755</v>
      </c>
      <c r="AV136" s="25">
        <f t="shared" ca="1" si="305"/>
        <v>1.2914948274866525</v>
      </c>
      <c r="AW136" s="25">
        <f t="shared" ca="1" si="305"/>
        <v>1.2765526190914294</v>
      </c>
      <c r="AX136" s="25">
        <f t="shared" ca="1" si="305"/>
        <v>1.2616104106962063</v>
      </c>
      <c r="AY136" s="25">
        <f t="shared" ca="1" si="305"/>
        <v>1.2466682023009832</v>
      </c>
      <c r="AZ136" s="25">
        <f ca="1">TotalEmissions!G18</f>
        <v>1.2317259939057597</v>
      </c>
      <c r="BA136" s="25">
        <f t="shared" ref="BA136:BI136" ca="1" si="306">AZ136+(($BJ136-$AZ136)/($BJ$75-$AZ$75))</f>
        <v>1.2522030925391543</v>
      </c>
      <c r="BB136" s="25">
        <f t="shared" ca="1" si="306"/>
        <v>1.2726801911725487</v>
      </c>
      <c r="BC136" s="25">
        <f t="shared" ca="1" si="306"/>
        <v>1.2931572898059431</v>
      </c>
      <c r="BD136" s="25">
        <f t="shared" ca="1" si="306"/>
        <v>1.3136343884393376</v>
      </c>
      <c r="BE136" s="25">
        <f t="shared" ca="1" si="306"/>
        <v>1.334111487072732</v>
      </c>
      <c r="BF136" s="25">
        <f t="shared" ca="1" si="306"/>
        <v>1.3545885857061264</v>
      </c>
      <c r="BG136" s="25">
        <f t="shared" ca="1" si="306"/>
        <v>1.3750656843395208</v>
      </c>
      <c r="BH136" s="25">
        <f t="shared" ca="1" si="306"/>
        <v>1.3955427829729152</v>
      </c>
      <c r="BI136" s="25">
        <f t="shared" ca="1" si="306"/>
        <v>1.4160198816063096</v>
      </c>
      <c r="BJ136" s="25">
        <f ca="1">TotalEmissions!H18</f>
        <v>1.436496980239705</v>
      </c>
      <c r="BK136" s="25">
        <f t="shared" ref="BK136:BS136" ca="1" si="307">BJ136+(($BT136-$BJ136)/($BT$75-$BJ$75))</f>
        <v>1.4627493385345587</v>
      </c>
      <c r="BL136" s="25">
        <f t="shared" ca="1" si="307"/>
        <v>1.4890016968294124</v>
      </c>
      <c r="BM136" s="25">
        <f t="shared" ca="1" si="307"/>
        <v>1.5152540551242661</v>
      </c>
      <c r="BN136" s="25">
        <f t="shared" ca="1" si="307"/>
        <v>1.5415064134191199</v>
      </c>
      <c r="BO136" s="25">
        <f t="shared" ca="1" si="307"/>
        <v>1.5677587717139736</v>
      </c>
      <c r="BP136" s="25">
        <f t="shared" ca="1" si="307"/>
        <v>1.5940111300088273</v>
      </c>
      <c r="BQ136" s="25">
        <f t="shared" ca="1" si="307"/>
        <v>1.6202634883036811</v>
      </c>
      <c r="BR136" s="25">
        <f t="shared" ca="1" si="307"/>
        <v>1.6465158465985348</v>
      </c>
      <c r="BS136" s="25">
        <f t="shared" ca="1" si="307"/>
        <v>1.6727682048933885</v>
      </c>
      <c r="BT136" s="25">
        <f ca="1">TotalEmissions!I18</f>
        <v>1.6990205631882418</v>
      </c>
      <c r="BU136" s="25">
        <f t="shared" ref="BU136:CC136" ca="1" si="308">BT136+(($CD136-$BT136)/($CD$75-$BT$75))</f>
        <v>1.6834916908303663</v>
      </c>
      <c r="BV136" s="25">
        <f t="shared" ca="1" si="308"/>
        <v>1.6679628184724908</v>
      </c>
      <c r="BW136" s="25">
        <f t="shared" ca="1" si="308"/>
        <v>1.6524339461146154</v>
      </c>
      <c r="BX136" s="25">
        <f t="shared" ca="1" si="308"/>
        <v>1.6369050737567399</v>
      </c>
      <c r="BY136" s="25">
        <f t="shared" ca="1" si="308"/>
        <v>1.6213762013988644</v>
      </c>
      <c r="BZ136" s="25">
        <f t="shared" ca="1" si="308"/>
        <v>1.6058473290409889</v>
      </c>
      <c r="CA136" s="25">
        <f t="shared" ca="1" si="308"/>
        <v>1.5903184566831134</v>
      </c>
      <c r="CB136" s="25">
        <f t="shared" ca="1" si="308"/>
        <v>1.574789584325238</v>
      </c>
      <c r="CC136" s="25">
        <f t="shared" ca="1" si="308"/>
        <v>1.5592607119673625</v>
      </c>
      <c r="CD136" s="25">
        <f ca="1">TotalEmissions!J18</f>
        <v>1.5437318396094875</v>
      </c>
      <c r="CE136" s="25">
        <f t="shared" ref="CE136:CM136" ca="1" si="309">CD136+(($CN136-$CD136)/($CN$75-$CD$75))</f>
        <v>1.501783159006542</v>
      </c>
      <c r="CF136" s="25">
        <f t="shared" ca="1" si="309"/>
        <v>1.4598344784035966</v>
      </c>
      <c r="CG136" s="25">
        <f t="shared" ca="1" si="309"/>
        <v>1.4178857978006512</v>
      </c>
      <c r="CH136" s="25">
        <f t="shared" ca="1" si="309"/>
        <v>1.3759371171977057</v>
      </c>
      <c r="CI136" s="25">
        <f t="shared" ca="1" si="309"/>
        <v>1.3339884365947603</v>
      </c>
      <c r="CJ136" s="25">
        <f t="shared" ca="1" si="309"/>
        <v>1.2920397559918149</v>
      </c>
      <c r="CK136" s="25">
        <f t="shared" ca="1" si="309"/>
        <v>1.2500910753888694</v>
      </c>
      <c r="CL136" s="25">
        <f t="shared" ca="1" si="309"/>
        <v>1.208142394785924</v>
      </c>
      <c r="CM136" s="25">
        <f t="shared" ca="1" si="309"/>
        <v>1.1661937141829786</v>
      </c>
      <c r="CN136" s="25">
        <f ca="1">TotalEmissions!K18</f>
        <v>1.1242450335800336</v>
      </c>
    </row>
    <row r="137" spans="1:164" x14ac:dyDescent="0.2">
      <c r="A137" s="25" t="str">
        <f>TotalEmissions!A20</f>
        <v>Biomass Energy CCS</v>
      </c>
      <c r="B137" s="25">
        <f ca="1">TotalEmissions!B20</f>
        <v>0</v>
      </c>
      <c r="C137" s="25">
        <f t="shared" ref="C137:K137" ca="1" si="310">B137+(($L137-$B137)/($L$75-$B$75))</f>
        <v>4.838606848404196E-19</v>
      </c>
      <c r="D137" s="25">
        <f t="shared" ca="1" si="310"/>
        <v>9.6772136968083921E-19</v>
      </c>
      <c r="E137" s="25">
        <f t="shared" ca="1" si="310"/>
        <v>1.4515820545212588E-18</v>
      </c>
      <c r="F137" s="25">
        <f t="shared" ca="1" si="310"/>
        <v>1.9354427393616784E-18</v>
      </c>
      <c r="G137" s="25">
        <f t="shared" ca="1" si="310"/>
        <v>2.4193034242020978E-18</v>
      </c>
      <c r="H137" s="25">
        <f t="shared" ca="1" si="310"/>
        <v>2.9031641090425172E-18</v>
      </c>
      <c r="I137" s="25">
        <f t="shared" ca="1" si="310"/>
        <v>3.3870247938829366E-18</v>
      </c>
      <c r="J137" s="25">
        <f t="shared" ca="1" si="310"/>
        <v>3.8708854787233561E-18</v>
      </c>
      <c r="K137" s="25">
        <f t="shared" ca="1" si="310"/>
        <v>4.3547461635637755E-18</v>
      </c>
      <c r="L137" s="25">
        <f ca="1">TotalEmissions!C20</f>
        <v>4.8386068484041956E-18</v>
      </c>
      <c r="M137" s="25">
        <f t="shared" ref="M137:U137" ca="1" si="311">L137+(($V137-$L137)/($V$75-$L$75))</f>
        <v>2.0047784098813769E-10</v>
      </c>
      <c r="N137" s="25">
        <f t="shared" ca="1" si="311"/>
        <v>4.0095567713766853E-10</v>
      </c>
      <c r="O137" s="25">
        <f t="shared" ca="1" si="311"/>
        <v>6.014335132871994E-10</v>
      </c>
      <c r="P137" s="25">
        <f t="shared" ca="1" si="311"/>
        <v>8.0191134943673022E-10</v>
      </c>
      <c r="Q137" s="25">
        <f t="shared" ca="1" si="311"/>
        <v>1.002389185586261E-9</v>
      </c>
      <c r="R137" s="25">
        <f t="shared" ca="1" si="311"/>
        <v>1.202867021735792E-9</v>
      </c>
      <c r="S137" s="25">
        <f t="shared" ca="1" si="311"/>
        <v>1.4033448578853229E-9</v>
      </c>
      <c r="T137" s="25">
        <f t="shared" ca="1" si="311"/>
        <v>1.6038226940348538E-9</v>
      </c>
      <c r="U137" s="25">
        <f t="shared" ca="1" si="311"/>
        <v>1.8043005301843847E-9</v>
      </c>
      <c r="V137" s="25">
        <f ca="1">TotalEmissions!D20</f>
        <v>2.004778366333915E-9</v>
      </c>
      <c r="W137" s="25">
        <f t="shared" ref="W137:AE137" ca="1" si="312">V137+(($AF137-$V137)/($AF$75-$V$75))</f>
        <v>6.3793849862093034E-9</v>
      </c>
      <c r="X137" s="25">
        <f t="shared" ca="1" si="312"/>
        <v>1.0753991606084691E-8</v>
      </c>
      <c r="Y137" s="25">
        <f t="shared" ca="1" si="312"/>
        <v>1.5128598225960081E-8</v>
      </c>
      <c r="Z137" s="25">
        <f t="shared" ca="1" si="312"/>
        <v>1.9503204845835469E-8</v>
      </c>
      <c r="AA137" s="25">
        <f t="shared" ca="1" si="312"/>
        <v>2.3877811465710857E-8</v>
      </c>
      <c r="AB137" s="25">
        <f t="shared" ca="1" si="312"/>
        <v>2.8252418085586245E-8</v>
      </c>
      <c r="AC137" s="25">
        <f t="shared" ca="1" si="312"/>
        <v>3.2627024705461633E-8</v>
      </c>
      <c r="AD137" s="25">
        <f t="shared" ca="1" si="312"/>
        <v>3.7001631325337018E-8</v>
      </c>
      <c r="AE137" s="25">
        <f t="shared" ca="1" si="312"/>
        <v>4.1376237945212403E-8</v>
      </c>
      <c r="AF137" s="25">
        <f ca="1">TotalEmissions!E20</f>
        <v>4.5750844565087794E-8</v>
      </c>
      <c r="AG137" s="25">
        <f t="shared" ref="AG137:AO137" ca="1" si="313">AF137+(($AP137-$AF137)/($AP$75-$AF$75))</f>
        <v>9.505157529046849E-6</v>
      </c>
      <c r="AH137" s="25">
        <f t="shared" ca="1" si="313"/>
        <v>1.896456421352861E-5</v>
      </c>
      <c r="AI137" s="25">
        <f t="shared" ca="1" si="313"/>
        <v>2.842397089801037E-5</v>
      </c>
      <c r="AJ137" s="25">
        <f t="shared" ca="1" si="313"/>
        <v>3.7883377582492131E-5</v>
      </c>
      <c r="AK137" s="25">
        <f t="shared" ca="1" si="313"/>
        <v>4.7342784266973895E-5</v>
      </c>
      <c r="AL137" s="25">
        <f t="shared" ca="1" si="313"/>
        <v>5.6802190951455659E-5</v>
      </c>
      <c r="AM137" s="25">
        <f t="shared" ca="1" si="313"/>
        <v>6.6261597635937423E-5</v>
      </c>
      <c r="AN137" s="25">
        <f t="shared" ca="1" si="313"/>
        <v>7.5721004320419187E-5</v>
      </c>
      <c r="AO137" s="25">
        <f t="shared" ca="1" si="313"/>
        <v>8.5180411004900952E-5</v>
      </c>
      <c r="AP137" s="25">
        <f ca="1">TotalEmissions!F20</f>
        <v>9.4639817689382689E-5</v>
      </c>
      <c r="AQ137" s="25">
        <f t="shared" ref="AQ137:AY137" ca="1" si="314">AP137+(($AZ137-$AP137)/($AZ$75-$AP$75))</f>
        <v>9.4044198582865764E-5</v>
      </c>
      <c r="AR137" s="25">
        <f t="shared" ca="1" si="314"/>
        <v>9.344857947634884E-5</v>
      </c>
      <c r="AS137" s="25">
        <f t="shared" ca="1" si="314"/>
        <v>9.2852960369831916E-5</v>
      </c>
      <c r="AT137" s="25">
        <f t="shared" ca="1" si="314"/>
        <v>9.2257341263314992E-5</v>
      </c>
      <c r="AU137" s="25">
        <f t="shared" ca="1" si="314"/>
        <v>9.1661722156798067E-5</v>
      </c>
      <c r="AV137" s="25">
        <f t="shared" ca="1" si="314"/>
        <v>9.1066103050281143E-5</v>
      </c>
      <c r="AW137" s="25">
        <f t="shared" ca="1" si="314"/>
        <v>9.0470483943764219E-5</v>
      </c>
      <c r="AX137" s="25">
        <f t="shared" ca="1" si="314"/>
        <v>8.9874864837247295E-5</v>
      </c>
      <c r="AY137" s="25">
        <f t="shared" ca="1" si="314"/>
        <v>8.9279245730730371E-5</v>
      </c>
      <c r="AZ137" s="25">
        <f ca="1">TotalEmissions!G20</f>
        <v>8.8683626624213473E-5</v>
      </c>
      <c r="BA137" s="25">
        <f t="shared" ref="BA137:BI137" ca="1" si="315">AZ137+(($BJ137-$AZ137)/($BJ$75-$AZ$75))</f>
        <v>8.6966906777283395E-5</v>
      </c>
      <c r="BB137" s="25">
        <f t="shared" ca="1" si="315"/>
        <v>8.5250186930353316E-5</v>
      </c>
      <c r="BC137" s="25">
        <f t="shared" ca="1" si="315"/>
        <v>8.3533467083423237E-5</v>
      </c>
      <c r="BD137" s="25">
        <f t="shared" ca="1" si="315"/>
        <v>8.1816747236493158E-5</v>
      </c>
      <c r="BE137" s="25">
        <f t="shared" ca="1" si="315"/>
        <v>8.0100027389563079E-5</v>
      </c>
      <c r="BF137" s="25">
        <f t="shared" ca="1" si="315"/>
        <v>7.8383307542633001E-5</v>
      </c>
      <c r="BG137" s="25">
        <f t="shared" ca="1" si="315"/>
        <v>7.6666587695702922E-5</v>
      </c>
      <c r="BH137" s="25">
        <f t="shared" ca="1" si="315"/>
        <v>7.4949867848772843E-5</v>
      </c>
      <c r="BI137" s="25">
        <f t="shared" ca="1" si="315"/>
        <v>7.3233148001842764E-5</v>
      </c>
      <c r="BJ137" s="25">
        <f ca="1">TotalEmissions!H20</f>
        <v>7.1516428154912618E-5</v>
      </c>
      <c r="BK137" s="25">
        <f t="shared" ref="BK137:BS137" ca="1" si="316">BJ137+(($BT137-$BJ137)/($BT$75-$BJ$75))</f>
        <v>6.9819150523168599E-5</v>
      </c>
      <c r="BL137" s="25">
        <f t="shared" ca="1" si="316"/>
        <v>6.8121872891424581E-5</v>
      </c>
      <c r="BM137" s="25">
        <f t="shared" ca="1" si="316"/>
        <v>6.6424595259680563E-5</v>
      </c>
      <c r="BN137" s="25">
        <f t="shared" ca="1" si="316"/>
        <v>6.4727317627936545E-5</v>
      </c>
      <c r="BO137" s="25">
        <f t="shared" ca="1" si="316"/>
        <v>6.3030039996192527E-5</v>
      </c>
      <c r="BP137" s="25">
        <f t="shared" ca="1" si="316"/>
        <v>6.1332762364448508E-5</v>
      </c>
      <c r="BQ137" s="25">
        <f t="shared" ca="1" si="316"/>
        <v>5.9635484732704484E-5</v>
      </c>
      <c r="BR137" s="25">
        <f t="shared" ca="1" si="316"/>
        <v>5.7938207100960459E-5</v>
      </c>
      <c r="BS137" s="25">
        <f t="shared" ca="1" si="316"/>
        <v>5.6240929469216434E-5</v>
      </c>
      <c r="BT137" s="25">
        <f ca="1">TotalEmissions!I20</f>
        <v>5.4543651837472375E-5</v>
      </c>
      <c r="BU137" s="25">
        <f t="shared" ref="BU137:CC137" ca="1" si="317">BT137+(($CD137-$BT137)/($CD$75-$BT$75))</f>
        <v>5.4275111362282282E-5</v>
      </c>
      <c r="BV137" s="25">
        <f t="shared" ca="1" si="317"/>
        <v>5.4006570887092188E-5</v>
      </c>
      <c r="BW137" s="25">
        <f t="shared" ca="1" si="317"/>
        <v>5.3738030411902095E-5</v>
      </c>
      <c r="BX137" s="25">
        <f t="shared" ca="1" si="317"/>
        <v>5.3469489936712002E-5</v>
      </c>
      <c r="BY137" s="25">
        <f t="shared" ca="1" si="317"/>
        <v>5.3200949461521908E-5</v>
      </c>
      <c r="BZ137" s="25">
        <f t="shared" ca="1" si="317"/>
        <v>5.2932408986331815E-5</v>
      </c>
      <c r="CA137" s="25">
        <f t="shared" ca="1" si="317"/>
        <v>5.2663868511141722E-5</v>
      </c>
      <c r="CB137" s="25">
        <f t="shared" ca="1" si="317"/>
        <v>5.2395328035951629E-5</v>
      </c>
      <c r="CC137" s="25">
        <f t="shared" ca="1" si="317"/>
        <v>5.2126787560761535E-5</v>
      </c>
      <c r="CD137" s="25">
        <f ca="1">TotalEmissions!J20</f>
        <v>5.1858247085571442E-5</v>
      </c>
      <c r="CE137" s="25">
        <f t="shared" ref="CE137:CM137" ca="1" si="318">CD137+(($CN137-$CD137)/($CN$75-$CD$75))</f>
        <v>8.0039319103282952E-5</v>
      </c>
      <c r="CF137" s="25">
        <f t="shared" ca="1" si="318"/>
        <v>1.0822039112099446E-4</v>
      </c>
      <c r="CG137" s="25">
        <f t="shared" ca="1" si="318"/>
        <v>1.3640146313870596E-4</v>
      </c>
      <c r="CH137" s="25">
        <f t="shared" ca="1" si="318"/>
        <v>1.6458253515641748E-4</v>
      </c>
      <c r="CI137" s="25">
        <f t="shared" ca="1" si="318"/>
        <v>1.9276360717412899E-4</v>
      </c>
      <c r="CJ137" s="25">
        <f t="shared" ca="1" si="318"/>
        <v>2.2094467919184051E-4</v>
      </c>
      <c r="CK137" s="25">
        <f t="shared" ca="1" si="318"/>
        <v>2.4912575120955203E-4</v>
      </c>
      <c r="CL137" s="25">
        <f t="shared" ca="1" si="318"/>
        <v>2.7730682322726354E-4</v>
      </c>
      <c r="CM137" s="25">
        <f t="shared" ca="1" si="318"/>
        <v>3.0548789524497506E-4</v>
      </c>
      <c r="CN137" s="25">
        <f ca="1">TotalEmissions!K20</f>
        <v>3.3366896726268652E-4</v>
      </c>
    </row>
    <row r="138" spans="1:164" x14ac:dyDescent="0.2">
      <c r="A138" s="25" t="str">
        <f>TotalEmissions!A21</f>
        <v>Biomass Industry CCS</v>
      </c>
      <c r="B138" s="25">
        <f ca="1">TotalEmissions!B21</f>
        <v>0</v>
      </c>
      <c r="C138" s="25">
        <f t="shared" ref="C138:K138" ca="1" si="319">B138+(($L138-$B138)/($L$75-$B$75))</f>
        <v>0</v>
      </c>
      <c r="D138" s="25">
        <f t="shared" ca="1" si="319"/>
        <v>0</v>
      </c>
      <c r="E138" s="25">
        <f t="shared" ca="1" si="319"/>
        <v>0</v>
      </c>
      <c r="F138" s="25">
        <f t="shared" ca="1" si="319"/>
        <v>0</v>
      </c>
      <c r="G138" s="25">
        <f t="shared" ca="1" si="319"/>
        <v>0</v>
      </c>
      <c r="H138" s="25">
        <f t="shared" ca="1" si="319"/>
        <v>0</v>
      </c>
      <c r="I138" s="25">
        <f t="shared" ca="1" si="319"/>
        <v>0</v>
      </c>
      <c r="J138" s="25">
        <f t="shared" ca="1" si="319"/>
        <v>0</v>
      </c>
      <c r="K138" s="25">
        <f t="shared" ca="1" si="319"/>
        <v>0</v>
      </c>
      <c r="L138" s="25">
        <f ca="1">TotalEmissions!C21</f>
        <v>0</v>
      </c>
      <c r="M138" s="25">
        <f t="shared" ref="M138:U138" ca="1" si="320">L138+(($V138-$L138)/($V$75-$L$75))</f>
        <v>0</v>
      </c>
      <c r="N138" s="25">
        <f t="shared" ca="1" si="320"/>
        <v>0</v>
      </c>
      <c r="O138" s="25">
        <f t="shared" ca="1" si="320"/>
        <v>0</v>
      </c>
      <c r="P138" s="25">
        <f t="shared" ca="1" si="320"/>
        <v>0</v>
      </c>
      <c r="Q138" s="25">
        <f t="shared" ca="1" si="320"/>
        <v>0</v>
      </c>
      <c r="R138" s="25">
        <f t="shared" ca="1" si="320"/>
        <v>0</v>
      </c>
      <c r="S138" s="25">
        <f t="shared" ca="1" si="320"/>
        <v>0</v>
      </c>
      <c r="T138" s="25">
        <f t="shared" ca="1" si="320"/>
        <v>0</v>
      </c>
      <c r="U138" s="25">
        <f t="shared" ca="1" si="320"/>
        <v>0</v>
      </c>
      <c r="V138" s="25">
        <f ca="1">TotalEmissions!D21</f>
        <v>0</v>
      </c>
      <c r="W138" s="25">
        <f t="shared" ref="W138:AE138" ca="1" si="321">V138+(($AF138-$V138)/($AF$75-$V$75))</f>
        <v>0</v>
      </c>
      <c r="X138" s="25">
        <f t="shared" ca="1" si="321"/>
        <v>0</v>
      </c>
      <c r="Y138" s="25">
        <f t="shared" ca="1" si="321"/>
        <v>0</v>
      </c>
      <c r="Z138" s="25">
        <f t="shared" ca="1" si="321"/>
        <v>0</v>
      </c>
      <c r="AA138" s="25">
        <f t="shared" ca="1" si="321"/>
        <v>0</v>
      </c>
      <c r="AB138" s="25">
        <f t="shared" ca="1" si="321"/>
        <v>0</v>
      </c>
      <c r="AC138" s="25">
        <f t="shared" ca="1" si="321"/>
        <v>0</v>
      </c>
      <c r="AD138" s="25">
        <f t="shared" ca="1" si="321"/>
        <v>0</v>
      </c>
      <c r="AE138" s="25">
        <f t="shared" ca="1" si="321"/>
        <v>0</v>
      </c>
      <c r="AF138" s="25">
        <f ca="1">TotalEmissions!E21</f>
        <v>0</v>
      </c>
      <c r="AG138" s="25">
        <f t="shared" ref="AG138:AO138" ca="1" si="322">AF138+(($AP138-$AF138)/($AP$75-$AF$75))</f>
        <v>0</v>
      </c>
      <c r="AH138" s="25">
        <f t="shared" ca="1" si="322"/>
        <v>0</v>
      </c>
      <c r="AI138" s="25">
        <f t="shared" ca="1" si="322"/>
        <v>0</v>
      </c>
      <c r="AJ138" s="25">
        <f t="shared" ca="1" si="322"/>
        <v>0</v>
      </c>
      <c r="AK138" s="25">
        <f t="shared" ca="1" si="322"/>
        <v>0</v>
      </c>
      <c r="AL138" s="25">
        <f t="shared" ca="1" si="322"/>
        <v>0</v>
      </c>
      <c r="AM138" s="25">
        <f t="shared" ca="1" si="322"/>
        <v>0</v>
      </c>
      <c r="AN138" s="25">
        <f t="shared" ca="1" si="322"/>
        <v>0</v>
      </c>
      <c r="AO138" s="25">
        <f t="shared" ca="1" si="322"/>
        <v>0</v>
      </c>
      <c r="AP138" s="25">
        <f ca="1">TotalEmissions!F21</f>
        <v>0</v>
      </c>
      <c r="AQ138" s="25">
        <f t="shared" ref="AQ138:AY138" ca="1" si="323">AP138+(($AZ138-$AP138)/($AZ$75-$AP$75))</f>
        <v>0</v>
      </c>
      <c r="AR138" s="25">
        <f t="shared" ca="1" si="323"/>
        <v>0</v>
      </c>
      <c r="AS138" s="25">
        <f t="shared" ca="1" si="323"/>
        <v>0</v>
      </c>
      <c r="AT138" s="25">
        <f t="shared" ca="1" si="323"/>
        <v>0</v>
      </c>
      <c r="AU138" s="25">
        <f t="shared" ca="1" si="323"/>
        <v>0</v>
      </c>
      <c r="AV138" s="25">
        <f t="shared" ca="1" si="323"/>
        <v>0</v>
      </c>
      <c r="AW138" s="25">
        <f t="shared" ca="1" si="323"/>
        <v>0</v>
      </c>
      <c r="AX138" s="25">
        <f t="shared" ca="1" si="323"/>
        <v>0</v>
      </c>
      <c r="AY138" s="25">
        <f t="shared" ca="1" si="323"/>
        <v>0</v>
      </c>
      <c r="AZ138" s="25">
        <f ca="1">TotalEmissions!G21</f>
        <v>0</v>
      </c>
      <c r="BA138" s="25">
        <f t="shared" ref="BA138:BI138" ca="1" si="324">AZ138+(($BJ138-$AZ138)/($BJ$75-$AZ$75))</f>
        <v>0</v>
      </c>
      <c r="BB138" s="25">
        <f t="shared" ca="1" si="324"/>
        <v>0</v>
      </c>
      <c r="BC138" s="25">
        <f t="shared" ca="1" si="324"/>
        <v>0</v>
      </c>
      <c r="BD138" s="25">
        <f t="shared" ca="1" si="324"/>
        <v>0</v>
      </c>
      <c r="BE138" s="25">
        <f t="shared" ca="1" si="324"/>
        <v>0</v>
      </c>
      <c r="BF138" s="25">
        <f t="shared" ca="1" si="324"/>
        <v>0</v>
      </c>
      <c r="BG138" s="25">
        <f t="shared" ca="1" si="324"/>
        <v>0</v>
      </c>
      <c r="BH138" s="25">
        <f t="shared" ca="1" si="324"/>
        <v>0</v>
      </c>
      <c r="BI138" s="25">
        <f t="shared" ca="1" si="324"/>
        <v>0</v>
      </c>
      <c r="BJ138" s="25">
        <f ca="1">TotalEmissions!H21</f>
        <v>0</v>
      </c>
      <c r="BK138" s="25">
        <f t="shared" ref="BK138:BS138" ca="1" si="325">BJ138+(($BT138-$BJ138)/($BT$75-$BJ$75))</f>
        <v>0</v>
      </c>
      <c r="BL138" s="25">
        <f t="shared" ca="1" si="325"/>
        <v>0</v>
      </c>
      <c r="BM138" s="25">
        <f t="shared" ca="1" si="325"/>
        <v>0</v>
      </c>
      <c r="BN138" s="25">
        <f t="shared" ca="1" si="325"/>
        <v>0</v>
      </c>
      <c r="BO138" s="25">
        <f t="shared" ca="1" si="325"/>
        <v>0</v>
      </c>
      <c r="BP138" s="25">
        <f t="shared" ca="1" si="325"/>
        <v>0</v>
      </c>
      <c r="BQ138" s="25">
        <f t="shared" ca="1" si="325"/>
        <v>0</v>
      </c>
      <c r="BR138" s="25">
        <f t="shared" ca="1" si="325"/>
        <v>0</v>
      </c>
      <c r="BS138" s="25">
        <f t="shared" ca="1" si="325"/>
        <v>0</v>
      </c>
      <c r="BT138" s="25">
        <f ca="1">TotalEmissions!I21</f>
        <v>0</v>
      </c>
      <c r="BU138" s="25">
        <f t="shared" ref="BU138:CC138" ca="1" si="326">BT138+(($CD138-$BT138)/($CD$75-$BT$75))</f>
        <v>0</v>
      </c>
      <c r="BV138" s="25">
        <f t="shared" ca="1" si="326"/>
        <v>0</v>
      </c>
      <c r="BW138" s="25">
        <f t="shared" ca="1" si="326"/>
        <v>0</v>
      </c>
      <c r="BX138" s="25">
        <f t="shared" ca="1" si="326"/>
        <v>0</v>
      </c>
      <c r="BY138" s="25">
        <f t="shared" ca="1" si="326"/>
        <v>0</v>
      </c>
      <c r="BZ138" s="25">
        <f t="shared" ca="1" si="326"/>
        <v>0</v>
      </c>
      <c r="CA138" s="25">
        <f t="shared" ca="1" si="326"/>
        <v>0</v>
      </c>
      <c r="CB138" s="25">
        <f t="shared" ca="1" si="326"/>
        <v>0</v>
      </c>
      <c r="CC138" s="25">
        <f t="shared" ca="1" si="326"/>
        <v>0</v>
      </c>
      <c r="CD138" s="25">
        <f ca="1">TotalEmissions!J21</f>
        <v>0</v>
      </c>
      <c r="CE138" s="25">
        <f t="shared" ref="CE138:CM138" ca="1" si="327">CD138+(($CN138-$CD138)/($CN$75-$CD$75))</f>
        <v>0</v>
      </c>
      <c r="CF138" s="25">
        <f t="shared" ca="1" si="327"/>
        <v>0</v>
      </c>
      <c r="CG138" s="25">
        <f t="shared" ca="1" si="327"/>
        <v>0</v>
      </c>
      <c r="CH138" s="25">
        <f t="shared" ca="1" si="327"/>
        <v>0</v>
      </c>
      <c r="CI138" s="25">
        <f t="shared" ca="1" si="327"/>
        <v>0</v>
      </c>
      <c r="CJ138" s="25">
        <f t="shared" ca="1" si="327"/>
        <v>0</v>
      </c>
      <c r="CK138" s="25">
        <f t="shared" ca="1" si="327"/>
        <v>0</v>
      </c>
      <c r="CL138" s="25">
        <f t="shared" ca="1" si="327"/>
        <v>0</v>
      </c>
      <c r="CM138" s="25">
        <f t="shared" ca="1" si="327"/>
        <v>0</v>
      </c>
      <c r="CN138" s="25">
        <f ca="1">TotalEmissions!K21</f>
        <v>0</v>
      </c>
    </row>
    <row r="139" spans="1:164" x14ac:dyDescent="0.2">
      <c r="A139" s="25" t="str">
        <f>TotalEmissions!A28</f>
        <v>Net emissions (CO2 + other gases)</v>
      </c>
      <c r="B139" s="25">
        <f ca="1">TotalEmissions!B28</f>
        <v>49.203953937660756</v>
      </c>
      <c r="C139" s="25">
        <f t="shared" ref="C139:K139" ca="1" si="328">B139+(($L139-$B139)/($L$75-$B$75))</f>
        <v>48.916421415045903</v>
      </c>
      <c r="D139" s="25">
        <f t="shared" ca="1" si="328"/>
        <v>48.62888889243105</v>
      </c>
      <c r="E139" s="25">
        <f t="shared" ca="1" si="328"/>
        <v>48.341356369816197</v>
      </c>
      <c r="F139" s="25">
        <f t="shared" ca="1" si="328"/>
        <v>48.053823847201343</v>
      </c>
      <c r="G139" s="25">
        <f t="shared" ca="1" si="328"/>
        <v>47.76629132458649</v>
      </c>
      <c r="H139" s="25">
        <f t="shared" ca="1" si="328"/>
        <v>47.478758801971637</v>
      </c>
      <c r="I139" s="25">
        <f t="shared" ca="1" si="328"/>
        <v>47.191226279356783</v>
      </c>
      <c r="J139" s="25">
        <f t="shared" ca="1" si="328"/>
        <v>46.90369375674193</v>
      </c>
      <c r="K139" s="25">
        <f t="shared" ca="1" si="328"/>
        <v>46.616161234127077</v>
      </c>
      <c r="L139" s="25">
        <f ca="1">TotalEmissions!C28</f>
        <v>46.328628711512245</v>
      </c>
      <c r="M139" s="25">
        <f t="shared" ref="M139:U139" ca="1" si="329">L139+(($V139-$L139)/($V$75-$L$75))</f>
        <v>44.313831143132958</v>
      </c>
      <c r="N139" s="25">
        <f t="shared" ca="1" si="329"/>
        <v>42.299033574753672</v>
      </c>
      <c r="O139" s="25">
        <f t="shared" ca="1" si="329"/>
        <v>40.284236006374385</v>
      </c>
      <c r="P139" s="25">
        <f t="shared" ca="1" si="329"/>
        <v>38.269438437995099</v>
      </c>
      <c r="Q139" s="25">
        <f t="shared" ca="1" si="329"/>
        <v>36.254640869615812</v>
      </c>
      <c r="R139" s="25">
        <f t="shared" ca="1" si="329"/>
        <v>34.239843301236526</v>
      </c>
      <c r="S139" s="25">
        <f t="shared" ca="1" si="329"/>
        <v>32.225045732857239</v>
      </c>
      <c r="T139" s="25">
        <f t="shared" ca="1" si="329"/>
        <v>30.210248164477949</v>
      </c>
      <c r="U139" s="25">
        <f t="shared" ca="1" si="329"/>
        <v>28.195450596098659</v>
      </c>
      <c r="V139" s="25">
        <f ca="1">TotalEmissions!D28</f>
        <v>26.180653027719355</v>
      </c>
      <c r="W139" s="25">
        <f t="shared" ref="W139:AE139" ca="1" si="330">V139+(($AF139-$V139)/($AF$75-$V$75))</f>
        <v>24.622353300863871</v>
      </c>
      <c r="X139" s="25">
        <f t="shared" ca="1" si="330"/>
        <v>23.064053574008383</v>
      </c>
      <c r="Y139" s="25">
        <f t="shared" ca="1" si="330"/>
        <v>21.505753847152896</v>
      </c>
      <c r="Z139" s="25">
        <f t="shared" ca="1" si="330"/>
        <v>19.947454120297408</v>
      </c>
      <c r="AA139" s="25">
        <f t="shared" ca="1" si="330"/>
        <v>18.38915439344192</v>
      </c>
      <c r="AB139" s="25">
        <f t="shared" ca="1" si="330"/>
        <v>16.830854666586433</v>
      </c>
      <c r="AC139" s="25">
        <f t="shared" ca="1" si="330"/>
        <v>15.272554939730947</v>
      </c>
      <c r="AD139" s="25">
        <f t="shared" ca="1" si="330"/>
        <v>13.714255212875461</v>
      </c>
      <c r="AE139" s="25">
        <f t="shared" ca="1" si="330"/>
        <v>12.155955486019975</v>
      </c>
      <c r="AF139" s="25">
        <f ca="1">TotalEmissions!E28</f>
        <v>10.597655759164496</v>
      </c>
      <c r="AG139" s="25">
        <f t="shared" ref="AG139:AO139" ca="1" si="331">AF139+(($AP139-$AF139)/($AP$75-$AF$75))</f>
        <v>9.7573756155231557</v>
      </c>
      <c r="AH139" s="25">
        <f t="shared" ca="1" si="331"/>
        <v>8.9170954718818152</v>
      </c>
      <c r="AI139" s="25">
        <f t="shared" ca="1" si="331"/>
        <v>8.0768153282404747</v>
      </c>
      <c r="AJ139" s="25">
        <f t="shared" ca="1" si="331"/>
        <v>7.2365351845991333</v>
      </c>
      <c r="AK139" s="25">
        <f t="shared" ca="1" si="331"/>
        <v>6.3962550409577918</v>
      </c>
      <c r="AL139" s="25">
        <f t="shared" ca="1" si="331"/>
        <v>5.5559748973164504</v>
      </c>
      <c r="AM139" s="25">
        <f t="shared" ca="1" si="331"/>
        <v>4.715694753675109</v>
      </c>
      <c r="AN139" s="25">
        <f t="shared" ca="1" si="331"/>
        <v>3.8754146100337676</v>
      </c>
      <c r="AO139" s="25">
        <f t="shared" ca="1" si="331"/>
        <v>3.0351344663924262</v>
      </c>
      <c r="AP139" s="25">
        <f ca="1">TotalEmissions!F28</f>
        <v>2.1948543227510839</v>
      </c>
      <c r="AQ139" s="25">
        <f t="shared" ref="AQ139:AY139" ca="1" si="332">AP139+(($AZ139-$AP139)/($AZ$75-$AP$75))</f>
        <v>2.0231838275858349</v>
      </c>
      <c r="AR139" s="25">
        <f t="shared" ca="1" si="332"/>
        <v>1.8515133324205857</v>
      </c>
      <c r="AS139" s="25">
        <f t="shared" ca="1" si="332"/>
        <v>1.6798428372553365</v>
      </c>
      <c r="AT139" s="25">
        <f t="shared" ca="1" si="332"/>
        <v>1.5081723420900872</v>
      </c>
      <c r="AU139" s="25">
        <f t="shared" ca="1" si="332"/>
        <v>1.336501846924838</v>
      </c>
      <c r="AV139" s="25">
        <f t="shared" ca="1" si="332"/>
        <v>1.1648313517595887</v>
      </c>
      <c r="AW139" s="25">
        <f t="shared" ca="1" si="332"/>
        <v>0.99316085659433961</v>
      </c>
      <c r="AX139" s="25">
        <f t="shared" ca="1" si="332"/>
        <v>0.82149036142909049</v>
      </c>
      <c r="AY139" s="25">
        <f t="shared" ca="1" si="332"/>
        <v>0.64981986626384136</v>
      </c>
      <c r="AZ139" s="25">
        <f ca="1">TotalEmissions!G28</f>
        <v>0.47814937109859246</v>
      </c>
      <c r="BA139" s="25">
        <f t="shared" ref="BA139:BI139" ca="1" si="333">AZ139+(($BJ139-$AZ139)/($BJ$75-$AZ$75))</f>
        <v>0.38482695249873056</v>
      </c>
      <c r="BB139" s="25">
        <f t="shared" ca="1" si="333"/>
        <v>0.29150453389886866</v>
      </c>
      <c r="BC139" s="25">
        <f t="shared" ca="1" si="333"/>
        <v>0.19818211529900678</v>
      </c>
      <c r="BD139" s="25">
        <f t="shared" ca="1" si="333"/>
        <v>0.10485969669914491</v>
      </c>
      <c r="BE139" s="25">
        <f t="shared" ca="1" si="333"/>
        <v>1.1537278099283038E-2</v>
      </c>
      <c r="BF139" s="25">
        <f t="shared" ca="1" si="333"/>
        <v>-8.1785140500578835E-2</v>
      </c>
      <c r="BG139" s="25">
        <f t="shared" ca="1" si="333"/>
        <v>-0.17510755910044071</v>
      </c>
      <c r="BH139" s="25">
        <f t="shared" ca="1" si="333"/>
        <v>-0.26842997770030258</v>
      </c>
      <c r="BI139" s="25">
        <f t="shared" ca="1" si="333"/>
        <v>-0.36175239630016442</v>
      </c>
      <c r="BJ139" s="25">
        <f ca="1">TotalEmissions!H28</f>
        <v>-0.45507481490002633</v>
      </c>
      <c r="BK139" s="25">
        <f t="shared" ref="BK139:BS139" ca="1" si="334">BJ139+(($BT139-$BJ139)/($BT$75-$BJ$75))</f>
        <v>-0.34806882245183546</v>
      </c>
      <c r="BL139" s="25">
        <f t="shared" ca="1" si="334"/>
        <v>-0.24106283000364456</v>
      </c>
      <c r="BM139" s="25">
        <f t="shared" ca="1" si="334"/>
        <v>-0.13405683755545367</v>
      </c>
      <c r="BN139" s="25">
        <f t="shared" ca="1" si="334"/>
        <v>-2.7050845107262772E-2</v>
      </c>
      <c r="BO139" s="25">
        <f t="shared" ca="1" si="334"/>
        <v>7.9955147340928123E-2</v>
      </c>
      <c r="BP139" s="25">
        <f t="shared" ca="1" si="334"/>
        <v>0.18696113978911902</v>
      </c>
      <c r="BQ139" s="25">
        <f t="shared" ca="1" si="334"/>
        <v>0.29396713223730991</v>
      </c>
      <c r="BR139" s="25">
        <f t="shared" ca="1" si="334"/>
        <v>0.40097312468550084</v>
      </c>
      <c r="BS139" s="25">
        <f t="shared" ca="1" si="334"/>
        <v>0.5079791171336917</v>
      </c>
      <c r="BT139" s="25">
        <f ca="1">TotalEmissions!I28</f>
        <v>0.61498510958188257</v>
      </c>
      <c r="BU139" s="25">
        <f t="shared" ref="BU139:CC139" ca="1" si="335">BT139+(($CD139-$BT139)/($CD$75-$BT$75))</f>
        <v>0.7684603550229574</v>
      </c>
      <c r="BV139" s="25">
        <f t="shared" ca="1" si="335"/>
        <v>0.92193560046403222</v>
      </c>
      <c r="BW139" s="25">
        <f t="shared" ca="1" si="335"/>
        <v>1.075410845905107</v>
      </c>
      <c r="BX139" s="25">
        <f t="shared" ca="1" si="335"/>
        <v>1.2288860913461819</v>
      </c>
      <c r="BY139" s="25">
        <f t="shared" ca="1" si="335"/>
        <v>1.3823613367872567</v>
      </c>
      <c r="BZ139" s="25">
        <f t="shared" ca="1" si="335"/>
        <v>1.5358365822283315</v>
      </c>
      <c r="CA139" s="25">
        <f t="shared" ca="1" si="335"/>
        <v>1.6893118276694064</v>
      </c>
      <c r="CB139" s="25">
        <f t="shared" ca="1" si="335"/>
        <v>1.8427870731104812</v>
      </c>
      <c r="CC139" s="25">
        <f t="shared" ca="1" si="335"/>
        <v>1.996262318551556</v>
      </c>
      <c r="CD139" s="25">
        <f ca="1">TotalEmissions!J28</f>
        <v>2.1497375639926304</v>
      </c>
      <c r="CE139" s="25">
        <f t="shared" ref="CE139:CM139" ca="1" si="336">CD139+(($CN139-$CD139)/($CN$75-$CD$75))</f>
        <v>2.2818390724974611</v>
      </c>
      <c r="CF139" s="25">
        <f t="shared" ca="1" si="336"/>
        <v>2.4139405810022918</v>
      </c>
      <c r="CG139" s="25">
        <f t="shared" ca="1" si="336"/>
        <v>2.5460420895071225</v>
      </c>
      <c r="CH139" s="25">
        <f t="shared" ca="1" si="336"/>
        <v>2.6781435980119532</v>
      </c>
      <c r="CI139" s="25">
        <f t="shared" ca="1" si="336"/>
        <v>2.8102451065167839</v>
      </c>
      <c r="CJ139" s="25">
        <f t="shared" ca="1" si="336"/>
        <v>2.9423466150216147</v>
      </c>
      <c r="CK139" s="25">
        <f t="shared" ca="1" si="336"/>
        <v>3.0744481235264454</v>
      </c>
      <c r="CL139" s="25">
        <f t="shared" ca="1" si="336"/>
        <v>3.2065496320312761</v>
      </c>
      <c r="CM139" s="25">
        <f t="shared" ca="1" si="336"/>
        <v>3.3386511405361068</v>
      </c>
      <c r="CN139" s="25">
        <f ca="1">TotalEmissions!K28</f>
        <v>3.4707526490409357</v>
      </c>
    </row>
    <row r="140" spans="1:164" x14ac:dyDescent="0.2">
      <c r="A140" s="209" t="s">
        <v>277</v>
      </c>
      <c r="B140" s="25">
        <f ca="1">B139+B135+B136+B137+B138</f>
        <v>49.203953937660756</v>
      </c>
      <c r="C140" s="25">
        <f t="shared" ref="C140:BN140" ca="1" si="337">C139+C135+C136+C137+C138</f>
        <v>48.921401670944796</v>
      </c>
      <c r="D140" s="25">
        <f t="shared" ca="1" si="337"/>
        <v>48.638849404228829</v>
      </c>
      <c r="E140" s="25">
        <f t="shared" ca="1" si="337"/>
        <v>48.356297137512868</v>
      </c>
      <c r="F140" s="25">
        <f t="shared" ca="1" si="337"/>
        <v>48.073744870796901</v>
      </c>
      <c r="G140" s="25">
        <f t="shared" ca="1" si="337"/>
        <v>47.79119260408094</v>
      </c>
      <c r="H140" s="25">
        <f t="shared" ca="1" si="337"/>
        <v>47.508640337364973</v>
      </c>
      <c r="I140" s="25">
        <f t="shared" ca="1" si="337"/>
        <v>47.226088070649013</v>
      </c>
      <c r="J140" s="25">
        <f t="shared" ca="1" si="337"/>
        <v>46.943535803933045</v>
      </c>
      <c r="K140" s="25">
        <f t="shared" ca="1" si="337"/>
        <v>46.660983537217085</v>
      </c>
      <c r="L140" s="25">
        <f t="shared" ca="1" si="337"/>
        <v>46.378431270501139</v>
      </c>
      <c r="M140" s="25">
        <f t="shared" ca="1" si="337"/>
        <v>44.555196838980926</v>
      </c>
      <c r="N140" s="25">
        <f t="shared" ca="1" si="337"/>
        <v>42.731962407460699</v>
      </c>
      <c r="O140" s="25">
        <f t="shared" ca="1" si="337"/>
        <v>40.908727975940486</v>
      </c>
      <c r="P140" s="25">
        <f t="shared" ca="1" si="337"/>
        <v>39.085493544420267</v>
      </c>
      <c r="Q140" s="25">
        <f t="shared" ca="1" si="337"/>
        <v>37.262259112900047</v>
      </c>
      <c r="R140" s="25">
        <f t="shared" ca="1" si="337"/>
        <v>35.439024681379827</v>
      </c>
      <c r="S140" s="25">
        <f t="shared" ca="1" si="337"/>
        <v>33.615790249859607</v>
      </c>
      <c r="T140" s="25">
        <f t="shared" ca="1" si="337"/>
        <v>31.792555818339391</v>
      </c>
      <c r="U140" s="25">
        <f t="shared" ca="1" si="337"/>
        <v>29.969321386819168</v>
      </c>
      <c r="V140" s="25">
        <f t="shared" ca="1" si="337"/>
        <v>28.146086955298934</v>
      </c>
      <c r="W140" s="25">
        <f t="shared" ca="1" si="337"/>
        <v>26.778533134127496</v>
      </c>
      <c r="X140" s="25">
        <f t="shared" ca="1" si="337"/>
        <v>25.410979312956062</v>
      </c>
      <c r="Y140" s="25">
        <f t="shared" ca="1" si="337"/>
        <v>24.043425491784625</v>
      </c>
      <c r="Z140" s="25">
        <f t="shared" ca="1" si="337"/>
        <v>22.675871670613187</v>
      </c>
      <c r="AA140" s="25">
        <f t="shared" ca="1" si="337"/>
        <v>21.308317849441753</v>
      </c>
      <c r="AB140" s="25">
        <f t="shared" ca="1" si="337"/>
        <v>19.940764028270319</v>
      </c>
      <c r="AC140" s="25">
        <f t="shared" ca="1" si="337"/>
        <v>18.573210207098878</v>
      </c>
      <c r="AD140" s="25">
        <f t="shared" ca="1" si="337"/>
        <v>17.205656385927444</v>
      </c>
      <c r="AE140" s="25">
        <f t="shared" ca="1" si="337"/>
        <v>15.838102564756012</v>
      </c>
      <c r="AF140" s="25">
        <f t="shared" ca="1" si="337"/>
        <v>14.470548743584583</v>
      </c>
      <c r="AG140" s="25">
        <f t="shared" ca="1" si="337"/>
        <v>13.685134390688534</v>
      </c>
      <c r="AH140" s="25">
        <f t="shared" ca="1" si="337"/>
        <v>12.899720037792486</v>
      </c>
      <c r="AI140" s="25">
        <f t="shared" ca="1" si="337"/>
        <v>12.114305684896435</v>
      </c>
      <c r="AJ140" s="25">
        <f t="shared" ca="1" si="337"/>
        <v>11.328891332000387</v>
      </c>
      <c r="AK140" s="25">
        <f t="shared" ca="1" si="337"/>
        <v>10.543476979104334</v>
      </c>
      <c r="AL140" s="25">
        <f t="shared" ca="1" si="337"/>
        <v>9.7580626262082824</v>
      </c>
      <c r="AM140" s="25">
        <f t="shared" ca="1" si="337"/>
        <v>8.9726482733122346</v>
      </c>
      <c r="AN140" s="25">
        <f t="shared" ca="1" si="337"/>
        <v>8.1872339204161833</v>
      </c>
      <c r="AO140" s="25">
        <f t="shared" ca="1" si="337"/>
        <v>7.4018195675201328</v>
      </c>
      <c r="AP140" s="25">
        <f t="shared" ca="1" si="337"/>
        <v>6.6164052146240815</v>
      </c>
      <c r="AQ140" s="25">
        <f t="shared" ca="1" si="337"/>
        <v>6.558509255238457</v>
      </c>
      <c r="AR140" s="25">
        <f t="shared" ca="1" si="337"/>
        <v>6.5006132958528307</v>
      </c>
      <c r="AS140" s="25">
        <f t="shared" ca="1" si="337"/>
        <v>6.4427173364672035</v>
      </c>
      <c r="AT140" s="25">
        <f t="shared" ca="1" si="337"/>
        <v>6.384821377081578</v>
      </c>
      <c r="AU140" s="25">
        <f t="shared" ca="1" si="337"/>
        <v>6.3269254176959526</v>
      </c>
      <c r="AV140" s="25">
        <f t="shared" ca="1" si="337"/>
        <v>6.2690294583103272</v>
      </c>
      <c r="AW140" s="25">
        <f t="shared" ca="1" si="337"/>
        <v>6.2111334989247009</v>
      </c>
      <c r="AX140" s="25">
        <f t="shared" ca="1" si="337"/>
        <v>6.1532375395390746</v>
      </c>
      <c r="AY140" s="25">
        <f t="shared" ca="1" si="337"/>
        <v>6.0953415801534492</v>
      </c>
      <c r="AZ140" s="25">
        <f t="shared" ca="1" si="337"/>
        <v>6.0374456207678246</v>
      </c>
      <c r="BA140" s="25">
        <f t="shared" ca="1" si="337"/>
        <v>6.153902590495929</v>
      </c>
      <c r="BB140" s="25">
        <f t="shared" ca="1" si="337"/>
        <v>6.2703595602240325</v>
      </c>
      <c r="BC140" s="25">
        <f t="shared" ca="1" si="337"/>
        <v>6.386816529952136</v>
      </c>
      <c r="BD140" s="25">
        <f t="shared" ca="1" si="337"/>
        <v>6.5032734996802404</v>
      </c>
      <c r="BE140" s="25">
        <f t="shared" ca="1" si="337"/>
        <v>6.6197304694083439</v>
      </c>
      <c r="BF140" s="25">
        <f t="shared" ca="1" si="337"/>
        <v>6.7361874391364474</v>
      </c>
      <c r="BG140" s="25">
        <f t="shared" ca="1" si="337"/>
        <v>6.8526444088645535</v>
      </c>
      <c r="BH140" s="25">
        <f t="shared" ca="1" si="337"/>
        <v>6.969101378592657</v>
      </c>
      <c r="BI140" s="25">
        <f t="shared" ca="1" si="337"/>
        <v>7.0855583483207605</v>
      </c>
      <c r="BJ140" s="25">
        <f t="shared" ca="1" si="337"/>
        <v>7.2020153180488604</v>
      </c>
      <c r="BK140" s="25">
        <f t="shared" ca="1" si="337"/>
        <v>7.3370938950222691</v>
      </c>
      <c r="BL140" s="25">
        <f t="shared" ca="1" si="337"/>
        <v>7.4721724719956768</v>
      </c>
      <c r="BM140" s="25">
        <f t="shared" ca="1" si="337"/>
        <v>7.6072510489690854</v>
      </c>
      <c r="BN140" s="25">
        <f t="shared" ca="1" si="337"/>
        <v>7.7423296259424932</v>
      </c>
      <c r="BO140" s="25">
        <f t="shared" ref="BO140:CN140" ca="1" si="338">BO139+BO135+BO136+BO137+BO138</f>
        <v>7.8774082029159</v>
      </c>
      <c r="BP140" s="25">
        <f t="shared" ca="1" si="338"/>
        <v>8.0124867798893078</v>
      </c>
      <c r="BQ140" s="25">
        <f t="shared" ca="1" si="338"/>
        <v>8.1475653568627173</v>
      </c>
      <c r="BR140" s="25">
        <f t="shared" ca="1" si="338"/>
        <v>8.2826439338361251</v>
      </c>
      <c r="BS140" s="25">
        <f t="shared" ca="1" si="338"/>
        <v>8.4177225108095328</v>
      </c>
      <c r="BT140" s="25">
        <f t="shared" ca="1" si="338"/>
        <v>8.5528010877829406</v>
      </c>
      <c r="BU140" s="25">
        <f t="shared" ca="1" si="338"/>
        <v>8.6290101300956135</v>
      </c>
      <c r="BV140" s="25">
        <f t="shared" ca="1" si="338"/>
        <v>8.7052191724082846</v>
      </c>
      <c r="BW140" s="25">
        <f t="shared" ca="1" si="338"/>
        <v>8.7814282147209557</v>
      </c>
      <c r="BX140" s="25">
        <f t="shared" ca="1" si="338"/>
        <v>8.8576372570336286</v>
      </c>
      <c r="BY140" s="25">
        <f t="shared" ca="1" si="338"/>
        <v>8.9338462993463015</v>
      </c>
      <c r="BZ140" s="25">
        <f t="shared" ca="1" si="338"/>
        <v>9.0100553416589726</v>
      </c>
      <c r="CA140" s="25">
        <f t="shared" ca="1" si="338"/>
        <v>9.0862643839716437</v>
      </c>
      <c r="CB140" s="25">
        <f t="shared" ca="1" si="338"/>
        <v>9.1624734262843166</v>
      </c>
      <c r="CC140" s="25">
        <f t="shared" ca="1" si="338"/>
        <v>9.2386824685969895</v>
      </c>
      <c r="CD140" s="25">
        <f t="shared" ca="1" si="338"/>
        <v>9.3148915109096606</v>
      </c>
      <c r="CE140" s="25">
        <f t="shared" ca="1" si="338"/>
        <v>9.4149860688970008</v>
      </c>
      <c r="CF140" s="25">
        <f t="shared" ca="1" si="338"/>
        <v>9.5150806268843429</v>
      </c>
      <c r="CG140" s="25">
        <f t="shared" ca="1" si="338"/>
        <v>9.6151751848716831</v>
      </c>
      <c r="CH140" s="25">
        <f t="shared" ca="1" si="338"/>
        <v>9.7152697428590233</v>
      </c>
      <c r="CI140" s="25">
        <f t="shared" ca="1" si="338"/>
        <v>9.8153643008463636</v>
      </c>
      <c r="CJ140" s="25">
        <f t="shared" ca="1" si="338"/>
        <v>9.9154588588337056</v>
      </c>
      <c r="CK140" s="25">
        <f t="shared" ca="1" si="338"/>
        <v>10.015553416821044</v>
      </c>
      <c r="CL140" s="25">
        <f t="shared" ca="1" si="338"/>
        <v>10.115647974808384</v>
      </c>
      <c r="CM140" s="25">
        <f t="shared" ca="1" si="338"/>
        <v>10.215742532795726</v>
      </c>
      <c r="CN140" s="25">
        <f t="shared" ca="1" si="338"/>
        <v>10.315837090783063</v>
      </c>
    </row>
    <row r="141" spans="1:164" x14ac:dyDescent="0.2">
      <c r="A141" t="s">
        <v>234</v>
      </c>
      <c r="B141" s="25">
        <f t="shared" ref="B141:AG141" ca="1" si="339">B99+SUM(B102:B107)+SUM(B108:B110)</f>
        <v>49.16381128197731</v>
      </c>
      <c r="C141" s="25">
        <f t="shared" ca="1" si="339"/>
        <v>48.885273280829701</v>
      </c>
      <c r="D141" s="25">
        <f ca="1">D99+SUM(D102:D107)+SUM(D108:D110)</f>
        <v>48.606735279682077</v>
      </c>
      <c r="E141" s="25">
        <f t="shared" ca="1" si="339"/>
        <v>48.328197278534454</v>
      </c>
      <c r="F141" s="25">
        <f t="shared" ca="1" si="339"/>
        <v>48.049659277386837</v>
      </c>
      <c r="G141" s="25">
        <f t="shared" ca="1" si="339"/>
        <v>47.771121276239214</v>
      </c>
      <c r="H141" s="25">
        <f t="shared" ca="1" si="339"/>
        <v>47.492583275091597</v>
      </c>
      <c r="I141" s="25">
        <f t="shared" ca="1" si="339"/>
        <v>47.214045273943974</v>
      </c>
      <c r="J141" s="25">
        <f t="shared" ca="1" si="339"/>
        <v>46.935507272796357</v>
      </c>
      <c r="K141" s="25">
        <f t="shared" ca="1" si="339"/>
        <v>46.656969271648734</v>
      </c>
      <c r="L141" s="25">
        <f t="shared" ca="1" si="339"/>
        <v>46.378431270501125</v>
      </c>
      <c r="M141" s="25">
        <f t="shared" ca="1" si="339"/>
        <v>44.555196838980905</v>
      </c>
      <c r="N141" s="25">
        <f t="shared" ca="1" si="339"/>
        <v>42.731962407460685</v>
      </c>
      <c r="O141" s="25">
        <f t="shared" ca="1" si="339"/>
        <v>40.908727975940465</v>
      </c>
      <c r="P141" s="25">
        <f t="shared" ca="1" si="339"/>
        <v>39.085493544420238</v>
      </c>
      <c r="Q141" s="25">
        <f t="shared" ca="1" si="339"/>
        <v>37.262259112900011</v>
      </c>
      <c r="R141" s="25">
        <f t="shared" ca="1" si="339"/>
        <v>35.439024681379792</v>
      </c>
      <c r="S141" s="25">
        <f t="shared" ca="1" si="339"/>
        <v>33.615790249859572</v>
      </c>
      <c r="T141" s="25">
        <f t="shared" ca="1" si="339"/>
        <v>31.792555818339359</v>
      </c>
      <c r="U141" s="25">
        <f t="shared" ca="1" si="339"/>
        <v>29.969321386819139</v>
      </c>
      <c r="V141" s="25">
        <f t="shared" ca="1" si="339"/>
        <v>28.146086955298927</v>
      </c>
      <c r="W141" s="25">
        <f t="shared" ca="1" si="339"/>
        <v>26.7785331341275</v>
      </c>
      <c r="X141" s="25">
        <f t="shared" ca="1" si="339"/>
        <v>25.410979312956066</v>
      </c>
      <c r="Y141" s="25">
        <f t="shared" ca="1" si="339"/>
        <v>24.043425491784639</v>
      </c>
      <c r="Z141" s="25">
        <f t="shared" ca="1" si="339"/>
        <v>22.675871670613205</v>
      </c>
      <c r="AA141" s="25">
        <f t="shared" ca="1" si="339"/>
        <v>21.308317849441771</v>
      </c>
      <c r="AB141" s="25">
        <f t="shared" ca="1" si="339"/>
        <v>19.940764028270344</v>
      </c>
      <c r="AC141" s="25">
        <f t="shared" ca="1" si="339"/>
        <v>18.573210207098903</v>
      </c>
      <c r="AD141" s="25">
        <f t="shared" ca="1" si="339"/>
        <v>17.205656385927483</v>
      </c>
      <c r="AE141" s="25">
        <f t="shared" ca="1" si="339"/>
        <v>15.838102564756049</v>
      </c>
      <c r="AF141" s="25">
        <f t="shared" ca="1" si="339"/>
        <v>14.470548743584583</v>
      </c>
      <c r="AG141" s="25">
        <f t="shared" ca="1" si="339"/>
        <v>13.685134390688535</v>
      </c>
      <c r="AH141" s="25">
        <f t="shared" ref="AH141:BM141" ca="1" si="340">AH99+SUM(AH102:AH107)+SUM(AH108:AH110)</f>
        <v>12.899720037792481</v>
      </c>
      <c r="AI141" s="25">
        <f t="shared" ca="1" si="340"/>
        <v>12.114305684896433</v>
      </c>
      <c r="AJ141" s="25">
        <f t="shared" ca="1" si="340"/>
        <v>11.328891332000389</v>
      </c>
      <c r="AK141" s="25">
        <f t="shared" ca="1" si="340"/>
        <v>10.543476979104334</v>
      </c>
      <c r="AL141" s="25">
        <f t="shared" ca="1" si="340"/>
        <v>9.7580626262082859</v>
      </c>
      <c r="AM141" s="25">
        <f t="shared" ca="1" si="340"/>
        <v>8.972648273312231</v>
      </c>
      <c r="AN141" s="25">
        <f t="shared" ca="1" si="340"/>
        <v>8.1872339204161904</v>
      </c>
      <c r="AO141" s="25">
        <f t="shared" ca="1" si="340"/>
        <v>7.4018195675201426</v>
      </c>
      <c r="AP141" s="25">
        <f t="shared" ca="1" si="340"/>
        <v>6.6164052146240948</v>
      </c>
      <c r="AQ141" s="25">
        <f t="shared" ca="1" si="340"/>
        <v>6.5585092552384658</v>
      </c>
      <c r="AR141" s="25">
        <f t="shared" ca="1" si="340"/>
        <v>6.5006132958528475</v>
      </c>
      <c r="AS141" s="25">
        <f t="shared" ca="1" si="340"/>
        <v>6.4427173364672292</v>
      </c>
      <c r="AT141" s="25">
        <f t="shared" ca="1" si="340"/>
        <v>6.3848213770816109</v>
      </c>
      <c r="AU141" s="25">
        <f t="shared" ca="1" si="340"/>
        <v>6.326925417695989</v>
      </c>
      <c r="AV141" s="25">
        <f t="shared" ca="1" si="340"/>
        <v>6.2690294583103778</v>
      </c>
      <c r="AW141" s="25">
        <f t="shared" ca="1" si="340"/>
        <v>6.2111334989247524</v>
      </c>
      <c r="AX141" s="25">
        <f t="shared" ca="1" si="340"/>
        <v>6.1532375395391377</v>
      </c>
      <c r="AY141" s="25">
        <f t="shared" ca="1" si="340"/>
        <v>6.0953415801535229</v>
      </c>
      <c r="AZ141" s="25">
        <f t="shared" ca="1" si="340"/>
        <v>6.0374456207678335</v>
      </c>
      <c r="BA141" s="25">
        <f t="shared" ca="1" si="340"/>
        <v>6.1539025904959317</v>
      </c>
      <c r="BB141" s="25">
        <f t="shared" ca="1" si="340"/>
        <v>6.2703595602240334</v>
      </c>
      <c r="BC141" s="25">
        <f t="shared" ca="1" si="340"/>
        <v>6.3868165299521245</v>
      </c>
      <c r="BD141" s="25">
        <f t="shared" ca="1" si="340"/>
        <v>6.5032734996802262</v>
      </c>
      <c r="BE141" s="25">
        <f t="shared" ca="1" si="340"/>
        <v>6.6197304694083172</v>
      </c>
      <c r="BF141" s="25">
        <f t="shared" ca="1" si="340"/>
        <v>6.7361874391364154</v>
      </c>
      <c r="BG141" s="25">
        <f t="shared" ca="1" si="340"/>
        <v>6.8526444088645171</v>
      </c>
      <c r="BH141" s="25">
        <f t="shared" ca="1" si="340"/>
        <v>6.9691013785926188</v>
      </c>
      <c r="BI141" s="25">
        <f t="shared" ca="1" si="340"/>
        <v>7.0855583483207099</v>
      </c>
      <c r="BJ141" s="25">
        <f t="shared" ca="1" si="340"/>
        <v>7.2020153180488364</v>
      </c>
      <c r="BK141" s="25">
        <f t="shared" ca="1" si="340"/>
        <v>7.3370938950222602</v>
      </c>
      <c r="BL141" s="25">
        <f t="shared" ca="1" si="340"/>
        <v>7.4721724719956697</v>
      </c>
      <c r="BM141" s="25">
        <f t="shared" ca="1" si="340"/>
        <v>7.6072510489690899</v>
      </c>
      <c r="BN141" s="25">
        <f t="shared" ref="BN141:CN141" ca="1" si="341">BN99+SUM(BN102:BN107)+SUM(BN108:BN110)</f>
        <v>7.742329625942503</v>
      </c>
      <c r="BO141" s="25">
        <f t="shared" ca="1" si="341"/>
        <v>7.8774082029159196</v>
      </c>
      <c r="BP141" s="25">
        <f t="shared" ca="1" si="341"/>
        <v>8.0124867798893433</v>
      </c>
      <c r="BQ141" s="25">
        <f t="shared" ca="1" si="341"/>
        <v>8.1475653568627493</v>
      </c>
      <c r="BR141" s="25">
        <f t="shared" ca="1" si="341"/>
        <v>8.2826439338361659</v>
      </c>
      <c r="BS141" s="25">
        <f t="shared" ca="1" si="341"/>
        <v>8.4177225108095861</v>
      </c>
      <c r="BT141" s="25">
        <f t="shared" ca="1" si="341"/>
        <v>8.5528010877829566</v>
      </c>
      <c r="BU141" s="25">
        <f t="shared" ca="1" si="341"/>
        <v>8.6290101300956152</v>
      </c>
      <c r="BV141" s="25">
        <f t="shared" ca="1" si="341"/>
        <v>8.7052191724082917</v>
      </c>
      <c r="BW141" s="25">
        <f t="shared" ca="1" si="341"/>
        <v>8.7814282147209539</v>
      </c>
      <c r="BX141" s="25">
        <f t="shared" ca="1" si="341"/>
        <v>8.8576372570336233</v>
      </c>
      <c r="BY141" s="25">
        <f t="shared" ca="1" si="341"/>
        <v>8.9338462993462926</v>
      </c>
      <c r="BZ141" s="25">
        <f t="shared" ca="1" si="341"/>
        <v>9.0100553416589619</v>
      </c>
      <c r="CA141" s="25">
        <f t="shared" ca="1" si="341"/>
        <v>9.0862643839716242</v>
      </c>
      <c r="CB141" s="25">
        <f t="shared" ca="1" si="341"/>
        <v>9.1624734262843006</v>
      </c>
      <c r="CC141" s="25">
        <f t="shared" ca="1" si="341"/>
        <v>9.2386824685969628</v>
      </c>
      <c r="CD141" s="25">
        <f t="shared" ca="1" si="341"/>
        <v>9.3148915109096535</v>
      </c>
      <c r="CE141" s="25">
        <f t="shared" ca="1" si="341"/>
        <v>9.4149860688969973</v>
      </c>
      <c r="CF141" s="25">
        <f t="shared" ca="1" si="341"/>
        <v>9.5150806268843411</v>
      </c>
      <c r="CG141" s="25">
        <f t="shared" ca="1" si="341"/>
        <v>9.6151751848716742</v>
      </c>
      <c r="CH141" s="25">
        <f t="shared" ca="1" si="341"/>
        <v>9.715269742859018</v>
      </c>
      <c r="CI141" s="25">
        <f t="shared" ca="1" si="341"/>
        <v>9.8153643008463547</v>
      </c>
      <c r="CJ141" s="25">
        <f t="shared" ca="1" si="341"/>
        <v>9.9154588588336949</v>
      </c>
      <c r="CK141" s="25">
        <f t="shared" ca="1" si="341"/>
        <v>10.015553416821039</v>
      </c>
      <c r="CL141" s="25">
        <f t="shared" ca="1" si="341"/>
        <v>10.115647974808368</v>
      </c>
      <c r="CM141" s="25">
        <f t="shared" ca="1" si="341"/>
        <v>10.215742532795723</v>
      </c>
      <c r="CN141" s="25">
        <f t="shared" ca="1" si="341"/>
        <v>10.315837090783042</v>
      </c>
    </row>
    <row r="143" spans="1:164" x14ac:dyDescent="0.2">
      <c r="A143" s="239" t="s">
        <v>275</v>
      </c>
      <c r="B143" s="25">
        <f ca="1">TotalEmissions!B17</f>
        <v>0</v>
      </c>
      <c r="C143" s="25">
        <f t="shared" ref="C143:K143" ca="1" si="342">B143+(($L143-$B143)/($L$75-$B$75))</f>
        <v>3.2833179039359777E-3</v>
      </c>
      <c r="D143" s="25">
        <f t="shared" ca="1" si="342"/>
        <v>6.5666358078719555E-3</v>
      </c>
      <c r="E143" s="25">
        <f t="shared" ca="1" si="342"/>
        <v>9.8499537118079336E-3</v>
      </c>
      <c r="F143" s="25">
        <f t="shared" ca="1" si="342"/>
        <v>1.3133271615743911E-2</v>
      </c>
      <c r="G143" s="25">
        <f t="shared" ca="1" si="342"/>
        <v>1.6416589519679888E-2</v>
      </c>
      <c r="H143" s="25">
        <f t="shared" ca="1" si="342"/>
        <v>1.9699907423615867E-2</v>
      </c>
      <c r="I143" s="25">
        <f t="shared" ca="1" si="342"/>
        <v>2.2983225327551846E-2</v>
      </c>
      <c r="J143" s="25">
        <f t="shared" ca="1" si="342"/>
        <v>2.6266543231487825E-2</v>
      </c>
      <c r="K143" s="25">
        <f t="shared" ca="1" si="342"/>
        <v>2.9549861135423804E-2</v>
      </c>
      <c r="L143" s="25">
        <f ca="1">TotalEmissions!C17</f>
        <v>3.2833179039359776E-2</v>
      </c>
      <c r="M143" s="25">
        <f t="shared" ref="M143:U143" ca="1" si="343">L143+(($V143-$L143)/($V$75-$L$75))</f>
        <v>0.15389061006498181</v>
      </c>
      <c r="N143" s="25">
        <f t="shared" ca="1" si="343"/>
        <v>0.27494804109060383</v>
      </c>
      <c r="O143" s="25">
        <f t="shared" ca="1" si="343"/>
        <v>0.39600547211622583</v>
      </c>
      <c r="P143" s="25">
        <f t="shared" ca="1" si="343"/>
        <v>0.51706290314184788</v>
      </c>
      <c r="Q143" s="25">
        <f t="shared" ca="1" si="343"/>
        <v>0.63812033416746994</v>
      </c>
      <c r="R143" s="25">
        <f t="shared" ca="1" si="343"/>
        <v>0.75917776519309199</v>
      </c>
      <c r="S143" s="25">
        <f t="shared" ca="1" si="343"/>
        <v>0.88023519621871404</v>
      </c>
      <c r="T143" s="25">
        <f t="shared" ca="1" si="343"/>
        <v>1.0012926272443361</v>
      </c>
      <c r="U143" s="25">
        <f t="shared" ca="1" si="343"/>
        <v>1.1223500582699582</v>
      </c>
      <c r="V143" s="25">
        <f ca="1">TotalEmissions!D17</f>
        <v>1.24340748929558</v>
      </c>
      <c r="W143" s="25">
        <f t="shared" ref="W143:AE143" ca="1" si="344">V143+(($AF143-$V143)/($AF$75-$V$75))</f>
        <v>1.3645991443880121</v>
      </c>
      <c r="X143" s="25">
        <f t="shared" ca="1" si="344"/>
        <v>1.4857907994804442</v>
      </c>
      <c r="Y143" s="25">
        <f t="shared" ca="1" si="344"/>
        <v>1.6069824545728764</v>
      </c>
      <c r="Z143" s="25">
        <f t="shared" ca="1" si="344"/>
        <v>1.7281741096653085</v>
      </c>
      <c r="AA143" s="25">
        <f t="shared" ca="1" si="344"/>
        <v>1.8493657647577406</v>
      </c>
      <c r="AB143" s="25">
        <f t="shared" ca="1" si="344"/>
        <v>1.9705574198501727</v>
      </c>
      <c r="AC143" s="25">
        <f t="shared" ca="1" si="344"/>
        <v>2.0917490749426051</v>
      </c>
      <c r="AD143" s="25">
        <f t="shared" ca="1" si="344"/>
        <v>2.2129407300350374</v>
      </c>
      <c r="AE143" s="25">
        <f t="shared" ca="1" si="344"/>
        <v>2.3341323851274698</v>
      </c>
      <c r="AF143" s="25">
        <f ca="1">TotalEmissions!E17</f>
        <v>2.4553240402199017</v>
      </c>
      <c r="AG143" s="25">
        <f t="shared" ref="AG143:AO143" ca="1" si="345">AF143+(($AP143-$AF143)/($AP$75-$AF$75))</f>
        <v>2.5138224536176432</v>
      </c>
      <c r="AH143" s="25">
        <f t="shared" ca="1" si="345"/>
        <v>2.5723208670153848</v>
      </c>
      <c r="AI143" s="25">
        <f t="shared" ca="1" si="345"/>
        <v>2.6308192804131263</v>
      </c>
      <c r="AJ143" s="25">
        <f t="shared" ca="1" si="345"/>
        <v>2.6893176938108678</v>
      </c>
      <c r="AK143" s="25">
        <f t="shared" ca="1" si="345"/>
        <v>2.7478161072086094</v>
      </c>
      <c r="AL143" s="25">
        <f t="shared" ca="1" si="345"/>
        <v>2.8063145206063509</v>
      </c>
      <c r="AM143" s="25">
        <f t="shared" ca="1" si="345"/>
        <v>2.8648129340040924</v>
      </c>
      <c r="AN143" s="25">
        <f t="shared" ca="1" si="345"/>
        <v>2.923311347401834</v>
      </c>
      <c r="AO143" s="25">
        <f t="shared" ca="1" si="345"/>
        <v>2.9818097607995755</v>
      </c>
      <c r="AP143" s="25">
        <f ca="1">TotalEmissions!F17</f>
        <v>3.0403081741973175</v>
      </c>
      <c r="AQ143" s="25">
        <f t="shared" ref="AQ143:AY143" ca="1" si="346">AP143+(($AZ143-$AP143)/($AZ$75-$AP$75))</f>
        <v>3.1690255139912704</v>
      </c>
      <c r="AR143" s="25">
        <f t="shared" ca="1" si="346"/>
        <v>3.2977428537852234</v>
      </c>
      <c r="AS143" s="25">
        <f t="shared" ca="1" si="346"/>
        <v>3.4264601935791763</v>
      </c>
      <c r="AT143" s="25">
        <f t="shared" ca="1" si="346"/>
        <v>3.5551775333731293</v>
      </c>
      <c r="AU143" s="25">
        <f t="shared" ca="1" si="346"/>
        <v>3.6838948731670822</v>
      </c>
      <c r="AV143" s="25">
        <f t="shared" ca="1" si="346"/>
        <v>3.8126122129610351</v>
      </c>
      <c r="AW143" s="25">
        <f t="shared" ca="1" si="346"/>
        <v>3.9413295527549881</v>
      </c>
      <c r="AX143" s="25">
        <f t="shared" ca="1" si="346"/>
        <v>4.070046892548941</v>
      </c>
      <c r="AY143" s="25">
        <f t="shared" ca="1" si="346"/>
        <v>4.198764232342894</v>
      </c>
      <c r="AZ143" s="25">
        <f ca="1">TotalEmissions!G17</f>
        <v>4.3274815721368487</v>
      </c>
      <c r="BA143" s="25">
        <f t="shared" ref="BA143:BI143" ca="1" si="347">AZ143+(($BJ143-$AZ143)/($BJ$75-$AZ$75))</f>
        <v>4.5167855785512669</v>
      </c>
      <c r="BB143" s="25">
        <f t="shared" ca="1" si="347"/>
        <v>4.7060895849656852</v>
      </c>
      <c r="BC143" s="25">
        <f t="shared" ca="1" si="347"/>
        <v>4.8953935913801034</v>
      </c>
      <c r="BD143" s="25">
        <f t="shared" ca="1" si="347"/>
        <v>5.0846975977945217</v>
      </c>
      <c r="BE143" s="25">
        <f t="shared" ca="1" si="347"/>
        <v>5.2740016042089399</v>
      </c>
      <c r="BF143" s="25">
        <f t="shared" ca="1" si="347"/>
        <v>5.4633056106233582</v>
      </c>
      <c r="BG143" s="25">
        <f t="shared" ca="1" si="347"/>
        <v>5.6526096170377764</v>
      </c>
      <c r="BH143" s="25">
        <f t="shared" ca="1" si="347"/>
        <v>5.8419136234521947</v>
      </c>
      <c r="BI143" s="25">
        <f t="shared" ca="1" si="347"/>
        <v>6.0312176298666129</v>
      </c>
      <c r="BJ143" s="25">
        <f ca="1">TotalEmissions!H17</f>
        <v>6.2205216362810276</v>
      </c>
      <c r="BK143" s="25">
        <f t="shared" ref="BK143:BS143" ca="1" si="348">BJ143+(($BT143-$BJ143)/($BT$75-$BJ$75))</f>
        <v>6.2223435597890226</v>
      </c>
      <c r="BL143" s="25">
        <f t="shared" ca="1" si="348"/>
        <v>6.2241654832970177</v>
      </c>
      <c r="BM143" s="25">
        <f t="shared" ca="1" si="348"/>
        <v>6.2259874068050127</v>
      </c>
      <c r="BN143" s="25">
        <f t="shared" ca="1" si="348"/>
        <v>6.2278093303130078</v>
      </c>
      <c r="BO143" s="25">
        <f t="shared" ca="1" si="348"/>
        <v>6.2296312538210028</v>
      </c>
      <c r="BP143" s="25">
        <f t="shared" ca="1" si="348"/>
        <v>6.2314531773289978</v>
      </c>
      <c r="BQ143" s="25">
        <f t="shared" ca="1" si="348"/>
        <v>6.2332751008369929</v>
      </c>
      <c r="BR143" s="25">
        <f t="shared" ca="1" si="348"/>
        <v>6.2350970243449879</v>
      </c>
      <c r="BS143" s="25">
        <f t="shared" ca="1" si="348"/>
        <v>6.236918947852983</v>
      </c>
      <c r="BT143" s="25">
        <f ca="1">TotalEmissions!I17</f>
        <v>6.2387408713609798</v>
      </c>
      <c r="BU143" s="25">
        <f t="shared" ref="BU143:CC143" ca="1" si="349">BT143+(($CD143-$BT143)/($CD$75-$BT$75))</f>
        <v>6.1770038091309276</v>
      </c>
      <c r="BV143" s="25">
        <f t="shared" ca="1" si="349"/>
        <v>6.1152667469008755</v>
      </c>
      <c r="BW143" s="25">
        <f t="shared" ca="1" si="349"/>
        <v>6.0535296846708233</v>
      </c>
      <c r="BX143" s="25">
        <f t="shared" ca="1" si="349"/>
        <v>5.9917926224407712</v>
      </c>
      <c r="BY143" s="25">
        <f t="shared" ca="1" si="349"/>
        <v>5.930055560210719</v>
      </c>
      <c r="BZ143" s="25">
        <f t="shared" ca="1" si="349"/>
        <v>5.8683184979806668</v>
      </c>
      <c r="CA143" s="25">
        <f t="shared" ca="1" si="349"/>
        <v>5.8065814357506147</v>
      </c>
      <c r="CB143" s="25">
        <f t="shared" ca="1" si="349"/>
        <v>5.7448443735205625</v>
      </c>
      <c r="CC143" s="25">
        <f t="shared" ca="1" si="349"/>
        <v>5.6831073112905104</v>
      </c>
      <c r="CD143" s="25">
        <f ca="1">TotalEmissions!J17</f>
        <v>5.6213702490604573</v>
      </c>
      <c r="CE143" s="25">
        <f t="shared" ref="CE143:CM143" ca="1" si="350">CD143+(($CN143-$CD143)/($CN$75-$CD$75))</f>
        <v>5.6312837980738948</v>
      </c>
      <c r="CF143" s="25">
        <f t="shared" ca="1" si="350"/>
        <v>5.6411973470873322</v>
      </c>
      <c r="CG143" s="25">
        <f t="shared" ca="1" si="350"/>
        <v>5.6511108961007697</v>
      </c>
      <c r="CH143" s="25">
        <f t="shared" ca="1" si="350"/>
        <v>5.6610244451142071</v>
      </c>
      <c r="CI143" s="25">
        <f t="shared" ca="1" si="350"/>
        <v>5.6709379941276445</v>
      </c>
      <c r="CJ143" s="25">
        <f t="shared" ca="1" si="350"/>
        <v>5.680851543141082</v>
      </c>
      <c r="CK143" s="25">
        <f t="shared" ca="1" si="350"/>
        <v>5.6907650921545194</v>
      </c>
      <c r="CL143" s="25">
        <f t="shared" ca="1" si="350"/>
        <v>5.7006786411679569</v>
      </c>
      <c r="CM143" s="25">
        <f t="shared" ca="1" si="350"/>
        <v>5.7105921901813943</v>
      </c>
      <c r="CN143" s="25">
        <f ca="1">TotalEmissions!K17</f>
        <v>5.7205057391948309</v>
      </c>
    </row>
    <row r="144" spans="1:164" x14ac:dyDescent="0.2">
      <c r="A144" s="240" t="s">
        <v>340</v>
      </c>
      <c r="B144" s="25">
        <f ca="1">TotalEmissions!B20</f>
        <v>0</v>
      </c>
      <c r="C144" s="25">
        <f t="shared" ref="C144:K144" ca="1" si="351">B144+(($L144-$B144)/($L$75-$B$75))</f>
        <v>4.838606848404196E-19</v>
      </c>
      <c r="D144" s="25">
        <f t="shared" ca="1" si="351"/>
        <v>9.6772136968083921E-19</v>
      </c>
      <c r="E144" s="25">
        <f t="shared" ca="1" si="351"/>
        <v>1.4515820545212588E-18</v>
      </c>
      <c r="F144" s="25">
        <f t="shared" ca="1" si="351"/>
        <v>1.9354427393616784E-18</v>
      </c>
      <c r="G144" s="25">
        <f t="shared" ca="1" si="351"/>
        <v>2.4193034242020978E-18</v>
      </c>
      <c r="H144" s="25">
        <f t="shared" ca="1" si="351"/>
        <v>2.9031641090425172E-18</v>
      </c>
      <c r="I144" s="25">
        <f t="shared" ca="1" si="351"/>
        <v>3.3870247938829366E-18</v>
      </c>
      <c r="J144" s="25">
        <f t="shared" ca="1" si="351"/>
        <v>3.8708854787233561E-18</v>
      </c>
      <c r="K144" s="25">
        <f t="shared" ca="1" si="351"/>
        <v>4.3547461635637755E-18</v>
      </c>
      <c r="L144" s="25">
        <f ca="1">TotalEmissions!C20</f>
        <v>4.8386068484041956E-18</v>
      </c>
      <c r="M144" s="25">
        <f t="shared" ref="M144:U144" ca="1" si="352">L144+(($V144-$L144)/($V$75-$L$75))</f>
        <v>2.0047784098813769E-10</v>
      </c>
      <c r="N144" s="25">
        <f t="shared" ca="1" si="352"/>
        <v>4.0095567713766853E-10</v>
      </c>
      <c r="O144" s="25">
        <f t="shared" ca="1" si="352"/>
        <v>6.014335132871994E-10</v>
      </c>
      <c r="P144" s="25">
        <f t="shared" ca="1" si="352"/>
        <v>8.0191134943673022E-10</v>
      </c>
      <c r="Q144" s="25">
        <f t="shared" ca="1" si="352"/>
        <v>1.002389185586261E-9</v>
      </c>
      <c r="R144" s="25">
        <f t="shared" ca="1" si="352"/>
        <v>1.202867021735792E-9</v>
      </c>
      <c r="S144" s="25">
        <f t="shared" ca="1" si="352"/>
        <v>1.4033448578853229E-9</v>
      </c>
      <c r="T144" s="25">
        <f t="shared" ca="1" si="352"/>
        <v>1.6038226940348538E-9</v>
      </c>
      <c r="U144" s="25">
        <f t="shared" ca="1" si="352"/>
        <v>1.8043005301843847E-9</v>
      </c>
      <c r="V144" s="25">
        <f ca="1">TotalEmissions!D20</f>
        <v>2.004778366333915E-9</v>
      </c>
      <c r="W144" s="25">
        <f t="shared" ref="W144:AE144" ca="1" si="353">V144+(($AF144-$V144)/($AF$75-$V$75))</f>
        <v>6.3793849862093034E-9</v>
      </c>
      <c r="X144" s="25">
        <f t="shared" ca="1" si="353"/>
        <v>1.0753991606084691E-8</v>
      </c>
      <c r="Y144" s="25">
        <f t="shared" ca="1" si="353"/>
        <v>1.5128598225960081E-8</v>
      </c>
      <c r="Z144" s="25">
        <f t="shared" ca="1" si="353"/>
        <v>1.9503204845835469E-8</v>
      </c>
      <c r="AA144" s="25">
        <f t="shared" ca="1" si="353"/>
        <v>2.3877811465710857E-8</v>
      </c>
      <c r="AB144" s="25">
        <f t="shared" ca="1" si="353"/>
        <v>2.8252418085586245E-8</v>
      </c>
      <c r="AC144" s="25">
        <f t="shared" ca="1" si="353"/>
        <v>3.2627024705461633E-8</v>
      </c>
      <c r="AD144" s="25">
        <f t="shared" ca="1" si="353"/>
        <v>3.7001631325337018E-8</v>
      </c>
      <c r="AE144" s="25">
        <f t="shared" ca="1" si="353"/>
        <v>4.1376237945212403E-8</v>
      </c>
      <c r="AF144" s="25">
        <f ca="1">TotalEmissions!E20</f>
        <v>4.5750844565087794E-8</v>
      </c>
      <c r="AG144" s="25">
        <f t="shared" ref="AG144:AO144" ca="1" si="354">AF144+(($AP144-$AF144)/($AP$75-$AF$75))</f>
        <v>9.505157529046849E-6</v>
      </c>
      <c r="AH144" s="25">
        <f t="shared" ca="1" si="354"/>
        <v>1.896456421352861E-5</v>
      </c>
      <c r="AI144" s="25">
        <f t="shared" ca="1" si="354"/>
        <v>2.842397089801037E-5</v>
      </c>
      <c r="AJ144" s="25">
        <f t="shared" ca="1" si="354"/>
        <v>3.7883377582492131E-5</v>
      </c>
      <c r="AK144" s="25">
        <f t="shared" ca="1" si="354"/>
        <v>4.7342784266973895E-5</v>
      </c>
      <c r="AL144" s="25">
        <f t="shared" ca="1" si="354"/>
        <v>5.6802190951455659E-5</v>
      </c>
      <c r="AM144" s="25">
        <f t="shared" ca="1" si="354"/>
        <v>6.6261597635937423E-5</v>
      </c>
      <c r="AN144" s="25">
        <f t="shared" ca="1" si="354"/>
        <v>7.5721004320419187E-5</v>
      </c>
      <c r="AO144" s="25">
        <f t="shared" ca="1" si="354"/>
        <v>8.5180411004900952E-5</v>
      </c>
      <c r="AP144" s="25">
        <f ca="1">TotalEmissions!F20</f>
        <v>9.4639817689382689E-5</v>
      </c>
      <c r="AQ144" s="25">
        <f t="shared" ref="AQ144:AY144" ca="1" si="355">AP144+(($AZ144-$AP144)/($AZ$75-$AP$75))</f>
        <v>9.4044198582865764E-5</v>
      </c>
      <c r="AR144" s="25">
        <f t="shared" ca="1" si="355"/>
        <v>9.344857947634884E-5</v>
      </c>
      <c r="AS144" s="25">
        <f t="shared" ca="1" si="355"/>
        <v>9.2852960369831916E-5</v>
      </c>
      <c r="AT144" s="25">
        <f t="shared" ca="1" si="355"/>
        <v>9.2257341263314992E-5</v>
      </c>
      <c r="AU144" s="25">
        <f t="shared" ca="1" si="355"/>
        <v>9.1661722156798067E-5</v>
      </c>
      <c r="AV144" s="25">
        <f t="shared" ca="1" si="355"/>
        <v>9.1066103050281143E-5</v>
      </c>
      <c r="AW144" s="25">
        <f t="shared" ca="1" si="355"/>
        <v>9.0470483943764219E-5</v>
      </c>
      <c r="AX144" s="25">
        <f t="shared" ca="1" si="355"/>
        <v>8.9874864837247295E-5</v>
      </c>
      <c r="AY144" s="25">
        <f t="shared" ca="1" si="355"/>
        <v>8.9279245730730371E-5</v>
      </c>
      <c r="AZ144" s="25">
        <f ca="1">TotalEmissions!G20</f>
        <v>8.8683626624213473E-5</v>
      </c>
      <c r="BA144" s="25">
        <f t="shared" ref="BA144:BI144" ca="1" si="356">AZ144+(($BJ144-$AZ144)/($BJ$75-$AZ$75))</f>
        <v>8.6966906777283395E-5</v>
      </c>
      <c r="BB144" s="25">
        <f t="shared" ca="1" si="356"/>
        <v>8.5250186930353316E-5</v>
      </c>
      <c r="BC144" s="25">
        <f t="shared" ca="1" si="356"/>
        <v>8.3533467083423237E-5</v>
      </c>
      <c r="BD144" s="25">
        <f t="shared" ca="1" si="356"/>
        <v>8.1816747236493158E-5</v>
      </c>
      <c r="BE144" s="25">
        <f t="shared" ca="1" si="356"/>
        <v>8.0100027389563079E-5</v>
      </c>
      <c r="BF144" s="25">
        <f t="shared" ca="1" si="356"/>
        <v>7.8383307542633001E-5</v>
      </c>
      <c r="BG144" s="25">
        <f t="shared" ca="1" si="356"/>
        <v>7.6666587695702922E-5</v>
      </c>
      <c r="BH144" s="25">
        <f t="shared" ca="1" si="356"/>
        <v>7.4949867848772843E-5</v>
      </c>
      <c r="BI144" s="25">
        <f t="shared" ca="1" si="356"/>
        <v>7.3233148001842764E-5</v>
      </c>
      <c r="BJ144" s="25">
        <f ca="1">TotalEmissions!H20</f>
        <v>7.1516428154912618E-5</v>
      </c>
      <c r="BK144" s="25">
        <f t="shared" ref="BK144:BS144" ca="1" si="357">BJ144+(($BT144-$BJ144)/($BT$75-$BJ$75))</f>
        <v>6.9819150523168599E-5</v>
      </c>
      <c r="BL144" s="25">
        <f t="shared" ca="1" si="357"/>
        <v>6.8121872891424581E-5</v>
      </c>
      <c r="BM144" s="25">
        <f t="shared" ca="1" si="357"/>
        <v>6.6424595259680563E-5</v>
      </c>
      <c r="BN144" s="25">
        <f t="shared" ca="1" si="357"/>
        <v>6.4727317627936545E-5</v>
      </c>
      <c r="BO144" s="25">
        <f t="shared" ca="1" si="357"/>
        <v>6.3030039996192527E-5</v>
      </c>
      <c r="BP144" s="25">
        <f t="shared" ca="1" si="357"/>
        <v>6.1332762364448508E-5</v>
      </c>
      <c r="BQ144" s="25">
        <f t="shared" ca="1" si="357"/>
        <v>5.9635484732704484E-5</v>
      </c>
      <c r="BR144" s="25">
        <f t="shared" ca="1" si="357"/>
        <v>5.7938207100960459E-5</v>
      </c>
      <c r="BS144" s="25">
        <f t="shared" ca="1" si="357"/>
        <v>5.6240929469216434E-5</v>
      </c>
      <c r="BT144" s="25">
        <f ca="1">TotalEmissions!I20</f>
        <v>5.4543651837472375E-5</v>
      </c>
      <c r="BU144" s="25">
        <f t="shared" ref="BU144:CC144" ca="1" si="358">BT144+(($CD144-$BT144)/($CD$75-$BT$75))</f>
        <v>5.4275111362282282E-5</v>
      </c>
      <c r="BV144" s="25">
        <f t="shared" ca="1" si="358"/>
        <v>5.4006570887092188E-5</v>
      </c>
      <c r="BW144" s="25">
        <f t="shared" ca="1" si="358"/>
        <v>5.3738030411902095E-5</v>
      </c>
      <c r="BX144" s="25">
        <f t="shared" ca="1" si="358"/>
        <v>5.3469489936712002E-5</v>
      </c>
      <c r="BY144" s="25">
        <f t="shared" ca="1" si="358"/>
        <v>5.3200949461521908E-5</v>
      </c>
      <c r="BZ144" s="25">
        <f t="shared" ca="1" si="358"/>
        <v>5.2932408986331815E-5</v>
      </c>
      <c r="CA144" s="25">
        <f t="shared" ca="1" si="358"/>
        <v>5.2663868511141722E-5</v>
      </c>
      <c r="CB144" s="25">
        <f t="shared" ca="1" si="358"/>
        <v>5.2395328035951629E-5</v>
      </c>
      <c r="CC144" s="25">
        <f t="shared" ca="1" si="358"/>
        <v>5.2126787560761535E-5</v>
      </c>
      <c r="CD144" s="25">
        <f ca="1">TotalEmissions!J20</f>
        <v>5.1858247085571442E-5</v>
      </c>
      <c r="CE144" s="25">
        <f t="shared" ref="CE144:CM144" ca="1" si="359">CD144+(($CN144-$CD144)/($CN$75-$CD$75))</f>
        <v>8.0039319103282952E-5</v>
      </c>
      <c r="CF144" s="25">
        <f t="shared" ca="1" si="359"/>
        <v>1.0822039112099446E-4</v>
      </c>
      <c r="CG144" s="25">
        <f t="shared" ca="1" si="359"/>
        <v>1.3640146313870596E-4</v>
      </c>
      <c r="CH144" s="25">
        <f t="shared" ca="1" si="359"/>
        <v>1.6458253515641748E-4</v>
      </c>
      <c r="CI144" s="25">
        <f t="shared" ca="1" si="359"/>
        <v>1.9276360717412899E-4</v>
      </c>
      <c r="CJ144" s="25">
        <f t="shared" ca="1" si="359"/>
        <v>2.2094467919184051E-4</v>
      </c>
      <c r="CK144" s="25">
        <f t="shared" ca="1" si="359"/>
        <v>2.4912575120955203E-4</v>
      </c>
      <c r="CL144" s="25">
        <f t="shared" ca="1" si="359"/>
        <v>2.7730682322726354E-4</v>
      </c>
      <c r="CM144" s="25">
        <f t="shared" ca="1" si="359"/>
        <v>3.0548789524497506E-4</v>
      </c>
      <c r="CN144" s="25">
        <f ca="1">TotalEmissions!K20</f>
        <v>3.3366896726268652E-4</v>
      </c>
    </row>
    <row r="145" spans="1:173" x14ac:dyDescent="0.2">
      <c r="A145" s="25" t="str">
        <f>TotalEmissions!A18</f>
        <v>Fossil Industry CCS</v>
      </c>
      <c r="B145" s="25">
        <f ca="1">TotalEmissions!B18</f>
        <v>0</v>
      </c>
      <c r="C145" s="25">
        <f t="shared" ref="C145:K145" ca="1" si="360">B145+(($L145-$B145)/($L$75-$B$75))</f>
        <v>1.6969379949538655E-3</v>
      </c>
      <c r="D145" s="25">
        <f t="shared" ca="1" si="360"/>
        <v>3.3938759899077311E-3</v>
      </c>
      <c r="E145" s="25">
        <f t="shared" ca="1" si="360"/>
        <v>5.0908139848615964E-3</v>
      </c>
      <c r="F145" s="25">
        <f t="shared" ca="1" si="360"/>
        <v>6.7877519798154621E-3</v>
      </c>
      <c r="G145" s="25">
        <f t="shared" ca="1" si="360"/>
        <v>8.4846899747693279E-3</v>
      </c>
      <c r="H145" s="25">
        <f t="shared" ca="1" si="360"/>
        <v>1.0181627969723193E-2</v>
      </c>
      <c r="I145" s="25">
        <f t="shared" ca="1" si="360"/>
        <v>1.1878565964677058E-2</v>
      </c>
      <c r="J145" s="25">
        <f t="shared" ca="1" si="360"/>
        <v>1.3575503959630923E-2</v>
      </c>
      <c r="K145" s="25">
        <f t="shared" ca="1" si="360"/>
        <v>1.5272441954584787E-2</v>
      </c>
      <c r="L145" s="25">
        <f ca="1">TotalEmissions!C18</f>
        <v>1.6969379949538656E-2</v>
      </c>
      <c r="M145" s="25">
        <f t="shared" ref="M145:U145" ca="1" si="361">L145+(($V145-$L145)/($V$75-$L$75))</f>
        <v>8.7475085582506523E-2</v>
      </c>
      <c r="N145" s="25">
        <f t="shared" ca="1" si="361"/>
        <v>0.1579807912154744</v>
      </c>
      <c r="O145" s="25">
        <f t="shared" ca="1" si="361"/>
        <v>0.22848649684844227</v>
      </c>
      <c r="P145" s="25">
        <f t="shared" ca="1" si="361"/>
        <v>0.29899220248141012</v>
      </c>
      <c r="Q145" s="25">
        <f t="shared" ca="1" si="361"/>
        <v>0.36949790811437799</v>
      </c>
      <c r="R145" s="25">
        <f t="shared" ca="1" si="361"/>
        <v>0.44000361374734587</v>
      </c>
      <c r="S145" s="25">
        <f t="shared" ca="1" si="361"/>
        <v>0.51050931938031374</v>
      </c>
      <c r="T145" s="25">
        <f t="shared" ca="1" si="361"/>
        <v>0.58101502501328162</v>
      </c>
      <c r="U145" s="25">
        <f t="shared" ca="1" si="361"/>
        <v>0.65152073064624949</v>
      </c>
      <c r="V145" s="25">
        <f ca="1">TotalEmissions!D18</f>
        <v>0.72202643627921737</v>
      </c>
      <c r="W145" s="25">
        <f t="shared" ref="W145:AE145" ca="1" si="362">V145+(($AF145-$V145)/($AF$75-$V$75))</f>
        <v>0.7915806824962297</v>
      </c>
      <c r="X145" s="25">
        <f t="shared" ca="1" si="362"/>
        <v>0.86113492871324215</v>
      </c>
      <c r="Y145" s="25">
        <f t="shared" ca="1" si="362"/>
        <v>0.9306891749302546</v>
      </c>
      <c r="Z145" s="25">
        <f t="shared" ca="1" si="362"/>
        <v>1.0002434211472671</v>
      </c>
      <c r="AA145" s="25">
        <f t="shared" ca="1" si="362"/>
        <v>1.0697976673642795</v>
      </c>
      <c r="AB145" s="25">
        <f t="shared" ca="1" si="362"/>
        <v>1.139351913581292</v>
      </c>
      <c r="AC145" s="25">
        <f t="shared" ca="1" si="362"/>
        <v>1.2089061597983044</v>
      </c>
      <c r="AD145" s="25">
        <f t="shared" ca="1" si="362"/>
        <v>1.2784604060153169</v>
      </c>
      <c r="AE145" s="25">
        <f t="shared" ca="1" si="362"/>
        <v>1.3480146522323293</v>
      </c>
      <c r="AF145" s="25">
        <f ca="1">TotalEmissions!E18</f>
        <v>1.4175688984493413</v>
      </c>
      <c r="AG145" s="25">
        <f t="shared" ref="AG145:AO145" ca="1" si="363">AF145+(($AP145-$AF145)/($AP$75-$AF$75))</f>
        <v>1.4139268163902063</v>
      </c>
      <c r="AH145" s="25">
        <f t="shared" ca="1" si="363"/>
        <v>1.4102847343310714</v>
      </c>
      <c r="AI145" s="25">
        <f t="shared" ca="1" si="363"/>
        <v>1.4066426522719364</v>
      </c>
      <c r="AJ145" s="25">
        <f t="shared" ca="1" si="363"/>
        <v>1.4030005702128014</v>
      </c>
      <c r="AK145" s="25">
        <f t="shared" ca="1" si="363"/>
        <v>1.3993584881536665</v>
      </c>
      <c r="AL145" s="25">
        <f t="shared" ca="1" si="363"/>
        <v>1.3957164060945315</v>
      </c>
      <c r="AM145" s="25">
        <f t="shared" ca="1" si="363"/>
        <v>1.3920743240353965</v>
      </c>
      <c r="AN145" s="25">
        <f t="shared" ca="1" si="363"/>
        <v>1.3884322419762616</v>
      </c>
      <c r="AO145" s="25">
        <f t="shared" ca="1" si="363"/>
        <v>1.3847901599171266</v>
      </c>
      <c r="AP145" s="25">
        <f ca="1">TotalEmissions!F18</f>
        <v>1.381148077857991</v>
      </c>
      <c r="AQ145" s="25">
        <f t="shared" ref="AQ145:AY145" ca="1" si="364">AP145+(($AZ145-$AP145)/($AZ$75-$AP$75))</f>
        <v>1.3662058694627679</v>
      </c>
      <c r="AR145" s="25">
        <f t="shared" ca="1" si="364"/>
        <v>1.3512636610675448</v>
      </c>
      <c r="AS145" s="25">
        <f t="shared" ca="1" si="364"/>
        <v>1.3363214526723217</v>
      </c>
      <c r="AT145" s="25">
        <f t="shared" ca="1" si="364"/>
        <v>1.3213792442770986</v>
      </c>
      <c r="AU145" s="25">
        <f t="shared" ca="1" si="364"/>
        <v>1.3064370358818755</v>
      </c>
      <c r="AV145" s="25">
        <f t="shared" ca="1" si="364"/>
        <v>1.2914948274866525</v>
      </c>
      <c r="AW145" s="25">
        <f t="shared" ca="1" si="364"/>
        <v>1.2765526190914294</v>
      </c>
      <c r="AX145" s="25">
        <f t="shared" ca="1" si="364"/>
        <v>1.2616104106962063</v>
      </c>
      <c r="AY145" s="25">
        <f t="shared" ca="1" si="364"/>
        <v>1.2466682023009832</v>
      </c>
      <c r="AZ145" s="25">
        <f ca="1">TotalEmissions!G18</f>
        <v>1.2317259939057597</v>
      </c>
      <c r="BA145" s="25">
        <f t="shared" ref="BA145:BI145" ca="1" si="365">AZ145+(($BJ145-$AZ145)/($BJ$75-$AZ$75))</f>
        <v>1.2522030925391543</v>
      </c>
      <c r="BB145" s="25">
        <f t="shared" ca="1" si="365"/>
        <v>1.2726801911725487</v>
      </c>
      <c r="BC145" s="25">
        <f t="shared" ca="1" si="365"/>
        <v>1.2931572898059431</v>
      </c>
      <c r="BD145" s="25">
        <f t="shared" ca="1" si="365"/>
        <v>1.3136343884393376</v>
      </c>
      <c r="BE145" s="25">
        <f t="shared" ca="1" si="365"/>
        <v>1.334111487072732</v>
      </c>
      <c r="BF145" s="25">
        <f t="shared" ca="1" si="365"/>
        <v>1.3545885857061264</v>
      </c>
      <c r="BG145" s="25">
        <f t="shared" ca="1" si="365"/>
        <v>1.3750656843395208</v>
      </c>
      <c r="BH145" s="25">
        <f t="shared" ca="1" si="365"/>
        <v>1.3955427829729152</v>
      </c>
      <c r="BI145" s="25">
        <f t="shared" ca="1" si="365"/>
        <v>1.4160198816063096</v>
      </c>
      <c r="BJ145" s="25">
        <f ca="1">TotalEmissions!H18</f>
        <v>1.436496980239705</v>
      </c>
      <c r="BK145" s="25">
        <f t="shared" ref="BK145:BS145" ca="1" si="366">BJ145+(($BT145-$BJ145)/($BT$75-$BJ$75))</f>
        <v>1.4627493385345587</v>
      </c>
      <c r="BL145" s="25">
        <f t="shared" ca="1" si="366"/>
        <v>1.4890016968294124</v>
      </c>
      <c r="BM145" s="25">
        <f t="shared" ca="1" si="366"/>
        <v>1.5152540551242661</v>
      </c>
      <c r="BN145" s="25">
        <f t="shared" ca="1" si="366"/>
        <v>1.5415064134191199</v>
      </c>
      <c r="BO145" s="25">
        <f t="shared" ca="1" si="366"/>
        <v>1.5677587717139736</v>
      </c>
      <c r="BP145" s="25">
        <f t="shared" ca="1" si="366"/>
        <v>1.5940111300088273</v>
      </c>
      <c r="BQ145" s="25">
        <f t="shared" ca="1" si="366"/>
        <v>1.6202634883036811</v>
      </c>
      <c r="BR145" s="25">
        <f t="shared" ca="1" si="366"/>
        <v>1.6465158465985348</v>
      </c>
      <c r="BS145" s="25">
        <f t="shared" ca="1" si="366"/>
        <v>1.6727682048933885</v>
      </c>
      <c r="BT145" s="25">
        <f ca="1">TotalEmissions!I18</f>
        <v>1.6990205631882418</v>
      </c>
      <c r="BU145" s="25">
        <f t="shared" ref="BU145:CC145" ca="1" si="367">BT145+(($CD145-$BT145)/($CD$75-$BT$75))</f>
        <v>1.6834916908303663</v>
      </c>
      <c r="BV145" s="25">
        <f t="shared" ca="1" si="367"/>
        <v>1.6679628184724908</v>
      </c>
      <c r="BW145" s="25">
        <f t="shared" ca="1" si="367"/>
        <v>1.6524339461146154</v>
      </c>
      <c r="BX145" s="25">
        <f t="shared" ca="1" si="367"/>
        <v>1.6369050737567399</v>
      </c>
      <c r="BY145" s="25">
        <f t="shared" ca="1" si="367"/>
        <v>1.6213762013988644</v>
      </c>
      <c r="BZ145" s="25">
        <f t="shared" ca="1" si="367"/>
        <v>1.6058473290409889</v>
      </c>
      <c r="CA145" s="25">
        <f t="shared" ca="1" si="367"/>
        <v>1.5903184566831134</v>
      </c>
      <c r="CB145" s="25">
        <f t="shared" ca="1" si="367"/>
        <v>1.574789584325238</v>
      </c>
      <c r="CC145" s="25">
        <f t="shared" ca="1" si="367"/>
        <v>1.5592607119673625</v>
      </c>
      <c r="CD145" s="25">
        <f ca="1">TotalEmissions!J18</f>
        <v>1.5437318396094875</v>
      </c>
      <c r="CE145" s="25">
        <f t="shared" ref="CE145:CM145" ca="1" si="368">CD145+(($CN145-$CD145)/($CN$75-$CD$75))</f>
        <v>1.501783159006542</v>
      </c>
      <c r="CF145" s="25">
        <f t="shared" ca="1" si="368"/>
        <v>1.4598344784035966</v>
      </c>
      <c r="CG145" s="25">
        <f t="shared" ca="1" si="368"/>
        <v>1.4178857978006512</v>
      </c>
      <c r="CH145" s="25">
        <f t="shared" ca="1" si="368"/>
        <v>1.3759371171977057</v>
      </c>
      <c r="CI145" s="25">
        <f t="shared" ca="1" si="368"/>
        <v>1.3339884365947603</v>
      </c>
      <c r="CJ145" s="25">
        <f t="shared" ca="1" si="368"/>
        <v>1.2920397559918149</v>
      </c>
      <c r="CK145" s="25">
        <f t="shared" ca="1" si="368"/>
        <v>1.2500910753888694</v>
      </c>
      <c r="CL145" s="25">
        <f t="shared" ca="1" si="368"/>
        <v>1.208142394785924</v>
      </c>
      <c r="CM145" s="25">
        <f t="shared" ca="1" si="368"/>
        <v>1.1661937141829786</v>
      </c>
      <c r="CN145" s="25">
        <f ca="1">TotalEmissions!K18</f>
        <v>1.1242450335800336</v>
      </c>
    </row>
    <row r="146" spans="1:173" x14ac:dyDescent="0.2">
      <c r="A146" s="25" t="str">
        <f>TotalEmissions!A21</f>
        <v>Biomass Industry CCS</v>
      </c>
      <c r="B146" s="25">
        <f ca="1">TotalEmissions!B21</f>
        <v>0</v>
      </c>
      <c r="C146" s="25">
        <f t="shared" ref="C146:K146" ca="1" si="369">B146+(($L146-$B146)/($L$75-$B$75))</f>
        <v>0</v>
      </c>
      <c r="D146" s="25">
        <f t="shared" ca="1" si="369"/>
        <v>0</v>
      </c>
      <c r="E146" s="25">
        <f t="shared" ca="1" si="369"/>
        <v>0</v>
      </c>
      <c r="F146" s="25">
        <f t="shared" ca="1" si="369"/>
        <v>0</v>
      </c>
      <c r="G146" s="25">
        <f t="shared" ca="1" si="369"/>
        <v>0</v>
      </c>
      <c r="H146" s="25">
        <f t="shared" ca="1" si="369"/>
        <v>0</v>
      </c>
      <c r="I146" s="25">
        <f t="shared" ca="1" si="369"/>
        <v>0</v>
      </c>
      <c r="J146" s="25">
        <f t="shared" ca="1" si="369"/>
        <v>0</v>
      </c>
      <c r="K146" s="25">
        <f t="shared" ca="1" si="369"/>
        <v>0</v>
      </c>
      <c r="L146" s="25">
        <f ca="1">TotalEmissions!C21</f>
        <v>0</v>
      </c>
      <c r="M146" s="25">
        <f t="shared" ref="M146:U146" ca="1" si="370">L146+(($V146-$L146)/($V$75-$L$75))</f>
        <v>0</v>
      </c>
      <c r="N146" s="25">
        <f t="shared" ca="1" si="370"/>
        <v>0</v>
      </c>
      <c r="O146" s="25">
        <f t="shared" ca="1" si="370"/>
        <v>0</v>
      </c>
      <c r="P146" s="25">
        <f t="shared" ca="1" si="370"/>
        <v>0</v>
      </c>
      <c r="Q146" s="25">
        <f t="shared" ca="1" si="370"/>
        <v>0</v>
      </c>
      <c r="R146" s="25">
        <f t="shared" ca="1" si="370"/>
        <v>0</v>
      </c>
      <c r="S146" s="25">
        <f t="shared" ca="1" si="370"/>
        <v>0</v>
      </c>
      <c r="T146" s="25">
        <f t="shared" ca="1" si="370"/>
        <v>0</v>
      </c>
      <c r="U146" s="25">
        <f t="shared" ca="1" si="370"/>
        <v>0</v>
      </c>
      <c r="V146" s="25">
        <f ca="1">TotalEmissions!D21</f>
        <v>0</v>
      </c>
      <c r="W146" s="25">
        <f t="shared" ref="W146:AE146" ca="1" si="371">V146+(($AF146-$V146)/($AF$75-$V$75))</f>
        <v>0</v>
      </c>
      <c r="X146" s="25">
        <f t="shared" ca="1" si="371"/>
        <v>0</v>
      </c>
      <c r="Y146" s="25">
        <f t="shared" ca="1" si="371"/>
        <v>0</v>
      </c>
      <c r="Z146" s="25">
        <f t="shared" ca="1" si="371"/>
        <v>0</v>
      </c>
      <c r="AA146" s="25">
        <f t="shared" ca="1" si="371"/>
        <v>0</v>
      </c>
      <c r="AB146" s="25">
        <f t="shared" ca="1" si="371"/>
        <v>0</v>
      </c>
      <c r="AC146" s="25">
        <f t="shared" ca="1" si="371"/>
        <v>0</v>
      </c>
      <c r="AD146" s="25">
        <f t="shared" ca="1" si="371"/>
        <v>0</v>
      </c>
      <c r="AE146" s="25">
        <f t="shared" ca="1" si="371"/>
        <v>0</v>
      </c>
      <c r="AF146" s="25">
        <f ca="1">TotalEmissions!E21</f>
        <v>0</v>
      </c>
      <c r="AG146" s="25">
        <f t="shared" ref="AG146:AO146" ca="1" si="372">AF146+(($AP146-$AF146)/($AP$75-$AF$75))</f>
        <v>0</v>
      </c>
      <c r="AH146" s="25">
        <f t="shared" ca="1" si="372"/>
        <v>0</v>
      </c>
      <c r="AI146" s="25">
        <f t="shared" ca="1" si="372"/>
        <v>0</v>
      </c>
      <c r="AJ146" s="25">
        <f t="shared" ca="1" si="372"/>
        <v>0</v>
      </c>
      <c r="AK146" s="25">
        <f t="shared" ca="1" si="372"/>
        <v>0</v>
      </c>
      <c r="AL146" s="25">
        <f t="shared" ca="1" si="372"/>
        <v>0</v>
      </c>
      <c r="AM146" s="25">
        <f t="shared" ca="1" si="372"/>
        <v>0</v>
      </c>
      <c r="AN146" s="25">
        <f t="shared" ca="1" si="372"/>
        <v>0</v>
      </c>
      <c r="AO146" s="25">
        <f t="shared" ca="1" si="372"/>
        <v>0</v>
      </c>
      <c r="AP146" s="25">
        <f ca="1">TotalEmissions!F21</f>
        <v>0</v>
      </c>
      <c r="AQ146" s="25">
        <f t="shared" ref="AQ146:AY146" ca="1" si="373">AP146+(($AZ146-$AP146)/($AZ$75-$AP$75))</f>
        <v>0</v>
      </c>
      <c r="AR146" s="25">
        <f t="shared" ca="1" si="373"/>
        <v>0</v>
      </c>
      <c r="AS146" s="25">
        <f t="shared" ca="1" si="373"/>
        <v>0</v>
      </c>
      <c r="AT146" s="25">
        <f t="shared" ca="1" si="373"/>
        <v>0</v>
      </c>
      <c r="AU146" s="25">
        <f t="shared" ca="1" si="373"/>
        <v>0</v>
      </c>
      <c r="AV146" s="25">
        <f t="shared" ca="1" si="373"/>
        <v>0</v>
      </c>
      <c r="AW146" s="25">
        <f t="shared" ca="1" si="373"/>
        <v>0</v>
      </c>
      <c r="AX146" s="25">
        <f t="shared" ca="1" si="373"/>
        <v>0</v>
      </c>
      <c r="AY146" s="25">
        <f t="shared" ca="1" si="373"/>
        <v>0</v>
      </c>
      <c r="AZ146" s="25">
        <f ca="1">TotalEmissions!G21</f>
        <v>0</v>
      </c>
      <c r="BA146" s="25">
        <f t="shared" ref="BA146:BI146" ca="1" si="374">AZ146+(($BJ146-$AZ146)/($BJ$75-$AZ$75))</f>
        <v>0</v>
      </c>
      <c r="BB146" s="25">
        <f t="shared" ca="1" si="374"/>
        <v>0</v>
      </c>
      <c r="BC146" s="25">
        <f t="shared" ca="1" si="374"/>
        <v>0</v>
      </c>
      <c r="BD146" s="25">
        <f t="shared" ca="1" si="374"/>
        <v>0</v>
      </c>
      <c r="BE146" s="25">
        <f t="shared" ca="1" si="374"/>
        <v>0</v>
      </c>
      <c r="BF146" s="25">
        <f t="shared" ca="1" si="374"/>
        <v>0</v>
      </c>
      <c r="BG146" s="25">
        <f t="shared" ca="1" si="374"/>
        <v>0</v>
      </c>
      <c r="BH146" s="25">
        <f t="shared" ca="1" si="374"/>
        <v>0</v>
      </c>
      <c r="BI146" s="25">
        <f t="shared" ca="1" si="374"/>
        <v>0</v>
      </c>
      <c r="BJ146" s="25">
        <f ca="1">TotalEmissions!H21</f>
        <v>0</v>
      </c>
      <c r="BK146" s="25">
        <f t="shared" ref="BK146:BS146" ca="1" si="375">BJ146+(($BT146-$BJ146)/($BT$75-$BJ$75))</f>
        <v>0</v>
      </c>
      <c r="BL146" s="25">
        <f t="shared" ca="1" si="375"/>
        <v>0</v>
      </c>
      <c r="BM146" s="25">
        <f t="shared" ca="1" si="375"/>
        <v>0</v>
      </c>
      <c r="BN146" s="25">
        <f t="shared" ca="1" si="375"/>
        <v>0</v>
      </c>
      <c r="BO146" s="25">
        <f t="shared" ca="1" si="375"/>
        <v>0</v>
      </c>
      <c r="BP146" s="25">
        <f t="shared" ca="1" si="375"/>
        <v>0</v>
      </c>
      <c r="BQ146" s="25">
        <f t="shared" ca="1" si="375"/>
        <v>0</v>
      </c>
      <c r="BR146" s="25">
        <f t="shared" ca="1" si="375"/>
        <v>0</v>
      </c>
      <c r="BS146" s="25">
        <f t="shared" ca="1" si="375"/>
        <v>0</v>
      </c>
      <c r="BT146" s="25">
        <f ca="1">TotalEmissions!I21</f>
        <v>0</v>
      </c>
      <c r="BU146" s="25">
        <f t="shared" ref="BU146:CC146" ca="1" si="376">BT146+(($CD146-$BT146)/($CD$75-$BT$75))</f>
        <v>0</v>
      </c>
      <c r="BV146" s="25">
        <f t="shared" ca="1" si="376"/>
        <v>0</v>
      </c>
      <c r="BW146" s="25">
        <f t="shared" ca="1" si="376"/>
        <v>0</v>
      </c>
      <c r="BX146" s="25">
        <f t="shared" ca="1" si="376"/>
        <v>0</v>
      </c>
      <c r="BY146" s="25">
        <f t="shared" ca="1" si="376"/>
        <v>0</v>
      </c>
      <c r="BZ146" s="25">
        <f t="shared" ca="1" si="376"/>
        <v>0</v>
      </c>
      <c r="CA146" s="25">
        <f t="shared" ca="1" si="376"/>
        <v>0</v>
      </c>
      <c r="CB146" s="25">
        <f t="shared" ca="1" si="376"/>
        <v>0</v>
      </c>
      <c r="CC146" s="25">
        <f t="shared" ca="1" si="376"/>
        <v>0</v>
      </c>
      <c r="CD146" s="25">
        <f ca="1">TotalEmissions!J21</f>
        <v>0</v>
      </c>
      <c r="CE146" s="25">
        <f t="shared" ref="CE146:CM146" ca="1" si="377">CD146+(($CN146-$CD146)/($CN$75-$CD$75))</f>
        <v>0</v>
      </c>
      <c r="CF146" s="25">
        <f t="shared" ca="1" si="377"/>
        <v>0</v>
      </c>
      <c r="CG146" s="25">
        <f t="shared" ca="1" si="377"/>
        <v>0</v>
      </c>
      <c r="CH146" s="25">
        <f t="shared" ca="1" si="377"/>
        <v>0</v>
      </c>
      <c r="CI146" s="25">
        <f t="shared" ca="1" si="377"/>
        <v>0</v>
      </c>
      <c r="CJ146" s="25">
        <f t="shared" ca="1" si="377"/>
        <v>0</v>
      </c>
      <c r="CK146" s="25">
        <f t="shared" ca="1" si="377"/>
        <v>0</v>
      </c>
      <c r="CL146" s="25">
        <f t="shared" ca="1" si="377"/>
        <v>0</v>
      </c>
      <c r="CM146" s="25">
        <f t="shared" ca="1" si="377"/>
        <v>0</v>
      </c>
      <c r="CN146" s="25">
        <f ca="1">TotalEmissions!K21</f>
        <v>0</v>
      </c>
    </row>
    <row r="147" spans="1:173" x14ac:dyDescent="0.2">
      <c r="A147" s="241" t="s">
        <v>278</v>
      </c>
      <c r="B147" s="25">
        <f ca="1">B140-B143-B144-B145-B146</f>
        <v>49.203953937660756</v>
      </c>
      <c r="C147" s="25">
        <f t="shared" ref="C147:BN147" ca="1" si="378">C140-C143-C144-C145-C146</f>
        <v>48.916421415045903</v>
      </c>
      <c r="D147" s="25">
        <f t="shared" ca="1" si="378"/>
        <v>48.62888889243105</v>
      </c>
      <c r="E147" s="25">
        <f t="shared" ca="1" si="378"/>
        <v>48.341356369816197</v>
      </c>
      <c r="F147" s="25">
        <f t="shared" ca="1" si="378"/>
        <v>48.053823847201343</v>
      </c>
      <c r="G147" s="25">
        <f t="shared" ca="1" si="378"/>
        <v>47.76629132458649</v>
      </c>
      <c r="H147" s="25">
        <f t="shared" ca="1" si="378"/>
        <v>47.478758801971637</v>
      </c>
      <c r="I147" s="25">
        <f t="shared" ca="1" si="378"/>
        <v>47.191226279356783</v>
      </c>
      <c r="J147" s="25">
        <f t="shared" ca="1" si="378"/>
        <v>46.90369375674193</v>
      </c>
      <c r="K147" s="25">
        <f t="shared" ca="1" si="378"/>
        <v>46.616161234127077</v>
      </c>
      <c r="L147" s="25">
        <f t="shared" ca="1" si="378"/>
        <v>46.328628711512245</v>
      </c>
      <c r="M147" s="25">
        <f t="shared" ca="1" si="378"/>
        <v>44.313831143132958</v>
      </c>
      <c r="N147" s="25">
        <f t="shared" ca="1" si="378"/>
        <v>42.299033574753672</v>
      </c>
      <c r="O147" s="25">
        <f t="shared" ca="1" si="378"/>
        <v>40.284236006374393</v>
      </c>
      <c r="P147" s="25">
        <f t="shared" ca="1" si="378"/>
        <v>38.269438437995099</v>
      </c>
      <c r="Q147" s="25">
        <f t="shared" ca="1" si="378"/>
        <v>36.254640869615812</v>
      </c>
      <c r="R147" s="25">
        <f t="shared" ca="1" si="378"/>
        <v>34.239843301236526</v>
      </c>
      <c r="S147" s="25">
        <f t="shared" ca="1" si="378"/>
        <v>32.225045732857239</v>
      </c>
      <c r="T147" s="25">
        <f t="shared" ca="1" si="378"/>
        <v>30.210248164477949</v>
      </c>
      <c r="U147" s="25">
        <f t="shared" ca="1" si="378"/>
        <v>28.195450596098659</v>
      </c>
      <c r="V147" s="25">
        <f t="shared" ca="1" si="378"/>
        <v>26.180653027719355</v>
      </c>
      <c r="W147" s="25">
        <f t="shared" ca="1" si="378"/>
        <v>24.622353300863871</v>
      </c>
      <c r="X147" s="25">
        <f t="shared" ca="1" si="378"/>
        <v>23.064053574008383</v>
      </c>
      <c r="Y147" s="25">
        <f t="shared" ca="1" si="378"/>
        <v>21.505753847152896</v>
      </c>
      <c r="Z147" s="25">
        <f t="shared" ca="1" si="378"/>
        <v>19.947454120297408</v>
      </c>
      <c r="AA147" s="25">
        <f t="shared" ca="1" si="378"/>
        <v>18.38915439344192</v>
      </c>
      <c r="AB147" s="25">
        <f t="shared" ca="1" si="378"/>
        <v>16.830854666586433</v>
      </c>
      <c r="AC147" s="25">
        <f t="shared" ca="1" si="378"/>
        <v>15.272554939730943</v>
      </c>
      <c r="AD147" s="25">
        <f t="shared" ca="1" si="378"/>
        <v>13.714255212875459</v>
      </c>
      <c r="AE147" s="25">
        <f t="shared" ca="1" si="378"/>
        <v>12.155955486019975</v>
      </c>
      <c r="AF147" s="25">
        <f t="shared" ca="1" si="378"/>
        <v>10.597655759164496</v>
      </c>
      <c r="AG147" s="25">
        <f t="shared" ca="1" si="378"/>
        <v>9.7573756155231539</v>
      </c>
      <c r="AH147" s="25">
        <f t="shared" ca="1" si="378"/>
        <v>8.9170954718818152</v>
      </c>
      <c r="AI147" s="25">
        <f t="shared" ca="1" si="378"/>
        <v>8.0768153282404747</v>
      </c>
      <c r="AJ147" s="25">
        <f t="shared" ca="1" si="378"/>
        <v>7.2365351845991341</v>
      </c>
      <c r="AK147" s="25">
        <f t="shared" ca="1" si="378"/>
        <v>6.396255040957791</v>
      </c>
      <c r="AL147" s="25">
        <f t="shared" ca="1" si="378"/>
        <v>5.5559748973164478</v>
      </c>
      <c r="AM147" s="25">
        <f t="shared" ca="1" si="378"/>
        <v>4.715694753675109</v>
      </c>
      <c r="AN147" s="25">
        <f t="shared" ca="1" si="378"/>
        <v>3.8754146100337681</v>
      </c>
      <c r="AO147" s="25">
        <f t="shared" ca="1" si="378"/>
        <v>3.0351344663924262</v>
      </c>
      <c r="AP147" s="25">
        <f t="shared" ca="1" si="378"/>
        <v>2.1948543227510839</v>
      </c>
      <c r="AQ147" s="25">
        <f t="shared" ca="1" si="378"/>
        <v>2.0231838275858358</v>
      </c>
      <c r="AR147" s="25">
        <f t="shared" ca="1" si="378"/>
        <v>1.8515133324205861</v>
      </c>
      <c r="AS147" s="25">
        <f t="shared" ca="1" si="378"/>
        <v>1.6798428372553356</v>
      </c>
      <c r="AT147" s="25">
        <f t="shared" ca="1" si="378"/>
        <v>1.5081723420900868</v>
      </c>
      <c r="AU147" s="25">
        <f t="shared" ca="1" si="378"/>
        <v>1.336501846924838</v>
      </c>
      <c r="AV147" s="25">
        <f t="shared" ca="1" si="378"/>
        <v>1.1648313517595892</v>
      </c>
      <c r="AW147" s="25">
        <f t="shared" ca="1" si="378"/>
        <v>0.9931608565943395</v>
      </c>
      <c r="AX147" s="25">
        <f t="shared" ca="1" si="378"/>
        <v>0.82149036142908982</v>
      </c>
      <c r="AY147" s="25">
        <f t="shared" ca="1" si="378"/>
        <v>0.64981986626384125</v>
      </c>
      <c r="AZ147" s="25">
        <f t="shared" ca="1" si="378"/>
        <v>0.47814937109859201</v>
      </c>
      <c r="BA147" s="25">
        <f t="shared" ca="1" si="378"/>
        <v>0.38482695249873045</v>
      </c>
      <c r="BB147" s="25">
        <f t="shared" ca="1" si="378"/>
        <v>0.29150453389886821</v>
      </c>
      <c r="BC147" s="25">
        <f t="shared" ca="1" si="378"/>
        <v>0.19818211529900598</v>
      </c>
      <c r="BD147" s="25">
        <f t="shared" ca="1" si="378"/>
        <v>0.10485969669914463</v>
      </c>
      <c r="BE147" s="25">
        <f t="shared" ca="1" si="378"/>
        <v>1.15372780992824E-2</v>
      </c>
      <c r="BF147" s="25">
        <f t="shared" ca="1" si="378"/>
        <v>-8.1785140500579834E-2</v>
      </c>
      <c r="BG147" s="25">
        <f t="shared" ca="1" si="378"/>
        <v>-0.1751075591004394</v>
      </c>
      <c r="BH147" s="25">
        <f t="shared" ca="1" si="378"/>
        <v>-0.26842997770030164</v>
      </c>
      <c r="BI147" s="25">
        <f t="shared" ca="1" si="378"/>
        <v>-0.36175239630016387</v>
      </c>
      <c r="BJ147" s="25">
        <f t="shared" ca="1" si="378"/>
        <v>-0.4550748149000271</v>
      </c>
      <c r="BK147" s="25">
        <f t="shared" ca="1" si="378"/>
        <v>-0.34806882245183535</v>
      </c>
      <c r="BL147" s="25">
        <f t="shared" ca="1" si="378"/>
        <v>-0.24106283000364481</v>
      </c>
      <c r="BM147" s="25">
        <f t="shared" ca="1" si="378"/>
        <v>-0.13405683755545317</v>
      </c>
      <c r="BN147" s="25">
        <f t="shared" ca="1" si="378"/>
        <v>-2.7050845107262411E-2</v>
      </c>
      <c r="BO147" s="25">
        <f t="shared" ref="BO147:CN147" ca="1" si="379">BO140-BO143-BO144-BO145-BO146</f>
        <v>7.9955147340927457E-2</v>
      </c>
      <c r="BP147" s="25">
        <f t="shared" ca="1" si="379"/>
        <v>0.18696113978911821</v>
      </c>
      <c r="BQ147" s="25">
        <f t="shared" ca="1" si="379"/>
        <v>0.29396713223731075</v>
      </c>
      <c r="BR147" s="25">
        <f t="shared" ca="1" si="379"/>
        <v>0.4009731246855015</v>
      </c>
      <c r="BS147" s="25">
        <f t="shared" ca="1" si="379"/>
        <v>0.50797911713369226</v>
      </c>
      <c r="BT147" s="25">
        <f t="shared" ca="1" si="379"/>
        <v>0.61498510958188168</v>
      </c>
      <c r="BU147" s="25">
        <f t="shared" ca="1" si="379"/>
        <v>0.7684603550229574</v>
      </c>
      <c r="BV147" s="25">
        <f t="shared" ca="1" si="379"/>
        <v>0.92193560046403134</v>
      </c>
      <c r="BW147" s="25">
        <f t="shared" ca="1" si="379"/>
        <v>1.0754108459051053</v>
      </c>
      <c r="BX147" s="25">
        <f t="shared" ca="1" si="379"/>
        <v>1.228886091346181</v>
      </c>
      <c r="BY147" s="25">
        <f t="shared" ca="1" si="379"/>
        <v>1.3823613367872567</v>
      </c>
      <c r="BZ147" s="25">
        <f t="shared" ca="1" si="379"/>
        <v>1.5358365822283306</v>
      </c>
      <c r="CA147" s="25">
        <f t="shared" ca="1" si="379"/>
        <v>1.6893118276694046</v>
      </c>
      <c r="CB147" s="25">
        <f t="shared" ca="1" si="379"/>
        <v>1.8427870731104803</v>
      </c>
      <c r="CC147" s="25">
        <f t="shared" ca="1" si="379"/>
        <v>1.996262318551556</v>
      </c>
      <c r="CD147" s="25">
        <f t="shared" ca="1" si="379"/>
        <v>2.1497375639926304</v>
      </c>
      <c r="CE147" s="25">
        <f t="shared" ca="1" si="379"/>
        <v>2.2818390724974611</v>
      </c>
      <c r="CF147" s="25">
        <f t="shared" ca="1" si="379"/>
        <v>2.4139405810022931</v>
      </c>
      <c r="CG147" s="25">
        <f t="shared" ca="1" si="379"/>
        <v>2.5460420895071234</v>
      </c>
      <c r="CH147" s="25">
        <f t="shared" ca="1" si="379"/>
        <v>2.6781435980119537</v>
      </c>
      <c r="CI147" s="25">
        <f t="shared" ca="1" si="379"/>
        <v>2.8102451065167848</v>
      </c>
      <c r="CJ147" s="25">
        <f t="shared" ca="1" si="379"/>
        <v>2.9423466150216173</v>
      </c>
      <c r="CK147" s="25">
        <f t="shared" ca="1" si="379"/>
        <v>3.0744481235264454</v>
      </c>
      <c r="CL147" s="25">
        <f t="shared" ca="1" si="379"/>
        <v>3.2065496320312765</v>
      </c>
      <c r="CM147" s="25">
        <f t="shared" ca="1" si="379"/>
        <v>3.3386511405361086</v>
      </c>
      <c r="CN147" s="25">
        <f t="shared" ca="1" si="379"/>
        <v>3.4707526490409362</v>
      </c>
    </row>
    <row r="148" spans="1:173" x14ac:dyDescent="0.2">
      <c r="A148" t="s">
        <v>234</v>
      </c>
      <c r="B148" s="25">
        <f ca="1">TotalEmissions!B28</f>
        <v>49.203953937660756</v>
      </c>
      <c r="C148" s="25"/>
      <c r="D148" s="25"/>
      <c r="E148" s="25"/>
      <c r="F148" s="25"/>
      <c r="G148" s="25"/>
      <c r="H148" s="25"/>
      <c r="I148" s="25"/>
      <c r="J148" s="25"/>
      <c r="K148" s="25"/>
      <c r="L148" s="25">
        <f ca="1">TotalEmissions!C28</f>
        <v>46.328628711512245</v>
      </c>
      <c r="M148" s="25"/>
      <c r="N148" s="25"/>
      <c r="O148" s="25"/>
      <c r="P148" s="25"/>
      <c r="Q148" s="25"/>
      <c r="R148" s="25"/>
      <c r="S148" s="25"/>
      <c r="T148" s="25"/>
      <c r="U148" s="25"/>
      <c r="V148" s="25">
        <f ca="1">TotalEmissions!D28</f>
        <v>26.180653027719355</v>
      </c>
      <c r="W148" s="25"/>
      <c r="X148" s="25"/>
      <c r="Y148" s="25"/>
      <c r="Z148" s="25"/>
      <c r="AA148" s="25"/>
      <c r="AB148" s="25"/>
      <c r="AC148" s="25"/>
      <c r="AD148" s="25"/>
      <c r="AE148" s="25"/>
      <c r="AF148" s="25">
        <f ca="1">TotalEmissions!E28</f>
        <v>10.597655759164496</v>
      </c>
      <c r="AG148" s="25"/>
      <c r="AH148" s="25"/>
      <c r="AI148" s="25"/>
      <c r="AJ148" s="25"/>
      <c r="AK148" s="25"/>
      <c r="AL148" s="25"/>
      <c r="AM148" s="25"/>
      <c r="AN148" s="25"/>
      <c r="AO148" s="25"/>
      <c r="AP148" s="25">
        <f ca="1">TotalEmissions!F28</f>
        <v>2.1948543227510839</v>
      </c>
      <c r="AQ148" s="25"/>
      <c r="AR148" s="25"/>
      <c r="AS148" s="25"/>
      <c r="AT148" s="25"/>
      <c r="AU148" s="25"/>
      <c r="AV148" s="25"/>
      <c r="AW148" s="25"/>
      <c r="AX148" s="25"/>
      <c r="AY148" s="25"/>
      <c r="AZ148" s="25">
        <f ca="1">TotalEmissions!G28</f>
        <v>0.47814937109859246</v>
      </c>
      <c r="BA148" s="25"/>
      <c r="BB148" s="25"/>
      <c r="BC148" s="25"/>
      <c r="BD148" s="25"/>
      <c r="BE148" s="25"/>
      <c r="BF148" s="25"/>
      <c r="BG148" s="25"/>
      <c r="BH148" s="25"/>
      <c r="BI148" s="25"/>
      <c r="BJ148" s="25">
        <f ca="1">TotalEmissions!H28</f>
        <v>-0.45507481490002633</v>
      </c>
      <c r="BK148" s="25"/>
      <c r="BL148" s="25"/>
      <c r="BM148" s="25"/>
      <c r="BN148" s="25"/>
      <c r="BO148" s="25"/>
      <c r="BP148" s="25"/>
      <c r="BQ148" s="25"/>
      <c r="BR148" s="25"/>
      <c r="BS148" s="25"/>
      <c r="BT148" s="25">
        <f ca="1">TotalEmissions!I28</f>
        <v>0.61498510958188257</v>
      </c>
      <c r="BU148" s="25"/>
      <c r="BV148" s="25"/>
      <c r="BW148" s="25"/>
      <c r="BX148" s="25"/>
      <c r="BY148" s="25"/>
      <c r="BZ148" s="25"/>
      <c r="CA148" s="25"/>
      <c r="CB148" s="25"/>
      <c r="CC148" s="25"/>
      <c r="CD148" s="25">
        <f ca="1">TotalEmissions!J28</f>
        <v>2.1497375639926304</v>
      </c>
      <c r="CE148" s="25"/>
      <c r="CF148" s="25"/>
      <c r="CG148" s="25"/>
      <c r="CH148" s="25"/>
      <c r="CI148" s="25"/>
      <c r="CJ148" s="25"/>
      <c r="CK148" s="25"/>
      <c r="CL148" s="25"/>
      <c r="CM148" s="25"/>
      <c r="CN148" s="25">
        <f ca="1">TotalEmissions!K28</f>
        <v>3.4707526490409357</v>
      </c>
      <c r="CO148" s="25"/>
      <c r="CP148" s="25"/>
      <c r="CQ148" s="25"/>
      <c r="CR148" s="25"/>
      <c r="CS148" s="25"/>
      <c r="CT148" s="25"/>
      <c r="CU148" s="25"/>
      <c r="CV148" s="25"/>
      <c r="CW148" s="25"/>
      <c r="CX148" s="25"/>
      <c r="CY148" s="25"/>
      <c r="CZ148" s="25"/>
      <c r="DA148" s="25"/>
      <c r="DB148" s="25"/>
      <c r="DC148" s="25"/>
      <c r="DD148" s="25"/>
      <c r="DE148" s="25"/>
      <c r="DF148" s="25"/>
      <c r="DG148" s="25"/>
      <c r="DH148" s="25"/>
      <c r="DI148" s="25"/>
      <c r="DJ148" s="25"/>
      <c r="DK148" s="25"/>
      <c r="DL148" s="25"/>
      <c r="DM148" s="25"/>
      <c r="DN148" s="25"/>
      <c r="DO148" s="25"/>
      <c r="DP148" s="25"/>
      <c r="DQ148" s="25"/>
      <c r="DR148" s="25"/>
      <c r="DS148" s="25"/>
      <c r="DT148" s="25"/>
      <c r="DU148" s="25"/>
      <c r="DV148" s="25"/>
      <c r="DW148" s="25"/>
      <c r="DX148" s="25"/>
      <c r="DY148" s="25"/>
      <c r="DZ148" s="25"/>
      <c r="EA148" s="25"/>
      <c r="EB148" s="25"/>
      <c r="EC148" s="25"/>
      <c r="ED148" s="25"/>
      <c r="EE148" s="25"/>
      <c r="EF148" s="25"/>
      <c r="EG148" s="25"/>
      <c r="EH148" s="25"/>
      <c r="EI148" s="25"/>
      <c r="EJ148" s="25"/>
      <c r="EK148" s="25"/>
      <c r="EL148" s="25"/>
      <c r="EM148" s="25"/>
      <c r="EN148" s="25"/>
      <c r="EO148" s="25"/>
      <c r="EP148" s="25"/>
      <c r="EQ148" s="25"/>
      <c r="ER148" s="25"/>
      <c r="ES148" s="25"/>
      <c r="ET148" s="25"/>
      <c r="EU148" s="25"/>
      <c r="EV148" s="25"/>
      <c r="EW148" s="25"/>
      <c r="EX148" s="25"/>
      <c r="EY148" s="25"/>
      <c r="EZ148" s="25"/>
      <c r="FA148" s="25"/>
      <c r="FB148" s="25"/>
      <c r="FC148" s="25"/>
      <c r="FD148" s="25"/>
      <c r="FE148" s="25"/>
      <c r="FF148" s="25"/>
      <c r="FG148" s="25"/>
      <c r="FH148" s="25"/>
      <c r="FI148" s="25"/>
      <c r="FJ148" s="25"/>
      <c r="FK148" s="25"/>
      <c r="FL148" s="25"/>
      <c r="FM148" s="25"/>
      <c r="FN148" s="25"/>
      <c r="FO148" s="25"/>
      <c r="FP148" s="25"/>
      <c r="FQ148" s="25"/>
    </row>
    <row r="149" spans="1:173" x14ac:dyDescent="0.2">
      <c r="B149" s="25"/>
      <c r="C149" s="25"/>
      <c r="D149" s="25"/>
      <c r="E149" s="25"/>
      <c r="F149" s="25"/>
      <c r="G149" s="25"/>
      <c r="H149" s="25"/>
      <c r="I149" s="25"/>
      <c r="J149" s="25"/>
      <c r="K149" s="25"/>
    </row>
  </sheetData>
  <pageMargins left="0.7" right="0.7" top="0.75" bottom="0.75" header="0.3" footer="0.3"/>
  <pageSetup orientation="portrait" horizontalDpi="0" verticalDpi="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0C4025-74C5-774E-8678-B7EF26F3AC33}">
  <sheetPr codeName="Sheet38">
    <tabColor rgb="FFCF009B"/>
  </sheetPr>
  <dimension ref="A1:FQ124"/>
  <sheetViews>
    <sheetView topLeftCell="A24" zoomScale="150" zoomScaleNormal="150" workbookViewId="0">
      <selection activeCell="E36" activeCellId="3" sqref="A6:A7 E10:E11 A27:A28 E36:E37"/>
    </sheetView>
  </sheetViews>
  <sheetFormatPr baseColWidth="10" defaultRowHeight="16" x14ac:dyDescent="0.2"/>
  <cols>
    <col min="1" max="1" width="48.33203125" customWidth="1"/>
    <col min="2" max="2" width="11.5" bestFit="1" customWidth="1"/>
    <col min="5" max="5" width="40.33203125" customWidth="1"/>
  </cols>
  <sheetData>
    <row r="1" spans="1:10" x14ac:dyDescent="0.2">
      <c r="A1" s="21" t="s">
        <v>255</v>
      </c>
    </row>
    <row r="2" spans="1:10" x14ac:dyDescent="0.2">
      <c r="B2" s="25"/>
      <c r="F2" s="25"/>
    </row>
    <row r="3" spans="1:10" x14ac:dyDescent="0.2">
      <c r="A3" s="21" t="s">
        <v>235</v>
      </c>
      <c r="B3" s="25">
        <f ca="1">SUM(L76:CN76)</f>
        <v>1326.0579520861309</v>
      </c>
      <c r="C3" s="25">
        <f ca="1">B2+B3</f>
        <v>1326.0579520861309</v>
      </c>
      <c r="E3" s="21" t="s">
        <v>279</v>
      </c>
      <c r="F3" s="25">
        <f ca="1">SUM(L88:CN88)</f>
        <v>2136.6642242837129</v>
      </c>
    </row>
    <row r="4" spans="1:10" x14ac:dyDescent="0.2">
      <c r="A4" s="208" t="s">
        <v>238</v>
      </c>
      <c r="B4">
        <f t="shared" ref="B4:B9" ca="1" si="0">SUM(L91:CN91)</f>
        <v>-60.502625309160663</v>
      </c>
      <c r="E4" s="249" t="s">
        <v>338</v>
      </c>
      <c r="F4" s="25">
        <f ca="1">-(SUM(L79:CN79)+SUM(L84:CN84))</f>
        <v>-63.885895888010651</v>
      </c>
    </row>
    <row r="5" spans="1:10" x14ac:dyDescent="0.2">
      <c r="A5" s="251" t="s">
        <v>231</v>
      </c>
      <c r="B5">
        <f t="shared" ca="1" si="0"/>
        <v>-35.311749812969033</v>
      </c>
      <c r="E5" s="249" t="s">
        <v>264</v>
      </c>
      <c r="F5" s="25">
        <f ca="1">-SUM(L81:CN81)</f>
        <v>-181.01823115050004</v>
      </c>
    </row>
    <row r="6" spans="1:10" x14ac:dyDescent="0.2">
      <c r="A6" s="251" t="s">
        <v>461</v>
      </c>
      <c r="B6">
        <f t="shared" ca="1" si="0"/>
        <v>23.192071738408508</v>
      </c>
      <c r="E6" s="249" t="s">
        <v>265</v>
      </c>
      <c r="F6" s="25">
        <f ca="1">-SUM(L80:CN80)</f>
        <v>-565.70214515907151</v>
      </c>
      <c r="H6" s="25"/>
    </row>
    <row r="7" spans="1:10" x14ac:dyDescent="0.2">
      <c r="A7" s="251" t="s">
        <v>462</v>
      </c>
      <c r="B7">
        <f t="shared" ca="1" si="0"/>
        <v>-418.80280664514447</v>
      </c>
      <c r="E7" s="21" t="s">
        <v>235</v>
      </c>
      <c r="F7" s="25">
        <f ca="1">F3+F4+F5+F6</f>
        <v>1326.0579520861309</v>
      </c>
      <c r="H7" s="25"/>
      <c r="J7" s="25"/>
    </row>
    <row r="8" spans="1:10" x14ac:dyDescent="0.2">
      <c r="A8" s="251" t="s">
        <v>268</v>
      </c>
      <c r="B8">
        <f t="shared" ca="1" si="0"/>
        <v>-208.00826251447</v>
      </c>
      <c r="E8" s="211" t="s">
        <v>238</v>
      </c>
      <c r="F8">
        <f t="shared" ref="F8:F13" ca="1" si="1">SUM(L91:CN91)</f>
        <v>-60.502625309160663</v>
      </c>
      <c r="H8" s="25"/>
    </row>
    <row r="9" spans="1:10" x14ac:dyDescent="0.2">
      <c r="A9" s="251" t="s">
        <v>269</v>
      </c>
      <c r="B9">
        <f t="shared" ca="1" si="0"/>
        <v>-101.76412861606769</v>
      </c>
      <c r="E9" s="212" t="s">
        <v>231</v>
      </c>
      <c r="F9">
        <f t="shared" ca="1" si="1"/>
        <v>-35.311749812969033</v>
      </c>
    </row>
    <row r="10" spans="1:10" x14ac:dyDescent="0.2">
      <c r="A10" s="42" t="s">
        <v>236</v>
      </c>
      <c r="B10" s="25">
        <f ca="1">B2+B3+B4+B5+B6+B7+B8+B9</f>
        <v>524.86045092672725</v>
      </c>
      <c r="C10" t="s">
        <v>234</v>
      </c>
      <c r="D10" s="25">
        <f ca="1">SUM(L103:CN103)</f>
        <v>524.86045092672759</v>
      </c>
      <c r="E10" s="251" t="s">
        <v>461</v>
      </c>
      <c r="F10">
        <f t="shared" ca="1" si="1"/>
        <v>23.192071738408508</v>
      </c>
    </row>
    <row r="11" spans="1:10" x14ac:dyDescent="0.2">
      <c r="A11" s="251" t="s">
        <v>230</v>
      </c>
      <c r="B11" s="25">
        <f ca="1">-SUM(L110:CN110)</f>
        <v>-53.889592737956534</v>
      </c>
      <c r="E11" s="251" t="s">
        <v>462</v>
      </c>
      <c r="F11">
        <f t="shared" ca="1" si="1"/>
        <v>-418.80280664514447</v>
      </c>
    </row>
    <row r="12" spans="1:10" x14ac:dyDescent="0.2">
      <c r="A12" s="42" t="s">
        <v>237</v>
      </c>
      <c r="B12" s="25">
        <f ca="1">B10+B11</f>
        <v>470.97085818877071</v>
      </c>
      <c r="C12" t="s">
        <v>234</v>
      </c>
      <c r="D12" s="25">
        <f ca="1">SUM(L104:CN104)</f>
        <v>470.97085818877105</v>
      </c>
      <c r="E12" s="212" t="s">
        <v>270</v>
      </c>
      <c r="F12">
        <f t="shared" ca="1" si="1"/>
        <v>-208.00826251447</v>
      </c>
    </row>
    <row r="13" spans="1:10" x14ac:dyDescent="0.2">
      <c r="A13" s="249" t="s">
        <v>339</v>
      </c>
      <c r="B13" s="25">
        <f ca="1">SUM(L106:CN106)</f>
        <v>24.534854636838038</v>
      </c>
      <c r="D13" s="25"/>
      <c r="E13" s="212" t="s">
        <v>271</v>
      </c>
      <c r="F13">
        <f t="shared" ca="1" si="1"/>
        <v>-101.76412861606769</v>
      </c>
    </row>
    <row r="14" spans="1:10" x14ac:dyDescent="0.2">
      <c r="A14" s="249" t="s">
        <v>266</v>
      </c>
      <c r="B14" s="25">
        <f ca="1">SUM(L108:CN108)</f>
        <v>-87.810709849532216</v>
      </c>
      <c r="D14" s="25"/>
      <c r="E14" s="248" t="s">
        <v>236</v>
      </c>
      <c r="F14" s="25">
        <f ca="1">SUM(F7:F13)</f>
        <v>524.86045092672725</v>
      </c>
      <c r="G14" t="s">
        <v>234</v>
      </c>
      <c r="H14" s="25">
        <f ca="1">SUM(L103:CN103)</f>
        <v>524.86045092672759</v>
      </c>
      <c r="I14" s="242">
        <f ca="1">F14-H14</f>
        <v>0</v>
      </c>
    </row>
    <row r="15" spans="1:10" x14ac:dyDescent="0.2">
      <c r="A15" s="249" t="s">
        <v>267</v>
      </c>
      <c r="B15" s="25">
        <f ca="1">SUM(L107:CN107)</f>
        <v>226.96776257776338</v>
      </c>
      <c r="D15" s="25"/>
      <c r="E15" s="212" t="s">
        <v>341</v>
      </c>
      <c r="F15" s="25">
        <f ca="1">-SUM(L110:CN110)</f>
        <v>-53.889592737956534</v>
      </c>
    </row>
    <row r="16" spans="1:10" x14ac:dyDescent="0.2">
      <c r="A16" s="249" t="s">
        <v>340</v>
      </c>
      <c r="B16" s="25">
        <f ca="1">-SUM(L119:CN119)</f>
        <v>-5.2099655352094568E-4</v>
      </c>
      <c r="D16" s="25"/>
      <c r="E16" s="248" t="s">
        <v>237</v>
      </c>
      <c r="F16" s="25">
        <f ca="1">F14+F15</f>
        <v>470.97085818877071</v>
      </c>
    </row>
    <row r="17" spans="1:9" x14ac:dyDescent="0.2">
      <c r="A17" s="36" t="s">
        <v>278</v>
      </c>
      <c r="B17" s="25">
        <f ca="1">SUM(B12:B16)</f>
        <v>634.66224455728639</v>
      </c>
      <c r="C17" t="s">
        <v>234</v>
      </c>
      <c r="D17" s="25">
        <f ca="1">SUM(L122:CN122)</f>
        <v>634.66224455728707</v>
      </c>
      <c r="E17" s="249" t="s">
        <v>339</v>
      </c>
      <c r="F17" s="25">
        <f ca="1">SUM(L106:CN106)</f>
        <v>24.534854636838038</v>
      </c>
    </row>
    <row r="18" spans="1:9" x14ac:dyDescent="0.2">
      <c r="A18" s="36"/>
      <c r="B18" s="25"/>
      <c r="D18" s="25"/>
      <c r="E18" s="249" t="s">
        <v>266</v>
      </c>
      <c r="F18" s="25">
        <f ca="1">SUM(L108:CN108)</f>
        <v>-87.810709849532216</v>
      </c>
    </row>
    <row r="19" spans="1:9" x14ac:dyDescent="0.2">
      <c r="A19" s="36"/>
      <c r="B19" s="25"/>
      <c r="D19" s="25"/>
      <c r="E19" s="249" t="s">
        <v>267</v>
      </c>
      <c r="F19" s="25">
        <f ca="1">SUM(L107:CN107)</f>
        <v>226.96776257776338</v>
      </c>
    </row>
    <row r="20" spans="1:9" x14ac:dyDescent="0.2">
      <c r="E20" s="249" t="s">
        <v>340</v>
      </c>
      <c r="F20" s="25">
        <f ca="1">-SUM(L119:CN119)</f>
        <v>-5.2099655352094568E-4</v>
      </c>
    </row>
    <row r="21" spans="1:9" x14ac:dyDescent="0.2">
      <c r="E21" s="250" t="s">
        <v>278</v>
      </c>
      <c r="F21" s="25">
        <f ca="1">SUM(F16:F20)</f>
        <v>634.66224455728639</v>
      </c>
      <c r="G21" t="s">
        <v>234</v>
      </c>
      <c r="H21" s="25">
        <f ca="1">F3+F4+F5+F6+F8+F9+F10+F11+F12+F13+F15+F17+F18+F19+F20</f>
        <v>634.66224455728639</v>
      </c>
      <c r="I21" s="242">
        <f ca="1">F21-H21</f>
        <v>0</v>
      </c>
    </row>
    <row r="22" spans="1:9" x14ac:dyDescent="0.2">
      <c r="A22" s="21" t="s">
        <v>254</v>
      </c>
      <c r="E22" s="25"/>
    </row>
    <row r="23" spans="1:9" x14ac:dyDescent="0.2">
      <c r="B23" s="25"/>
      <c r="E23" s="25"/>
    </row>
    <row r="24" spans="1:9" x14ac:dyDescent="0.2">
      <c r="A24" s="21" t="s">
        <v>235</v>
      </c>
      <c r="B24" s="25">
        <f ca="1">SUM(L76:CN76)</f>
        <v>1326.0579520861309</v>
      </c>
    </row>
    <row r="25" spans="1:9" x14ac:dyDescent="0.2">
      <c r="A25" s="208" t="s">
        <v>238</v>
      </c>
      <c r="B25">
        <f t="shared" ref="B25:B30" ca="1" si="2">SUM(L91:CN91)</f>
        <v>-60.502625309160663</v>
      </c>
    </row>
    <row r="26" spans="1:9" x14ac:dyDescent="0.2">
      <c r="A26" s="251" t="s">
        <v>231</v>
      </c>
      <c r="B26">
        <f t="shared" ca="1" si="2"/>
        <v>-35.311749812969033</v>
      </c>
    </row>
    <row r="27" spans="1:9" x14ac:dyDescent="0.2">
      <c r="A27" s="251" t="s">
        <v>461</v>
      </c>
      <c r="B27">
        <f t="shared" ca="1" si="2"/>
        <v>23.192071738408508</v>
      </c>
    </row>
    <row r="28" spans="1:9" x14ac:dyDescent="0.2">
      <c r="A28" s="251" t="s">
        <v>462</v>
      </c>
      <c r="B28">
        <f t="shared" ca="1" si="2"/>
        <v>-418.80280664514447</v>
      </c>
      <c r="F28" s="178" t="s">
        <v>421</v>
      </c>
    </row>
    <row r="29" spans="1:9" x14ac:dyDescent="0.2">
      <c r="A29" s="251" t="s">
        <v>268</v>
      </c>
      <c r="B29">
        <f t="shared" ca="1" si="2"/>
        <v>-208.00826251447</v>
      </c>
      <c r="E29" s="21" t="s">
        <v>279</v>
      </c>
      <c r="F29" s="25">
        <f ca="1">SUM(L88:CN88)</f>
        <v>2136.6642242837129</v>
      </c>
    </row>
    <row r="30" spans="1:9" x14ac:dyDescent="0.2">
      <c r="A30" s="251" t="s">
        <v>269</v>
      </c>
      <c r="B30">
        <f t="shared" ca="1" si="2"/>
        <v>-101.76412861606769</v>
      </c>
      <c r="H30" s="25">
        <f ca="1">SUM(L79:CN79)+SUM(B84:CN84)</f>
        <v>63.885895888010651</v>
      </c>
      <c r="I30" s="249" t="s">
        <v>338</v>
      </c>
    </row>
    <row r="31" spans="1:9" x14ac:dyDescent="0.2">
      <c r="A31" s="248" t="s">
        <v>236</v>
      </c>
      <c r="B31" s="25">
        <f ca="1">SUM([9]WaterfallData2050!B24:B30)</f>
        <v>436.98500472431903</v>
      </c>
      <c r="H31" s="25">
        <f ca="1">SUM(L80:CN80)</f>
        <v>565.70214515907151</v>
      </c>
      <c r="I31" s="249" t="s">
        <v>264</v>
      </c>
    </row>
    <row r="32" spans="1:9" x14ac:dyDescent="0.2">
      <c r="A32" s="251"/>
      <c r="H32" s="25">
        <f ca="1">SUM(L81:CN81)</f>
        <v>181.01823115050004</v>
      </c>
      <c r="I32" s="249" t="s">
        <v>265</v>
      </c>
    </row>
    <row r="33" spans="1:9" x14ac:dyDescent="0.2">
      <c r="A33" s="251"/>
      <c r="E33" s="249"/>
      <c r="F33" s="25"/>
      <c r="G33" s="25">
        <f ca="1">F29-H30-H31-H32</f>
        <v>1326.0579520861309</v>
      </c>
      <c r="H33" s="21" t="s">
        <v>344</v>
      </c>
    </row>
    <row r="34" spans="1:9" x14ac:dyDescent="0.2">
      <c r="E34" s="211" t="s">
        <v>238</v>
      </c>
      <c r="F34" s="25">
        <f t="shared" ref="F34:F39" ca="1" si="3">SUM(L91:CN91)</f>
        <v>-60.502625309160663</v>
      </c>
    </row>
    <row r="35" spans="1:9" x14ac:dyDescent="0.2">
      <c r="A35" t="str">
        <f>E29</f>
        <v>Total Anthropogenic Emissions Ref</v>
      </c>
      <c r="B35">
        <f ca="1">F29</f>
        <v>2136.6642242837129</v>
      </c>
      <c r="E35" s="212" t="s">
        <v>231</v>
      </c>
      <c r="F35" s="25">
        <f t="shared" ca="1" si="3"/>
        <v>-35.311749812969033</v>
      </c>
    </row>
    <row r="36" spans="1:9" x14ac:dyDescent="0.2">
      <c r="A36" t="str">
        <f t="shared" ref="A36:B41" si="4">E34</f>
        <v>∆PEDEq/FE (ESLF)</v>
      </c>
      <c r="B36">
        <f t="shared" ca="1" si="4"/>
        <v>-60.502625309160663</v>
      </c>
      <c r="E36" s="251" t="s">
        <v>461</v>
      </c>
      <c r="F36" s="25">
        <f t="shared" ca="1" si="3"/>
        <v>23.192071738408508</v>
      </c>
    </row>
    <row r="37" spans="1:9" x14ac:dyDescent="0.2">
      <c r="A37" t="str">
        <f t="shared" si="4"/>
        <v xml:space="preserve">∆P  </v>
      </c>
      <c r="B37">
        <f t="shared" ca="1" si="4"/>
        <v>-35.311749812969033</v>
      </c>
      <c r="E37" s="251" t="s">
        <v>462</v>
      </c>
      <c r="F37" s="25">
        <f t="shared" ca="1" si="3"/>
        <v>-418.80280664514447</v>
      </c>
    </row>
    <row r="38" spans="1:9" x14ac:dyDescent="0.2">
      <c r="A38" t="str">
        <f t="shared" si="4"/>
        <v>∆GNP/P</v>
      </c>
      <c r="B38">
        <f t="shared" ca="1" si="4"/>
        <v>23.192071738408508</v>
      </c>
      <c r="E38" s="212" t="s">
        <v>270</v>
      </c>
      <c r="F38" s="25">
        <f t="shared" ca="1" si="3"/>
        <v>-208.00826251447</v>
      </c>
    </row>
    <row r="39" spans="1:9" x14ac:dyDescent="0.2">
      <c r="A39" t="str">
        <f t="shared" si="4"/>
        <v xml:space="preserve">∆FE/GNP </v>
      </c>
      <c r="B39">
        <f t="shared" ca="1" si="4"/>
        <v>-418.80280664514447</v>
      </c>
      <c r="E39" s="212" t="s">
        <v>271</v>
      </c>
      <c r="F39" s="25">
        <f t="shared" ca="1" si="3"/>
        <v>-101.76412861606769</v>
      </c>
    </row>
    <row r="40" spans="1:9" x14ac:dyDescent="0.2">
      <c r="A40" t="str">
        <f t="shared" si="4"/>
        <v xml:space="preserve">∆PEFF/PEDEq </v>
      </c>
      <c r="B40">
        <f t="shared" ca="1" si="4"/>
        <v>-208.00826251447</v>
      </c>
      <c r="E40" s="249"/>
      <c r="F40" s="25"/>
      <c r="G40" s="25">
        <f ca="1">G33+SUM(F34:F39)</f>
        <v>524.86045092672748</v>
      </c>
      <c r="H40" s="21" t="s">
        <v>345</v>
      </c>
    </row>
    <row r="41" spans="1:9" x14ac:dyDescent="0.2">
      <c r="A41" t="str">
        <f t="shared" si="4"/>
        <v xml:space="preserve">∆TFC/PEFF </v>
      </c>
      <c r="B41">
        <f t="shared" ca="1" si="4"/>
        <v>-101.76412861606769</v>
      </c>
      <c r="H41" s="25">
        <f ca="1">-SUM(L110:CN110)</f>
        <v>-53.889592737956534</v>
      </c>
      <c r="I41" s="249" t="s">
        <v>275</v>
      </c>
    </row>
    <row r="42" spans="1:9" x14ac:dyDescent="0.2">
      <c r="A42" t="str">
        <f t="shared" ref="A42:B48" si="5">E53</f>
        <v>∆Total Industry Carbon (TIC)</v>
      </c>
      <c r="B42">
        <f t="shared" ca="1" si="5"/>
        <v>-10.265441885945622</v>
      </c>
      <c r="E42" s="249"/>
      <c r="F42" s="25"/>
      <c r="G42" s="25">
        <f ca="1">G40+H41</f>
        <v>470.97085818877093</v>
      </c>
      <c r="H42" s="21" t="s">
        <v>346</v>
      </c>
    </row>
    <row r="43" spans="1:9" x14ac:dyDescent="0.2">
      <c r="A43" t="str">
        <f t="shared" si="5"/>
        <v xml:space="preserve">∆Land Use </v>
      </c>
      <c r="B43">
        <f t="shared" ca="1" si="5"/>
        <v>-268.82894100003222</v>
      </c>
      <c r="H43" s="25">
        <f ca="1">SUM(L106:CN106)</f>
        <v>24.534854636838038</v>
      </c>
      <c r="I43" s="249" t="s">
        <v>339</v>
      </c>
    </row>
    <row r="44" spans="1:9" x14ac:dyDescent="0.2">
      <c r="A44" t="str">
        <f t="shared" si="5"/>
        <v xml:space="preserve">∆Other Gases </v>
      </c>
      <c r="B44">
        <f t="shared" ca="1" si="5"/>
        <v>-338.73438258130795</v>
      </c>
      <c r="H44" s="25">
        <f ca="1">SUM(L108:CN108)</f>
        <v>-87.810709849532216</v>
      </c>
      <c r="I44" s="249" t="s">
        <v>266</v>
      </c>
    </row>
    <row r="45" spans="1:9" x14ac:dyDescent="0.2">
      <c r="A45" t="str">
        <f t="shared" si="5"/>
        <v>Total Anthropogenic Emissions Int</v>
      </c>
      <c r="B45">
        <f t="shared" ca="1" si="5"/>
        <v>717.63795765702366</v>
      </c>
      <c r="H45" s="25">
        <f ca="1">SUM(L107:CN107)</f>
        <v>226.96776257776338</v>
      </c>
      <c r="I45" s="249" t="s">
        <v>267</v>
      </c>
    </row>
    <row r="46" spans="1:9" x14ac:dyDescent="0.2">
      <c r="A46" t="str">
        <f t="shared" si="5"/>
        <v>Fossil CCS Int</v>
      </c>
      <c r="B46">
        <f t="shared" ca="1" si="5"/>
        <v>-82.975192103183502</v>
      </c>
      <c r="H46" s="25">
        <f ca="1">-SUM(L119:CN119)</f>
        <v>-5.2099655352094568E-4</v>
      </c>
      <c r="I46" s="249" t="s">
        <v>347</v>
      </c>
    </row>
    <row r="47" spans="1:9" x14ac:dyDescent="0.2">
      <c r="A47" t="str">
        <f t="shared" si="5"/>
        <v>Biomass CCS Int</v>
      </c>
      <c r="B47">
        <f t="shared" ca="1" si="5"/>
        <v>-5.2099655352094568E-4</v>
      </c>
      <c r="E47" s="249"/>
      <c r="F47" s="25"/>
      <c r="G47" s="25">
        <f ca="1">G42+H43+H44+H45+H46</f>
        <v>634.66224455728661</v>
      </c>
      <c r="H47" s="250" t="s">
        <v>278</v>
      </c>
    </row>
    <row r="48" spans="1:9" x14ac:dyDescent="0.2">
      <c r="A48" t="str">
        <f t="shared" si="5"/>
        <v>Net Anthropogenic Emissions Int</v>
      </c>
      <c r="B48">
        <f t="shared" ca="1" si="5"/>
        <v>634.66224455728707</v>
      </c>
      <c r="H48" s="25">
        <f ca="1">SUM(L110:CN110)</f>
        <v>53.889592737956534</v>
      </c>
      <c r="I48" s="249" t="s">
        <v>275</v>
      </c>
    </row>
    <row r="49" spans="5:10" x14ac:dyDescent="0.2">
      <c r="H49" s="25">
        <f ca="1">SUM(L111:CN111)</f>
        <v>29.085599365227001</v>
      </c>
      <c r="I49" t="s">
        <v>342</v>
      </c>
    </row>
    <row r="50" spans="5:10" x14ac:dyDescent="0.2">
      <c r="H50" s="25">
        <f ca="1">SUM(L119:CN119)</f>
        <v>5.2099655352094568E-4</v>
      </c>
      <c r="I50" s="249" t="s">
        <v>347</v>
      </c>
    </row>
    <row r="51" spans="5:10" x14ac:dyDescent="0.2">
      <c r="H51" s="25">
        <f ca="1">SUM(L121:CN121)</f>
        <v>0</v>
      </c>
      <c r="I51" s="25" t="s">
        <v>348</v>
      </c>
    </row>
    <row r="52" spans="5:10" x14ac:dyDescent="0.2">
      <c r="E52" s="249"/>
      <c r="F52" s="25"/>
      <c r="G52" s="25">
        <f ca="1">G47+H48+H49+H50+H51</f>
        <v>717.63795765702366</v>
      </c>
      <c r="H52" s="248" t="s">
        <v>277</v>
      </c>
    </row>
    <row r="53" spans="5:10" x14ac:dyDescent="0.2">
      <c r="E53" s="249" t="s">
        <v>349</v>
      </c>
      <c r="F53" s="25">
        <f ca="1">SUM(L97:CN97)</f>
        <v>-10.265441885945622</v>
      </c>
    </row>
    <row r="54" spans="5:10" x14ac:dyDescent="0.2">
      <c r="E54" s="249" t="s">
        <v>272</v>
      </c>
      <c r="F54" s="25">
        <f ca="1">SUM(L98:CN98)</f>
        <v>-268.82894100003222</v>
      </c>
    </row>
    <row r="55" spans="5:10" x14ac:dyDescent="0.2">
      <c r="E55" s="249" t="s">
        <v>273</v>
      </c>
      <c r="F55" s="25">
        <f ca="1">SUM(L99:CN99)</f>
        <v>-338.73438258130795</v>
      </c>
    </row>
    <row r="56" spans="5:10" x14ac:dyDescent="0.2">
      <c r="E56" s="248" t="s">
        <v>277</v>
      </c>
      <c r="F56" s="25">
        <f ca="1">SUM(L115:CN115)</f>
        <v>717.63795765702366</v>
      </c>
      <c r="G56" s="25">
        <f ca="1">F14+F18+F19+F17+SUM(L111:CN111)</f>
        <v>717.63795765702355</v>
      </c>
      <c r="H56" s="25">
        <f ca="1">F29-H30-H31-H32+F34+F35+F36+F37+F38+F39+H43+H44+H45+H46+H49+H50+H51</f>
        <v>717.63795765702355</v>
      </c>
      <c r="I56" s="25">
        <f ca="1">SUM(L116:CN116)</f>
        <v>717.63795765702355</v>
      </c>
      <c r="J56" s="242">
        <f ca="1">I56-F56</f>
        <v>0</v>
      </c>
    </row>
    <row r="57" spans="5:10" x14ac:dyDescent="0.2">
      <c r="E57" s="212" t="s">
        <v>337</v>
      </c>
      <c r="F57" s="25">
        <f ca="1">-SUM(L110:CN111)</f>
        <v>-82.975192103183502</v>
      </c>
      <c r="G57" s="25"/>
    </row>
    <row r="58" spans="5:10" x14ac:dyDescent="0.2">
      <c r="E58" s="249" t="s">
        <v>276</v>
      </c>
      <c r="F58" s="25">
        <f ca="1">-SUM(L112:CN113)</f>
        <v>-5.2099655352094568E-4</v>
      </c>
    </row>
    <row r="59" spans="5:10" x14ac:dyDescent="0.2">
      <c r="E59" s="250" t="s">
        <v>278</v>
      </c>
      <c r="F59" s="25">
        <f ca="1">SUM(L122:CN122)</f>
        <v>634.66224455728707</v>
      </c>
      <c r="G59" s="25">
        <f ca="1">G56+F57+F58</f>
        <v>634.6622445572865</v>
      </c>
      <c r="I59" s="242">
        <f ca="1">G59-F59</f>
        <v>0</v>
      </c>
    </row>
    <row r="60" spans="5:10" x14ac:dyDescent="0.2">
      <c r="G60" s="243"/>
    </row>
    <row r="75" spans="1:92" ht="18" customHeight="1" x14ac:dyDescent="0.2">
      <c r="A75" s="21" t="s">
        <v>331</v>
      </c>
      <c r="B75" s="238">
        <v>2010</v>
      </c>
      <c r="C75" s="238">
        <v>2011</v>
      </c>
      <c r="D75" s="238">
        <v>2012</v>
      </c>
      <c r="E75" s="238">
        <v>2013</v>
      </c>
      <c r="F75" s="238">
        <v>2014</v>
      </c>
      <c r="G75" s="238">
        <v>2015</v>
      </c>
      <c r="H75" s="238">
        <v>2016</v>
      </c>
      <c r="I75" s="238">
        <v>2017</v>
      </c>
      <c r="J75" s="238">
        <v>2018</v>
      </c>
      <c r="K75" s="238">
        <v>2019</v>
      </c>
      <c r="L75" s="238">
        <v>2020</v>
      </c>
      <c r="M75" s="238">
        <v>2021</v>
      </c>
      <c r="N75" s="238">
        <v>2022</v>
      </c>
      <c r="O75" s="238">
        <v>2023</v>
      </c>
      <c r="P75" s="238">
        <v>2024</v>
      </c>
      <c r="Q75" s="238">
        <v>2025</v>
      </c>
      <c r="R75" s="238">
        <v>2026</v>
      </c>
      <c r="S75" s="238">
        <v>2027</v>
      </c>
      <c r="T75" s="238">
        <v>2028</v>
      </c>
      <c r="U75" s="238">
        <v>2029</v>
      </c>
      <c r="V75" s="238">
        <v>2030</v>
      </c>
      <c r="W75" s="238">
        <v>2031</v>
      </c>
      <c r="X75" s="238">
        <v>2032</v>
      </c>
      <c r="Y75" s="238">
        <v>2033</v>
      </c>
      <c r="Z75" s="238">
        <v>2034</v>
      </c>
      <c r="AA75" s="238">
        <v>2035</v>
      </c>
      <c r="AB75" s="238">
        <v>2036</v>
      </c>
      <c r="AC75" s="238">
        <v>2037</v>
      </c>
      <c r="AD75" s="238">
        <v>2038</v>
      </c>
      <c r="AE75" s="238">
        <v>2039</v>
      </c>
      <c r="AF75" s="238">
        <v>2040</v>
      </c>
      <c r="AG75" s="238">
        <v>2041</v>
      </c>
      <c r="AH75" s="238">
        <v>2042</v>
      </c>
      <c r="AI75" s="238">
        <v>2043</v>
      </c>
      <c r="AJ75" s="238">
        <v>2044</v>
      </c>
      <c r="AK75" s="238">
        <v>2045</v>
      </c>
      <c r="AL75" s="238">
        <v>2046</v>
      </c>
      <c r="AM75" s="238">
        <v>2047</v>
      </c>
      <c r="AN75" s="238">
        <v>2048</v>
      </c>
      <c r="AO75" s="238">
        <v>2049</v>
      </c>
      <c r="AP75" s="238">
        <v>2050</v>
      </c>
      <c r="AQ75" s="238"/>
      <c r="AR75" s="238"/>
      <c r="AS75" s="238"/>
      <c r="AT75" s="238"/>
      <c r="AU75" s="238"/>
      <c r="AV75" s="238"/>
      <c r="AW75" s="238"/>
      <c r="AX75" s="238"/>
      <c r="AY75" s="238"/>
      <c r="AZ75" s="238"/>
      <c r="BA75" s="238"/>
      <c r="BB75" s="238"/>
      <c r="BC75" s="238"/>
      <c r="BD75" s="238"/>
      <c r="BE75" s="238"/>
      <c r="BF75" s="238"/>
      <c r="BG75" s="238"/>
      <c r="BH75" s="238"/>
      <c r="BI75" s="238"/>
      <c r="BJ75" s="238"/>
      <c r="BK75" s="238"/>
      <c r="BL75" s="238"/>
      <c r="BM75" s="238"/>
      <c r="BN75" s="238"/>
      <c r="BO75" s="238"/>
      <c r="BP75" s="238"/>
      <c r="BQ75" s="238"/>
      <c r="BR75" s="238"/>
      <c r="BS75" s="238"/>
      <c r="BT75" s="238"/>
      <c r="BU75" s="238"/>
      <c r="BV75" s="238"/>
      <c r="BW75" s="238"/>
      <c r="BX75" s="238"/>
      <c r="BY75" s="238"/>
      <c r="BZ75" s="238"/>
      <c r="CA75" s="238"/>
      <c r="CB75" s="238"/>
      <c r="CC75" s="238"/>
      <c r="CD75" s="238"/>
      <c r="CE75" s="238"/>
      <c r="CF75" s="238"/>
      <c r="CG75" s="238"/>
      <c r="CH75" s="238"/>
      <c r="CI75" s="238"/>
      <c r="CJ75" s="238"/>
      <c r="CK75" s="238"/>
      <c r="CL75" s="238"/>
      <c r="CM75" s="238"/>
      <c r="CN75" s="238"/>
    </row>
    <row r="76" spans="1:92" x14ac:dyDescent="0.2">
      <c r="A76" s="25" t="s">
        <v>43</v>
      </c>
      <c r="B76" s="25">
        <f t="shared" ref="B76:AP76" ca="1" si="6">B77+B83</f>
        <v>30.490629196166992</v>
      </c>
      <c r="C76" s="25">
        <f t="shared" ca="1" si="6"/>
        <v>31.083483600616454</v>
      </c>
      <c r="D76" s="25">
        <f t="shared" ca="1" si="6"/>
        <v>31.676338005065915</v>
      </c>
      <c r="E76" s="25">
        <f t="shared" ca="1" si="6"/>
        <v>32.269192409515377</v>
      </c>
      <c r="F76" s="25">
        <f t="shared" ca="1" si="6"/>
        <v>32.862046813964838</v>
      </c>
      <c r="G76" s="25">
        <f t="shared" ca="1" si="6"/>
        <v>33.4549012184143</v>
      </c>
      <c r="H76" s="25">
        <f t="shared" ca="1" si="6"/>
        <v>34.047755622863761</v>
      </c>
      <c r="I76" s="25">
        <f t="shared" ca="1" si="6"/>
        <v>34.640610027313222</v>
      </c>
      <c r="J76" s="25">
        <f t="shared" ca="1" si="6"/>
        <v>35.233464431762684</v>
      </c>
      <c r="K76" s="25">
        <f t="shared" ca="1" si="6"/>
        <v>35.826318836212145</v>
      </c>
      <c r="L76" s="25">
        <f t="shared" ca="1" si="6"/>
        <v>36.419173240661621</v>
      </c>
      <c r="M76" s="25">
        <f t="shared" ca="1" si="6"/>
        <v>36.895120684305823</v>
      </c>
      <c r="N76" s="25">
        <f t="shared" ca="1" si="6"/>
        <v>37.371068127950025</v>
      </c>
      <c r="O76" s="25">
        <f t="shared" ca="1" si="6"/>
        <v>37.847015571594227</v>
      </c>
      <c r="P76" s="25">
        <f t="shared" ca="1" si="6"/>
        <v>38.322963015238429</v>
      </c>
      <c r="Q76" s="25">
        <f t="shared" ca="1" si="6"/>
        <v>38.798910458882631</v>
      </c>
      <c r="R76" s="25">
        <f t="shared" ca="1" si="6"/>
        <v>39.274857902526833</v>
      </c>
      <c r="S76" s="25">
        <f t="shared" ca="1" si="6"/>
        <v>39.750805346171035</v>
      </c>
      <c r="T76" s="25">
        <f t="shared" ca="1" si="6"/>
        <v>40.226752789815237</v>
      </c>
      <c r="U76" s="25">
        <f t="shared" ca="1" si="6"/>
        <v>40.702700233459439</v>
      </c>
      <c r="V76" s="25">
        <f t="shared" ca="1" si="6"/>
        <v>41.178647677103676</v>
      </c>
      <c r="W76" s="25">
        <f t="shared" ca="1" si="6"/>
        <v>41.524608707427973</v>
      </c>
      <c r="X76" s="25">
        <f t="shared" ca="1" si="6"/>
        <v>41.870569737752277</v>
      </c>
      <c r="Y76" s="25">
        <f t="shared" ca="1" si="6"/>
        <v>42.216530768076581</v>
      </c>
      <c r="Z76" s="25">
        <f t="shared" ca="1" si="6"/>
        <v>42.562491798400885</v>
      </c>
      <c r="AA76" s="25">
        <f t="shared" ca="1" si="6"/>
        <v>42.908452828725189</v>
      </c>
      <c r="AB76" s="25">
        <f t="shared" ca="1" si="6"/>
        <v>43.254413859049492</v>
      </c>
      <c r="AC76" s="25">
        <f t="shared" ca="1" si="6"/>
        <v>43.600374889373796</v>
      </c>
      <c r="AD76" s="25">
        <f t="shared" ca="1" si="6"/>
        <v>43.9463359196981</v>
      </c>
      <c r="AE76" s="25">
        <f t="shared" ca="1" si="6"/>
        <v>44.292296950022404</v>
      </c>
      <c r="AF76" s="25">
        <f t="shared" ca="1" si="6"/>
        <v>44.63825798034668</v>
      </c>
      <c r="AG76" s="25">
        <f t="shared" ca="1" si="6"/>
        <v>45.039585685729982</v>
      </c>
      <c r="AH76" s="25">
        <f t="shared" ca="1" si="6"/>
        <v>45.440913391113284</v>
      </c>
      <c r="AI76" s="25">
        <f t="shared" ca="1" si="6"/>
        <v>45.842241096496586</v>
      </c>
      <c r="AJ76" s="25">
        <f t="shared" ca="1" si="6"/>
        <v>46.243568801879888</v>
      </c>
      <c r="AK76" s="25">
        <f t="shared" ca="1" si="6"/>
        <v>46.644896507263191</v>
      </c>
      <c r="AL76" s="25">
        <f t="shared" ca="1" si="6"/>
        <v>47.046224212646493</v>
      </c>
      <c r="AM76" s="25">
        <f t="shared" ca="1" si="6"/>
        <v>47.447551918029795</v>
      </c>
      <c r="AN76" s="25">
        <f t="shared" ca="1" si="6"/>
        <v>47.848879623413097</v>
      </c>
      <c r="AO76" s="25">
        <f t="shared" ca="1" si="6"/>
        <v>48.2502073287964</v>
      </c>
      <c r="AP76" s="25">
        <f t="shared" ca="1" si="6"/>
        <v>48.651535034179688</v>
      </c>
      <c r="AQ76" s="25"/>
      <c r="AR76" s="25"/>
      <c r="AS76" s="25"/>
      <c r="AT76" s="25"/>
      <c r="AU76" s="25"/>
      <c r="AV76" s="25"/>
      <c r="AW76" s="25"/>
      <c r="AX76" s="25"/>
      <c r="AY76" s="25"/>
      <c r="AZ76" s="25"/>
      <c r="BA76" s="25"/>
      <c r="BB76" s="25"/>
      <c r="BC76" s="25"/>
      <c r="BD76" s="25"/>
      <c r="BE76" s="25"/>
      <c r="BF76" s="25"/>
      <c r="BG76" s="25"/>
      <c r="BH76" s="25"/>
      <c r="BI76" s="25"/>
      <c r="BJ76" s="25"/>
      <c r="BK76" s="25"/>
      <c r="BL76" s="25"/>
      <c r="BM76" s="25"/>
      <c r="BN76" s="25"/>
      <c r="BO76" s="25"/>
      <c r="BP76" s="25"/>
      <c r="BQ76" s="25"/>
      <c r="BR76" s="25"/>
      <c r="BS76" s="25"/>
      <c r="BT76" s="25"/>
      <c r="BU76" s="25"/>
      <c r="BV76" s="25"/>
      <c r="BW76" s="25"/>
      <c r="BX76" s="25"/>
      <c r="BY76" s="25"/>
      <c r="BZ76" s="25"/>
      <c r="CA76" s="25"/>
      <c r="CB76" s="25"/>
      <c r="CC76" s="25"/>
      <c r="CD76" s="25"/>
      <c r="CE76" s="25"/>
      <c r="CF76" s="25"/>
      <c r="CG76" s="25"/>
      <c r="CH76" s="25"/>
      <c r="CI76" s="25"/>
      <c r="CJ76" s="25"/>
      <c r="CK76" s="25"/>
      <c r="CL76" s="25"/>
      <c r="CM76" s="25"/>
      <c r="CN76" s="25"/>
    </row>
    <row r="77" spans="1:92" x14ac:dyDescent="0.2">
      <c r="A77" s="25" t="str">
        <f>TotalEmissions!A34</f>
        <v>NFC</v>
      </c>
      <c r="B77" s="25">
        <f ca="1">TotalEmissions!B34</f>
        <v>30.490629196166992</v>
      </c>
      <c r="C77" s="25">
        <f t="shared" ref="C77:K77" ca="1" si="7">B77+(($L77-$B77)/($L$75-$B$75))</f>
        <v>31.083483600616454</v>
      </c>
      <c r="D77" s="25">
        <f t="shared" ca="1" si="7"/>
        <v>31.676338005065915</v>
      </c>
      <c r="E77" s="25">
        <f t="shared" ca="1" si="7"/>
        <v>32.269192409515377</v>
      </c>
      <c r="F77" s="25">
        <f t="shared" ca="1" si="7"/>
        <v>32.862046813964838</v>
      </c>
      <c r="G77" s="25">
        <f t="shared" ca="1" si="7"/>
        <v>33.4549012184143</v>
      </c>
      <c r="H77" s="25">
        <f t="shared" ca="1" si="7"/>
        <v>34.047755622863761</v>
      </c>
      <c r="I77" s="25">
        <f t="shared" ca="1" si="7"/>
        <v>34.640610027313222</v>
      </c>
      <c r="J77" s="25">
        <f t="shared" ca="1" si="7"/>
        <v>35.233464431762684</v>
      </c>
      <c r="K77" s="25">
        <f t="shared" ca="1" si="7"/>
        <v>35.826318836212145</v>
      </c>
      <c r="L77" s="25">
        <f ca="1">TotalEmissions!C34</f>
        <v>36.419173240661621</v>
      </c>
      <c r="M77" s="25">
        <f t="shared" ref="M77:U77" ca="1" si="8">L77+(($V77-$L77)/($V$75-$L$75))</f>
        <v>36.895120684305823</v>
      </c>
      <c r="N77" s="25">
        <f t="shared" ca="1" si="8"/>
        <v>37.371068127950025</v>
      </c>
      <c r="O77" s="25">
        <f t="shared" ca="1" si="8"/>
        <v>37.847015571594227</v>
      </c>
      <c r="P77" s="25">
        <f t="shared" ca="1" si="8"/>
        <v>38.322963015238429</v>
      </c>
      <c r="Q77" s="25">
        <f t="shared" ca="1" si="8"/>
        <v>38.798910458882631</v>
      </c>
      <c r="R77" s="25">
        <f t="shared" ca="1" si="8"/>
        <v>39.274857902526833</v>
      </c>
      <c r="S77" s="25">
        <f t="shared" ca="1" si="8"/>
        <v>39.750805346171035</v>
      </c>
      <c r="T77" s="25">
        <f t="shared" ca="1" si="8"/>
        <v>40.226752789815237</v>
      </c>
      <c r="U77" s="25">
        <f t="shared" ca="1" si="8"/>
        <v>40.702700233459439</v>
      </c>
      <c r="V77" s="25">
        <f ca="1">TotalEmissions!D34</f>
        <v>41.178647677103676</v>
      </c>
      <c r="W77" s="25">
        <f t="shared" ref="W77:AE77" ca="1" si="9">V77+(($AF77-$V77)/($AF$75-$V$75))</f>
        <v>41.524608707427973</v>
      </c>
      <c r="X77" s="25">
        <f t="shared" ca="1" si="9"/>
        <v>41.870569737752277</v>
      </c>
      <c r="Y77" s="25">
        <f t="shared" ca="1" si="9"/>
        <v>42.216530768076581</v>
      </c>
      <c r="Z77" s="25">
        <f t="shared" ca="1" si="9"/>
        <v>42.562491798400885</v>
      </c>
      <c r="AA77" s="25">
        <f t="shared" ca="1" si="9"/>
        <v>42.908452828725189</v>
      </c>
      <c r="AB77" s="25">
        <f t="shared" ca="1" si="9"/>
        <v>43.254413859049492</v>
      </c>
      <c r="AC77" s="25">
        <f t="shared" ca="1" si="9"/>
        <v>43.600374889373796</v>
      </c>
      <c r="AD77" s="25">
        <f t="shared" ca="1" si="9"/>
        <v>43.9463359196981</v>
      </c>
      <c r="AE77" s="25">
        <f t="shared" ca="1" si="9"/>
        <v>44.292296950022404</v>
      </c>
      <c r="AF77" s="25">
        <f ca="1">TotalEmissions!E34</f>
        <v>44.63825798034668</v>
      </c>
      <c r="AG77" s="25">
        <f t="shared" ref="AG77:AO77" ca="1" si="10">AF77+(($AP77-$AF77)/($AP$75-$AF$75))</f>
        <v>45.039585685729982</v>
      </c>
      <c r="AH77" s="25">
        <f t="shared" ca="1" si="10"/>
        <v>45.440913391113284</v>
      </c>
      <c r="AI77" s="25">
        <f t="shared" ca="1" si="10"/>
        <v>45.842241096496586</v>
      </c>
      <c r="AJ77" s="25">
        <f t="shared" ca="1" si="10"/>
        <v>46.243568801879888</v>
      </c>
      <c r="AK77" s="25">
        <f t="shared" ca="1" si="10"/>
        <v>46.644896507263191</v>
      </c>
      <c r="AL77" s="25">
        <f t="shared" ca="1" si="10"/>
        <v>47.046224212646493</v>
      </c>
      <c r="AM77" s="25">
        <f t="shared" ca="1" si="10"/>
        <v>47.447551918029795</v>
      </c>
      <c r="AN77" s="25">
        <f t="shared" ca="1" si="10"/>
        <v>47.848879623413097</v>
      </c>
      <c r="AO77" s="25">
        <f t="shared" ca="1" si="10"/>
        <v>48.2502073287964</v>
      </c>
      <c r="AP77" s="25">
        <f ca="1">TotalEmissions!F34</f>
        <v>48.651535034179688</v>
      </c>
      <c r="AQ77" s="25"/>
      <c r="AR77" s="25"/>
      <c r="AS77" s="25"/>
      <c r="AT77" s="25"/>
      <c r="AU77" s="25"/>
      <c r="AV77" s="25"/>
      <c r="AW77" s="25"/>
      <c r="AX77" s="25"/>
      <c r="AY77" s="25"/>
      <c r="AZ77" s="25"/>
      <c r="BA77" s="25"/>
      <c r="BB77" s="25"/>
      <c r="BC77" s="25"/>
      <c r="BD77" s="25"/>
      <c r="BE77" s="25"/>
      <c r="BF77" s="25"/>
      <c r="BG77" s="25"/>
      <c r="BH77" s="25"/>
      <c r="BI77" s="25"/>
      <c r="BJ77" s="25"/>
      <c r="BK77" s="25"/>
      <c r="BL77" s="25"/>
      <c r="BM77" s="25"/>
      <c r="BN77" s="25"/>
      <c r="BO77" s="25"/>
      <c r="BP77" s="25"/>
      <c r="BQ77" s="25"/>
      <c r="BR77" s="25"/>
      <c r="BS77" s="25"/>
      <c r="BT77" s="25"/>
      <c r="BU77" s="25"/>
      <c r="BV77" s="25"/>
      <c r="BW77" s="25"/>
      <c r="BX77" s="25"/>
      <c r="BY77" s="25"/>
      <c r="BZ77" s="25"/>
      <c r="CA77" s="25"/>
      <c r="CB77" s="25"/>
      <c r="CC77" s="25"/>
      <c r="CD77" s="25"/>
      <c r="CE77" s="25"/>
      <c r="CF77" s="25"/>
      <c r="CG77" s="25"/>
      <c r="CH77" s="25"/>
      <c r="CI77" s="25"/>
      <c r="CJ77" s="25"/>
      <c r="CK77" s="25"/>
      <c r="CL77" s="25"/>
      <c r="CM77" s="25"/>
      <c r="CN77" s="25"/>
    </row>
    <row r="78" spans="1:92" s="25" customFormat="1" ht="18" customHeight="1" x14ac:dyDescent="0.2">
      <c r="A78" s="25" t="s">
        <v>343</v>
      </c>
      <c r="B78" s="25">
        <f t="shared" ref="B78:AP78" ca="1" si="11">B79+B84</f>
        <v>1.6196451683839161</v>
      </c>
      <c r="C78" s="25">
        <f t="shared" ca="1" si="11"/>
        <v>1.6423196047544479</v>
      </c>
      <c r="D78" s="25">
        <f t="shared" ca="1" si="11"/>
        <v>1.6649940411249797</v>
      </c>
      <c r="E78" s="25">
        <f t="shared" ca="1" si="11"/>
        <v>1.6876684774955115</v>
      </c>
      <c r="F78" s="25">
        <f t="shared" ca="1" si="11"/>
        <v>1.7103429138660433</v>
      </c>
      <c r="G78" s="25">
        <f t="shared" ca="1" si="11"/>
        <v>1.7330173502365751</v>
      </c>
      <c r="H78" s="25">
        <f t="shared" ca="1" si="11"/>
        <v>1.7556917866071069</v>
      </c>
      <c r="I78" s="25">
        <f t="shared" ca="1" si="11"/>
        <v>1.7783662229776387</v>
      </c>
      <c r="J78" s="25">
        <f t="shared" ca="1" si="11"/>
        <v>1.8010406593481705</v>
      </c>
      <c r="K78" s="25">
        <f t="shared" ca="1" si="11"/>
        <v>1.8237150957187023</v>
      </c>
      <c r="L78" s="25">
        <f t="shared" ca="1" si="11"/>
        <v>1.8463895320892334</v>
      </c>
      <c r="M78" s="25">
        <f t="shared" ca="1" si="11"/>
        <v>1.8632360716660819</v>
      </c>
      <c r="N78" s="25">
        <f t="shared" ca="1" si="11"/>
        <v>1.8800826112429303</v>
      </c>
      <c r="O78" s="25">
        <f t="shared" ca="1" si="11"/>
        <v>1.8969291508197788</v>
      </c>
      <c r="P78" s="25">
        <f t="shared" ca="1" si="11"/>
        <v>1.9137756903966272</v>
      </c>
      <c r="Q78" s="25">
        <f t="shared" ca="1" si="11"/>
        <v>1.9306222299734757</v>
      </c>
      <c r="R78" s="25">
        <f t="shared" ca="1" si="11"/>
        <v>1.9474687695503241</v>
      </c>
      <c r="S78" s="25">
        <f t="shared" ca="1" si="11"/>
        <v>1.9643153091271726</v>
      </c>
      <c r="T78" s="25">
        <f t="shared" ca="1" si="11"/>
        <v>1.981161848704021</v>
      </c>
      <c r="U78" s="25">
        <f t="shared" ca="1" si="11"/>
        <v>1.9980083882808695</v>
      </c>
      <c r="V78" s="25">
        <f t="shared" ca="1" si="11"/>
        <v>2.014854927857717</v>
      </c>
      <c r="W78" s="25">
        <f t="shared" ca="1" si="11"/>
        <v>2.023089228073756</v>
      </c>
      <c r="X78" s="25">
        <f t="shared" ca="1" si="11"/>
        <v>2.031323528289795</v>
      </c>
      <c r="Y78" s="25">
        <f t="shared" ca="1" si="11"/>
        <v>2.039557828505834</v>
      </c>
      <c r="Z78" s="25">
        <f t="shared" ca="1" si="11"/>
        <v>2.047792128721873</v>
      </c>
      <c r="AA78" s="25">
        <f t="shared" ca="1" si="11"/>
        <v>2.056026428937912</v>
      </c>
      <c r="AB78" s="25">
        <f t="shared" ca="1" si="11"/>
        <v>2.064260729153951</v>
      </c>
      <c r="AC78" s="25">
        <f t="shared" ca="1" si="11"/>
        <v>2.07249502936999</v>
      </c>
      <c r="AD78" s="25">
        <f t="shared" ca="1" si="11"/>
        <v>2.080729329586029</v>
      </c>
      <c r="AE78" s="25">
        <f t="shared" ca="1" si="11"/>
        <v>2.088963629802068</v>
      </c>
      <c r="AF78" s="25">
        <f t="shared" ca="1" si="11"/>
        <v>2.0971979300181069</v>
      </c>
      <c r="AG78" s="25">
        <f t="shared" ca="1" si="11"/>
        <v>2.1167549530665077</v>
      </c>
      <c r="AH78" s="25">
        <f t="shared" ca="1" si="11"/>
        <v>2.1363119761149085</v>
      </c>
      <c r="AI78" s="25">
        <f t="shared" ca="1" si="11"/>
        <v>2.1558689991633093</v>
      </c>
      <c r="AJ78" s="25">
        <f t="shared" ca="1" si="11"/>
        <v>2.1754260222117101</v>
      </c>
      <c r="AK78" s="25">
        <f t="shared" ca="1" si="11"/>
        <v>2.1949830452601109</v>
      </c>
      <c r="AL78" s="25">
        <f t="shared" ca="1" si="11"/>
        <v>2.2145400683085117</v>
      </c>
      <c r="AM78" s="25">
        <f t="shared" ca="1" si="11"/>
        <v>2.2340970913569125</v>
      </c>
      <c r="AN78" s="25">
        <f t="shared" ca="1" si="11"/>
        <v>2.2536541144053133</v>
      </c>
      <c r="AO78" s="25">
        <f t="shared" ca="1" si="11"/>
        <v>2.2732111374537141</v>
      </c>
      <c r="AP78" s="25">
        <f t="shared" ca="1" si="11"/>
        <v>2.2927681605021157</v>
      </c>
    </row>
    <row r="79" spans="1:92" x14ac:dyDescent="0.2">
      <c r="A79" s="25" t="str">
        <f>TotalEmissions!A38</f>
        <v>NIC (Net Industry Carbon)</v>
      </c>
      <c r="B79" s="25">
        <f ca="1">TotalEmissions!B38</f>
        <v>1.6196451683839161</v>
      </c>
      <c r="C79" s="25">
        <f t="shared" ref="C79:K79" ca="1" si="12">B79+(($L79-$B79)/($L$75-$B$75))</f>
        <v>1.6423196047544479</v>
      </c>
      <c r="D79" s="25">
        <f t="shared" ca="1" si="12"/>
        <v>1.6649940411249797</v>
      </c>
      <c r="E79" s="25">
        <f t="shared" ca="1" si="12"/>
        <v>1.6876684774955115</v>
      </c>
      <c r="F79" s="25">
        <f t="shared" ca="1" si="12"/>
        <v>1.7103429138660433</v>
      </c>
      <c r="G79" s="25">
        <f t="shared" ca="1" si="12"/>
        <v>1.7330173502365751</v>
      </c>
      <c r="H79" s="25">
        <f t="shared" ca="1" si="12"/>
        <v>1.7556917866071069</v>
      </c>
      <c r="I79" s="25">
        <f t="shared" ca="1" si="12"/>
        <v>1.7783662229776387</v>
      </c>
      <c r="J79" s="25">
        <f t="shared" ca="1" si="12"/>
        <v>1.8010406593481705</v>
      </c>
      <c r="K79" s="25">
        <f t="shared" ca="1" si="12"/>
        <v>1.8237150957187023</v>
      </c>
      <c r="L79" s="25">
        <f ca="1">TotalEmissions!C38</f>
        <v>1.8463895320892334</v>
      </c>
      <c r="M79" s="25">
        <f t="shared" ref="M79:U79" ca="1" si="13">L79+(($V79-$L79)/($V$75-$L$75))</f>
        <v>1.8632360716660819</v>
      </c>
      <c r="N79" s="25">
        <f t="shared" ca="1" si="13"/>
        <v>1.8800826112429303</v>
      </c>
      <c r="O79" s="25">
        <f t="shared" ca="1" si="13"/>
        <v>1.8969291508197788</v>
      </c>
      <c r="P79" s="25">
        <f t="shared" ca="1" si="13"/>
        <v>1.9137756903966272</v>
      </c>
      <c r="Q79" s="25">
        <f t="shared" ca="1" si="13"/>
        <v>1.9306222299734757</v>
      </c>
      <c r="R79" s="25">
        <f t="shared" ca="1" si="13"/>
        <v>1.9474687695503241</v>
      </c>
      <c r="S79" s="25">
        <f t="shared" ca="1" si="13"/>
        <v>1.9643153091271726</v>
      </c>
      <c r="T79" s="25">
        <f t="shared" ca="1" si="13"/>
        <v>1.981161848704021</v>
      </c>
      <c r="U79" s="25">
        <f t="shared" ca="1" si="13"/>
        <v>1.9980083882808695</v>
      </c>
      <c r="V79" s="25">
        <f ca="1">TotalEmissions!D38</f>
        <v>2.014854927857717</v>
      </c>
      <c r="W79" s="25">
        <f t="shared" ref="W79:AE79" ca="1" si="14">V79+(($AF79-$V79)/($AF$75-$V$75))</f>
        <v>2.023089228073756</v>
      </c>
      <c r="X79" s="25">
        <f t="shared" ca="1" si="14"/>
        <v>2.031323528289795</v>
      </c>
      <c r="Y79" s="25">
        <f t="shared" ca="1" si="14"/>
        <v>2.039557828505834</v>
      </c>
      <c r="Z79" s="25">
        <f t="shared" ca="1" si="14"/>
        <v>2.047792128721873</v>
      </c>
      <c r="AA79" s="25">
        <f t="shared" ca="1" si="14"/>
        <v>2.056026428937912</v>
      </c>
      <c r="AB79" s="25">
        <f t="shared" ca="1" si="14"/>
        <v>2.064260729153951</v>
      </c>
      <c r="AC79" s="25">
        <f t="shared" ca="1" si="14"/>
        <v>2.07249502936999</v>
      </c>
      <c r="AD79" s="25">
        <f t="shared" ca="1" si="14"/>
        <v>2.080729329586029</v>
      </c>
      <c r="AE79" s="25">
        <f t="shared" ca="1" si="14"/>
        <v>2.088963629802068</v>
      </c>
      <c r="AF79" s="25">
        <f ca="1">TotalEmissions!E38</f>
        <v>2.0971979300181069</v>
      </c>
      <c r="AG79" s="25">
        <f t="shared" ref="AG79:AO79" ca="1" si="15">AF79+(($AP79-$AF79)/($AP$75-$AF$75))</f>
        <v>2.1167549530665077</v>
      </c>
      <c r="AH79" s="25">
        <f t="shared" ca="1" si="15"/>
        <v>2.1363119761149085</v>
      </c>
      <c r="AI79" s="25">
        <f t="shared" ca="1" si="15"/>
        <v>2.1558689991633093</v>
      </c>
      <c r="AJ79" s="25">
        <f t="shared" ca="1" si="15"/>
        <v>2.1754260222117101</v>
      </c>
      <c r="AK79" s="25">
        <f t="shared" ca="1" si="15"/>
        <v>2.1949830452601109</v>
      </c>
      <c r="AL79" s="25">
        <f t="shared" ca="1" si="15"/>
        <v>2.2145400683085117</v>
      </c>
      <c r="AM79" s="25">
        <f t="shared" ca="1" si="15"/>
        <v>2.2340970913569125</v>
      </c>
      <c r="AN79" s="25">
        <f t="shared" ca="1" si="15"/>
        <v>2.2536541144053133</v>
      </c>
      <c r="AO79" s="25">
        <f t="shared" ca="1" si="15"/>
        <v>2.2732111374537141</v>
      </c>
      <c r="AP79" s="25">
        <f ca="1">TotalEmissions!F38</f>
        <v>2.2927681605021157</v>
      </c>
      <c r="AQ79" s="25"/>
      <c r="AR79" s="25"/>
      <c r="AS79" s="25"/>
      <c r="AT79" s="25"/>
      <c r="AU79" s="25"/>
      <c r="AV79" s="25"/>
      <c r="AW79" s="25"/>
      <c r="AX79" s="25"/>
      <c r="AY79" s="25"/>
      <c r="AZ79" s="25"/>
      <c r="BA79" s="25"/>
      <c r="BB79" s="25"/>
      <c r="BC79" s="25"/>
      <c r="BD79" s="25"/>
      <c r="BE79" s="25"/>
      <c r="BF79" s="25"/>
      <c r="BG79" s="25"/>
      <c r="BH79" s="25"/>
      <c r="BI79" s="25"/>
      <c r="BJ79" s="25"/>
      <c r="BK79" s="25"/>
      <c r="BL79" s="25"/>
      <c r="BM79" s="25"/>
      <c r="BN79" s="25"/>
      <c r="BO79" s="25"/>
      <c r="BP79" s="25"/>
      <c r="BQ79" s="25"/>
      <c r="BR79" s="25"/>
      <c r="BS79" s="25"/>
      <c r="BT79" s="25"/>
      <c r="BU79" s="25"/>
      <c r="BV79" s="25"/>
      <c r="BW79" s="25"/>
      <c r="BX79" s="25"/>
      <c r="BY79" s="25"/>
      <c r="BZ79" s="25"/>
      <c r="CA79" s="25"/>
      <c r="CB79" s="25"/>
      <c r="CC79" s="25"/>
      <c r="CD79" s="25"/>
      <c r="CE79" s="25"/>
      <c r="CF79" s="25"/>
      <c r="CG79" s="25"/>
      <c r="CH79" s="25"/>
      <c r="CI79" s="25"/>
      <c r="CJ79" s="25"/>
      <c r="CK79" s="25"/>
      <c r="CL79" s="25"/>
      <c r="CM79" s="25"/>
      <c r="CN79" s="25"/>
    </row>
    <row r="80" spans="1:92" x14ac:dyDescent="0.2">
      <c r="A80" s="25" t="str">
        <f>TotalEmissions!A41</f>
        <v>other gases</v>
      </c>
      <c r="B80" s="25">
        <f ca="1">TotalEmissions!B41</f>
        <v>13.334865283349865</v>
      </c>
      <c r="C80" s="25">
        <f t="shared" ref="C80:K80" ca="1" si="16">B80+(($L80-$B80)/($L$75-$B$75))</f>
        <v>13.595352721688675</v>
      </c>
      <c r="D80" s="25">
        <f t="shared" ca="1" si="16"/>
        <v>13.855840160027485</v>
      </c>
      <c r="E80" s="25">
        <f t="shared" ca="1" si="16"/>
        <v>14.116327598366295</v>
      </c>
      <c r="F80" s="25">
        <f t="shared" ca="1" si="16"/>
        <v>14.376815036705105</v>
      </c>
      <c r="G80" s="25">
        <f t="shared" ca="1" si="16"/>
        <v>14.637302475043915</v>
      </c>
      <c r="H80" s="25">
        <f t="shared" ca="1" si="16"/>
        <v>14.897789913382725</v>
      </c>
      <c r="I80" s="25">
        <f t="shared" ca="1" si="16"/>
        <v>15.158277351721535</v>
      </c>
      <c r="J80" s="25">
        <f t="shared" ca="1" si="16"/>
        <v>15.418764790060346</v>
      </c>
      <c r="K80" s="25">
        <f t="shared" ca="1" si="16"/>
        <v>15.679252228399156</v>
      </c>
      <c r="L80" s="25">
        <f ca="1">TotalEmissions!C41</f>
        <v>15.939739666737964</v>
      </c>
      <c r="M80" s="25">
        <f t="shared" ref="M80:U80" ca="1" si="17">L80+(($V80-$L80)/($V$75-$L$75))</f>
        <v>16.122186188327223</v>
      </c>
      <c r="N80" s="25">
        <f t="shared" ca="1" si="17"/>
        <v>16.304632709916483</v>
      </c>
      <c r="O80" s="25">
        <f t="shared" ca="1" si="17"/>
        <v>16.487079231505742</v>
      </c>
      <c r="P80" s="25">
        <f t="shared" ca="1" si="17"/>
        <v>16.669525753095002</v>
      </c>
      <c r="Q80" s="25">
        <f t="shared" ca="1" si="17"/>
        <v>16.851972274684261</v>
      </c>
      <c r="R80" s="25">
        <f t="shared" ca="1" si="17"/>
        <v>17.034418796273521</v>
      </c>
      <c r="S80" s="25">
        <f t="shared" ca="1" si="17"/>
        <v>17.21686531786278</v>
      </c>
      <c r="T80" s="25">
        <f t="shared" ca="1" si="17"/>
        <v>17.399311839452039</v>
      </c>
      <c r="U80" s="25">
        <f t="shared" ca="1" si="17"/>
        <v>17.581758361041299</v>
      </c>
      <c r="V80" s="25">
        <f ca="1">TotalEmissions!D41</f>
        <v>17.764204882630548</v>
      </c>
      <c r="W80" s="25">
        <f t="shared" ref="W80:AE80" ca="1" si="18">V80+(($AF80-$V80)/($AF$75-$V$75))</f>
        <v>17.891256840003628</v>
      </c>
      <c r="X80" s="25">
        <f t="shared" ca="1" si="18"/>
        <v>18.018308797376712</v>
      </c>
      <c r="Y80" s="25">
        <f t="shared" ca="1" si="18"/>
        <v>18.145360754749795</v>
      </c>
      <c r="Z80" s="25">
        <f t="shared" ca="1" si="18"/>
        <v>18.272412712122879</v>
      </c>
      <c r="AA80" s="25">
        <f t="shared" ca="1" si="18"/>
        <v>18.399464669495963</v>
      </c>
      <c r="AB80" s="25">
        <f t="shared" ca="1" si="18"/>
        <v>18.526516626869046</v>
      </c>
      <c r="AC80" s="25">
        <f t="shared" ca="1" si="18"/>
        <v>18.65356858424213</v>
      </c>
      <c r="AD80" s="25">
        <f t="shared" ca="1" si="18"/>
        <v>18.780620541615214</v>
      </c>
      <c r="AE80" s="25">
        <f t="shared" ca="1" si="18"/>
        <v>18.907672498988298</v>
      </c>
      <c r="AF80" s="25">
        <f ca="1">TotalEmissions!E41</f>
        <v>19.034724456361367</v>
      </c>
      <c r="AG80" s="25">
        <f t="shared" ref="AG80:AO80" ca="1" si="19">AF80+(($AP80-$AF80)/($AP$75-$AF$75))</f>
        <v>19.132057167126931</v>
      </c>
      <c r="AH80" s="25">
        <f t="shared" ca="1" si="19"/>
        <v>19.229389877892494</v>
      </c>
      <c r="AI80" s="25">
        <f t="shared" ca="1" si="19"/>
        <v>19.326722588658058</v>
      </c>
      <c r="AJ80" s="25">
        <f t="shared" ca="1" si="19"/>
        <v>19.424055299423621</v>
      </c>
      <c r="AK80" s="25">
        <f t="shared" ca="1" si="19"/>
        <v>19.521388010189185</v>
      </c>
      <c r="AL80" s="25">
        <f t="shared" ca="1" si="19"/>
        <v>19.618720720954748</v>
      </c>
      <c r="AM80" s="25">
        <f t="shared" ca="1" si="19"/>
        <v>19.716053431720312</v>
      </c>
      <c r="AN80" s="25">
        <f t="shared" ca="1" si="19"/>
        <v>19.813386142485875</v>
      </c>
      <c r="AO80" s="25">
        <f t="shared" ca="1" si="19"/>
        <v>19.910718853251439</v>
      </c>
      <c r="AP80" s="25">
        <f ca="1">TotalEmissions!F41</f>
        <v>20.008051564016991</v>
      </c>
      <c r="AQ80" s="25"/>
      <c r="AR80" s="25"/>
      <c r="AS80" s="25"/>
      <c r="AT80" s="25"/>
      <c r="AU80" s="25"/>
      <c r="AV80" s="25"/>
      <c r="AW80" s="25"/>
      <c r="AX80" s="25"/>
      <c r="AY80" s="25"/>
      <c r="AZ80" s="25"/>
      <c r="BA80" s="25"/>
      <c r="BB80" s="25"/>
      <c r="BC80" s="25"/>
      <c r="BD80" s="25"/>
      <c r="BE80" s="25"/>
      <c r="BF80" s="25"/>
      <c r="BG80" s="25"/>
      <c r="BH80" s="25"/>
      <c r="BI80" s="25"/>
      <c r="BJ80" s="25"/>
      <c r="BK80" s="25"/>
      <c r="BL80" s="25"/>
      <c r="BM80" s="25"/>
      <c r="BN80" s="25"/>
      <c r="BO80" s="25"/>
      <c r="BP80" s="25"/>
      <c r="BQ80" s="25"/>
      <c r="BR80" s="25"/>
      <c r="BS80" s="25"/>
      <c r="BT80" s="25"/>
      <c r="BU80" s="25"/>
      <c r="BV80" s="25"/>
      <c r="BW80" s="25"/>
      <c r="BX80" s="25"/>
      <c r="BY80" s="25"/>
      <c r="BZ80" s="25"/>
      <c r="CA80" s="25"/>
      <c r="CB80" s="25"/>
      <c r="CC80" s="25"/>
      <c r="CD80" s="25"/>
      <c r="CE80" s="25"/>
      <c r="CF80" s="25"/>
      <c r="CG80" s="25"/>
      <c r="CH80" s="25"/>
      <c r="CI80" s="25"/>
      <c r="CJ80" s="25"/>
      <c r="CK80" s="25"/>
      <c r="CL80" s="25"/>
      <c r="CM80" s="25"/>
      <c r="CN80" s="25"/>
    </row>
    <row r="81" spans="1:92" x14ac:dyDescent="0.2">
      <c r="A81" s="25" t="str">
        <f>TotalEmissions!A44</f>
        <v>Land use</v>
      </c>
      <c r="B81" s="25">
        <f ca="1">TotalEmissions!B44</f>
        <v>3.5023383199999998</v>
      </c>
      <c r="C81" s="25">
        <f t="shared" ref="C81:K81" ca="1" si="20">B81+(($L81-$B81)/($L$75-$B$75))</f>
        <v>3.6733500844</v>
      </c>
      <c r="D81" s="25">
        <f t="shared" ca="1" si="20"/>
        <v>3.8443618488000002</v>
      </c>
      <c r="E81" s="25">
        <f t="shared" ca="1" si="20"/>
        <v>4.0153736132000004</v>
      </c>
      <c r="F81" s="25">
        <f t="shared" ca="1" si="20"/>
        <v>4.1863853776000006</v>
      </c>
      <c r="G81" s="25">
        <f t="shared" ca="1" si="20"/>
        <v>4.3573971420000008</v>
      </c>
      <c r="H81" s="25">
        <f t="shared" ca="1" si="20"/>
        <v>4.528408906400001</v>
      </c>
      <c r="I81" s="25">
        <f t="shared" ca="1" si="20"/>
        <v>4.6994206708000013</v>
      </c>
      <c r="J81" s="25">
        <f t="shared" ca="1" si="20"/>
        <v>4.8704324352000015</v>
      </c>
      <c r="K81" s="25">
        <f t="shared" ca="1" si="20"/>
        <v>5.0414441996000017</v>
      </c>
      <c r="L81" s="25">
        <f ca="1">TotalEmissions!C44</f>
        <v>5.2124559640000001</v>
      </c>
      <c r="M81" s="25">
        <f t="shared" ref="M81:U81" ca="1" si="21">L81+(($V81-$L81)/($V$75-$L$75))</f>
        <v>5.3193018330999999</v>
      </c>
      <c r="N81" s="25">
        <f t="shared" ca="1" si="21"/>
        <v>5.4261477021999998</v>
      </c>
      <c r="O81" s="25">
        <f t="shared" ca="1" si="21"/>
        <v>5.5329935712999996</v>
      </c>
      <c r="P81" s="25">
        <f t="shared" ca="1" si="21"/>
        <v>5.6398394403999994</v>
      </c>
      <c r="Q81" s="25">
        <f t="shared" ca="1" si="21"/>
        <v>5.7466853094999992</v>
      </c>
      <c r="R81" s="25">
        <f t="shared" ca="1" si="21"/>
        <v>5.8535311785999991</v>
      </c>
      <c r="S81" s="25">
        <f t="shared" ca="1" si="21"/>
        <v>5.9603770476999989</v>
      </c>
      <c r="T81" s="25">
        <f t="shared" ca="1" si="21"/>
        <v>6.0672229167999987</v>
      </c>
      <c r="U81" s="25">
        <f t="shared" ca="1" si="21"/>
        <v>6.1740687858999985</v>
      </c>
      <c r="V81" s="25">
        <f ca="1">TotalEmissions!D44</f>
        <v>6.2809146550000001</v>
      </c>
      <c r="W81" s="25">
        <f t="shared" ref="W81:AE81" ca="1" si="22">V81+(($AF81-$V81)/($AF$75-$V$75))</f>
        <v>6.2706550759000006</v>
      </c>
      <c r="X81" s="25">
        <f t="shared" ca="1" si="22"/>
        <v>6.2603954968000011</v>
      </c>
      <c r="Y81" s="25">
        <f t="shared" ca="1" si="22"/>
        <v>6.2501359177000015</v>
      </c>
      <c r="Z81" s="25">
        <f t="shared" ca="1" si="22"/>
        <v>6.239876338600002</v>
      </c>
      <c r="AA81" s="25">
        <f t="shared" ca="1" si="22"/>
        <v>6.2296167595000025</v>
      </c>
      <c r="AB81" s="25">
        <f t="shared" ca="1" si="22"/>
        <v>6.219357180400003</v>
      </c>
      <c r="AC81" s="25">
        <f t="shared" ca="1" si="22"/>
        <v>6.2090976013000034</v>
      </c>
      <c r="AD81" s="25">
        <f t="shared" ca="1" si="22"/>
        <v>6.1988380222000039</v>
      </c>
      <c r="AE81" s="25">
        <f t="shared" ca="1" si="22"/>
        <v>6.1885784431000044</v>
      </c>
      <c r="AF81" s="25">
        <f ca="1">TotalEmissions!E44</f>
        <v>6.1783188640000004</v>
      </c>
      <c r="AG81" s="25">
        <f t="shared" ref="AG81:AO81" ca="1" si="23">AF81+(($AP81-$AF81)/($AP$75-$AF$75))</f>
        <v>6.0651667623000005</v>
      </c>
      <c r="AH81" s="25">
        <f t="shared" ca="1" si="23"/>
        <v>5.9520146606000006</v>
      </c>
      <c r="AI81" s="25">
        <f t="shared" ca="1" si="23"/>
        <v>5.8388625589000007</v>
      </c>
      <c r="AJ81" s="25">
        <f t="shared" ca="1" si="23"/>
        <v>5.7257104572000008</v>
      </c>
      <c r="AK81" s="25">
        <f t="shared" ca="1" si="23"/>
        <v>5.6125583555000009</v>
      </c>
      <c r="AL81" s="25">
        <f t="shared" ca="1" si="23"/>
        <v>5.499406253800001</v>
      </c>
      <c r="AM81" s="25">
        <f t="shared" ca="1" si="23"/>
        <v>5.3862541521000011</v>
      </c>
      <c r="AN81" s="25">
        <f t="shared" ca="1" si="23"/>
        <v>5.2731020504000012</v>
      </c>
      <c r="AO81" s="25">
        <f t="shared" ca="1" si="23"/>
        <v>5.1599499487000013</v>
      </c>
      <c r="AP81" s="25">
        <f ca="1">TotalEmissions!F44</f>
        <v>5.0467978469999997</v>
      </c>
      <c r="AQ81" s="25"/>
      <c r="AR81" s="25"/>
      <c r="AS81" s="25"/>
      <c r="AT81" s="25"/>
      <c r="AU81" s="25"/>
      <c r="AV81" s="25"/>
      <c r="AW81" s="25"/>
      <c r="AX81" s="25"/>
      <c r="AY81" s="25"/>
      <c r="AZ81" s="25"/>
      <c r="BA81" s="25"/>
      <c r="BB81" s="25"/>
      <c r="BC81" s="25"/>
      <c r="BD81" s="25"/>
      <c r="BE81" s="25"/>
      <c r="BF81" s="25"/>
      <c r="BG81" s="25"/>
      <c r="BH81" s="25"/>
      <c r="BI81" s="25"/>
      <c r="BJ81" s="25"/>
      <c r="BK81" s="25"/>
      <c r="BL81" s="25"/>
      <c r="BM81" s="25"/>
      <c r="BN81" s="25"/>
      <c r="BO81" s="25"/>
      <c r="BP81" s="25"/>
      <c r="BQ81" s="25"/>
      <c r="BR81" s="25"/>
      <c r="BS81" s="25"/>
      <c r="BT81" s="25"/>
      <c r="BU81" s="25"/>
      <c r="BV81" s="25"/>
      <c r="BW81" s="25"/>
      <c r="BX81" s="25"/>
      <c r="BY81" s="25"/>
      <c r="BZ81" s="25"/>
      <c r="CA81" s="25"/>
      <c r="CB81" s="25"/>
      <c r="CC81" s="25"/>
      <c r="CD81" s="25"/>
      <c r="CE81" s="25"/>
      <c r="CF81" s="25"/>
      <c r="CG81" s="25"/>
      <c r="CH81" s="25"/>
      <c r="CI81" s="25"/>
      <c r="CJ81" s="25"/>
      <c r="CK81" s="25"/>
      <c r="CL81" s="25"/>
      <c r="CM81" s="25"/>
      <c r="CN81" s="25"/>
    </row>
    <row r="82" spans="1:92" x14ac:dyDescent="0.2">
      <c r="A82" s="25"/>
      <c r="B82" s="25"/>
      <c r="C82" s="25"/>
      <c r="D82" s="25"/>
      <c r="E82" s="25"/>
      <c r="F82" s="25"/>
      <c r="G82" s="25"/>
      <c r="H82" s="25"/>
      <c r="I82" s="25"/>
      <c r="J82" s="25"/>
      <c r="K82" s="25"/>
      <c r="L82" s="25"/>
      <c r="M82" s="25"/>
      <c r="N82" s="25"/>
      <c r="O82" s="25"/>
      <c r="P82" s="25"/>
      <c r="Q82" s="25"/>
      <c r="R82" s="25"/>
      <c r="S82" s="25"/>
      <c r="T82" s="25"/>
      <c r="U82" s="25"/>
      <c r="V82" s="25"/>
      <c r="W82" s="25"/>
      <c r="X82" s="25"/>
      <c r="Y82" s="25"/>
      <c r="Z82" s="25"/>
      <c r="AA82" s="25"/>
      <c r="AB82" s="25"/>
      <c r="AC82" s="25"/>
      <c r="AD82" s="25"/>
      <c r="AE82" s="25"/>
      <c r="AF82" s="25"/>
      <c r="AG82" s="25"/>
      <c r="AH82" s="25"/>
      <c r="AI82" s="25"/>
      <c r="AJ82" s="25"/>
      <c r="AK82" s="25"/>
      <c r="AL82" s="25"/>
      <c r="AM82" s="25"/>
      <c r="AN82" s="25"/>
      <c r="AO82" s="25"/>
      <c r="AP82" s="25"/>
      <c r="AQ82" s="25"/>
      <c r="AR82" s="25"/>
      <c r="AS82" s="25"/>
      <c r="AT82" s="25"/>
      <c r="AU82" s="25"/>
      <c r="AV82" s="25"/>
      <c r="AW82" s="25"/>
      <c r="AX82" s="25"/>
      <c r="AY82" s="25"/>
      <c r="AZ82" s="25"/>
      <c r="BA82" s="25"/>
      <c r="BB82" s="25"/>
      <c r="BC82" s="25"/>
      <c r="BD82" s="25"/>
      <c r="BE82" s="25"/>
      <c r="BF82" s="25"/>
      <c r="BG82" s="25"/>
      <c r="BH82" s="25"/>
      <c r="BI82" s="25"/>
      <c r="BJ82" s="25"/>
      <c r="BK82" s="25"/>
      <c r="BL82" s="25"/>
      <c r="BM82" s="25"/>
      <c r="BN82" s="25"/>
      <c r="BO82" s="25"/>
      <c r="BP82" s="25"/>
      <c r="BQ82" s="25"/>
      <c r="BR82" s="25"/>
      <c r="BS82" s="25"/>
      <c r="BT82" s="25"/>
      <c r="BU82" s="25"/>
      <c r="BV82" s="25"/>
      <c r="BW82" s="25"/>
      <c r="BX82" s="25"/>
      <c r="BY82" s="25"/>
      <c r="BZ82" s="25"/>
      <c r="CA82" s="25"/>
      <c r="CB82" s="25"/>
      <c r="CC82" s="25"/>
      <c r="CD82" s="25"/>
      <c r="CE82" s="25"/>
      <c r="CF82" s="25"/>
      <c r="CG82" s="25"/>
      <c r="CH82" s="25"/>
      <c r="CI82" s="25"/>
      <c r="CJ82" s="25"/>
      <c r="CK82" s="25"/>
      <c r="CL82" s="25"/>
      <c r="CM82" s="25"/>
      <c r="CN82" s="25"/>
    </row>
    <row r="83" spans="1:92" x14ac:dyDescent="0.2">
      <c r="A83" s="25" t="str">
        <f>TotalEmissions!A47</f>
        <v>Fossil Energy CCS</v>
      </c>
      <c r="B83" s="25">
        <f ca="1">TotalEmissions!B47</f>
        <v>0</v>
      </c>
      <c r="C83" s="25">
        <f t="shared" ref="C83:K83" ca="1" si="24">B83+(($L83-$B83)/($L$75-$B$75))</f>
        <v>0</v>
      </c>
      <c r="D83" s="25">
        <f t="shared" ca="1" si="24"/>
        <v>0</v>
      </c>
      <c r="E83" s="25">
        <f t="shared" ca="1" si="24"/>
        <v>0</v>
      </c>
      <c r="F83" s="25">
        <f t="shared" ca="1" si="24"/>
        <v>0</v>
      </c>
      <c r="G83" s="25">
        <f t="shared" ca="1" si="24"/>
        <v>0</v>
      </c>
      <c r="H83" s="25">
        <f t="shared" ca="1" si="24"/>
        <v>0</v>
      </c>
      <c r="I83" s="25">
        <f t="shared" ca="1" si="24"/>
        <v>0</v>
      </c>
      <c r="J83" s="25">
        <f t="shared" ca="1" si="24"/>
        <v>0</v>
      </c>
      <c r="K83" s="25">
        <f t="shared" ca="1" si="24"/>
        <v>0</v>
      </c>
      <c r="L83" s="25">
        <f ca="1">TotalEmissions!C47</f>
        <v>0</v>
      </c>
      <c r="M83" s="25">
        <f t="shared" ref="M83:U83" ca="1" si="25">L83+(($V83-$L83)/($V$75-$L$75))</f>
        <v>0</v>
      </c>
      <c r="N83" s="25">
        <f t="shared" ca="1" si="25"/>
        <v>0</v>
      </c>
      <c r="O83" s="25">
        <f t="shared" ca="1" si="25"/>
        <v>0</v>
      </c>
      <c r="P83" s="25">
        <f t="shared" ca="1" si="25"/>
        <v>0</v>
      </c>
      <c r="Q83" s="25">
        <f t="shared" ca="1" si="25"/>
        <v>0</v>
      </c>
      <c r="R83" s="25">
        <f t="shared" ca="1" si="25"/>
        <v>0</v>
      </c>
      <c r="S83" s="25">
        <f t="shared" ca="1" si="25"/>
        <v>0</v>
      </c>
      <c r="T83" s="25">
        <f t="shared" ca="1" si="25"/>
        <v>0</v>
      </c>
      <c r="U83" s="25">
        <f t="shared" ca="1" si="25"/>
        <v>0</v>
      </c>
      <c r="V83" s="25">
        <f ca="1">TotalEmissions!D47</f>
        <v>0</v>
      </c>
      <c r="W83" s="25">
        <f t="shared" ref="W83:AE83" ca="1" si="26">V83+(($AF83-$V83)/($AF$75-$V$75))</f>
        <v>0</v>
      </c>
      <c r="X83" s="25">
        <f t="shared" ca="1" si="26"/>
        <v>0</v>
      </c>
      <c r="Y83" s="25">
        <f t="shared" ca="1" si="26"/>
        <v>0</v>
      </c>
      <c r="Z83" s="25">
        <f t="shared" ca="1" si="26"/>
        <v>0</v>
      </c>
      <c r="AA83" s="25">
        <f t="shared" ca="1" si="26"/>
        <v>0</v>
      </c>
      <c r="AB83" s="25">
        <f t="shared" ca="1" si="26"/>
        <v>0</v>
      </c>
      <c r="AC83" s="25">
        <f t="shared" ca="1" si="26"/>
        <v>0</v>
      </c>
      <c r="AD83" s="25">
        <f t="shared" ca="1" si="26"/>
        <v>0</v>
      </c>
      <c r="AE83" s="25">
        <f t="shared" ca="1" si="26"/>
        <v>0</v>
      </c>
      <c r="AF83" s="25">
        <f ca="1">TotalEmissions!E47</f>
        <v>0</v>
      </c>
      <c r="AG83" s="25">
        <f t="shared" ref="AG83:AO83" ca="1" si="27">AF83+(($AP83-$AF83)/($AP$75-$AF$75))</f>
        <v>0</v>
      </c>
      <c r="AH83" s="25">
        <f t="shared" ca="1" si="27"/>
        <v>0</v>
      </c>
      <c r="AI83" s="25">
        <f t="shared" ca="1" si="27"/>
        <v>0</v>
      </c>
      <c r="AJ83" s="25">
        <f t="shared" ca="1" si="27"/>
        <v>0</v>
      </c>
      <c r="AK83" s="25">
        <f t="shared" ca="1" si="27"/>
        <v>0</v>
      </c>
      <c r="AL83" s="25">
        <f t="shared" ca="1" si="27"/>
        <v>0</v>
      </c>
      <c r="AM83" s="25">
        <f t="shared" ca="1" si="27"/>
        <v>0</v>
      </c>
      <c r="AN83" s="25">
        <f t="shared" ca="1" si="27"/>
        <v>0</v>
      </c>
      <c r="AO83" s="25">
        <f t="shared" ca="1" si="27"/>
        <v>0</v>
      </c>
      <c r="AP83" s="25">
        <f ca="1">TotalEmissions!F47</f>
        <v>0</v>
      </c>
      <c r="AQ83" s="25"/>
      <c r="AR83" s="25"/>
      <c r="AS83" s="25"/>
      <c r="AT83" s="25"/>
      <c r="AU83" s="25"/>
      <c r="AV83" s="25"/>
      <c r="AW83" s="25"/>
      <c r="AX83" s="25"/>
      <c r="AY83" s="25"/>
      <c r="AZ83" s="25"/>
      <c r="BA83" s="25"/>
      <c r="BB83" s="25"/>
      <c r="BC83" s="25"/>
      <c r="BD83" s="25"/>
      <c r="BE83" s="25"/>
      <c r="BF83" s="25"/>
      <c r="BG83" s="25"/>
      <c r="BH83" s="25"/>
      <c r="BI83" s="25"/>
      <c r="BJ83" s="25"/>
      <c r="BK83" s="25"/>
      <c r="BL83" s="25"/>
      <c r="BM83" s="25"/>
      <c r="BN83" s="25"/>
      <c r="BO83" s="25"/>
      <c r="BP83" s="25"/>
      <c r="BQ83" s="25"/>
      <c r="BR83" s="25"/>
      <c r="BS83" s="25"/>
      <c r="BT83" s="25"/>
      <c r="BU83" s="25"/>
      <c r="BV83" s="25"/>
      <c r="BW83" s="25"/>
      <c r="BX83" s="25"/>
      <c r="BY83" s="25"/>
      <c r="BZ83" s="25"/>
      <c r="CA83" s="25"/>
      <c r="CB83" s="25"/>
      <c r="CC83" s="25"/>
      <c r="CD83" s="25"/>
      <c r="CE83" s="25"/>
      <c r="CF83" s="25"/>
      <c r="CG83" s="25"/>
      <c r="CH83" s="25"/>
      <c r="CI83" s="25"/>
      <c r="CJ83" s="25"/>
      <c r="CK83" s="25"/>
      <c r="CL83" s="25"/>
      <c r="CM83" s="25"/>
      <c r="CN83" s="25"/>
    </row>
    <row r="84" spans="1:92" x14ac:dyDescent="0.2">
      <c r="A84" s="25" t="str">
        <f>TotalEmissions!A48</f>
        <v>Fossil Industry CCS</v>
      </c>
      <c r="B84" s="25">
        <f ca="1">TotalEmissions!B48</f>
        <v>0</v>
      </c>
      <c r="C84" s="25">
        <f t="shared" ref="C84:K84" ca="1" si="28">B84+(($L84-$B84)/($L$75-$B$75))</f>
        <v>0</v>
      </c>
      <c r="D84" s="25">
        <f t="shared" ca="1" si="28"/>
        <v>0</v>
      </c>
      <c r="E84" s="25">
        <f t="shared" ca="1" si="28"/>
        <v>0</v>
      </c>
      <c r="F84" s="25">
        <f t="shared" ca="1" si="28"/>
        <v>0</v>
      </c>
      <c r="G84" s="25">
        <f t="shared" ca="1" si="28"/>
        <v>0</v>
      </c>
      <c r="H84" s="25">
        <f t="shared" ca="1" si="28"/>
        <v>0</v>
      </c>
      <c r="I84" s="25">
        <f t="shared" ca="1" si="28"/>
        <v>0</v>
      </c>
      <c r="J84" s="25">
        <f t="shared" ca="1" si="28"/>
        <v>0</v>
      </c>
      <c r="K84" s="25">
        <f t="shared" ca="1" si="28"/>
        <v>0</v>
      </c>
      <c r="L84" s="25">
        <f ca="1">TotalEmissions!C48</f>
        <v>0</v>
      </c>
      <c r="M84" s="25">
        <f t="shared" ref="M84:U84" ca="1" si="29">L84+(($V84-$L84)/($V$75-$L$75))</f>
        <v>0</v>
      </c>
      <c r="N84" s="25">
        <f t="shared" ca="1" si="29"/>
        <v>0</v>
      </c>
      <c r="O84" s="25">
        <f t="shared" ca="1" si="29"/>
        <v>0</v>
      </c>
      <c r="P84" s="25">
        <f t="shared" ca="1" si="29"/>
        <v>0</v>
      </c>
      <c r="Q84" s="25">
        <f t="shared" ca="1" si="29"/>
        <v>0</v>
      </c>
      <c r="R84" s="25">
        <f t="shared" ca="1" si="29"/>
        <v>0</v>
      </c>
      <c r="S84" s="25">
        <f t="shared" ca="1" si="29"/>
        <v>0</v>
      </c>
      <c r="T84" s="25">
        <f t="shared" ca="1" si="29"/>
        <v>0</v>
      </c>
      <c r="U84" s="25">
        <f t="shared" ca="1" si="29"/>
        <v>0</v>
      </c>
      <c r="V84" s="25">
        <f ca="1">TotalEmissions!D48</f>
        <v>0</v>
      </c>
      <c r="W84" s="25">
        <f t="shared" ref="W84:AE84" ca="1" si="30">V84+(($AF84-$V84)/($AF$75-$V$75))</f>
        <v>0</v>
      </c>
      <c r="X84" s="25">
        <f t="shared" ca="1" si="30"/>
        <v>0</v>
      </c>
      <c r="Y84" s="25">
        <f t="shared" ca="1" si="30"/>
        <v>0</v>
      </c>
      <c r="Z84" s="25">
        <f t="shared" ca="1" si="30"/>
        <v>0</v>
      </c>
      <c r="AA84" s="25">
        <f t="shared" ca="1" si="30"/>
        <v>0</v>
      </c>
      <c r="AB84" s="25">
        <f t="shared" ca="1" si="30"/>
        <v>0</v>
      </c>
      <c r="AC84" s="25">
        <f t="shared" ca="1" si="30"/>
        <v>0</v>
      </c>
      <c r="AD84" s="25">
        <f t="shared" ca="1" si="30"/>
        <v>0</v>
      </c>
      <c r="AE84" s="25">
        <f t="shared" ca="1" si="30"/>
        <v>0</v>
      </c>
      <c r="AF84" s="25">
        <f ca="1">TotalEmissions!E48</f>
        <v>0</v>
      </c>
      <c r="AG84" s="25">
        <f t="shared" ref="AG84:AO84" ca="1" si="31">AF84+(($AP84-$AF84)/($AP$75-$AF$75))</f>
        <v>0</v>
      </c>
      <c r="AH84" s="25">
        <f t="shared" ca="1" si="31"/>
        <v>0</v>
      </c>
      <c r="AI84" s="25">
        <f t="shared" ca="1" si="31"/>
        <v>0</v>
      </c>
      <c r="AJ84" s="25">
        <f t="shared" ca="1" si="31"/>
        <v>0</v>
      </c>
      <c r="AK84" s="25">
        <f t="shared" ca="1" si="31"/>
        <v>0</v>
      </c>
      <c r="AL84" s="25">
        <f t="shared" ca="1" si="31"/>
        <v>0</v>
      </c>
      <c r="AM84" s="25">
        <f t="shared" ca="1" si="31"/>
        <v>0</v>
      </c>
      <c r="AN84" s="25">
        <f t="shared" ca="1" si="31"/>
        <v>0</v>
      </c>
      <c r="AO84" s="25">
        <f t="shared" ca="1" si="31"/>
        <v>0</v>
      </c>
      <c r="AP84" s="25">
        <f ca="1">TotalEmissions!F48</f>
        <v>0</v>
      </c>
      <c r="AQ84" s="25"/>
      <c r="AR84" s="25"/>
      <c r="AS84" s="25"/>
      <c r="AT84" s="25"/>
      <c r="AU84" s="25"/>
      <c r="AV84" s="25"/>
      <c r="AW84" s="25"/>
      <c r="AX84" s="25"/>
      <c r="AY84" s="25"/>
      <c r="AZ84" s="25"/>
      <c r="BA84" s="25"/>
      <c r="BB84" s="25"/>
      <c r="BC84" s="25"/>
      <c r="BD84" s="25"/>
      <c r="BE84" s="25"/>
      <c r="BF84" s="25"/>
      <c r="BG84" s="25"/>
      <c r="BH84" s="25"/>
      <c r="BI84" s="25"/>
      <c r="BJ84" s="25"/>
      <c r="BK84" s="25"/>
      <c r="BL84" s="25"/>
      <c r="BM84" s="25"/>
      <c r="BN84" s="25"/>
      <c r="BO84" s="25"/>
      <c r="BP84" s="25"/>
      <c r="BQ84" s="25"/>
      <c r="BR84" s="25"/>
      <c r="BS84" s="25"/>
      <c r="BT84" s="25"/>
      <c r="BU84" s="25"/>
      <c r="BV84" s="25"/>
      <c r="BW84" s="25"/>
      <c r="BX84" s="25"/>
      <c r="BY84" s="25"/>
      <c r="BZ84" s="25"/>
      <c r="CA84" s="25"/>
      <c r="CB84" s="25"/>
      <c r="CC84" s="25"/>
      <c r="CD84" s="25"/>
      <c r="CE84" s="25"/>
      <c r="CF84" s="25"/>
      <c r="CG84" s="25"/>
      <c r="CH84" s="25"/>
      <c r="CI84" s="25"/>
      <c r="CJ84" s="25"/>
      <c r="CK84" s="25"/>
      <c r="CL84" s="25"/>
      <c r="CM84" s="25"/>
      <c r="CN84" s="25"/>
    </row>
    <row r="85" spans="1:92" x14ac:dyDescent="0.2">
      <c r="A85" s="25" t="str">
        <f>TotalEmissions!A50</f>
        <v>Biomass Energy CCS</v>
      </c>
      <c r="B85" s="25">
        <f ca="1">TotalEmissions!B50</f>
        <v>0</v>
      </c>
      <c r="C85" s="25">
        <f t="shared" ref="C85:K85" ca="1" si="32">B85+(($L85-$B85)/($L$75-$B$75))</f>
        <v>0</v>
      </c>
      <c r="D85" s="25">
        <f t="shared" ca="1" si="32"/>
        <v>0</v>
      </c>
      <c r="E85" s="25">
        <f t="shared" ca="1" si="32"/>
        <v>0</v>
      </c>
      <c r="F85" s="25">
        <f t="shared" ca="1" si="32"/>
        <v>0</v>
      </c>
      <c r="G85" s="25">
        <f t="shared" ca="1" si="32"/>
        <v>0</v>
      </c>
      <c r="H85" s="25">
        <f t="shared" ca="1" si="32"/>
        <v>0</v>
      </c>
      <c r="I85" s="25">
        <f t="shared" ca="1" si="32"/>
        <v>0</v>
      </c>
      <c r="J85" s="25">
        <f t="shared" ca="1" si="32"/>
        <v>0</v>
      </c>
      <c r="K85" s="25">
        <f t="shared" ca="1" si="32"/>
        <v>0</v>
      </c>
      <c r="L85" s="25">
        <f ca="1">TotalEmissions!C50</f>
        <v>0</v>
      </c>
      <c r="M85" s="25">
        <f t="shared" ref="M85:U85" ca="1" si="33">L85+(($V85-$L85)/($V$75-$L$75))</f>
        <v>0</v>
      </c>
      <c r="N85" s="25">
        <f t="shared" ca="1" si="33"/>
        <v>0</v>
      </c>
      <c r="O85" s="25">
        <f t="shared" ca="1" si="33"/>
        <v>0</v>
      </c>
      <c r="P85" s="25">
        <f t="shared" ca="1" si="33"/>
        <v>0</v>
      </c>
      <c r="Q85" s="25">
        <f t="shared" ca="1" si="33"/>
        <v>0</v>
      </c>
      <c r="R85" s="25">
        <f t="shared" ca="1" si="33"/>
        <v>0</v>
      </c>
      <c r="S85" s="25">
        <f t="shared" ca="1" si="33"/>
        <v>0</v>
      </c>
      <c r="T85" s="25">
        <f t="shared" ca="1" si="33"/>
        <v>0</v>
      </c>
      <c r="U85" s="25">
        <f t="shared" ca="1" si="33"/>
        <v>0</v>
      </c>
      <c r="V85" s="25">
        <f ca="1">TotalEmissions!D50</f>
        <v>0</v>
      </c>
      <c r="W85" s="25">
        <f t="shared" ref="W85:AE85" ca="1" si="34">V85+(($AF85-$V85)/($AF$75-$V$75))</f>
        <v>0</v>
      </c>
      <c r="X85" s="25">
        <f t="shared" ca="1" si="34"/>
        <v>0</v>
      </c>
      <c r="Y85" s="25">
        <f t="shared" ca="1" si="34"/>
        <v>0</v>
      </c>
      <c r="Z85" s="25">
        <f t="shared" ca="1" si="34"/>
        <v>0</v>
      </c>
      <c r="AA85" s="25">
        <f t="shared" ca="1" si="34"/>
        <v>0</v>
      </c>
      <c r="AB85" s="25">
        <f t="shared" ca="1" si="34"/>
        <v>0</v>
      </c>
      <c r="AC85" s="25">
        <f t="shared" ca="1" si="34"/>
        <v>0</v>
      </c>
      <c r="AD85" s="25">
        <f t="shared" ca="1" si="34"/>
        <v>0</v>
      </c>
      <c r="AE85" s="25">
        <f t="shared" ca="1" si="34"/>
        <v>0</v>
      </c>
      <c r="AF85" s="25">
        <f ca="1">TotalEmissions!E50</f>
        <v>0</v>
      </c>
      <c r="AG85" s="25">
        <f t="shared" ref="AG85:AO85" ca="1" si="35">AF85+(($AP85-$AF85)/($AP$75-$AF$75))</f>
        <v>0</v>
      </c>
      <c r="AH85" s="25">
        <f t="shared" ca="1" si="35"/>
        <v>0</v>
      </c>
      <c r="AI85" s="25">
        <f t="shared" ca="1" si="35"/>
        <v>0</v>
      </c>
      <c r="AJ85" s="25">
        <f t="shared" ca="1" si="35"/>
        <v>0</v>
      </c>
      <c r="AK85" s="25">
        <f t="shared" ca="1" si="35"/>
        <v>0</v>
      </c>
      <c r="AL85" s="25">
        <f t="shared" ca="1" si="35"/>
        <v>0</v>
      </c>
      <c r="AM85" s="25">
        <f t="shared" ca="1" si="35"/>
        <v>0</v>
      </c>
      <c r="AN85" s="25">
        <f t="shared" ca="1" si="35"/>
        <v>0</v>
      </c>
      <c r="AO85" s="25">
        <f t="shared" ca="1" si="35"/>
        <v>0</v>
      </c>
      <c r="AP85" s="25">
        <f ca="1">TotalEmissions!F50</f>
        <v>0</v>
      </c>
      <c r="AQ85" s="25"/>
      <c r="AR85" s="25"/>
      <c r="AS85" s="25"/>
      <c r="AT85" s="25"/>
      <c r="AU85" s="25"/>
      <c r="AV85" s="25"/>
      <c r="AW85" s="25"/>
      <c r="AX85" s="25"/>
      <c r="AY85" s="25"/>
      <c r="AZ85" s="25"/>
      <c r="BA85" s="25"/>
      <c r="BB85" s="25"/>
      <c r="BC85" s="25"/>
      <c r="BD85" s="25"/>
      <c r="BE85" s="25"/>
      <c r="BF85" s="25"/>
      <c r="BG85" s="25"/>
      <c r="BH85" s="25"/>
      <c r="BI85" s="25"/>
      <c r="BJ85" s="25"/>
      <c r="BK85" s="25"/>
      <c r="BL85" s="25"/>
      <c r="BM85" s="25"/>
      <c r="BN85" s="25"/>
      <c r="BO85" s="25"/>
      <c r="BP85" s="25"/>
      <c r="BQ85" s="25"/>
      <c r="BR85" s="25"/>
      <c r="BS85" s="25"/>
      <c r="BT85" s="25"/>
      <c r="BU85" s="25"/>
      <c r="BV85" s="25"/>
      <c r="BW85" s="25"/>
      <c r="BX85" s="25"/>
      <c r="BY85" s="25"/>
      <c r="BZ85" s="25"/>
      <c r="CA85" s="25"/>
      <c r="CB85" s="25"/>
      <c r="CC85" s="25"/>
      <c r="CD85" s="25"/>
      <c r="CE85" s="25"/>
      <c r="CF85" s="25"/>
      <c r="CG85" s="25"/>
      <c r="CH85" s="25"/>
      <c r="CI85" s="25"/>
      <c r="CJ85" s="25"/>
      <c r="CK85" s="25"/>
      <c r="CL85" s="25"/>
      <c r="CM85" s="25"/>
      <c r="CN85" s="25"/>
    </row>
    <row r="86" spans="1:92" x14ac:dyDescent="0.2">
      <c r="A86" s="25" t="str">
        <f>TotalEmissions!A51</f>
        <v>Biomass Industry CCS</v>
      </c>
      <c r="B86" s="25">
        <f ca="1">TotalEmissions!B51</f>
        <v>0</v>
      </c>
      <c r="C86" s="25">
        <f t="shared" ref="C86:K86" ca="1" si="36">B86+(($L86-$B86)/($L$75-$B$75))</f>
        <v>0</v>
      </c>
      <c r="D86" s="25">
        <f t="shared" ca="1" si="36"/>
        <v>0</v>
      </c>
      <c r="E86" s="25">
        <f t="shared" ca="1" si="36"/>
        <v>0</v>
      </c>
      <c r="F86" s="25">
        <f t="shared" ca="1" si="36"/>
        <v>0</v>
      </c>
      <c r="G86" s="25">
        <f t="shared" ca="1" si="36"/>
        <v>0</v>
      </c>
      <c r="H86" s="25">
        <f t="shared" ca="1" si="36"/>
        <v>0</v>
      </c>
      <c r="I86" s="25">
        <f t="shared" ca="1" si="36"/>
        <v>0</v>
      </c>
      <c r="J86" s="25">
        <f t="shared" ca="1" si="36"/>
        <v>0</v>
      </c>
      <c r="K86" s="25">
        <f t="shared" ca="1" si="36"/>
        <v>0</v>
      </c>
      <c r="L86" s="25">
        <f ca="1">TotalEmissions!C51</f>
        <v>0</v>
      </c>
      <c r="M86" s="25">
        <f t="shared" ref="M86:U86" ca="1" si="37">L86+(($V86-$L86)/($V$75-$L$75))</f>
        <v>0</v>
      </c>
      <c r="N86" s="25">
        <f t="shared" ca="1" si="37"/>
        <v>0</v>
      </c>
      <c r="O86" s="25">
        <f t="shared" ca="1" si="37"/>
        <v>0</v>
      </c>
      <c r="P86" s="25">
        <f t="shared" ca="1" si="37"/>
        <v>0</v>
      </c>
      <c r="Q86" s="25">
        <f t="shared" ca="1" si="37"/>
        <v>0</v>
      </c>
      <c r="R86" s="25">
        <f t="shared" ca="1" si="37"/>
        <v>0</v>
      </c>
      <c r="S86" s="25">
        <f t="shared" ca="1" si="37"/>
        <v>0</v>
      </c>
      <c r="T86" s="25">
        <f t="shared" ca="1" si="37"/>
        <v>0</v>
      </c>
      <c r="U86" s="25">
        <f t="shared" ca="1" si="37"/>
        <v>0</v>
      </c>
      <c r="V86" s="25">
        <f ca="1">TotalEmissions!D51</f>
        <v>0</v>
      </c>
      <c r="W86" s="25">
        <f t="shared" ref="W86:AE86" ca="1" si="38">V86+(($AF86-$V86)/($AF$75-$V$75))</f>
        <v>0</v>
      </c>
      <c r="X86" s="25">
        <f t="shared" ca="1" si="38"/>
        <v>0</v>
      </c>
      <c r="Y86" s="25">
        <f t="shared" ca="1" si="38"/>
        <v>0</v>
      </c>
      <c r="Z86" s="25">
        <f t="shared" ca="1" si="38"/>
        <v>0</v>
      </c>
      <c r="AA86" s="25">
        <f t="shared" ca="1" si="38"/>
        <v>0</v>
      </c>
      <c r="AB86" s="25">
        <f t="shared" ca="1" si="38"/>
        <v>0</v>
      </c>
      <c r="AC86" s="25">
        <f t="shared" ca="1" si="38"/>
        <v>0</v>
      </c>
      <c r="AD86" s="25">
        <f t="shared" ca="1" si="38"/>
        <v>0</v>
      </c>
      <c r="AE86" s="25">
        <f t="shared" ca="1" si="38"/>
        <v>0</v>
      </c>
      <c r="AF86" s="25">
        <f ca="1">TotalEmissions!E51</f>
        <v>0</v>
      </c>
      <c r="AG86" s="25">
        <f t="shared" ref="AG86:AO86" ca="1" si="39">AF86+(($AP86-$AF86)/($AP$75-$AF$75))</f>
        <v>0</v>
      </c>
      <c r="AH86" s="25">
        <f t="shared" ca="1" si="39"/>
        <v>0</v>
      </c>
      <c r="AI86" s="25">
        <f t="shared" ca="1" si="39"/>
        <v>0</v>
      </c>
      <c r="AJ86" s="25">
        <f t="shared" ca="1" si="39"/>
        <v>0</v>
      </c>
      <c r="AK86" s="25">
        <f t="shared" ca="1" si="39"/>
        <v>0</v>
      </c>
      <c r="AL86" s="25">
        <f t="shared" ca="1" si="39"/>
        <v>0</v>
      </c>
      <c r="AM86" s="25">
        <f t="shared" ca="1" si="39"/>
        <v>0</v>
      </c>
      <c r="AN86" s="25">
        <f t="shared" ca="1" si="39"/>
        <v>0</v>
      </c>
      <c r="AO86" s="25">
        <f t="shared" ca="1" si="39"/>
        <v>0</v>
      </c>
      <c r="AP86" s="25">
        <f ca="1">TotalEmissions!F51</f>
        <v>0</v>
      </c>
      <c r="AQ86" s="25"/>
      <c r="AR86" s="25"/>
      <c r="AS86" s="25"/>
      <c r="AT86" s="25"/>
      <c r="AU86" s="25"/>
      <c r="AV86" s="25"/>
      <c r="AW86" s="25"/>
      <c r="AX86" s="25"/>
      <c r="AY86" s="25"/>
      <c r="AZ86" s="25"/>
      <c r="BA86" s="25"/>
      <c r="BB86" s="25"/>
      <c r="BC86" s="25"/>
      <c r="BD86" s="25"/>
      <c r="BE86" s="25"/>
      <c r="BF86" s="25"/>
      <c r="BG86" s="25"/>
      <c r="BH86" s="25"/>
      <c r="BI86" s="25"/>
      <c r="BJ86" s="25"/>
      <c r="BK86" s="25"/>
      <c r="BL86" s="25"/>
      <c r="BM86" s="25"/>
      <c r="BN86" s="25"/>
      <c r="BO86" s="25"/>
      <c r="BP86" s="25"/>
      <c r="BQ86" s="25"/>
      <c r="BR86" s="25"/>
      <c r="BS86" s="25"/>
      <c r="BT86" s="25"/>
      <c r="BU86" s="25"/>
      <c r="BV86" s="25"/>
      <c r="BW86" s="25"/>
      <c r="BX86" s="25"/>
      <c r="BY86" s="25"/>
      <c r="BZ86" s="25"/>
      <c r="CA86" s="25"/>
      <c r="CB86" s="25"/>
      <c r="CC86" s="25"/>
      <c r="CD86" s="25"/>
      <c r="CE86" s="25"/>
      <c r="CF86" s="25"/>
      <c r="CG86" s="25"/>
      <c r="CH86" s="25"/>
      <c r="CI86" s="25"/>
      <c r="CJ86" s="25"/>
      <c r="CK86" s="25"/>
      <c r="CL86" s="25"/>
      <c r="CM86" s="25"/>
      <c r="CN86" s="25"/>
    </row>
    <row r="87" spans="1:92" x14ac:dyDescent="0.2">
      <c r="A87" s="25" t="str">
        <f>TotalEmissions!A58</f>
        <v>Net emissions (CO2 + other gases)</v>
      </c>
      <c r="B87" s="25">
        <f ca="1">TotalEmissions!B58</f>
        <v>48.947477967900774</v>
      </c>
      <c r="C87" s="25">
        <f t="shared" ref="C87:K87" ca="1" si="40">B87+(($L87-$B87)/($L$75-$B$75))</f>
        <v>49.994506011459578</v>
      </c>
      <c r="D87" s="25">
        <f t="shared" ca="1" si="40"/>
        <v>51.041534055018381</v>
      </c>
      <c r="E87" s="25">
        <f t="shared" ca="1" si="40"/>
        <v>52.088562098577185</v>
      </c>
      <c r="F87" s="25">
        <f t="shared" ca="1" si="40"/>
        <v>53.135590142135989</v>
      </c>
      <c r="G87" s="25">
        <f t="shared" ca="1" si="40"/>
        <v>54.182618185694793</v>
      </c>
      <c r="H87" s="25">
        <f t="shared" ca="1" si="40"/>
        <v>55.229646229253596</v>
      </c>
      <c r="I87" s="25">
        <f t="shared" ca="1" si="40"/>
        <v>56.2766742728124</v>
      </c>
      <c r="J87" s="25">
        <f t="shared" ca="1" si="40"/>
        <v>57.323702316371204</v>
      </c>
      <c r="K87" s="25">
        <f t="shared" ca="1" si="40"/>
        <v>58.370730359930008</v>
      </c>
      <c r="L87" s="25">
        <f ca="1">TotalEmissions!C58</f>
        <v>59.417758403488818</v>
      </c>
      <c r="M87" s="25">
        <f t="shared" ref="M87:U87" ca="1" si="41">L87+(($V87-$L87)/($V$75-$L$75))</f>
        <v>60.199844777399129</v>
      </c>
      <c r="N87" s="25">
        <f t="shared" ca="1" si="41"/>
        <v>60.981931151309439</v>
      </c>
      <c r="O87" s="25">
        <f t="shared" ca="1" si="41"/>
        <v>61.764017525219749</v>
      </c>
      <c r="P87" s="25">
        <f t="shared" ca="1" si="41"/>
        <v>62.54610389913006</v>
      </c>
      <c r="Q87" s="25">
        <f t="shared" ca="1" si="41"/>
        <v>63.32819027304037</v>
      </c>
      <c r="R87" s="25">
        <f t="shared" ca="1" si="41"/>
        <v>64.11027664695068</v>
      </c>
      <c r="S87" s="25">
        <f t="shared" ca="1" si="41"/>
        <v>64.892363020860998</v>
      </c>
      <c r="T87" s="25">
        <f t="shared" ca="1" si="41"/>
        <v>65.674449394771315</v>
      </c>
      <c r="U87" s="25">
        <f t="shared" ca="1" si="41"/>
        <v>66.456535768681633</v>
      </c>
      <c r="V87" s="25">
        <f ca="1">TotalEmissions!D58</f>
        <v>67.23862214259195</v>
      </c>
      <c r="W87" s="25">
        <f t="shared" ref="W87:AE87" ca="1" si="42">V87+(($AF87-$V87)/($AF$75-$V$75))</f>
        <v>67.709609851405375</v>
      </c>
      <c r="X87" s="25">
        <f t="shared" ca="1" si="42"/>
        <v>68.1805975602188</v>
      </c>
      <c r="Y87" s="25">
        <f t="shared" ca="1" si="42"/>
        <v>68.651585269032225</v>
      </c>
      <c r="Z87" s="25">
        <f t="shared" ca="1" si="42"/>
        <v>69.12257297784565</v>
      </c>
      <c r="AA87" s="25">
        <f t="shared" ca="1" si="42"/>
        <v>69.593560686659075</v>
      </c>
      <c r="AB87" s="25">
        <f t="shared" ca="1" si="42"/>
        <v>70.064548395472499</v>
      </c>
      <c r="AC87" s="25">
        <f t="shared" ca="1" si="42"/>
        <v>70.535536104285924</v>
      </c>
      <c r="AD87" s="25">
        <f t="shared" ca="1" si="42"/>
        <v>71.006523813099349</v>
      </c>
      <c r="AE87" s="25">
        <f t="shared" ca="1" si="42"/>
        <v>71.477511521912774</v>
      </c>
      <c r="AF87" s="25">
        <f ca="1">TotalEmissions!E58</f>
        <v>71.948499230726156</v>
      </c>
      <c r="AG87" s="25">
        <f t="shared" ref="AG87:AO87" ca="1" si="43">AF87+(($AP87-$AF87)/($AP$75-$AF$75))</f>
        <v>72.353564568223419</v>
      </c>
      <c r="AH87" s="25">
        <f t="shared" ca="1" si="43"/>
        <v>72.758629905720682</v>
      </c>
      <c r="AI87" s="25">
        <f t="shared" ca="1" si="43"/>
        <v>73.163695243217944</v>
      </c>
      <c r="AJ87" s="25">
        <f t="shared" ca="1" si="43"/>
        <v>73.568760580715207</v>
      </c>
      <c r="AK87" s="25">
        <f t="shared" ca="1" si="43"/>
        <v>73.973825918212469</v>
      </c>
      <c r="AL87" s="25">
        <f t="shared" ca="1" si="43"/>
        <v>74.378891255709732</v>
      </c>
      <c r="AM87" s="25">
        <f t="shared" ca="1" si="43"/>
        <v>74.783956593206995</v>
      </c>
      <c r="AN87" s="25">
        <f t="shared" ca="1" si="43"/>
        <v>75.189021930704257</v>
      </c>
      <c r="AO87" s="25">
        <f t="shared" ca="1" si="43"/>
        <v>75.59408726820152</v>
      </c>
      <c r="AP87" s="25">
        <f ca="1">TotalEmissions!F58</f>
        <v>75.999152605698796</v>
      </c>
      <c r="AQ87" s="25"/>
      <c r="AR87" s="25"/>
      <c r="AS87" s="25"/>
      <c r="AT87" s="25"/>
      <c r="AU87" s="25"/>
      <c r="AV87" s="25"/>
      <c r="AW87" s="25"/>
      <c r="AX87" s="25"/>
      <c r="AY87" s="25"/>
      <c r="AZ87" s="25"/>
      <c r="BA87" s="25"/>
      <c r="BB87" s="25"/>
      <c r="BC87" s="25"/>
      <c r="BD87" s="25"/>
      <c r="BE87" s="25"/>
      <c r="BF87" s="25"/>
      <c r="BG87" s="25"/>
      <c r="BH87" s="25"/>
      <c r="BI87" s="25"/>
      <c r="BJ87" s="25"/>
      <c r="BK87" s="25"/>
      <c r="BL87" s="25"/>
      <c r="BM87" s="25"/>
      <c r="BN87" s="25"/>
      <c r="BO87" s="25"/>
      <c r="BP87" s="25"/>
      <c r="BQ87" s="25"/>
      <c r="BR87" s="25"/>
      <c r="BS87" s="25"/>
      <c r="BT87" s="25"/>
      <c r="BU87" s="25"/>
      <c r="BV87" s="25"/>
      <c r="BW87" s="25"/>
      <c r="BX87" s="25"/>
      <c r="BY87" s="25"/>
      <c r="BZ87" s="25"/>
      <c r="CA87" s="25"/>
      <c r="CB87" s="25"/>
      <c r="CC87" s="25"/>
      <c r="CD87" s="25"/>
      <c r="CE87" s="25"/>
      <c r="CF87" s="25"/>
      <c r="CG87" s="25"/>
      <c r="CH87" s="25"/>
      <c r="CI87" s="25"/>
      <c r="CJ87" s="25"/>
      <c r="CK87" s="25"/>
      <c r="CL87" s="25"/>
      <c r="CM87" s="25"/>
      <c r="CN87" s="25"/>
    </row>
    <row r="88" spans="1:92" x14ac:dyDescent="0.2">
      <c r="A88" s="21" t="s">
        <v>279</v>
      </c>
      <c r="B88" s="25">
        <f t="shared" ref="B88:AP88" ca="1" si="44">B87+B83+B84+B85+B86</f>
        <v>48.947477967900774</v>
      </c>
      <c r="C88" s="25">
        <f t="shared" ca="1" si="44"/>
        <v>49.994506011459578</v>
      </c>
      <c r="D88" s="25">
        <f t="shared" ca="1" si="44"/>
        <v>51.041534055018381</v>
      </c>
      <c r="E88" s="25">
        <f t="shared" ca="1" si="44"/>
        <v>52.088562098577185</v>
      </c>
      <c r="F88" s="25">
        <f t="shared" ca="1" si="44"/>
        <v>53.135590142135989</v>
      </c>
      <c r="G88" s="25">
        <f t="shared" ca="1" si="44"/>
        <v>54.182618185694793</v>
      </c>
      <c r="H88" s="25">
        <f t="shared" ca="1" si="44"/>
        <v>55.229646229253596</v>
      </c>
      <c r="I88" s="25">
        <f t="shared" ca="1" si="44"/>
        <v>56.2766742728124</v>
      </c>
      <c r="J88" s="25">
        <f t="shared" ca="1" si="44"/>
        <v>57.323702316371204</v>
      </c>
      <c r="K88" s="25">
        <f t="shared" ca="1" si="44"/>
        <v>58.370730359930008</v>
      </c>
      <c r="L88" s="25">
        <f t="shared" ca="1" si="44"/>
        <v>59.417758403488818</v>
      </c>
      <c r="M88" s="25">
        <f t="shared" ca="1" si="44"/>
        <v>60.199844777399129</v>
      </c>
      <c r="N88" s="25">
        <f t="shared" ca="1" si="44"/>
        <v>60.981931151309439</v>
      </c>
      <c r="O88" s="25">
        <f t="shared" ca="1" si="44"/>
        <v>61.764017525219749</v>
      </c>
      <c r="P88" s="25">
        <f t="shared" ca="1" si="44"/>
        <v>62.54610389913006</v>
      </c>
      <c r="Q88" s="25">
        <f t="shared" ca="1" si="44"/>
        <v>63.32819027304037</v>
      </c>
      <c r="R88" s="25">
        <f t="shared" ca="1" si="44"/>
        <v>64.11027664695068</v>
      </c>
      <c r="S88" s="25">
        <f t="shared" ca="1" si="44"/>
        <v>64.892363020860998</v>
      </c>
      <c r="T88" s="25">
        <f t="shared" ca="1" si="44"/>
        <v>65.674449394771315</v>
      </c>
      <c r="U88" s="25">
        <f t="shared" ca="1" si="44"/>
        <v>66.456535768681633</v>
      </c>
      <c r="V88" s="25">
        <f t="shared" ca="1" si="44"/>
        <v>67.23862214259195</v>
      </c>
      <c r="W88" s="25">
        <f t="shared" ca="1" si="44"/>
        <v>67.709609851405375</v>
      </c>
      <c r="X88" s="25">
        <f t="shared" ca="1" si="44"/>
        <v>68.1805975602188</v>
      </c>
      <c r="Y88" s="25">
        <f t="shared" ca="1" si="44"/>
        <v>68.651585269032225</v>
      </c>
      <c r="Z88" s="25">
        <f t="shared" ca="1" si="44"/>
        <v>69.12257297784565</v>
      </c>
      <c r="AA88" s="25">
        <f t="shared" ca="1" si="44"/>
        <v>69.593560686659075</v>
      </c>
      <c r="AB88" s="25">
        <f t="shared" ca="1" si="44"/>
        <v>70.064548395472499</v>
      </c>
      <c r="AC88" s="25">
        <f t="shared" ca="1" si="44"/>
        <v>70.535536104285924</v>
      </c>
      <c r="AD88" s="25">
        <f t="shared" ca="1" si="44"/>
        <v>71.006523813099349</v>
      </c>
      <c r="AE88" s="25">
        <f t="shared" ca="1" si="44"/>
        <v>71.477511521912774</v>
      </c>
      <c r="AF88" s="25">
        <f t="shared" ca="1" si="44"/>
        <v>71.948499230726156</v>
      </c>
      <c r="AG88" s="25">
        <f t="shared" ca="1" si="44"/>
        <v>72.353564568223419</v>
      </c>
      <c r="AH88" s="25">
        <f t="shared" ca="1" si="44"/>
        <v>72.758629905720682</v>
      </c>
      <c r="AI88" s="25">
        <f t="shared" ca="1" si="44"/>
        <v>73.163695243217944</v>
      </c>
      <c r="AJ88" s="25">
        <f t="shared" ca="1" si="44"/>
        <v>73.568760580715207</v>
      </c>
      <c r="AK88" s="25">
        <f t="shared" ca="1" si="44"/>
        <v>73.973825918212469</v>
      </c>
      <c r="AL88" s="25">
        <f t="shared" ca="1" si="44"/>
        <v>74.378891255709732</v>
      </c>
      <c r="AM88" s="25">
        <f t="shared" ca="1" si="44"/>
        <v>74.783956593206995</v>
      </c>
      <c r="AN88" s="25">
        <f t="shared" ca="1" si="44"/>
        <v>75.189021930704257</v>
      </c>
      <c r="AO88" s="25">
        <f t="shared" ca="1" si="44"/>
        <v>75.59408726820152</v>
      </c>
      <c r="AP88" s="25">
        <f t="shared" ca="1" si="44"/>
        <v>75.999152605698796</v>
      </c>
      <c r="AQ88" s="25"/>
      <c r="AR88" s="25"/>
      <c r="AS88" s="25"/>
      <c r="AT88" s="25"/>
      <c r="AU88" s="25"/>
      <c r="AV88" s="25"/>
      <c r="AW88" s="25"/>
      <c r="AX88" s="25"/>
      <c r="AY88" s="25"/>
      <c r="AZ88" s="25"/>
      <c r="BA88" s="25"/>
      <c r="BB88" s="25"/>
      <c r="BC88" s="25"/>
      <c r="BD88" s="25"/>
      <c r="BE88" s="25"/>
      <c r="BF88" s="25"/>
      <c r="BG88" s="25"/>
      <c r="BH88" s="25"/>
      <c r="BI88" s="25"/>
      <c r="BJ88" s="25"/>
      <c r="BK88" s="25"/>
      <c r="BL88" s="25"/>
      <c r="BM88" s="25"/>
      <c r="BN88" s="25"/>
      <c r="BO88" s="25"/>
      <c r="BP88" s="25"/>
      <c r="BQ88" s="25"/>
      <c r="BR88" s="25"/>
      <c r="BS88" s="25"/>
      <c r="BT88" s="25"/>
      <c r="BU88" s="25"/>
      <c r="BV88" s="25"/>
      <c r="BW88" s="25"/>
      <c r="BX88" s="25"/>
      <c r="BY88" s="25"/>
      <c r="BZ88" s="25"/>
      <c r="CA88" s="25"/>
      <c r="CB88" s="25"/>
      <c r="CC88" s="25"/>
      <c r="CD88" s="25"/>
      <c r="CE88" s="25"/>
      <c r="CF88" s="25"/>
      <c r="CG88" s="25"/>
      <c r="CH88" s="25"/>
      <c r="CI88" s="25"/>
      <c r="CJ88" s="25"/>
      <c r="CK88" s="25"/>
      <c r="CL88" s="25"/>
      <c r="CM88" s="25"/>
      <c r="CN88" s="25"/>
    </row>
    <row r="91" spans="1:92" x14ac:dyDescent="0.2">
      <c r="A91" s="211" t="s">
        <v>238</v>
      </c>
      <c r="B91">
        <f ca="1">-'MitTable(LMDI I)DEq'!B$6</f>
        <v>4.0142655683439166E-2</v>
      </c>
      <c r="C91" s="25">
        <f t="shared" ref="C91:K91" ca="1" si="45">B91+(($L91-$B91)/($L$75-$B$75))</f>
        <v>3.1623494335395234E-2</v>
      </c>
      <c r="D91" s="25">
        <f t="shared" ca="1" si="45"/>
        <v>2.3104332987351303E-2</v>
      </c>
      <c r="E91" s="25">
        <f t="shared" ca="1" si="45"/>
        <v>1.4585171639307374E-2</v>
      </c>
      <c r="F91" s="25">
        <f t="shared" ca="1" si="45"/>
        <v>6.0660102912634441E-3</v>
      </c>
      <c r="G91" s="25">
        <f t="shared" ca="1" si="45"/>
        <v>-2.4531510567804855E-3</v>
      </c>
      <c r="H91" s="25">
        <f t="shared" ca="1" si="45"/>
        <v>-1.0972312404824415E-2</v>
      </c>
      <c r="I91" s="25">
        <f t="shared" ca="1" si="45"/>
        <v>-1.9491473752868346E-2</v>
      </c>
      <c r="J91" s="25">
        <f t="shared" ca="1" si="45"/>
        <v>-2.8010635100912278E-2</v>
      </c>
      <c r="K91" s="25">
        <f t="shared" ca="1" si="45"/>
        <v>-3.6529796448956209E-2</v>
      </c>
      <c r="L91">
        <f ca="1">-'MitTable(LMDI I)DEq'!C$6</f>
        <v>-4.5048957797000126E-2</v>
      </c>
      <c r="M91" s="25">
        <f t="shared" ref="M91:U91" ca="1" si="46">L91+(($V91-$L91)/($V$75-$L$75))</f>
        <v>-0.18616908248322178</v>
      </c>
      <c r="N91" s="25">
        <f t="shared" ca="1" si="46"/>
        <v>-0.32728920716944343</v>
      </c>
      <c r="O91" s="25">
        <f t="shared" ca="1" si="46"/>
        <v>-0.46840933185566508</v>
      </c>
      <c r="P91" s="25">
        <f t="shared" ca="1" si="46"/>
        <v>-0.60952945654188673</v>
      </c>
      <c r="Q91" s="25">
        <f t="shared" ca="1" si="46"/>
        <v>-0.75064958122810843</v>
      </c>
      <c r="R91" s="25">
        <f t="shared" ca="1" si="46"/>
        <v>-0.89176970591433014</v>
      </c>
      <c r="S91" s="25">
        <f t="shared" ca="1" si="46"/>
        <v>-1.0328898306005518</v>
      </c>
      <c r="T91" s="25">
        <f t="shared" ca="1" si="46"/>
        <v>-1.1740099552867735</v>
      </c>
      <c r="U91" s="25">
        <f t="shared" ca="1" si="46"/>
        <v>-1.3151300799729952</v>
      </c>
      <c r="V91">
        <f ca="1">-'MitTable(LMDI I)DEq'!D$6</f>
        <v>-1.4562502046592167</v>
      </c>
      <c r="W91" s="25">
        <f t="shared" ref="W91:AE91" ca="1" si="47">V91+(($AF91-$V91)/($AF$75-$V$75))</f>
        <v>-1.6421116843277392</v>
      </c>
      <c r="X91" s="25">
        <f t="shared" ca="1" si="47"/>
        <v>-1.8279731639962615</v>
      </c>
      <c r="Y91" s="25">
        <f t="shared" ca="1" si="47"/>
        <v>-2.0138346436647838</v>
      </c>
      <c r="Z91" s="25">
        <f t="shared" ca="1" si="47"/>
        <v>-2.1996961233333061</v>
      </c>
      <c r="AA91" s="25">
        <f t="shared" ca="1" si="47"/>
        <v>-2.3855576030018284</v>
      </c>
      <c r="AB91" s="25">
        <f t="shared" ca="1" si="47"/>
        <v>-2.5714190826703507</v>
      </c>
      <c r="AC91" s="25">
        <f t="shared" ca="1" si="47"/>
        <v>-2.757280562338873</v>
      </c>
      <c r="AD91" s="25">
        <f t="shared" ca="1" si="47"/>
        <v>-2.9431420420073953</v>
      </c>
      <c r="AE91" s="25">
        <f t="shared" ca="1" si="47"/>
        <v>-3.1290035216759176</v>
      </c>
      <c r="AF91">
        <f ca="1">-'MitTable(LMDI I)DEq'!E$6</f>
        <v>-3.3148650013444407</v>
      </c>
      <c r="AG91" s="25">
        <f t="shared" ref="AG91:AO91" ca="1" si="48">AF91+(($AP91-$AF91)/($AP$75-$AF$75))</f>
        <v>-3.2114458463234619</v>
      </c>
      <c r="AH91" s="25">
        <f t="shared" ca="1" si="48"/>
        <v>-3.108026691302483</v>
      </c>
      <c r="AI91" s="25">
        <f t="shared" ca="1" si="48"/>
        <v>-3.0046075362815041</v>
      </c>
      <c r="AJ91" s="25">
        <f t="shared" ca="1" si="48"/>
        <v>-2.9011883812605253</v>
      </c>
      <c r="AK91" s="25">
        <f t="shared" ca="1" si="48"/>
        <v>-2.7977692262395464</v>
      </c>
      <c r="AL91" s="25">
        <f t="shared" ca="1" si="48"/>
        <v>-2.6943500712185675</v>
      </c>
      <c r="AM91" s="25">
        <f t="shared" ca="1" si="48"/>
        <v>-2.5909309161975886</v>
      </c>
      <c r="AN91" s="25">
        <f t="shared" ca="1" si="48"/>
        <v>-2.4875117611766098</v>
      </c>
      <c r="AO91" s="25">
        <f t="shared" ca="1" si="48"/>
        <v>-2.3840926061556309</v>
      </c>
      <c r="AP91">
        <f ca="1">-'MitTable(LMDI I)DEq'!F$6</f>
        <v>-2.2806734511346538</v>
      </c>
      <c r="AQ91" s="25"/>
      <c r="AR91" s="25"/>
      <c r="AS91" s="25"/>
      <c r="AT91" s="25"/>
      <c r="AU91" s="25"/>
      <c r="AV91" s="25"/>
      <c r="AW91" s="25"/>
      <c r="AX91" s="25"/>
      <c r="AY91" s="25"/>
      <c r="BA91" s="25"/>
      <c r="BB91" s="25"/>
      <c r="BC91" s="25"/>
      <c r="BD91" s="25"/>
      <c r="BE91" s="25"/>
      <c r="BF91" s="25"/>
      <c r="BG91" s="25"/>
      <c r="BH91" s="25"/>
      <c r="BI91" s="25"/>
      <c r="BK91" s="25"/>
      <c r="BL91" s="25"/>
      <c r="BM91" s="25"/>
      <c r="BN91" s="25"/>
      <c r="BO91" s="25"/>
      <c r="BP91" s="25"/>
      <c r="BQ91" s="25"/>
      <c r="BR91" s="25"/>
      <c r="BS91" s="25"/>
      <c r="BU91" s="25"/>
      <c r="BV91" s="25"/>
      <c r="BW91" s="25"/>
      <c r="BX91" s="25"/>
      <c r="BY91" s="25"/>
      <c r="BZ91" s="25"/>
      <c r="CA91" s="25"/>
      <c r="CB91" s="25"/>
      <c r="CC91" s="25"/>
      <c r="CE91" s="25"/>
      <c r="CF91" s="25"/>
      <c r="CG91" s="25"/>
      <c r="CH91" s="25"/>
      <c r="CI91" s="25"/>
      <c r="CJ91" s="25"/>
      <c r="CK91" s="25"/>
      <c r="CL91" s="25"/>
      <c r="CM91" s="25"/>
    </row>
    <row r="92" spans="1:92" x14ac:dyDescent="0.2">
      <c r="A92" s="212" t="s">
        <v>231</v>
      </c>
      <c r="B92">
        <f ca="1">-'MitTable(LMDI I)DEq'!B$3</f>
        <v>-1.930580328775526E-9</v>
      </c>
      <c r="C92" s="25">
        <f t="shared" ref="C92:K92" ca="1" si="49">B92+(($L92-$B92)/($L$75-$B$75))</f>
        <v>-4.0863367014911424E-2</v>
      </c>
      <c r="D92" s="25">
        <f t="shared" ca="1" si="49"/>
        <v>-8.1726732099242527E-2</v>
      </c>
      <c r="E92" s="25">
        <f t="shared" ca="1" si="49"/>
        <v>-0.12259009718357362</v>
      </c>
      <c r="F92" s="25">
        <f t="shared" ca="1" si="49"/>
        <v>-0.16345346226790472</v>
      </c>
      <c r="G92" s="25">
        <f t="shared" ca="1" si="49"/>
        <v>-0.20431682735223583</v>
      </c>
      <c r="H92" s="25">
        <f t="shared" ca="1" si="49"/>
        <v>-0.24518019243656691</v>
      </c>
      <c r="I92" s="25">
        <f t="shared" ca="1" si="49"/>
        <v>-0.286043557520898</v>
      </c>
      <c r="J92" s="25">
        <f t="shared" ca="1" si="49"/>
        <v>-0.32690692260522908</v>
      </c>
      <c r="K92" s="25">
        <f t="shared" ca="1" si="49"/>
        <v>-0.36777028768956016</v>
      </c>
      <c r="L92">
        <f ca="1">-'MitTable(LMDI I)DEq'!C$3</f>
        <v>-0.40863365277389124</v>
      </c>
      <c r="M92" s="25">
        <f t="shared" ref="M92:U92" ca="1" si="50">L92+(($V92-$L92)/($V$75-$L$75))</f>
        <v>-0.46306754157949798</v>
      </c>
      <c r="N92" s="25">
        <f t="shared" ca="1" si="50"/>
        <v>-0.51750143038510465</v>
      </c>
      <c r="O92" s="25">
        <f t="shared" ca="1" si="50"/>
        <v>-0.57193531919071139</v>
      </c>
      <c r="P92" s="25">
        <f t="shared" ca="1" si="50"/>
        <v>-0.62636920799631812</v>
      </c>
      <c r="Q92" s="25">
        <f t="shared" ca="1" si="50"/>
        <v>-0.68080309680192486</v>
      </c>
      <c r="R92" s="25">
        <f t="shared" ca="1" si="50"/>
        <v>-0.73523698560753159</v>
      </c>
      <c r="S92" s="25">
        <f t="shared" ca="1" si="50"/>
        <v>-0.78967087441313832</v>
      </c>
      <c r="T92" s="25">
        <f t="shared" ca="1" si="50"/>
        <v>-0.84410476321874506</v>
      </c>
      <c r="U92" s="25">
        <f t="shared" ca="1" si="50"/>
        <v>-0.89853865202435179</v>
      </c>
      <c r="V92">
        <f ca="1">-'MitTable(LMDI I)DEq'!D$3</f>
        <v>-0.9529725408299583</v>
      </c>
      <c r="W92" s="25">
        <f t="shared" ref="W92:AE92" ca="1" si="51">V92+(($AF92-$V92)/($AF$75-$V$75))</f>
        <v>-0.99085478127797266</v>
      </c>
      <c r="X92" s="25">
        <f t="shared" ca="1" si="51"/>
        <v>-1.028737021725987</v>
      </c>
      <c r="Y92" s="25">
        <f t="shared" ca="1" si="51"/>
        <v>-1.0666192621740014</v>
      </c>
      <c r="Z92" s="25">
        <f t="shared" ca="1" si="51"/>
        <v>-1.1045015026220157</v>
      </c>
      <c r="AA92" s="25">
        <f t="shared" ca="1" si="51"/>
        <v>-1.1423837430700301</v>
      </c>
      <c r="AB92" s="25">
        <f t="shared" ca="1" si="51"/>
        <v>-1.1802659835180445</v>
      </c>
      <c r="AC92" s="25">
        <f t="shared" ca="1" si="51"/>
        <v>-1.2181482239660588</v>
      </c>
      <c r="AD92" s="25">
        <f t="shared" ca="1" si="51"/>
        <v>-1.2560304644140732</v>
      </c>
      <c r="AE92" s="25">
        <f t="shared" ca="1" si="51"/>
        <v>-1.2939127048620875</v>
      </c>
      <c r="AF92">
        <f ca="1">-'MitTable(LMDI I)DEq'!E$3</f>
        <v>-1.3317949453101023</v>
      </c>
      <c r="AG92" s="25">
        <f t="shared" ref="AG92:AO92" ca="1" si="52">AF92+(($AP92-$AF92)/($AP$75-$AF$75))</f>
        <v>-1.3843716300756743</v>
      </c>
      <c r="AH92" s="25">
        <f t="shared" ca="1" si="52"/>
        <v>-1.4369483148412463</v>
      </c>
      <c r="AI92" s="25">
        <f t="shared" ca="1" si="52"/>
        <v>-1.4895249996068183</v>
      </c>
      <c r="AJ92" s="25">
        <f t="shared" ca="1" si="52"/>
        <v>-1.5421016843723903</v>
      </c>
      <c r="AK92" s="25">
        <f t="shared" ca="1" si="52"/>
        <v>-1.5946783691379622</v>
      </c>
      <c r="AL92" s="25">
        <f t="shared" ca="1" si="52"/>
        <v>-1.6472550539035342</v>
      </c>
      <c r="AM92" s="25">
        <f t="shared" ca="1" si="52"/>
        <v>-1.6998317386691062</v>
      </c>
      <c r="AN92" s="25">
        <f t="shared" ca="1" si="52"/>
        <v>-1.7524084234346782</v>
      </c>
      <c r="AO92" s="25">
        <f t="shared" ca="1" si="52"/>
        <v>-1.8049851082002502</v>
      </c>
      <c r="AP92">
        <f ca="1">-'MitTable(LMDI I)DEq'!F$3</f>
        <v>-1.8575617929658228</v>
      </c>
      <c r="AQ92" s="25"/>
      <c r="AR92" s="25"/>
      <c r="AS92" s="25"/>
      <c r="AT92" s="25"/>
      <c r="AU92" s="25"/>
      <c r="AV92" s="25"/>
      <c r="AW92" s="25"/>
      <c r="AX92" s="25"/>
      <c r="AY92" s="25"/>
      <c r="BA92" s="25"/>
      <c r="BB92" s="25"/>
      <c r="BC92" s="25"/>
      <c r="BD92" s="25"/>
      <c r="BE92" s="25"/>
      <c r="BF92" s="25"/>
      <c r="BG92" s="25"/>
      <c r="BH92" s="25"/>
      <c r="BI92" s="25"/>
      <c r="BK92" s="25"/>
      <c r="BL92" s="25"/>
      <c r="BM92" s="25"/>
      <c r="BN92" s="25"/>
      <c r="BO92" s="25"/>
      <c r="BP92" s="25"/>
      <c r="BQ92" s="25"/>
      <c r="BR92" s="25"/>
      <c r="BS92" s="25"/>
      <c r="BU92" s="25"/>
      <c r="BV92" s="25"/>
      <c r="BW92" s="25"/>
      <c r="BX92" s="25"/>
      <c r="BY92" s="25"/>
      <c r="BZ92" s="25"/>
      <c r="CA92" s="25"/>
      <c r="CB92" s="25"/>
      <c r="CC92" s="25"/>
      <c r="CE92" s="25"/>
      <c r="CF92" s="25"/>
      <c r="CG92" s="25"/>
      <c r="CH92" s="25"/>
      <c r="CI92" s="25"/>
      <c r="CJ92" s="25"/>
      <c r="CK92" s="25"/>
      <c r="CL92" s="25"/>
      <c r="CM92" s="25"/>
    </row>
    <row r="93" spans="1:92" x14ac:dyDescent="0.2">
      <c r="A93" s="212" t="s">
        <v>232</v>
      </c>
      <c r="B93">
        <f ca="1">-'MitTable(LMDI I)DEq'!B$4</f>
        <v>0.21416754134207142</v>
      </c>
      <c r="C93" s="25">
        <f t="shared" ref="C93:K93" ca="1" si="53">B93+(($L93-$B93)/($L$75-$B$75))</f>
        <v>0.23960019475821651</v>
      </c>
      <c r="D93" s="25">
        <f t="shared" ca="1" si="53"/>
        <v>0.26503284817436162</v>
      </c>
      <c r="E93" s="25">
        <f t="shared" ca="1" si="53"/>
        <v>0.29046550159050671</v>
      </c>
      <c r="F93" s="25">
        <f t="shared" ca="1" si="53"/>
        <v>0.3158981550066518</v>
      </c>
      <c r="G93" s="25">
        <f t="shared" ca="1" si="53"/>
        <v>0.34133080842279689</v>
      </c>
      <c r="H93" s="25">
        <f t="shared" ca="1" si="53"/>
        <v>0.36676346183894198</v>
      </c>
      <c r="I93" s="25">
        <f t="shared" ca="1" si="53"/>
        <v>0.39219611525508707</v>
      </c>
      <c r="J93" s="25">
        <f t="shared" ca="1" si="53"/>
        <v>0.41762876867123216</v>
      </c>
      <c r="K93" s="25">
        <f t="shared" ca="1" si="53"/>
        <v>0.44306142208737725</v>
      </c>
      <c r="L93">
        <f ca="1">-'MitTable(LMDI I)DEq'!C$4</f>
        <v>0.4684940755035224</v>
      </c>
      <c r="M93" s="25">
        <f t="shared" ref="M93:U93" ca="1" si="54">L93+(($V93-$L93)/($V$75-$L$75))</f>
        <v>0.49158931477466261</v>
      </c>
      <c r="N93" s="25">
        <f t="shared" ca="1" si="54"/>
        <v>0.51468455404580282</v>
      </c>
      <c r="O93" s="25">
        <f t="shared" ca="1" si="54"/>
        <v>0.53777979331694303</v>
      </c>
      <c r="P93" s="25">
        <f t="shared" ca="1" si="54"/>
        <v>0.56087503258808324</v>
      </c>
      <c r="Q93" s="25">
        <f t="shared" ca="1" si="54"/>
        <v>0.58397027185922346</v>
      </c>
      <c r="R93" s="25">
        <f t="shared" ca="1" si="54"/>
        <v>0.60706551113036367</v>
      </c>
      <c r="S93" s="25">
        <f t="shared" ca="1" si="54"/>
        <v>0.63016075040150388</v>
      </c>
      <c r="T93" s="25">
        <f t="shared" ca="1" si="54"/>
        <v>0.65325598967264409</v>
      </c>
      <c r="U93" s="25">
        <f t="shared" ca="1" si="54"/>
        <v>0.6763512289437843</v>
      </c>
      <c r="V93">
        <f ca="1">-'MitTable(LMDI I)DEq'!D$4</f>
        <v>0.69944646821492462</v>
      </c>
      <c r="W93" s="25">
        <f t="shared" ref="W93:AE93" ca="1" si="55">V93+(($AF93-$V93)/($AF$75-$V$75))</f>
        <v>0.71146599803849431</v>
      </c>
      <c r="X93" s="25">
        <f t="shared" ca="1" si="55"/>
        <v>0.72348552786206399</v>
      </c>
      <c r="Y93" s="25">
        <f t="shared" ca="1" si="55"/>
        <v>0.73550505768563368</v>
      </c>
      <c r="Z93" s="25">
        <f t="shared" ca="1" si="55"/>
        <v>0.74752458750920336</v>
      </c>
      <c r="AA93" s="25">
        <f t="shared" ca="1" si="55"/>
        <v>0.75954411733277305</v>
      </c>
      <c r="AB93" s="25">
        <f t="shared" ca="1" si="55"/>
        <v>0.77156364715634274</v>
      </c>
      <c r="AC93" s="25">
        <f t="shared" ca="1" si="55"/>
        <v>0.78358317697991242</v>
      </c>
      <c r="AD93" s="25">
        <f t="shared" ca="1" si="55"/>
        <v>0.79560270680348211</v>
      </c>
      <c r="AE93" s="25">
        <f t="shared" ca="1" si="55"/>
        <v>0.80762223662705179</v>
      </c>
      <c r="AF93">
        <f ca="1">-'MitTable(LMDI I)DEq'!E$4</f>
        <v>0.81964176645062115</v>
      </c>
      <c r="AG93" s="25">
        <f t="shared" ref="AG93:AO93" ca="1" si="56">AF93+(($AP93-$AF93)/($AP$75-$AF$75))</f>
        <v>0.83630435301435313</v>
      </c>
      <c r="AH93" s="25">
        <f t="shared" ca="1" si="56"/>
        <v>0.85296693957808511</v>
      </c>
      <c r="AI93" s="25">
        <f t="shared" ca="1" si="56"/>
        <v>0.8696295261418171</v>
      </c>
      <c r="AJ93" s="25">
        <f t="shared" ca="1" si="56"/>
        <v>0.88629211270554908</v>
      </c>
      <c r="AK93" s="25">
        <f t="shared" ca="1" si="56"/>
        <v>0.90295469926928107</v>
      </c>
      <c r="AL93" s="25">
        <f t="shared" ca="1" si="56"/>
        <v>0.91961728583301305</v>
      </c>
      <c r="AM93" s="25">
        <f t="shared" ca="1" si="56"/>
        <v>0.93627987239674504</v>
      </c>
      <c r="AN93" s="25">
        <f t="shared" ca="1" si="56"/>
        <v>0.95294245896047702</v>
      </c>
      <c r="AO93" s="25">
        <f t="shared" ca="1" si="56"/>
        <v>0.96960504552420901</v>
      </c>
      <c r="AP93">
        <f ca="1">-'MitTable(LMDI I)DEq'!F$4</f>
        <v>0.9862676320879411</v>
      </c>
      <c r="AQ93" s="25"/>
      <c r="AR93" s="25"/>
      <c r="AS93" s="25"/>
      <c r="AT93" s="25"/>
      <c r="AU93" s="25"/>
      <c r="AV93" s="25"/>
      <c r="AW93" s="25"/>
      <c r="AX93" s="25"/>
      <c r="AY93" s="25"/>
      <c r="BA93" s="25"/>
      <c r="BB93" s="25"/>
      <c r="BC93" s="25"/>
      <c r="BD93" s="25"/>
      <c r="BE93" s="25"/>
      <c r="BF93" s="25"/>
      <c r="BG93" s="25"/>
      <c r="BH93" s="25"/>
      <c r="BI93" s="25"/>
      <c r="BK93" s="25"/>
      <c r="BL93" s="25"/>
      <c r="BM93" s="25"/>
      <c r="BN93" s="25"/>
      <c r="BO93" s="25"/>
      <c r="BP93" s="25"/>
      <c r="BQ93" s="25"/>
      <c r="BR93" s="25"/>
      <c r="BS93" s="25"/>
      <c r="BU93" s="25"/>
      <c r="BV93" s="25"/>
      <c r="BW93" s="25"/>
      <c r="BX93" s="25"/>
      <c r="BY93" s="25"/>
      <c r="BZ93" s="25"/>
      <c r="CA93" s="25"/>
      <c r="CB93" s="25"/>
      <c r="CC93" s="25"/>
      <c r="CE93" s="25"/>
      <c r="CF93" s="25"/>
      <c r="CG93" s="25"/>
      <c r="CH93" s="25"/>
      <c r="CI93" s="25"/>
      <c r="CJ93" s="25"/>
      <c r="CK93" s="25"/>
      <c r="CL93" s="25"/>
      <c r="CM93" s="25"/>
    </row>
    <row r="94" spans="1:92" x14ac:dyDescent="0.2">
      <c r="A94" s="212" t="s">
        <v>233</v>
      </c>
      <c r="B94">
        <f ca="1">-'MitTable(LMDI I)DEq'!B$5</f>
        <v>-0.22728013802802283</v>
      </c>
      <c r="C94" s="25">
        <f t="shared" ref="C94:K94" ca="1" si="57">B94+(($L94-$B94)/($L$75-$B$75))</f>
        <v>-0.68789938504920134</v>
      </c>
      <c r="D94" s="25">
        <f t="shared" ca="1" si="57"/>
        <v>-1.1485186320703797</v>
      </c>
      <c r="E94" s="25">
        <f t="shared" ca="1" si="57"/>
        <v>-1.6091378790915583</v>
      </c>
      <c r="F94" s="25">
        <f t="shared" ca="1" si="57"/>
        <v>-2.0697571261127368</v>
      </c>
      <c r="G94" s="25">
        <f t="shared" ca="1" si="57"/>
        <v>-2.5303763731339153</v>
      </c>
      <c r="H94" s="25">
        <f t="shared" ca="1" si="57"/>
        <v>-2.9909956201550938</v>
      </c>
      <c r="I94" s="25">
        <f t="shared" ca="1" si="57"/>
        <v>-3.4516148671762723</v>
      </c>
      <c r="J94" s="25">
        <f t="shared" ca="1" si="57"/>
        <v>-3.9122341141974508</v>
      </c>
      <c r="K94" s="25">
        <f t="shared" ca="1" si="57"/>
        <v>-4.3728533612186293</v>
      </c>
      <c r="L94">
        <f ca="1">-'MitTable(LMDI I)DEq'!C$5</f>
        <v>-4.8334726082398083</v>
      </c>
      <c r="M94" s="25">
        <f t="shared" ref="M94:U94" ca="1" si="58">L94+(($V94-$L94)/($V$75-$L$75))</f>
        <v>-5.7017125604414813</v>
      </c>
      <c r="N94" s="25">
        <f t="shared" ca="1" si="58"/>
        <v>-6.5699525126431544</v>
      </c>
      <c r="O94" s="25">
        <f t="shared" ca="1" si="58"/>
        <v>-7.4381924648448274</v>
      </c>
      <c r="P94" s="25">
        <f t="shared" ca="1" si="58"/>
        <v>-8.3064324170465014</v>
      </c>
      <c r="Q94" s="25">
        <f t="shared" ca="1" si="58"/>
        <v>-9.1746723692481744</v>
      </c>
      <c r="R94" s="25">
        <f t="shared" ca="1" si="58"/>
        <v>-10.042912321449847</v>
      </c>
      <c r="S94" s="25">
        <f t="shared" ca="1" si="58"/>
        <v>-10.911152273651521</v>
      </c>
      <c r="T94" s="25">
        <f t="shared" ca="1" si="58"/>
        <v>-11.779392225853194</v>
      </c>
      <c r="U94" s="25">
        <f t="shared" ca="1" si="58"/>
        <v>-12.647632178054867</v>
      </c>
      <c r="V94">
        <f ca="1">-'MitTable(LMDI I)DEq'!D$5</f>
        <v>-13.51587213025654</v>
      </c>
      <c r="W94" s="25">
        <f t="shared" ref="W94:AE94" ca="1" si="59">V94+(($AF94-$V94)/($AF$75-$V$75))</f>
        <v>-13.808956376215297</v>
      </c>
      <c r="X94" s="25">
        <f t="shared" ca="1" si="59"/>
        <v>-14.102040622174055</v>
      </c>
      <c r="Y94" s="25">
        <f t="shared" ca="1" si="59"/>
        <v>-14.395124868132813</v>
      </c>
      <c r="Z94" s="25">
        <f t="shared" ca="1" si="59"/>
        <v>-14.68820911409157</v>
      </c>
      <c r="AA94" s="25">
        <f t="shared" ca="1" si="59"/>
        <v>-14.981293360050328</v>
      </c>
      <c r="AB94" s="25">
        <f t="shared" ca="1" si="59"/>
        <v>-15.274377606009086</v>
      </c>
      <c r="AC94" s="25">
        <f t="shared" ca="1" si="59"/>
        <v>-15.567461851967844</v>
      </c>
      <c r="AD94" s="25">
        <f t="shared" ca="1" si="59"/>
        <v>-15.860546097926601</v>
      </c>
      <c r="AE94" s="25">
        <f t="shared" ca="1" si="59"/>
        <v>-16.153630343885357</v>
      </c>
      <c r="AF94">
        <f ca="1">-'MitTable(LMDI I)DEq'!E$5</f>
        <v>-16.44671458984411</v>
      </c>
      <c r="AG94" s="25">
        <f t="shared" ref="AG94:AO94" ca="1" si="60">AF94+(($AP94-$AF94)/($AP$75-$AF$75))</f>
        <v>-16.485549314474589</v>
      </c>
      <c r="AH94" s="25">
        <f t="shared" ca="1" si="60"/>
        <v>-16.524384039105069</v>
      </c>
      <c r="AI94" s="25">
        <f t="shared" ca="1" si="60"/>
        <v>-16.563218763735549</v>
      </c>
      <c r="AJ94" s="25">
        <f t="shared" ca="1" si="60"/>
        <v>-16.602053488366028</v>
      </c>
      <c r="AK94" s="25">
        <f t="shared" ca="1" si="60"/>
        <v>-16.640888212996508</v>
      </c>
      <c r="AL94" s="25">
        <f t="shared" ca="1" si="60"/>
        <v>-16.679722937626988</v>
      </c>
      <c r="AM94" s="25">
        <f t="shared" ca="1" si="60"/>
        <v>-16.718557662257467</v>
      </c>
      <c r="AN94" s="25">
        <f t="shared" ca="1" si="60"/>
        <v>-16.757392386887947</v>
      </c>
      <c r="AO94" s="25">
        <f t="shared" ca="1" si="60"/>
        <v>-16.796227111518427</v>
      </c>
      <c r="AP94">
        <f ca="1">-'MitTable(LMDI I)DEq'!F$5</f>
        <v>-16.835061836148903</v>
      </c>
      <c r="AQ94" s="25"/>
      <c r="AR94" s="25"/>
      <c r="AS94" s="25"/>
      <c r="AT94" s="25"/>
      <c r="AU94" s="25"/>
      <c r="AV94" s="25"/>
      <c r="AW94" s="25"/>
      <c r="AX94" s="25"/>
      <c r="AY94" s="25"/>
      <c r="BA94" s="25"/>
      <c r="BB94" s="25"/>
      <c r="BC94" s="25"/>
      <c r="BD94" s="25"/>
      <c r="BE94" s="25"/>
      <c r="BF94" s="25"/>
      <c r="BG94" s="25"/>
      <c r="BH94" s="25"/>
      <c r="BI94" s="25"/>
      <c r="BK94" s="25"/>
      <c r="BL94" s="25"/>
      <c r="BM94" s="25"/>
      <c r="BN94" s="25"/>
      <c r="BO94" s="25"/>
      <c r="BP94" s="25"/>
      <c r="BQ94" s="25"/>
      <c r="BR94" s="25"/>
      <c r="BS94" s="25"/>
      <c r="BU94" s="25"/>
      <c r="BV94" s="25"/>
      <c r="BW94" s="25"/>
      <c r="BX94" s="25"/>
      <c r="BY94" s="25"/>
      <c r="BZ94" s="25"/>
      <c r="CA94" s="25"/>
      <c r="CB94" s="25"/>
      <c r="CC94" s="25"/>
      <c r="CE94" s="25"/>
      <c r="CF94" s="25"/>
      <c r="CG94" s="25"/>
      <c r="CH94" s="25"/>
      <c r="CI94" s="25"/>
      <c r="CJ94" s="25"/>
      <c r="CK94" s="25"/>
      <c r="CL94" s="25"/>
      <c r="CM94" s="25"/>
    </row>
    <row r="95" spans="1:92" x14ac:dyDescent="0.2">
      <c r="A95" s="212" t="s">
        <v>270</v>
      </c>
      <c r="B95">
        <f ca="1">-'MitTable(LMDI I)DEq'!B$7</f>
        <v>0.11462076505914047</v>
      </c>
      <c r="C95" s="25">
        <f t="shared" ref="C95:K95" ca="1" si="61">B95+(($L95-$B95)/($L$75-$B$75))</f>
        <v>-7.0271455405077468E-2</v>
      </c>
      <c r="D95" s="25">
        <f t="shared" ca="1" si="61"/>
        <v>-0.25516367586929539</v>
      </c>
      <c r="E95" s="25">
        <f t="shared" ca="1" si="61"/>
        <v>-0.44005589633351333</v>
      </c>
      <c r="F95" s="25">
        <f t="shared" ca="1" si="61"/>
        <v>-0.62494811679773132</v>
      </c>
      <c r="G95" s="25">
        <f t="shared" ca="1" si="61"/>
        <v>-0.80984033726194926</v>
      </c>
      <c r="H95" s="25">
        <f t="shared" ca="1" si="61"/>
        <v>-0.9947325577261672</v>
      </c>
      <c r="I95" s="25">
        <f t="shared" ca="1" si="61"/>
        <v>-1.179624778190385</v>
      </c>
      <c r="J95" s="25">
        <f t="shared" ca="1" si="61"/>
        <v>-1.3645169986546031</v>
      </c>
      <c r="K95" s="25">
        <f t="shared" ca="1" si="61"/>
        <v>-1.5494092191188211</v>
      </c>
      <c r="L95">
        <f ca="1">-'MitTable(LMDI I)DEq'!C$7</f>
        <v>-1.734301439583039</v>
      </c>
      <c r="M95" s="25">
        <f t="shared" ref="M95:U95" ca="1" si="62">L95+(($V95-$L95)/($V$75-$L$75))</f>
        <v>-1.9332111001453203</v>
      </c>
      <c r="N95" s="25">
        <f t="shared" ca="1" si="62"/>
        <v>-2.1321207607076014</v>
      </c>
      <c r="O95" s="25">
        <f t="shared" ca="1" si="62"/>
        <v>-2.3310304212698827</v>
      </c>
      <c r="P95" s="25">
        <f t="shared" ca="1" si="62"/>
        <v>-2.529940081832164</v>
      </c>
      <c r="Q95" s="25">
        <f t="shared" ca="1" si="62"/>
        <v>-2.7288497423944453</v>
      </c>
      <c r="R95" s="25">
        <f t="shared" ca="1" si="62"/>
        <v>-2.9277594029567267</v>
      </c>
      <c r="S95" s="25">
        <f t="shared" ca="1" si="62"/>
        <v>-3.126669063519008</v>
      </c>
      <c r="T95" s="25">
        <f t="shared" ca="1" si="62"/>
        <v>-3.3255787240812893</v>
      </c>
      <c r="U95" s="25">
        <f t="shared" ca="1" si="62"/>
        <v>-3.5244883846435706</v>
      </c>
      <c r="V95">
        <f ca="1">-'MitTable(LMDI I)DEq'!D$7</f>
        <v>-3.7233980452058515</v>
      </c>
      <c r="W95" s="25">
        <f t="shared" ref="W95:AE95" ca="1" si="63">V95+(($AF95-$V95)/($AF$75-$V$75))</f>
        <v>-4.19959933051401</v>
      </c>
      <c r="X95" s="25">
        <f t="shared" ca="1" si="63"/>
        <v>-4.6758006158221681</v>
      </c>
      <c r="Y95" s="25">
        <f t="shared" ca="1" si="63"/>
        <v>-5.1520019011303262</v>
      </c>
      <c r="Z95" s="25">
        <f t="shared" ca="1" si="63"/>
        <v>-5.6282031864384843</v>
      </c>
      <c r="AA95" s="25">
        <f t="shared" ca="1" si="63"/>
        <v>-6.1044044717466424</v>
      </c>
      <c r="AB95" s="25">
        <f t="shared" ca="1" si="63"/>
        <v>-6.5806057570548004</v>
      </c>
      <c r="AC95" s="25">
        <f t="shared" ca="1" si="63"/>
        <v>-7.0568070423629585</v>
      </c>
      <c r="AD95" s="25">
        <f t="shared" ca="1" si="63"/>
        <v>-7.5330083276711166</v>
      </c>
      <c r="AE95" s="25">
        <f t="shared" ca="1" si="63"/>
        <v>-8.0092096129792747</v>
      </c>
      <c r="AF95">
        <f ca="1">-'MitTable(LMDI I)DEq'!E$7</f>
        <v>-8.4854108982874337</v>
      </c>
      <c r="AG95" s="25">
        <f t="shared" ref="AG95:AO95" ca="1" si="64">AF95+(($AP95-$AF95)/($AP$75-$AF$75))</f>
        <v>-9.0256246295828806</v>
      </c>
      <c r="AH95" s="25">
        <f t="shared" ca="1" si="64"/>
        <v>-9.5658383608783275</v>
      </c>
      <c r="AI95" s="25">
        <f t="shared" ca="1" si="64"/>
        <v>-10.106052092173774</v>
      </c>
      <c r="AJ95" s="25">
        <f t="shared" ca="1" si="64"/>
        <v>-10.646265823469221</v>
      </c>
      <c r="AK95" s="25">
        <f t="shared" ca="1" si="64"/>
        <v>-11.186479554764668</v>
      </c>
      <c r="AL95" s="25">
        <f t="shared" ca="1" si="64"/>
        <v>-11.726693286060115</v>
      </c>
      <c r="AM95" s="25">
        <f t="shared" ca="1" si="64"/>
        <v>-12.266907017355562</v>
      </c>
      <c r="AN95" s="25">
        <f t="shared" ca="1" si="64"/>
        <v>-12.807120748651009</v>
      </c>
      <c r="AO95" s="25">
        <f t="shared" ca="1" si="64"/>
        <v>-13.347334479946456</v>
      </c>
      <c r="AP95">
        <f ca="1">-'MitTable(LMDI I)DEq'!F$7</f>
        <v>-13.887548211241905</v>
      </c>
      <c r="AQ95" s="25"/>
      <c r="AR95" s="25"/>
      <c r="AS95" s="25"/>
      <c r="AT95" s="25"/>
      <c r="AU95" s="25"/>
      <c r="AV95" s="25"/>
      <c r="AW95" s="25"/>
      <c r="AX95" s="25"/>
      <c r="AY95" s="25"/>
      <c r="BA95" s="25"/>
      <c r="BB95" s="25"/>
      <c r="BC95" s="25"/>
      <c r="BD95" s="25"/>
      <c r="BE95" s="25"/>
      <c r="BF95" s="25"/>
      <c r="BG95" s="25"/>
      <c r="BH95" s="25"/>
      <c r="BI95" s="25"/>
      <c r="BK95" s="25"/>
      <c r="BL95" s="25"/>
      <c r="BM95" s="25"/>
      <c r="BN95" s="25"/>
      <c r="BO95" s="25"/>
      <c r="BP95" s="25"/>
      <c r="BQ95" s="25"/>
      <c r="BR95" s="25"/>
      <c r="BS95" s="25"/>
      <c r="BU95" s="25"/>
      <c r="BV95" s="25"/>
      <c r="BW95" s="25"/>
      <c r="BX95" s="25"/>
      <c r="BY95" s="25"/>
      <c r="BZ95" s="25"/>
      <c r="CA95" s="25"/>
      <c r="CB95" s="25"/>
      <c r="CC95" s="25"/>
      <c r="CE95" s="25"/>
      <c r="CF95" s="25"/>
      <c r="CG95" s="25"/>
      <c r="CH95" s="25"/>
      <c r="CI95" s="25"/>
      <c r="CJ95" s="25"/>
      <c r="CK95" s="25"/>
      <c r="CL95" s="25"/>
      <c r="CM95" s="25"/>
    </row>
    <row r="96" spans="1:92" x14ac:dyDescent="0.2">
      <c r="A96" s="212" t="s">
        <v>271</v>
      </c>
      <c r="B96">
        <f ca="1">-'MitTable(LMDI I)DEq'!B$8</f>
        <v>-3.4435258669839666E-2</v>
      </c>
      <c r="C96" s="25">
        <f t="shared" ref="C96:K96" ca="1" si="65">B96+(($L96-$B96)/($L$75-$B$75))</f>
        <v>-0.10143270447672076</v>
      </c>
      <c r="D96" s="25">
        <f t="shared" ca="1" si="65"/>
        <v>-0.16843015028360186</v>
      </c>
      <c r="E96" s="25">
        <f t="shared" ca="1" si="65"/>
        <v>-0.23542759609048297</v>
      </c>
      <c r="F96" s="25">
        <f t="shared" ca="1" si="65"/>
        <v>-0.30242504189736408</v>
      </c>
      <c r="G96" s="25">
        <f t="shared" ca="1" si="65"/>
        <v>-0.36942248770424518</v>
      </c>
      <c r="H96" s="25">
        <f t="shared" ca="1" si="65"/>
        <v>-0.43641993351112629</v>
      </c>
      <c r="I96" s="25">
        <f t="shared" ca="1" si="65"/>
        <v>-0.50341737931800734</v>
      </c>
      <c r="J96" s="25">
        <f t="shared" ca="1" si="65"/>
        <v>-0.57041482512488839</v>
      </c>
      <c r="K96" s="25">
        <f t="shared" ca="1" si="65"/>
        <v>-0.63741227093176944</v>
      </c>
      <c r="L96">
        <f ca="1">-'MitTable(LMDI I)DEq'!C$8</f>
        <v>-0.7044097167386506</v>
      </c>
      <c r="M96" s="25">
        <f t="shared" ref="M96:U96" ca="1" si="66">L96+(($V96-$L96)/($V$75-$L$75))</f>
        <v>-0.84782866046536653</v>
      </c>
      <c r="N96" s="25">
        <f t="shared" ca="1" si="66"/>
        <v>-0.99124760419208247</v>
      </c>
      <c r="O96" s="25">
        <f t="shared" ca="1" si="66"/>
        <v>-1.1346665479187985</v>
      </c>
      <c r="P96" s="25">
        <f t="shared" ca="1" si="66"/>
        <v>-1.2780854916455144</v>
      </c>
      <c r="Q96" s="25">
        <f t="shared" ca="1" si="66"/>
        <v>-1.4215044353722304</v>
      </c>
      <c r="R96" s="25">
        <f t="shared" ca="1" si="66"/>
        <v>-1.5649233790989463</v>
      </c>
      <c r="S96" s="25">
        <f t="shared" ca="1" si="66"/>
        <v>-1.7083423228256622</v>
      </c>
      <c r="T96" s="25">
        <f t="shared" ca="1" si="66"/>
        <v>-1.8517612665523782</v>
      </c>
      <c r="U96" s="25">
        <f t="shared" ca="1" si="66"/>
        <v>-1.9951802102790941</v>
      </c>
      <c r="V96">
        <f ca="1">-'MitTable(LMDI I)DEq'!D$8</f>
        <v>-2.13859915400581</v>
      </c>
      <c r="W96" s="25">
        <f t="shared" ref="W96:AE96" ca="1" si="67">V96+(($AF96-$V96)/($AF$75-$V$75))</f>
        <v>-2.3533489604305697</v>
      </c>
      <c r="X96" s="25">
        <f t="shared" ca="1" si="67"/>
        <v>-2.5680987668553295</v>
      </c>
      <c r="Y96" s="25">
        <f t="shared" ca="1" si="67"/>
        <v>-2.7828485732800892</v>
      </c>
      <c r="Z96" s="25">
        <f t="shared" ca="1" si="67"/>
        <v>-2.9975983797048489</v>
      </c>
      <c r="AA96" s="25">
        <f t="shared" ca="1" si="67"/>
        <v>-3.2123481861296086</v>
      </c>
      <c r="AB96" s="25">
        <f t="shared" ca="1" si="67"/>
        <v>-3.4270979925543683</v>
      </c>
      <c r="AC96" s="25">
        <f t="shared" ca="1" si="67"/>
        <v>-3.641847798979128</v>
      </c>
      <c r="AD96" s="25">
        <f t="shared" ca="1" si="67"/>
        <v>-3.8565976054038877</v>
      </c>
      <c r="AE96" s="25">
        <f t="shared" ca="1" si="67"/>
        <v>-4.071347411828647</v>
      </c>
      <c r="AF96">
        <f ca="1">-'MitTable(LMDI I)DEq'!E$8</f>
        <v>-4.2860972182534063</v>
      </c>
      <c r="AG96" s="25">
        <f t="shared" ref="AG96:AO96" ca="1" si="68">AF96+(($AP96-$AF96)/($AP$75-$AF$75))</f>
        <v>-4.4691767955446648</v>
      </c>
      <c r="AH96" s="25">
        <f t="shared" ca="1" si="68"/>
        <v>-4.6522563728359234</v>
      </c>
      <c r="AI96" s="25">
        <f t="shared" ca="1" si="68"/>
        <v>-4.835335950127182</v>
      </c>
      <c r="AJ96" s="25">
        <f t="shared" ca="1" si="68"/>
        <v>-5.0184155274184405</v>
      </c>
      <c r="AK96" s="25">
        <f t="shared" ca="1" si="68"/>
        <v>-5.2014951047096991</v>
      </c>
      <c r="AL96" s="25">
        <f t="shared" ca="1" si="68"/>
        <v>-5.3845746820009577</v>
      </c>
      <c r="AM96" s="25">
        <f t="shared" ca="1" si="68"/>
        <v>-5.5676542592922162</v>
      </c>
      <c r="AN96" s="25">
        <f t="shared" ca="1" si="68"/>
        <v>-5.7507338365834748</v>
      </c>
      <c r="AO96" s="25">
        <f t="shared" ca="1" si="68"/>
        <v>-5.9338134138747334</v>
      </c>
      <c r="AP96">
        <f ca="1">-'MitTable(LMDI I)DEq'!F$8</f>
        <v>-6.1168929911659919</v>
      </c>
      <c r="AQ96" s="25"/>
      <c r="AR96" s="25"/>
      <c r="AS96" s="25"/>
      <c r="AT96" s="25"/>
      <c r="AU96" s="25"/>
      <c r="AV96" s="25"/>
      <c r="AW96" s="25"/>
      <c r="AX96" s="25"/>
      <c r="AY96" s="25"/>
      <c r="BA96" s="25"/>
      <c r="BB96" s="25"/>
      <c r="BC96" s="25"/>
      <c r="BD96" s="25"/>
      <c r="BE96" s="25"/>
      <c r="BF96" s="25"/>
      <c r="BG96" s="25"/>
      <c r="BH96" s="25"/>
      <c r="BI96" s="25"/>
      <c r="BK96" s="25"/>
      <c r="BL96" s="25"/>
      <c r="BM96" s="25"/>
      <c r="BN96" s="25"/>
      <c r="BO96" s="25"/>
      <c r="BP96" s="25"/>
      <c r="BQ96" s="25"/>
      <c r="BR96" s="25"/>
      <c r="BS96" s="25"/>
      <c r="BU96" s="25"/>
      <c r="BV96" s="25"/>
      <c r="BW96" s="25"/>
      <c r="BX96" s="25"/>
      <c r="BY96" s="25"/>
      <c r="BZ96" s="25"/>
      <c r="CA96" s="25"/>
      <c r="CB96" s="25"/>
      <c r="CC96" s="25"/>
      <c r="CE96" s="25"/>
      <c r="CF96" s="25"/>
      <c r="CG96" s="25"/>
      <c r="CH96" s="25"/>
      <c r="CI96" s="25"/>
      <c r="CJ96" s="25"/>
      <c r="CK96" s="25"/>
      <c r="CL96" s="25"/>
      <c r="CM96" s="25"/>
    </row>
    <row r="97" spans="1:92" x14ac:dyDescent="0.2">
      <c r="A97" s="249" t="s">
        <v>336</v>
      </c>
      <c r="B97" s="25">
        <f t="shared" ref="B97:AP97" ca="1" si="69">B105-B78</f>
        <v>-5.2692492802930424E-4</v>
      </c>
      <c r="C97" s="25">
        <f t="shared" ca="1" si="69"/>
        <v>-2.3681250495913853E-2</v>
      </c>
      <c r="D97" s="25">
        <f t="shared" ca="1" si="69"/>
        <v>-4.6835576063798401E-2</v>
      </c>
      <c r="E97" s="25">
        <f t="shared" ca="1" si="69"/>
        <v>-6.9989901631682949E-2</v>
      </c>
      <c r="F97" s="25">
        <f t="shared" ca="1" si="69"/>
        <v>-9.3144227199567498E-2</v>
      </c>
      <c r="G97" s="25">
        <f t="shared" ca="1" si="69"/>
        <v>-0.11629855276745205</v>
      </c>
      <c r="H97" s="25">
        <f t="shared" ca="1" si="69"/>
        <v>-0.13945287833533659</v>
      </c>
      <c r="I97" s="25">
        <f t="shared" ca="1" si="69"/>
        <v>-0.16260720390322114</v>
      </c>
      <c r="J97" s="25">
        <f t="shared" ca="1" si="69"/>
        <v>-0.18576152947110547</v>
      </c>
      <c r="K97" s="25">
        <f t="shared" ca="1" si="69"/>
        <v>-0.20891585503899002</v>
      </c>
      <c r="L97" s="25">
        <f t="shared" ca="1" si="69"/>
        <v>-0.23207018060687301</v>
      </c>
      <c r="M97" s="25">
        <f t="shared" ca="1" si="69"/>
        <v>-0.23468346066656531</v>
      </c>
      <c r="N97" s="25">
        <f t="shared" ca="1" si="69"/>
        <v>-0.23729674072625762</v>
      </c>
      <c r="O97" s="25">
        <f t="shared" ca="1" si="69"/>
        <v>-0.23991002078594992</v>
      </c>
      <c r="P97" s="25">
        <f t="shared" ca="1" si="69"/>
        <v>-0.24252330084564244</v>
      </c>
      <c r="Q97" s="25">
        <f t="shared" ca="1" si="69"/>
        <v>-0.24513658090533474</v>
      </c>
      <c r="R97" s="25">
        <f t="shared" ca="1" si="69"/>
        <v>-0.24774986096502705</v>
      </c>
      <c r="S97" s="25">
        <f t="shared" ca="1" si="69"/>
        <v>-0.25036314102471935</v>
      </c>
      <c r="T97" s="25">
        <f t="shared" ca="1" si="69"/>
        <v>-0.25297642108441165</v>
      </c>
      <c r="U97" s="25">
        <f t="shared" ca="1" si="69"/>
        <v>-0.25558970114410395</v>
      </c>
      <c r="V97" s="25">
        <f t="shared" ca="1" si="69"/>
        <v>-0.25820298120379492</v>
      </c>
      <c r="W97" s="25">
        <f t="shared" ca="1" si="69"/>
        <v>-0.26235378533601805</v>
      </c>
      <c r="X97" s="25">
        <f t="shared" ca="1" si="69"/>
        <v>-0.26650458946824096</v>
      </c>
      <c r="Y97" s="25">
        <f t="shared" ca="1" si="69"/>
        <v>-0.27065539360046387</v>
      </c>
      <c r="Z97" s="25">
        <f t="shared" ca="1" si="69"/>
        <v>-0.274806197732687</v>
      </c>
      <c r="AA97" s="25">
        <f t="shared" ca="1" si="69"/>
        <v>-0.27895700186491013</v>
      </c>
      <c r="AB97" s="25">
        <f t="shared" ca="1" si="69"/>
        <v>-0.28310780599713303</v>
      </c>
      <c r="AC97" s="25">
        <f t="shared" ca="1" si="69"/>
        <v>-0.28725861012935594</v>
      </c>
      <c r="AD97" s="25">
        <f t="shared" ca="1" si="69"/>
        <v>-0.29140941426157907</v>
      </c>
      <c r="AE97" s="25">
        <f t="shared" ca="1" si="69"/>
        <v>-0.2955602183938022</v>
      </c>
      <c r="AF97" s="25">
        <f t="shared" ca="1" si="69"/>
        <v>-0.29971102252602577</v>
      </c>
      <c r="AG97" s="25">
        <f t="shared" ca="1" si="69"/>
        <v>-0.33173839036996156</v>
      </c>
      <c r="AH97" s="25">
        <f t="shared" ca="1" si="69"/>
        <v>-0.36376575821389734</v>
      </c>
      <c r="AI97" s="25">
        <f t="shared" ca="1" si="69"/>
        <v>-0.3957931260578329</v>
      </c>
      <c r="AJ97" s="25">
        <f t="shared" ca="1" si="69"/>
        <v>-0.42782049390176868</v>
      </c>
      <c r="AK97" s="25">
        <f t="shared" ca="1" si="69"/>
        <v>-0.45984786174570447</v>
      </c>
      <c r="AL97" s="25">
        <f t="shared" ca="1" si="69"/>
        <v>-0.49187522958964003</v>
      </c>
      <c r="AM97" s="25">
        <f t="shared" ca="1" si="69"/>
        <v>-0.52390259743357581</v>
      </c>
      <c r="AN97" s="25">
        <f t="shared" ca="1" si="69"/>
        <v>-0.5559299652775116</v>
      </c>
      <c r="AO97" s="25">
        <f t="shared" ca="1" si="69"/>
        <v>-0.58795733312144738</v>
      </c>
      <c r="AP97" s="25">
        <f t="shared" ca="1" si="69"/>
        <v>-0.61998470096538449</v>
      </c>
      <c r="AQ97" s="25"/>
      <c r="AR97" s="25"/>
      <c r="AS97" s="25"/>
      <c r="AT97" s="25"/>
      <c r="AU97" s="25"/>
      <c r="AV97" s="25"/>
      <c r="AW97" s="25"/>
      <c r="AX97" s="25"/>
      <c r="AY97" s="25"/>
      <c r="AZ97" s="25"/>
      <c r="BA97" s="25"/>
      <c r="BB97" s="25"/>
      <c r="BC97" s="25"/>
      <c r="BD97" s="25"/>
      <c r="BE97" s="25"/>
      <c r="BF97" s="25"/>
      <c r="BG97" s="25"/>
      <c r="BH97" s="25"/>
      <c r="BI97" s="25"/>
      <c r="BJ97" s="25"/>
      <c r="BK97" s="25"/>
      <c r="BL97" s="25"/>
      <c r="BM97" s="25"/>
      <c r="BN97" s="25"/>
      <c r="BO97" s="25"/>
      <c r="BP97" s="25"/>
      <c r="BQ97" s="25"/>
      <c r="BR97" s="25"/>
      <c r="BS97" s="25"/>
      <c r="BT97" s="25"/>
      <c r="BU97" s="25"/>
      <c r="BV97" s="25"/>
      <c r="BW97" s="25"/>
      <c r="BX97" s="25"/>
      <c r="BY97" s="25"/>
      <c r="BZ97" s="25"/>
      <c r="CA97" s="25"/>
      <c r="CB97" s="25"/>
      <c r="CC97" s="25"/>
      <c r="CD97" s="25"/>
      <c r="CE97" s="25"/>
      <c r="CF97" s="25"/>
      <c r="CG97" s="25"/>
      <c r="CH97" s="25"/>
      <c r="CI97" s="25"/>
      <c r="CJ97" s="25"/>
      <c r="CK97" s="25"/>
      <c r="CL97" s="25"/>
      <c r="CM97" s="25"/>
      <c r="CN97" s="25"/>
    </row>
    <row r="98" spans="1:92" x14ac:dyDescent="0.2">
      <c r="A98" s="249" t="s">
        <v>272</v>
      </c>
      <c r="B98" s="25">
        <f ca="1">-TotalEmissions!B74</f>
        <v>0.1090670132115088</v>
      </c>
      <c r="C98" s="25">
        <f t="shared" ref="C98:K98" ca="1" si="70">B98+(($L98-$B98)/($L$75-$B$75))</f>
        <v>-7.6805837200775162E-2</v>
      </c>
      <c r="D98" s="25">
        <f t="shared" ca="1" si="70"/>
        <v>-0.26267868761305913</v>
      </c>
      <c r="E98" s="25">
        <f t="shared" ca="1" si="70"/>
        <v>-0.44855153802534309</v>
      </c>
      <c r="F98" s="25">
        <f t="shared" ca="1" si="70"/>
        <v>-0.63442438843762705</v>
      </c>
      <c r="G98" s="25">
        <f t="shared" ca="1" si="70"/>
        <v>-0.82029723884991101</v>
      </c>
      <c r="H98" s="25">
        <f t="shared" ca="1" si="70"/>
        <v>-1.006170089262195</v>
      </c>
      <c r="I98" s="25">
        <f t="shared" ca="1" si="70"/>
        <v>-1.1920429396744789</v>
      </c>
      <c r="J98" s="25">
        <f t="shared" ca="1" si="70"/>
        <v>-1.3779157900867629</v>
      </c>
      <c r="K98" s="25">
        <f t="shared" ca="1" si="70"/>
        <v>-1.5637886404990469</v>
      </c>
      <c r="L98" s="25">
        <f ca="1">-TotalEmissions!C74</f>
        <v>-1.7496614909113308</v>
      </c>
      <c r="M98" s="25">
        <f t="shared" ref="M98:U98" ca="1" si="71">L98+(($V98-$L98)/($V$75-$L$75))</f>
        <v>-2.3606293386381116</v>
      </c>
      <c r="N98" s="25">
        <f t="shared" ca="1" si="71"/>
        <v>-2.9715971863648925</v>
      </c>
      <c r="O98" s="25">
        <f t="shared" ca="1" si="71"/>
        <v>-3.5825650340916733</v>
      </c>
      <c r="P98" s="25">
        <f t="shared" ca="1" si="71"/>
        <v>-4.1935328818184541</v>
      </c>
      <c r="Q98" s="25">
        <f t="shared" ca="1" si="71"/>
        <v>-4.8045007295452349</v>
      </c>
      <c r="R98" s="25">
        <f t="shared" ca="1" si="71"/>
        <v>-5.4154685772720157</v>
      </c>
      <c r="S98" s="25">
        <f t="shared" ca="1" si="71"/>
        <v>-6.0264364249987965</v>
      </c>
      <c r="T98" s="25">
        <f t="shared" ca="1" si="71"/>
        <v>-6.6374042727255773</v>
      </c>
      <c r="U98" s="25">
        <f t="shared" ca="1" si="71"/>
        <v>-7.2483721204523581</v>
      </c>
      <c r="V98" s="25">
        <f ca="1">-TotalEmissions!D74</f>
        <v>-7.8593399681791407</v>
      </c>
      <c r="W98" s="25">
        <f t="shared" ref="W98:AE98" ca="1" si="72">V98+(($AF98-$V98)/($AF$75-$V$75))</f>
        <v>-8.1519878992084731</v>
      </c>
      <c r="X98" s="25">
        <f t="shared" ca="1" si="72"/>
        <v>-8.4446358302378055</v>
      </c>
      <c r="Y98" s="25">
        <f t="shared" ca="1" si="72"/>
        <v>-8.7372837612671379</v>
      </c>
      <c r="Z98" s="25">
        <f t="shared" ca="1" si="72"/>
        <v>-9.0299316922964703</v>
      </c>
      <c r="AA98" s="25">
        <f t="shared" ca="1" si="72"/>
        <v>-9.3225796233258027</v>
      </c>
      <c r="AB98" s="25">
        <f t="shared" ca="1" si="72"/>
        <v>-9.6152275543551351</v>
      </c>
      <c r="AC98" s="25">
        <f t="shared" ca="1" si="72"/>
        <v>-9.9078754853844675</v>
      </c>
      <c r="AD98" s="25">
        <f t="shared" ca="1" si="72"/>
        <v>-10.2005234164138</v>
      </c>
      <c r="AE98" s="25">
        <f t="shared" ca="1" si="72"/>
        <v>-10.493171347443132</v>
      </c>
      <c r="AF98" s="25">
        <f ca="1">-TotalEmissions!E74</f>
        <v>-10.785819278472463</v>
      </c>
      <c r="AG98" s="25">
        <f t="shared" ref="AG98:AO98" ca="1" si="73">AF98+(($AP98-$AF98)/($AP$75-$AF$75))</f>
        <v>-11.030041174870741</v>
      </c>
      <c r="AH98" s="25">
        <f t="shared" ca="1" si="73"/>
        <v>-11.274263071269019</v>
      </c>
      <c r="AI98" s="25">
        <f t="shared" ca="1" si="73"/>
        <v>-11.518484967667296</v>
      </c>
      <c r="AJ98" s="25">
        <f t="shared" ca="1" si="73"/>
        <v>-11.762706864065574</v>
      </c>
      <c r="AK98" s="25">
        <f t="shared" ca="1" si="73"/>
        <v>-12.006928760463852</v>
      </c>
      <c r="AL98" s="25">
        <f t="shared" ca="1" si="73"/>
        <v>-12.25115065686213</v>
      </c>
      <c r="AM98" s="25">
        <f t="shared" ca="1" si="73"/>
        <v>-12.495372553260408</v>
      </c>
      <c r="AN98" s="25">
        <f t="shared" ca="1" si="73"/>
        <v>-12.739594449658686</v>
      </c>
      <c r="AO98" s="25">
        <f t="shared" ca="1" si="73"/>
        <v>-12.983816346056964</v>
      </c>
      <c r="AP98" s="25">
        <f ca="1">-TotalEmissions!F74</f>
        <v>-13.228038242455245</v>
      </c>
      <c r="AQ98" s="25"/>
      <c r="AR98" s="25"/>
      <c r="AS98" s="25"/>
      <c r="AT98" s="25"/>
      <c r="AU98" s="25"/>
      <c r="AV98" s="25"/>
      <c r="AW98" s="25"/>
      <c r="AX98" s="25"/>
      <c r="AY98" s="25"/>
      <c r="AZ98" s="25"/>
      <c r="BA98" s="25"/>
      <c r="BB98" s="25"/>
      <c r="BC98" s="25"/>
      <c r="BD98" s="25"/>
      <c r="BE98" s="25"/>
      <c r="BF98" s="25"/>
      <c r="BG98" s="25"/>
      <c r="BH98" s="25"/>
      <c r="BI98" s="25"/>
      <c r="BJ98" s="25"/>
      <c r="BK98" s="25"/>
      <c r="BL98" s="25"/>
      <c r="BM98" s="25"/>
      <c r="BN98" s="25"/>
      <c r="BO98" s="25"/>
      <c r="BP98" s="25"/>
      <c r="BQ98" s="25"/>
      <c r="BR98" s="25"/>
      <c r="BS98" s="25"/>
      <c r="BT98" s="25"/>
      <c r="BU98" s="25"/>
      <c r="BV98" s="25"/>
      <c r="BW98" s="25"/>
      <c r="BX98" s="25"/>
      <c r="BY98" s="25"/>
      <c r="BZ98" s="25"/>
      <c r="CA98" s="25"/>
      <c r="CB98" s="25"/>
      <c r="CC98" s="25"/>
      <c r="CD98" s="25"/>
      <c r="CE98" s="25"/>
      <c r="CF98" s="25"/>
      <c r="CG98" s="25"/>
      <c r="CH98" s="25"/>
      <c r="CI98" s="25"/>
      <c r="CJ98" s="25"/>
      <c r="CK98" s="25"/>
      <c r="CL98" s="25"/>
      <c r="CM98" s="25"/>
      <c r="CN98" s="25"/>
    </row>
    <row r="99" spans="1:92" x14ac:dyDescent="0.2">
      <c r="A99" s="249" t="s">
        <v>273</v>
      </c>
      <c r="B99" s="25">
        <f ca="1">-TotalEmissions!B71</f>
        <v>4.0720318020291302E-2</v>
      </c>
      <c r="C99" s="25">
        <f t="shared" ref="C99:K99" ca="1" si="74">B99+(($L99-$B99)/($L$75-$B$75))</f>
        <v>-0.34337402996580002</v>
      </c>
      <c r="D99" s="25">
        <f t="shared" ca="1" si="74"/>
        <v>-0.72746837795189134</v>
      </c>
      <c r="E99" s="25">
        <f t="shared" ca="1" si="74"/>
        <v>-1.1115627259379828</v>
      </c>
      <c r="F99" s="25">
        <f t="shared" ca="1" si="74"/>
        <v>-1.495657073924074</v>
      </c>
      <c r="G99" s="25">
        <f t="shared" ca="1" si="74"/>
        <v>-1.8797514219101652</v>
      </c>
      <c r="H99" s="25">
        <f t="shared" ca="1" si="74"/>
        <v>-2.2638457698962564</v>
      </c>
      <c r="I99" s="25">
        <f t="shared" ca="1" si="74"/>
        <v>-2.6479401178823476</v>
      </c>
      <c r="J99" s="25">
        <f t="shared" ca="1" si="74"/>
        <v>-3.0320344658684388</v>
      </c>
      <c r="K99" s="25">
        <f t="shared" ca="1" si="74"/>
        <v>-3.41612881385453</v>
      </c>
      <c r="L99" s="25">
        <f ca="1">-TotalEmissions!C71</f>
        <v>-3.8002231618406217</v>
      </c>
      <c r="M99" s="25">
        <f t="shared" ref="M99:U99" ca="1" si="75">L99+(($V99-$L99)/($V$75-$L$75))</f>
        <v>-4.4089355087733226</v>
      </c>
      <c r="N99" s="25">
        <f t="shared" ca="1" si="75"/>
        <v>-5.0176478557060236</v>
      </c>
      <c r="O99" s="25">
        <f t="shared" ca="1" si="75"/>
        <v>-5.6263602026387245</v>
      </c>
      <c r="P99" s="25">
        <f t="shared" ca="1" si="75"/>
        <v>-6.2350725495714254</v>
      </c>
      <c r="Q99" s="25">
        <f t="shared" ca="1" si="75"/>
        <v>-6.8437848965041264</v>
      </c>
      <c r="R99" s="25">
        <f t="shared" ca="1" si="75"/>
        <v>-7.4524972434368273</v>
      </c>
      <c r="S99" s="25">
        <f t="shared" ca="1" si="75"/>
        <v>-8.0612095903695291</v>
      </c>
      <c r="T99" s="25">
        <f t="shared" ca="1" si="75"/>
        <v>-8.6699219373022309</v>
      </c>
      <c r="U99" s="25">
        <f t="shared" ca="1" si="75"/>
        <v>-9.2786342842349327</v>
      </c>
      <c r="V99" s="25">
        <f ca="1">-TotalEmissions!D71</f>
        <v>-9.8873466311676346</v>
      </c>
      <c r="W99" s="25">
        <f t="shared" ref="W99:AE99" ca="1" si="76">V99+(($AF99-$V99)/($AF$75-$V$75))</f>
        <v>-10.233329898006293</v>
      </c>
      <c r="X99" s="25">
        <f t="shared" ca="1" si="76"/>
        <v>-10.579313164844951</v>
      </c>
      <c r="Y99" s="25">
        <f t="shared" ca="1" si="76"/>
        <v>-10.925296431683609</v>
      </c>
      <c r="Z99" s="25">
        <f t="shared" ca="1" si="76"/>
        <v>-11.271279698522267</v>
      </c>
      <c r="AA99" s="25">
        <f t="shared" ca="1" si="76"/>
        <v>-11.617262965360926</v>
      </c>
      <c r="AB99" s="25">
        <f t="shared" ca="1" si="76"/>
        <v>-11.963246232199584</v>
      </c>
      <c r="AC99" s="25">
        <f t="shared" ca="1" si="76"/>
        <v>-12.309229499038242</v>
      </c>
      <c r="AD99" s="25">
        <f t="shared" ca="1" si="76"/>
        <v>-12.6552127658769</v>
      </c>
      <c r="AE99" s="25">
        <f t="shared" ca="1" si="76"/>
        <v>-13.001196032715558</v>
      </c>
      <c r="AF99" s="25">
        <f ca="1">-TotalEmissions!E71</f>
        <v>-13.347179299554213</v>
      </c>
      <c r="AG99" s="25">
        <f t="shared" ref="AG99:AO99" ca="1" si="77">AF99+(($AP99-$AF99)/($AP$75-$AF$75))</f>
        <v>-13.566786749307266</v>
      </c>
      <c r="AH99" s="25">
        <f t="shared" ca="1" si="77"/>
        <v>-13.786394199060318</v>
      </c>
      <c r="AI99" s="25">
        <f t="shared" ca="1" si="77"/>
        <v>-14.006001648813371</v>
      </c>
      <c r="AJ99" s="25">
        <f t="shared" ca="1" si="77"/>
        <v>-14.225609098566423</v>
      </c>
      <c r="AK99" s="25">
        <f t="shared" ca="1" si="77"/>
        <v>-14.445216548319475</v>
      </c>
      <c r="AL99" s="25">
        <f t="shared" ca="1" si="77"/>
        <v>-14.664823998072528</v>
      </c>
      <c r="AM99" s="25">
        <f t="shared" ca="1" si="77"/>
        <v>-14.88443144782558</v>
      </c>
      <c r="AN99" s="25">
        <f t="shared" ca="1" si="77"/>
        <v>-15.104038897578633</v>
      </c>
      <c r="AO99" s="25">
        <f t="shared" ca="1" si="77"/>
        <v>-15.323646347331685</v>
      </c>
      <c r="AP99" s="25">
        <f ca="1">-TotalEmissions!F71</f>
        <v>-15.543253797084741</v>
      </c>
      <c r="AQ99" s="25"/>
      <c r="AR99" s="25"/>
      <c r="AS99" s="25"/>
      <c r="AT99" s="25"/>
      <c r="AU99" s="25"/>
      <c r="AV99" s="25"/>
      <c r="AW99" s="25"/>
      <c r="AX99" s="25"/>
      <c r="AY99" s="25"/>
      <c r="AZ99" s="25"/>
      <c r="BA99" s="25"/>
      <c r="BB99" s="25"/>
      <c r="BC99" s="25"/>
      <c r="BD99" s="25"/>
      <c r="BE99" s="25"/>
      <c r="BF99" s="25"/>
      <c r="BG99" s="25"/>
      <c r="BH99" s="25"/>
      <c r="BI99" s="25"/>
      <c r="BJ99" s="25"/>
      <c r="BK99" s="25"/>
      <c r="BL99" s="25"/>
      <c r="BM99" s="25"/>
      <c r="BN99" s="25"/>
      <c r="BO99" s="25"/>
      <c r="BP99" s="25"/>
      <c r="BQ99" s="25"/>
      <c r="BR99" s="25"/>
      <c r="BS99" s="25"/>
      <c r="BT99" s="25"/>
      <c r="BU99" s="25"/>
      <c r="BV99" s="25"/>
      <c r="BW99" s="25"/>
      <c r="BX99" s="25"/>
      <c r="BY99" s="25"/>
      <c r="BZ99" s="25"/>
      <c r="CA99" s="25"/>
      <c r="CB99" s="25"/>
      <c r="CC99" s="25"/>
      <c r="CD99" s="25"/>
      <c r="CE99" s="25"/>
      <c r="CF99" s="25"/>
      <c r="CG99" s="25"/>
      <c r="CH99" s="25"/>
      <c r="CI99" s="25"/>
      <c r="CJ99" s="25"/>
      <c r="CK99" s="25"/>
      <c r="CL99" s="25"/>
      <c r="CM99" s="25"/>
      <c r="CN99" s="25"/>
    </row>
    <row r="100" spans="1:92" x14ac:dyDescent="0.2">
      <c r="B100" s="25"/>
      <c r="C100" s="25"/>
      <c r="D100" s="25"/>
      <c r="E100" s="25"/>
      <c r="F100" s="25"/>
      <c r="G100" s="25"/>
      <c r="H100" s="25"/>
      <c r="I100" s="25"/>
      <c r="J100" s="25"/>
      <c r="K100" s="25"/>
      <c r="L100" s="25"/>
      <c r="M100" s="25"/>
      <c r="N100" s="25"/>
      <c r="O100" s="25"/>
      <c r="P100" s="25"/>
      <c r="Q100" s="25"/>
      <c r="R100" s="25"/>
      <c r="S100" s="25"/>
      <c r="T100" s="25"/>
      <c r="U100" s="25"/>
      <c r="V100" s="25"/>
      <c r="W100" s="25"/>
      <c r="X100" s="25"/>
      <c r="Y100" s="25"/>
      <c r="Z100" s="25"/>
      <c r="AA100" s="25"/>
      <c r="AB100" s="25"/>
      <c r="AC100" s="25"/>
      <c r="AD100" s="25"/>
      <c r="AE100" s="25"/>
      <c r="AF100" s="25"/>
      <c r="AG100" s="25"/>
      <c r="AH100" s="25"/>
      <c r="AI100" s="25"/>
      <c r="AJ100" s="25"/>
      <c r="AK100" s="25"/>
      <c r="AL100" s="25"/>
      <c r="AM100" s="25"/>
      <c r="AN100" s="25"/>
      <c r="AO100" s="25"/>
      <c r="AP100" s="25"/>
      <c r="AQ100" s="25"/>
      <c r="AR100" s="25"/>
      <c r="AS100" s="25"/>
      <c r="AT100" s="25"/>
      <c r="AU100" s="25"/>
      <c r="AV100" s="25"/>
      <c r="AW100" s="25"/>
      <c r="AX100" s="25"/>
      <c r="AY100" s="25"/>
      <c r="AZ100" s="25"/>
      <c r="BA100" s="25"/>
      <c r="BB100" s="25"/>
      <c r="BC100" s="25"/>
      <c r="BD100" s="25"/>
      <c r="BE100" s="25"/>
      <c r="BF100" s="25"/>
      <c r="BG100" s="25"/>
      <c r="BH100" s="25"/>
      <c r="BI100" s="25"/>
      <c r="BJ100" s="25"/>
      <c r="BK100" s="25"/>
      <c r="BL100" s="25"/>
      <c r="BM100" s="25"/>
      <c r="BN100" s="25"/>
      <c r="BO100" s="25"/>
      <c r="BP100" s="25"/>
      <c r="BQ100" s="25"/>
      <c r="BR100" s="25"/>
      <c r="BS100" s="25"/>
      <c r="BT100" s="25"/>
      <c r="BU100" s="25"/>
      <c r="BV100" s="25"/>
      <c r="BW100" s="25"/>
      <c r="BX100" s="25"/>
      <c r="BY100" s="25"/>
      <c r="BZ100" s="25"/>
      <c r="CA100" s="25"/>
      <c r="CB100" s="25"/>
      <c r="CC100" s="25"/>
      <c r="CD100" s="25"/>
      <c r="CE100" s="25"/>
      <c r="CF100" s="25"/>
      <c r="CG100" s="25"/>
      <c r="CH100" s="25"/>
      <c r="CI100" s="25"/>
      <c r="CJ100" s="25"/>
      <c r="CK100" s="25"/>
      <c r="CL100" s="25"/>
      <c r="CM100" s="25"/>
      <c r="CN100" s="25"/>
    </row>
    <row r="101" spans="1:92" x14ac:dyDescent="0.2">
      <c r="A101" s="25">
        <f ca="1">SUM(B101:K101)</f>
        <v>-32.068489749320662</v>
      </c>
      <c r="B101" s="25">
        <f t="shared" ref="B101:L101" ca="1" si="78">B103-B76</f>
        <v>0.10721556345621508</v>
      </c>
      <c r="C101" s="25">
        <f t="shared" ca="1" si="78"/>
        <v>-0.62924322285229195</v>
      </c>
      <c r="D101" s="25">
        <f t="shared" ca="1" si="78"/>
        <v>-1.365702009160799</v>
      </c>
      <c r="E101" s="25">
        <f t="shared" ca="1" si="78"/>
        <v>-2.102160795469306</v>
      </c>
      <c r="F101" s="25">
        <f t="shared" ca="1" si="78"/>
        <v>-2.838619581777813</v>
      </c>
      <c r="G101" s="25">
        <f t="shared" ca="1" si="78"/>
        <v>-3.5750783680863201</v>
      </c>
      <c r="H101" s="25">
        <f t="shared" ca="1" si="78"/>
        <v>-4.3115371543948271</v>
      </c>
      <c r="I101" s="25">
        <f t="shared" ca="1" si="78"/>
        <v>-5.0479959407033341</v>
      </c>
      <c r="J101" s="25">
        <f t="shared" ca="1" si="78"/>
        <v>-5.7844547270118412</v>
      </c>
      <c r="K101" s="25">
        <f t="shared" ca="1" si="78"/>
        <v>-6.5209135133203446</v>
      </c>
      <c r="L101" s="25">
        <f t="shared" ca="1" si="78"/>
        <v>-7.2573722996288517</v>
      </c>
      <c r="M101" s="25"/>
      <c r="N101" s="25"/>
      <c r="O101" s="25"/>
      <c r="P101" s="25"/>
      <c r="Q101" s="25"/>
      <c r="R101" s="25"/>
      <c r="S101" s="25"/>
      <c r="T101" s="25"/>
      <c r="U101" s="25"/>
      <c r="W101" s="25"/>
      <c r="X101" s="25"/>
      <c r="Y101" s="25"/>
      <c r="Z101" s="25"/>
      <c r="AA101" s="25"/>
      <c r="AB101" s="25"/>
      <c r="AC101" s="25"/>
      <c r="AD101" s="25"/>
      <c r="AE101" s="25"/>
      <c r="AG101" s="25"/>
      <c r="AH101" s="25"/>
      <c r="AI101" s="25"/>
      <c r="AJ101" s="25"/>
      <c r="AK101" s="25"/>
      <c r="AL101" s="25"/>
      <c r="AM101" s="25"/>
      <c r="AN101" s="25"/>
      <c r="AO101" s="25"/>
      <c r="AQ101" s="25"/>
      <c r="AR101" s="25"/>
      <c r="AS101" s="25"/>
      <c r="AT101" s="25"/>
      <c r="AU101" s="25"/>
      <c r="AV101" s="25"/>
      <c r="AW101" s="25"/>
      <c r="AX101" s="25"/>
      <c r="AY101" s="25"/>
      <c r="BA101" s="25"/>
      <c r="BB101" s="25"/>
      <c r="BC101" s="25"/>
      <c r="BD101" s="25"/>
      <c r="BE101" s="25"/>
      <c r="BF101" s="25"/>
      <c r="BG101" s="25"/>
      <c r="BH101" s="25"/>
      <c r="BI101" s="25"/>
      <c r="BK101" s="25"/>
      <c r="BL101" s="25"/>
      <c r="BM101" s="25"/>
      <c r="BN101" s="25"/>
      <c r="BO101" s="25"/>
      <c r="BP101" s="25"/>
      <c r="BQ101" s="25"/>
      <c r="BR101" s="25"/>
      <c r="BS101" s="25"/>
      <c r="BU101" s="25"/>
      <c r="BV101" s="25"/>
      <c r="BW101" s="25"/>
      <c r="BX101" s="25"/>
      <c r="BY101" s="25"/>
      <c r="BZ101" s="25"/>
      <c r="CA101" s="25"/>
      <c r="CB101" s="25"/>
      <c r="CC101" s="25"/>
      <c r="CE101" s="25"/>
      <c r="CF101" s="25"/>
      <c r="CG101" s="25"/>
      <c r="CH101" s="25"/>
      <c r="CI101" s="25"/>
      <c r="CJ101" s="25"/>
      <c r="CK101" s="25"/>
      <c r="CL101" s="25"/>
      <c r="CM101" s="25"/>
    </row>
    <row r="102" spans="1:92" ht="18" customHeight="1" x14ac:dyDescent="0.2">
      <c r="A102" s="21" t="s">
        <v>335</v>
      </c>
      <c r="B102" s="238">
        <f>TotalEmissions!B$2</f>
        <v>2010</v>
      </c>
      <c r="C102" s="25">
        <f t="shared" ref="C102:K102" si="79">B102+(($L102-$B102)/($L$75-$B$75))</f>
        <v>2011</v>
      </c>
      <c r="D102" s="25">
        <f t="shared" si="79"/>
        <v>2012</v>
      </c>
      <c r="E102" s="25">
        <f t="shared" si="79"/>
        <v>2013</v>
      </c>
      <c r="F102" s="25">
        <f t="shared" si="79"/>
        <v>2014</v>
      </c>
      <c r="G102" s="25">
        <f t="shared" si="79"/>
        <v>2015</v>
      </c>
      <c r="H102" s="25">
        <f t="shared" si="79"/>
        <v>2016</v>
      </c>
      <c r="I102" s="25">
        <f t="shared" si="79"/>
        <v>2017</v>
      </c>
      <c r="J102" s="25">
        <f t="shared" si="79"/>
        <v>2018</v>
      </c>
      <c r="K102" s="25">
        <f t="shared" si="79"/>
        <v>2019</v>
      </c>
      <c r="L102" s="238">
        <f>TotalEmissions!C$2</f>
        <v>2020</v>
      </c>
      <c r="M102" s="25">
        <f t="shared" ref="M102:U102" si="80">L102+(($V102-$L102)/($V$75-$L$75))</f>
        <v>2021</v>
      </c>
      <c r="N102" s="25">
        <f t="shared" si="80"/>
        <v>2022</v>
      </c>
      <c r="O102" s="25">
        <f t="shared" si="80"/>
        <v>2023</v>
      </c>
      <c r="P102" s="25">
        <f t="shared" si="80"/>
        <v>2024</v>
      </c>
      <c r="Q102" s="25">
        <f t="shared" si="80"/>
        <v>2025</v>
      </c>
      <c r="R102" s="25">
        <f t="shared" si="80"/>
        <v>2026</v>
      </c>
      <c r="S102" s="25">
        <f t="shared" si="80"/>
        <v>2027</v>
      </c>
      <c r="T102" s="25">
        <f t="shared" si="80"/>
        <v>2028</v>
      </c>
      <c r="U102" s="25">
        <f t="shared" si="80"/>
        <v>2029</v>
      </c>
      <c r="V102" s="238">
        <f>TotalEmissions!D$2</f>
        <v>2030</v>
      </c>
      <c r="W102" s="25">
        <f t="shared" ref="W102:AE102" si="81">V102+(($AF102-$V102)/($AF$75-$V$75))</f>
        <v>2031</v>
      </c>
      <c r="X102" s="25">
        <f t="shared" si="81"/>
        <v>2032</v>
      </c>
      <c r="Y102" s="25">
        <f t="shared" si="81"/>
        <v>2033</v>
      </c>
      <c r="Z102" s="25">
        <f t="shared" si="81"/>
        <v>2034</v>
      </c>
      <c r="AA102" s="25">
        <f t="shared" si="81"/>
        <v>2035</v>
      </c>
      <c r="AB102" s="25">
        <f t="shared" si="81"/>
        <v>2036</v>
      </c>
      <c r="AC102" s="25">
        <f t="shared" si="81"/>
        <v>2037</v>
      </c>
      <c r="AD102" s="25">
        <f t="shared" si="81"/>
        <v>2038</v>
      </c>
      <c r="AE102" s="25">
        <f t="shared" si="81"/>
        <v>2039</v>
      </c>
      <c r="AF102" s="238">
        <f>TotalEmissions!E$2</f>
        <v>2040</v>
      </c>
      <c r="AG102" s="25">
        <f t="shared" ref="AG102:AO102" si="82">AF102+(($AP102-$AF102)/($AP$75-$AF$75))</f>
        <v>2041</v>
      </c>
      <c r="AH102" s="25">
        <f t="shared" si="82"/>
        <v>2042</v>
      </c>
      <c r="AI102" s="25">
        <f t="shared" si="82"/>
        <v>2043</v>
      </c>
      <c r="AJ102" s="25">
        <f t="shared" si="82"/>
        <v>2044</v>
      </c>
      <c r="AK102" s="25">
        <f t="shared" si="82"/>
        <v>2045</v>
      </c>
      <c r="AL102" s="25">
        <f t="shared" si="82"/>
        <v>2046</v>
      </c>
      <c r="AM102" s="25">
        <f t="shared" si="82"/>
        <v>2047</v>
      </c>
      <c r="AN102" s="25">
        <f t="shared" si="82"/>
        <v>2048</v>
      </c>
      <c r="AO102" s="25">
        <f t="shared" si="82"/>
        <v>2049</v>
      </c>
      <c r="AP102" s="238">
        <f>TotalEmissions!F$2</f>
        <v>2050</v>
      </c>
      <c r="AQ102" s="25"/>
      <c r="AR102" s="25"/>
      <c r="AS102" s="25"/>
      <c r="AT102" s="25"/>
      <c r="AU102" s="25"/>
      <c r="AV102" s="25"/>
      <c r="AW102" s="25"/>
      <c r="AX102" s="25"/>
      <c r="AY102" s="25"/>
      <c r="AZ102" s="238"/>
      <c r="BA102" s="25"/>
      <c r="BB102" s="25"/>
      <c r="BC102" s="25"/>
      <c r="BD102" s="25"/>
      <c r="BE102" s="25"/>
      <c r="BF102" s="25"/>
      <c r="BG102" s="25"/>
      <c r="BH102" s="25"/>
      <c r="BI102" s="25"/>
      <c r="BJ102" s="238"/>
      <c r="BK102" s="25"/>
      <c r="BL102" s="25"/>
      <c r="BM102" s="25"/>
      <c r="BN102" s="25"/>
      <c r="BO102" s="25"/>
      <c r="BP102" s="25"/>
      <c r="BQ102" s="25"/>
      <c r="BR102" s="25"/>
      <c r="BS102" s="25"/>
      <c r="BT102" s="238"/>
      <c r="BU102" s="25"/>
      <c r="BV102" s="25"/>
      <c r="BW102" s="25"/>
      <c r="BX102" s="25"/>
      <c r="BY102" s="25"/>
      <c r="BZ102" s="25"/>
      <c r="CA102" s="25"/>
      <c r="CB102" s="25"/>
      <c r="CC102" s="25"/>
      <c r="CD102" s="238"/>
      <c r="CE102" s="25"/>
      <c r="CF102" s="25"/>
      <c r="CG102" s="25"/>
      <c r="CH102" s="25"/>
      <c r="CI102" s="25"/>
      <c r="CJ102" s="25"/>
      <c r="CK102" s="25"/>
      <c r="CL102" s="25"/>
      <c r="CM102" s="25"/>
      <c r="CN102" s="238"/>
    </row>
    <row r="103" spans="1:92" x14ac:dyDescent="0.2">
      <c r="A103" s="25" t="s">
        <v>43</v>
      </c>
      <c r="B103" s="25">
        <f t="shared" ref="B103:AP103" ca="1" si="83">B104+B110</f>
        <v>30.597844759623207</v>
      </c>
      <c r="C103" s="25">
        <f t="shared" ca="1" si="83"/>
        <v>30.454240377764162</v>
      </c>
      <c r="D103" s="25">
        <f t="shared" ca="1" si="83"/>
        <v>30.310635995905116</v>
      </c>
      <c r="E103" s="25">
        <f t="shared" ca="1" si="83"/>
        <v>30.167031614046071</v>
      </c>
      <c r="F103" s="25">
        <f t="shared" ca="1" si="83"/>
        <v>30.023427232187025</v>
      </c>
      <c r="G103" s="25">
        <f t="shared" ca="1" si="83"/>
        <v>29.879822850327979</v>
      </c>
      <c r="H103" s="25">
        <f t="shared" ca="1" si="83"/>
        <v>29.736218468468934</v>
      </c>
      <c r="I103" s="25">
        <f t="shared" ca="1" si="83"/>
        <v>29.592614086609888</v>
      </c>
      <c r="J103" s="25">
        <f t="shared" ca="1" si="83"/>
        <v>29.449009704750843</v>
      </c>
      <c r="K103" s="25">
        <f t="shared" ca="1" si="83"/>
        <v>29.305405322891801</v>
      </c>
      <c r="L103" s="25">
        <f t="shared" ca="1" si="83"/>
        <v>29.161800941032769</v>
      </c>
      <c r="M103" s="25">
        <f t="shared" ca="1" si="83"/>
        <v>28.254721053965614</v>
      </c>
      <c r="N103" s="25">
        <f t="shared" ca="1" si="83"/>
        <v>27.347641166898462</v>
      </c>
      <c r="O103" s="25">
        <f t="shared" ca="1" si="83"/>
        <v>26.440561279831311</v>
      </c>
      <c r="P103" s="25">
        <f t="shared" ca="1" si="83"/>
        <v>25.533481392764159</v>
      </c>
      <c r="Q103" s="25">
        <f t="shared" ca="1" si="83"/>
        <v>24.626401505697007</v>
      </c>
      <c r="R103" s="25">
        <f t="shared" ca="1" si="83"/>
        <v>23.719321618629852</v>
      </c>
      <c r="S103" s="25">
        <f t="shared" ca="1" si="83"/>
        <v>22.8122417315627</v>
      </c>
      <c r="T103" s="25">
        <f t="shared" ca="1" si="83"/>
        <v>21.905161844495549</v>
      </c>
      <c r="U103" s="25">
        <f t="shared" ca="1" si="83"/>
        <v>20.998081957428397</v>
      </c>
      <c r="V103" s="25">
        <f t="shared" ca="1" si="83"/>
        <v>20.091002070361235</v>
      </c>
      <c r="W103" s="25">
        <f t="shared" ca="1" si="83"/>
        <v>19.241203572700893</v>
      </c>
      <c r="X103" s="25">
        <f t="shared" ca="1" si="83"/>
        <v>18.391405075040552</v>
      </c>
      <c r="Y103" s="25">
        <f t="shared" ca="1" si="83"/>
        <v>17.541606577380211</v>
      </c>
      <c r="Z103" s="25">
        <f t="shared" ca="1" si="83"/>
        <v>16.691808079719866</v>
      </c>
      <c r="AA103" s="25">
        <f t="shared" ca="1" si="83"/>
        <v>15.842009582059525</v>
      </c>
      <c r="AB103" s="25">
        <f t="shared" ca="1" si="83"/>
        <v>14.992211084399184</v>
      </c>
      <c r="AC103" s="25">
        <f t="shared" ca="1" si="83"/>
        <v>14.142412586738841</v>
      </c>
      <c r="AD103" s="25">
        <f t="shared" ca="1" si="83"/>
        <v>13.292614089078498</v>
      </c>
      <c r="AE103" s="25">
        <f t="shared" ca="1" si="83"/>
        <v>12.442815591418157</v>
      </c>
      <c r="AF103" s="25">
        <f t="shared" ca="1" si="83"/>
        <v>11.593017093757812</v>
      </c>
      <c r="AG103" s="25">
        <f t="shared" ca="1" si="83"/>
        <v>11.299721822743066</v>
      </c>
      <c r="AH103" s="25">
        <f t="shared" ca="1" si="83"/>
        <v>11.006426551728319</v>
      </c>
      <c r="AI103" s="25">
        <f t="shared" ca="1" si="83"/>
        <v>10.713131280713572</v>
      </c>
      <c r="AJ103" s="25">
        <f t="shared" ca="1" si="83"/>
        <v>10.419836009698825</v>
      </c>
      <c r="AK103" s="25">
        <f t="shared" ca="1" si="83"/>
        <v>10.126540738684078</v>
      </c>
      <c r="AL103" s="25">
        <f t="shared" ca="1" si="83"/>
        <v>9.8332454676693324</v>
      </c>
      <c r="AM103" s="25">
        <f t="shared" ca="1" si="83"/>
        <v>9.5399501966545852</v>
      </c>
      <c r="AN103" s="25">
        <f t="shared" ca="1" si="83"/>
        <v>9.246654925639838</v>
      </c>
      <c r="AO103" s="25">
        <f t="shared" ca="1" si="83"/>
        <v>8.9533596546250926</v>
      </c>
      <c r="AP103" s="25">
        <f t="shared" ca="1" si="83"/>
        <v>8.6600643836103437</v>
      </c>
      <c r="AQ103" s="25"/>
      <c r="AR103" s="25"/>
      <c r="AS103" s="25"/>
      <c r="AT103" s="25"/>
      <c r="AU103" s="25"/>
      <c r="AV103" s="25"/>
      <c r="AW103" s="25"/>
      <c r="AX103" s="25"/>
      <c r="AY103" s="25"/>
      <c r="AZ103" s="25"/>
      <c r="BA103" s="25"/>
      <c r="BB103" s="25"/>
      <c r="BC103" s="25"/>
      <c r="BD103" s="25"/>
      <c r="BE103" s="25"/>
      <c r="BF103" s="25"/>
      <c r="BG103" s="25"/>
      <c r="BH103" s="25"/>
      <c r="BI103" s="25"/>
      <c r="BJ103" s="25"/>
      <c r="BK103" s="25"/>
      <c r="BL103" s="25"/>
      <c r="BM103" s="25"/>
      <c r="BN103" s="25"/>
      <c r="BO103" s="25"/>
      <c r="BP103" s="25"/>
      <c r="BQ103" s="25"/>
      <c r="BR103" s="25"/>
      <c r="BS103" s="25"/>
      <c r="BT103" s="25"/>
      <c r="BU103" s="25"/>
      <c r="BV103" s="25"/>
      <c r="BW103" s="25"/>
      <c r="BX103" s="25"/>
      <c r="BY103" s="25"/>
      <c r="BZ103" s="25"/>
      <c r="CA103" s="25"/>
      <c r="CB103" s="25"/>
      <c r="CC103" s="25"/>
      <c r="CD103" s="25"/>
      <c r="CE103" s="25"/>
      <c r="CF103" s="25"/>
      <c r="CG103" s="25"/>
      <c r="CH103" s="25"/>
      <c r="CI103" s="25"/>
      <c r="CJ103" s="25"/>
      <c r="CK103" s="25"/>
      <c r="CL103" s="25"/>
      <c r="CM103" s="25"/>
      <c r="CN103" s="25"/>
    </row>
    <row r="104" spans="1:92" x14ac:dyDescent="0.2">
      <c r="A104" s="25" t="str">
        <f>TotalEmissions!A5</f>
        <v>NFC</v>
      </c>
      <c r="B104" s="25">
        <f ca="1">TotalEmissions!B5</f>
        <v>30.597844759623207</v>
      </c>
      <c r="C104" s="25">
        <f t="shared" ref="C104:K104" ca="1" si="84">B104+(($L104-$B104)/($L$75-$B$75))</f>
        <v>30.450957059860226</v>
      </c>
      <c r="D104" s="25">
        <f t="shared" ca="1" si="84"/>
        <v>30.304069360097245</v>
      </c>
      <c r="E104" s="25">
        <f t="shared" ca="1" si="84"/>
        <v>30.157181660334263</v>
      </c>
      <c r="F104" s="25">
        <f t="shared" ca="1" si="84"/>
        <v>30.010293960571282</v>
      </c>
      <c r="G104" s="25">
        <f t="shared" ca="1" si="84"/>
        <v>29.863406260808301</v>
      </c>
      <c r="H104" s="25">
        <f t="shared" ca="1" si="84"/>
        <v>29.716518561045319</v>
      </c>
      <c r="I104" s="25">
        <f t="shared" ca="1" si="84"/>
        <v>29.569630861282338</v>
      </c>
      <c r="J104" s="25">
        <f t="shared" ca="1" si="84"/>
        <v>29.422743161519357</v>
      </c>
      <c r="K104" s="25">
        <f t="shared" ca="1" si="84"/>
        <v>29.275855461756375</v>
      </c>
      <c r="L104" s="25">
        <f ca="1">TotalEmissions!C5</f>
        <v>29.128967761993408</v>
      </c>
      <c r="M104" s="25">
        <f t="shared" ref="M104:U104" ca="1" si="85">L104+(($V104-$L104)/($V$75-$L$75))</f>
        <v>28.100830443900634</v>
      </c>
      <c r="N104" s="25">
        <f t="shared" ca="1" si="85"/>
        <v>27.072693125807859</v>
      </c>
      <c r="O104" s="25">
        <f t="shared" ca="1" si="85"/>
        <v>26.044555807715085</v>
      </c>
      <c r="P104" s="25">
        <f t="shared" ca="1" si="85"/>
        <v>25.016418489622311</v>
      </c>
      <c r="Q104" s="25">
        <f t="shared" ca="1" si="85"/>
        <v>23.988281171529536</v>
      </c>
      <c r="R104" s="25">
        <f t="shared" ca="1" si="85"/>
        <v>22.960143853436762</v>
      </c>
      <c r="S104" s="25">
        <f t="shared" ca="1" si="85"/>
        <v>21.932006535343987</v>
      </c>
      <c r="T104" s="25">
        <f t="shared" ca="1" si="85"/>
        <v>20.903869217251213</v>
      </c>
      <c r="U104" s="25">
        <f t="shared" ca="1" si="85"/>
        <v>19.875731899158438</v>
      </c>
      <c r="V104" s="25">
        <f ca="1">TotalEmissions!D5</f>
        <v>18.847594581065653</v>
      </c>
      <c r="W104" s="25">
        <f t="shared" ref="W104:AE104" ca="1" si="86">V104+(($AF104-$V104)/($AF$75-$V$75))</f>
        <v>17.876604428312881</v>
      </c>
      <c r="X104" s="25">
        <f t="shared" ca="1" si="86"/>
        <v>16.905614275560108</v>
      </c>
      <c r="Y104" s="25">
        <f t="shared" ca="1" si="86"/>
        <v>15.934624122807334</v>
      </c>
      <c r="Z104" s="25">
        <f t="shared" ca="1" si="86"/>
        <v>14.963633970054559</v>
      </c>
      <c r="AA104" s="25">
        <f t="shared" ca="1" si="86"/>
        <v>13.992643817301785</v>
      </c>
      <c r="AB104" s="25">
        <f t="shared" ca="1" si="86"/>
        <v>13.02165366454901</v>
      </c>
      <c r="AC104" s="25">
        <f t="shared" ca="1" si="86"/>
        <v>12.050663511796236</v>
      </c>
      <c r="AD104" s="25">
        <f t="shared" ca="1" si="86"/>
        <v>11.079673359043461</v>
      </c>
      <c r="AE104" s="25">
        <f t="shared" ca="1" si="86"/>
        <v>10.108683206290687</v>
      </c>
      <c r="AF104" s="25">
        <f ca="1">TotalEmissions!E5</f>
        <v>9.1376930535379106</v>
      </c>
      <c r="AG104" s="25">
        <f t="shared" ref="AG104:AO104" ca="1" si="87">AF104+(($AP104-$AF104)/($AP$75-$AF$75))</f>
        <v>8.7858993691254224</v>
      </c>
      <c r="AH104" s="25">
        <f t="shared" ca="1" si="87"/>
        <v>8.4341056847129341</v>
      </c>
      <c r="AI104" s="25">
        <f t="shared" ca="1" si="87"/>
        <v>8.0823120003004458</v>
      </c>
      <c r="AJ104" s="25">
        <f t="shared" ca="1" si="87"/>
        <v>7.7305183158879576</v>
      </c>
      <c r="AK104" s="25">
        <f t="shared" ca="1" si="87"/>
        <v>7.3787246314754693</v>
      </c>
      <c r="AL104" s="25">
        <f t="shared" ca="1" si="87"/>
        <v>7.026930947062981</v>
      </c>
      <c r="AM104" s="25">
        <f t="shared" ca="1" si="87"/>
        <v>6.6751372626504928</v>
      </c>
      <c r="AN104" s="25">
        <f t="shared" ca="1" si="87"/>
        <v>6.3233435782380045</v>
      </c>
      <c r="AO104" s="25">
        <f t="shared" ca="1" si="87"/>
        <v>5.9715498938255163</v>
      </c>
      <c r="AP104" s="25">
        <f ca="1">TotalEmissions!F5</f>
        <v>5.6197562094130271</v>
      </c>
      <c r="AQ104" s="25"/>
      <c r="AR104" s="25"/>
      <c r="AS104" s="25"/>
      <c r="AT104" s="25"/>
      <c r="AU104" s="25"/>
      <c r="AV104" s="25"/>
      <c r="AW104" s="25"/>
      <c r="AX104" s="25"/>
      <c r="AY104" s="25"/>
      <c r="AZ104" s="25"/>
      <c r="BA104" s="25"/>
      <c r="BB104" s="25"/>
      <c r="BC104" s="25"/>
      <c r="BD104" s="25"/>
      <c r="BE104" s="25"/>
      <c r="BF104" s="25"/>
      <c r="BG104" s="25"/>
      <c r="BH104" s="25"/>
      <c r="BI104" s="25"/>
      <c r="BJ104" s="25"/>
      <c r="BK104" s="25"/>
      <c r="BL104" s="25"/>
      <c r="BM104" s="25"/>
      <c r="BN104" s="25"/>
      <c r="BO104" s="25"/>
      <c r="BP104" s="25"/>
      <c r="BQ104" s="25"/>
      <c r="BR104" s="25"/>
      <c r="BS104" s="25"/>
      <c r="BT104" s="25"/>
      <c r="BU104" s="25"/>
      <c r="BV104" s="25"/>
      <c r="BW104" s="25"/>
      <c r="BX104" s="25"/>
      <c r="BY104" s="25"/>
      <c r="BZ104" s="25"/>
      <c r="CA104" s="25"/>
      <c r="CB104" s="25"/>
      <c r="CC104" s="25"/>
      <c r="CD104" s="25"/>
      <c r="CE104" s="25"/>
      <c r="CF104" s="25"/>
      <c r="CG104" s="25"/>
      <c r="CH104" s="25"/>
      <c r="CI104" s="25"/>
      <c r="CJ104" s="25"/>
      <c r="CK104" s="25"/>
      <c r="CL104" s="25"/>
      <c r="CM104" s="25"/>
      <c r="CN104" s="25"/>
    </row>
    <row r="105" spans="1:92" s="25" customFormat="1" ht="18" customHeight="1" x14ac:dyDescent="0.2">
      <c r="A105" s="25" t="s">
        <v>343</v>
      </c>
      <c r="B105" s="25">
        <f t="shared" ref="B105:AP105" ca="1" si="88">B106+B111</f>
        <v>1.6191182434558868</v>
      </c>
      <c r="C105" s="25">
        <f t="shared" ca="1" si="88"/>
        <v>1.6186383542585341</v>
      </c>
      <c r="D105" s="25">
        <f t="shared" ca="1" si="88"/>
        <v>1.6181584650611813</v>
      </c>
      <c r="E105" s="25">
        <f t="shared" ca="1" si="88"/>
        <v>1.6176785758638286</v>
      </c>
      <c r="F105" s="25">
        <f t="shared" ca="1" si="88"/>
        <v>1.6171986866664758</v>
      </c>
      <c r="G105" s="25">
        <f t="shared" ca="1" si="88"/>
        <v>1.6167187974691231</v>
      </c>
      <c r="H105" s="25">
        <f t="shared" ca="1" si="88"/>
        <v>1.6162389082717703</v>
      </c>
      <c r="I105" s="25">
        <f t="shared" ca="1" si="88"/>
        <v>1.6157590190744175</v>
      </c>
      <c r="J105" s="25">
        <f t="shared" ca="1" si="88"/>
        <v>1.615279129877065</v>
      </c>
      <c r="K105" s="25">
        <f t="shared" ca="1" si="88"/>
        <v>1.6147992406797123</v>
      </c>
      <c r="L105" s="25">
        <f t="shared" ca="1" si="88"/>
        <v>1.6143193514823604</v>
      </c>
      <c r="M105" s="25">
        <f t="shared" ca="1" si="88"/>
        <v>1.6285526109995165</v>
      </c>
      <c r="N105" s="25">
        <f t="shared" ca="1" si="88"/>
        <v>1.6427858705166727</v>
      </c>
      <c r="O105" s="25">
        <f t="shared" ca="1" si="88"/>
        <v>1.6570191300338288</v>
      </c>
      <c r="P105" s="25">
        <f t="shared" ca="1" si="88"/>
        <v>1.6712523895509848</v>
      </c>
      <c r="Q105" s="25">
        <f t="shared" ca="1" si="88"/>
        <v>1.6854856490681409</v>
      </c>
      <c r="R105" s="25">
        <f t="shared" ca="1" si="88"/>
        <v>1.6997189085852971</v>
      </c>
      <c r="S105" s="25">
        <f t="shared" ca="1" si="88"/>
        <v>1.7139521681024532</v>
      </c>
      <c r="T105" s="25">
        <f t="shared" ca="1" si="88"/>
        <v>1.7281854276196094</v>
      </c>
      <c r="U105" s="25">
        <f t="shared" ca="1" si="88"/>
        <v>1.7424186871367655</v>
      </c>
      <c r="V105" s="25">
        <f t="shared" ca="1" si="88"/>
        <v>1.7566519466539221</v>
      </c>
      <c r="W105" s="25">
        <f t="shared" ca="1" si="88"/>
        <v>1.760735442737738</v>
      </c>
      <c r="X105" s="25">
        <f t="shared" ca="1" si="88"/>
        <v>1.7648189388215541</v>
      </c>
      <c r="Y105" s="25">
        <f t="shared" ca="1" si="88"/>
        <v>1.7689024349053701</v>
      </c>
      <c r="Z105" s="25">
        <f t="shared" ca="1" si="88"/>
        <v>1.772985930989186</v>
      </c>
      <c r="AA105" s="25">
        <f t="shared" ca="1" si="88"/>
        <v>1.7770694270730019</v>
      </c>
      <c r="AB105" s="25">
        <f t="shared" ca="1" si="88"/>
        <v>1.7811529231568179</v>
      </c>
      <c r="AC105" s="25">
        <f t="shared" ca="1" si="88"/>
        <v>1.785236419240634</v>
      </c>
      <c r="AD105" s="25">
        <f t="shared" ca="1" si="88"/>
        <v>1.7893199153244499</v>
      </c>
      <c r="AE105" s="25">
        <f t="shared" ca="1" si="88"/>
        <v>1.7934034114082658</v>
      </c>
      <c r="AF105" s="25">
        <f t="shared" ca="1" si="88"/>
        <v>1.7974869074920812</v>
      </c>
      <c r="AG105" s="25">
        <f t="shared" ca="1" si="88"/>
        <v>1.7850165626965462</v>
      </c>
      <c r="AH105" s="25">
        <f t="shared" ca="1" si="88"/>
        <v>1.7725462179010112</v>
      </c>
      <c r="AI105" s="25">
        <f t="shared" ca="1" si="88"/>
        <v>1.7600758731054764</v>
      </c>
      <c r="AJ105" s="25">
        <f t="shared" ca="1" si="88"/>
        <v>1.7476055283099414</v>
      </c>
      <c r="AK105" s="25">
        <f t="shared" ca="1" si="88"/>
        <v>1.7351351835144064</v>
      </c>
      <c r="AL105" s="25">
        <f t="shared" ca="1" si="88"/>
        <v>1.7226648387188717</v>
      </c>
      <c r="AM105" s="25">
        <f t="shared" ca="1" si="88"/>
        <v>1.7101944939233367</v>
      </c>
      <c r="AN105" s="25">
        <f t="shared" ca="1" si="88"/>
        <v>1.6977241491278017</v>
      </c>
      <c r="AO105" s="25">
        <f t="shared" ca="1" si="88"/>
        <v>1.6852538043322667</v>
      </c>
      <c r="AP105" s="25">
        <f t="shared" ca="1" si="88"/>
        <v>1.6727834595367312</v>
      </c>
    </row>
    <row r="106" spans="1:92" x14ac:dyDescent="0.2">
      <c r="A106" s="25" t="str">
        <f>TotalEmissions!A8</f>
        <v>NIC (Net Industry Carbon)</v>
      </c>
      <c r="B106" s="25">
        <f ca="1">TotalEmissions!B8</f>
        <v>1.6191182434558868</v>
      </c>
      <c r="C106" s="25">
        <f t="shared" ref="C106:K106" ca="1" si="89">B106+(($L106-$B106)/($L$75-$B$75))</f>
        <v>1.6169414162635802</v>
      </c>
      <c r="D106" s="25">
        <f t="shared" ca="1" si="89"/>
        <v>1.6147645890712736</v>
      </c>
      <c r="E106" s="25">
        <f t="shared" ca="1" si="89"/>
        <v>1.612587761878967</v>
      </c>
      <c r="F106" s="25">
        <f t="shared" ca="1" si="89"/>
        <v>1.6104109346866604</v>
      </c>
      <c r="G106" s="25">
        <f t="shared" ca="1" si="89"/>
        <v>1.6082341074943538</v>
      </c>
      <c r="H106" s="25">
        <f t="shared" ca="1" si="89"/>
        <v>1.6060572803020472</v>
      </c>
      <c r="I106" s="25">
        <f t="shared" ca="1" si="89"/>
        <v>1.6038804531097406</v>
      </c>
      <c r="J106" s="25">
        <f t="shared" ca="1" si="89"/>
        <v>1.601703625917434</v>
      </c>
      <c r="K106" s="25">
        <f t="shared" ca="1" si="89"/>
        <v>1.5995267987251274</v>
      </c>
      <c r="L106" s="25">
        <f ca="1">TotalEmissions!C8</f>
        <v>1.5973499715328217</v>
      </c>
      <c r="M106" s="25">
        <f t="shared" ref="M106:U106" ca="1" si="90">L106+(($V106-$L106)/($V$75-$L$75))</f>
        <v>1.5410775254170099</v>
      </c>
      <c r="N106" s="25">
        <f t="shared" ca="1" si="90"/>
        <v>1.4848050793011982</v>
      </c>
      <c r="O106" s="25">
        <f t="shared" ca="1" si="90"/>
        <v>1.4285326331853865</v>
      </c>
      <c r="P106" s="25">
        <f t="shared" ca="1" si="90"/>
        <v>1.3722601870695748</v>
      </c>
      <c r="Q106" s="25">
        <f t="shared" ca="1" si="90"/>
        <v>1.315987740953763</v>
      </c>
      <c r="R106" s="25">
        <f t="shared" ca="1" si="90"/>
        <v>1.2597152948379513</v>
      </c>
      <c r="S106" s="25">
        <f t="shared" ca="1" si="90"/>
        <v>1.2034428487221396</v>
      </c>
      <c r="T106" s="25">
        <f t="shared" ca="1" si="90"/>
        <v>1.1471704026063279</v>
      </c>
      <c r="U106" s="25">
        <f t="shared" ca="1" si="90"/>
        <v>1.0908979564905161</v>
      </c>
      <c r="V106" s="25">
        <f ca="1">TotalEmissions!D8</f>
        <v>1.0346255103747048</v>
      </c>
      <c r="W106" s="25">
        <f t="shared" ref="W106:AE106" ca="1" si="91">V106+(($AF106-$V106)/($AF$75-$V$75))</f>
        <v>0.96915476024150837</v>
      </c>
      <c r="X106" s="25">
        <f t="shared" ca="1" si="91"/>
        <v>0.9036840101083119</v>
      </c>
      <c r="Y106" s="25">
        <f t="shared" ca="1" si="91"/>
        <v>0.83821325997511542</v>
      </c>
      <c r="Z106" s="25">
        <f t="shared" ca="1" si="91"/>
        <v>0.77274250984191895</v>
      </c>
      <c r="AA106" s="25">
        <f t="shared" ca="1" si="91"/>
        <v>0.70727175970872247</v>
      </c>
      <c r="AB106" s="25">
        <f t="shared" ca="1" si="91"/>
        <v>0.64180100957552599</v>
      </c>
      <c r="AC106" s="25">
        <f t="shared" ca="1" si="91"/>
        <v>0.57633025944232952</v>
      </c>
      <c r="AD106" s="25">
        <f t="shared" ca="1" si="91"/>
        <v>0.51085950930913304</v>
      </c>
      <c r="AE106" s="25">
        <f t="shared" ca="1" si="91"/>
        <v>0.44538875917593657</v>
      </c>
      <c r="AF106" s="25">
        <f ca="1">TotalEmissions!E8</f>
        <v>0.37991800904273987</v>
      </c>
      <c r="AG106" s="25">
        <f t="shared" ref="AG106:AO106" ca="1" si="92">AF106+(($AP106-$AF106)/($AP$75-$AF$75))</f>
        <v>0.3710897463063399</v>
      </c>
      <c r="AH106" s="25">
        <f t="shared" ca="1" si="92"/>
        <v>0.36226148356993992</v>
      </c>
      <c r="AI106" s="25">
        <f t="shared" ca="1" si="92"/>
        <v>0.35343322083353995</v>
      </c>
      <c r="AJ106" s="25">
        <f t="shared" ca="1" si="92"/>
        <v>0.34460495809713998</v>
      </c>
      <c r="AK106" s="25">
        <f t="shared" ca="1" si="92"/>
        <v>0.33577669536074001</v>
      </c>
      <c r="AL106" s="25">
        <f t="shared" ca="1" si="92"/>
        <v>0.32694843262434004</v>
      </c>
      <c r="AM106" s="25">
        <f t="shared" ca="1" si="92"/>
        <v>0.31812016988794006</v>
      </c>
      <c r="AN106" s="25">
        <f t="shared" ca="1" si="92"/>
        <v>0.30929190715154009</v>
      </c>
      <c r="AO106" s="25">
        <f t="shared" ca="1" si="92"/>
        <v>0.30046364441514012</v>
      </c>
      <c r="AP106" s="25">
        <f ca="1">TotalEmissions!F8</f>
        <v>0.29163538167874015</v>
      </c>
      <c r="AQ106" s="25"/>
      <c r="AR106" s="25"/>
      <c r="AS106" s="25"/>
      <c r="AT106" s="25"/>
      <c r="AU106" s="25"/>
      <c r="AV106" s="25"/>
      <c r="AW106" s="25"/>
      <c r="AX106" s="25"/>
      <c r="AY106" s="25"/>
      <c r="AZ106" s="25"/>
      <c r="BA106" s="25"/>
      <c r="BB106" s="25"/>
      <c r="BC106" s="25"/>
      <c r="BD106" s="25"/>
      <c r="BE106" s="25"/>
      <c r="BF106" s="25"/>
      <c r="BG106" s="25"/>
      <c r="BH106" s="25"/>
      <c r="BI106" s="25"/>
      <c r="BJ106" s="25"/>
      <c r="BK106" s="25"/>
      <c r="BL106" s="25"/>
      <c r="BM106" s="25"/>
      <c r="BN106" s="25"/>
      <c r="BO106" s="25"/>
      <c r="BP106" s="25"/>
      <c r="BQ106" s="25"/>
      <c r="BR106" s="25"/>
      <c r="BS106" s="25"/>
      <c r="BT106" s="25"/>
      <c r="BU106" s="25"/>
      <c r="BV106" s="25"/>
      <c r="BW106" s="25"/>
      <c r="BX106" s="25"/>
      <c r="BY106" s="25"/>
      <c r="BZ106" s="25"/>
      <c r="CA106" s="25"/>
      <c r="CB106" s="25"/>
      <c r="CC106" s="25"/>
      <c r="CD106" s="25"/>
      <c r="CE106" s="25"/>
      <c r="CF106" s="25"/>
      <c r="CG106" s="25"/>
      <c r="CH106" s="25"/>
      <c r="CI106" s="25"/>
      <c r="CJ106" s="25"/>
      <c r="CK106" s="25"/>
      <c r="CL106" s="25"/>
      <c r="CM106" s="25"/>
      <c r="CN106" s="25"/>
    </row>
    <row r="107" spans="1:92" x14ac:dyDescent="0.2">
      <c r="A107" s="25" t="str">
        <f>TotalEmissions!A11</f>
        <v>other gases</v>
      </c>
      <c r="B107" s="25">
        <f ca="1">TotalEmissions!B11</f>
        <v>13.375585601370156</v>
      </c>
      <c r="C107" s="25">
        <f t="shared" ref="C107:K107" ca="1" si="93">B107+(($L107-$B107)/($L$75-$B$75))</f>
        <v>13.251978691722876</v>
      </c>
      <c r="D107" s="25">
        <f t="shared" ca="1" si="93"/>
        <v>13.128371782075595</v>
      </c>
      <c r="E107" s="25">
        <f t="shared" ca="1" si="93"/>
        <v>13.004764872428314</v>
      </c>
      <c r="F107" s="25">
        <f t="shared" ca="1" si="93"/>
        <v>12.881157962781034</v>
      </c>
      <c r="G107" s="25">
        <f t="shared" ca="1" si="93"/>
        <v>12.757551053133753</v>
      </c>
      <c r="H107" s="25">
        <f t="shared" ca="1" si="93"/>
        <v>12.633944143486472</v>
      </c>
      <c r="I107" s="25">
        <f t="shared" ca="1" si="93"/>
        <v>12.510337233839191</v>
      </c>
      <c r="J107" s="25">
        <f t="shared" ca="1" si="93"/>
        <v>12.386730324191911</v>
      </c>
      <c r="K107" s="25">
        <f t="shared" ca="1" si="93"/>
        <v>12.26312341454463</v>
      </c>
      <c r="L107" s="25">
        <f ca="1">TotalEmissions!C11</f>
        <v>12.139516504897342</v>
      </c>
      <c r="M107" s="25">
        <f t="shared" ref="M107:U107" ca="1" si="94">L107+(($V107-$L107)/($V$75-$L$75))</f>
        <v>11.7132506795539</v>
      </c>
      <c r="N107" s="25">
        <f t="shared" ca="1" si="94"/>
        <v>11.286984854210457</v>
      </c>
      <c r="O107" s="25">
        <f t="shared" ca="1" si="94"/>
        <v>10.860719028867015</v>
      </c>
      <c r="P107" s="25">
        <f t="shared" ca="1" si="94"/>
        <v>10.434453203523573</v>
      </c>
      <c r="Q107" s="25">
        <f t="shared" ca="1" si="94"/>
        <v>10.00818737818013</v>
      </c>
      <c r="R107" s="25">
        <f t="shared" ca="1" si="94"/>
        <v>9.5819215528366879</v>
      </c>
      <c r="S107" s="25">
        <f t="shared" ca="1" si="94"/>
        <v>9.1556557274932455</v>
      </c>
      <c r="T107" s="25">
        <f t="shared" ca="1" si="94"/>
        <v>8.7293899021498031</v>
      </c>
      <c r="U107" s="25">
        <f t="shared" ca="1" si="94"/>
        <v>8.3031240768063608</v>
      </c>
      <c r="V107" s="25">
        <f ca="1">TotalEmissions!D11</f>
        <v>7.876858251462914</v>
      </c>
      <c r="W107" s="25">
        <f t="shared" ref="W107:AE107" ca="1" si="95">V107+(($AF107-$V107)/($AF$75-$V$75))</f>
        <v>7.6579269419973377</v>
      </c>
      <c r="X107" s="25">
        <f t="shared" ca="1" si="95"/>
        <v>7.4389956325317614</v>
      </c>
      <c r="Y107" s="25">
        <f t="shared" ca="1" si="95"/>
        <v>7.2200643230661852</v>
      </c>
      <c r="Z107" s="25">
        <f t="shared" ca="1" si="95"/>
        <v>7.0011330136006089</v>
      </c>
      <c r="AA107" s="25">
        <f t="shared" ca="1" si="95"/>
        <v>6.7822017041350326</v>
      </c>
      <c r="AB107" s="25">
        <f t="shared" ca="1" si="95"/>
        <v>6.5632703946694564</v>
      </c>
      <c r="AC107" s="25">
        <f t="shared" ca="1" si="95"/>
        <v>6.3443390852038801</v>
      </c>
      <c r="AD107" s="25">
        <f t="shared" ca="1" si="95"/>
        <v>6.1254077757383039</v>
      </c>
      <c r="AE107" s="25">
        <f t="shared" ca="1" si="95"/>
        <v>5.9064764662727276</v>
      </c>
      <c r="AF107" s="25">
        <f ca="1">TotalEmissions!E11</f>
        <v>5.6875451568071531</v>
      </c>
      <c r="AG107" s="25">
        <f t="shared" ref="AG107:AO107" ca="1" si="96">AF107+(($AP107-$AF107)/($AP$75-$AF$75))</f>
        <v>5.5652704178196633</v>
      </c>
      <c r="AH107" s="25">
        <f t="shared" ca="1" si="96"/>
        <v>5.4429956788321725</v>
      </c>
      <c r="AI107" s="25">
        <f t="shared" ca="1" si="96"/>
        <v>5.3207209398446818</v>
      </c>
      <c r="AJ107" s="25">
        <f t="shared" ca="1" si="96"/>
        <v>5.198446200857191</v>
      </c>
      <c r="AK107" s="25">
        <f t="shared" ca="1" si="96"/>
        <v>5.0761714618697003</v>
      </c>
      <c r="AL107" s="25">
        <f t="shared" ca="1" si="96"/>
        <v>4.9538967228822095</v>
      </c>
      <c r="AM107" s="25">
        <f t="shared" ca="1" si="96"/>
        <v>4.8316219838947188</v>
      </c>
      <c r="AN107" s="25">
        <f t="shared" ca="1" si="96"/>
        <v>4.709347244907228</v>
      </c>
      <c r="AO107" s="25">
        <f t="shared" ca="1" si="96"/>
        <v>4.5870725059197373</v>
      </c>
      <c r="AP107" s="25">
        <f ca="1">TotalEmissions!F11</f>
        <v>4.4647977669322501</v>
      </c>
      <c r="AQ107" s="25"/>
      <c r="AR107" s="25"/>
      <c r="AS107" s="25"/>
      <c r="AT107" s="25"/>
      <c r="AU107" s="25"/>
      <c r="AV107" s="25"/>
      <c r="AW107" s="25"/>
      <c r="AX107" s="25"/>
      <c r="AY107" s="25"/>
      <c r="AZ107" s="25"/>
      <c r="BA107" s="25"/>
      <c r="BB107" s="25"/>
      <c r="BC107" s="25"/>
      <c r="BD107" s="25"/>
      <c r="BE107" s="25"/>
      <c r="BF107" s="25"/>
      <c r="BG107" s="25"/>
      <c r="BH107" s="25"/>
      <c r="BI107" s="25"/>
      <c r="BJ107" s="25"/>
      <c r="BK107" s="25"/>
      <c r="BL107" s="25"/>
      <c r="BM107" s="25"/>
      <c r="BN107" s="25"/>
      <c r="BO107" s="25"/>
      <c r="BP107" s="25"/>
      <c r="BQ107" s="25"/>
      <c r="BR107" s="25"/>
      <c r="BS107" s="25"/>
      <c r="BT107" s="25"/>
      <c r="BU107" s="25"/>
      <c r="BV107" s="25"/>
      <c r="BW107" s="25"/>
      <c r="BX107" s="25"/>
      <c r="BY107" s="25"/>
      <c r="BZ107" s="25"/>
      <c r="CA107" s="25"/>
      <c r="CB107" s="25"/>
      <c r="CC107" s="25"/>
      <c r="CD107" s="25"/>
      <c r="CE107" s="25"/>
      <c r="CF107" s="25"/>
      <c r="CG107" s="25"/>
      <c r="CH107" s="25"/>
      <c r="CI107" s="25"/>
      <c r="CJ107" s="25"/>
      <c r="CK107" s="25"/>
      <c r="CL107" s="25"/>
      <c r="CM107" s="25"/>
      <c r="CN107" s="25"/>
    </row>
    <row r="108" spans="1:92" x14ac:dyDescent="0.2">
      <c r="A108" s="25" t="str">
        <f>TotalEmissions!A14</f>
        <v>Land use</v>
      </c>
      <c r="B108" s="25">
        <f ca="1">TotalEmissions!B14</f>
        <v>3.6114053332115086</v>
      </c>
      <c r="C108" s="25">
        <f t="shared" ref="C108:K108" ca="1" si="97">B108+(($L108-$B108)/($L$75-$B$75))</f>
        <v>3.5965442471992248</v>
      </c>
      <c r="D108" s="25">
        <f t="shared" ca="1" si="97"/>
        <v>3.5816831611869411</v>
      </c>
      <c r="E108" s="25">
        <f t="shared" ca="1" si="97"/>
        <v>3.5668220751746573</v>
      </c>
      <c r="F108" s="25">
        <f t="shared" ca="1" si="97"/>
        <v>3.5519609891623736</v>
      </c>
      <c r="G108" s="25">
        <f t="shared" ca="1" si="97"/>
        <v>3.5370999031500898</v>
      </c>
      <c r="H108" s="25">
        <f t="shared" ca="1" si="97"/>
        <v>3.5222388171378061</v>
      </c>
      <c r="I108" s="25">
        <f t="shared" ca="1" si="97"/>
        <v>3.5073777311255223</v>
      </c>
      <c r="J108" s="25">
        <f t="shared" ca="1" si="97"/>
        <v>3.4925166451132386</v>
      </c>
      <c r="K108" s="25">
        <f t="shared" ca="1" si="97"/>
        <v>3.4776555591009548</v>
      </c>
      <c r="L108" s="25">
        <f ca="1">TotalEmissions!C14</f>
        <v>3.4627944730886693</v>
      </c>
      <c r="M108" s="25">
        <f t="shared" ref="M108:U108" ca="1" si="98">L108+(($V108-$L108)/($V$75-$L$75))</f>
        <v>2.9586724944618883</v>
      </c>
      <c r="N108" s="25">
        <f t="shared" ca="1" si="98"/>
        <v>2.4545505158351073</v>
      </c>
      <c r="O108" s="25">
        <f t="shared" ca="1" si="98"/>
        <v>1.9504285372083263</v>
      </c>
      <c r="P108" s="25">
        <f t="shared" ca="1" si="98"/>
        <v>1.4463065585815453</v>
      </c>
      <c r="Q108" s="25">
        <f t="shared" ca="1" si="98"/>
        <v>0.94218457995476435</v>
      </c>
      <c r="R108" s="25">
        <f t="shared" ca="1" si="98"/>
        <v>0.43806260132798336</v>
      </c>
      <c r="S108" s="25">
        <f t="shared" ca="1" si="98"/>
        <v>-6.6059377298797628E-2</v>
      </c>
      <c r="T108" s="25">
        <f t="shared" ca="1" si="98"/>
        <v>-0.57018135592557861</v>
      </c>
      <c r="U108" s="25">
        <f t="shared" ca="1" si="98"/>
        <v>-1.0743033345523596</v>
      </c>
      <c r="V108" s="25">
        <f ca="1">TotalEmissions!D14</f>
        <v>-1.5784253131791401</v>
      </c>
      <c r="W108" s="25">
        <f t="shared" ref="W108:AE108" ca="1" si="99">V108+(($AF108-$V108)/($AF$75-$V$75))</f>
        <v>-1.8813328233084725</v>
      </c>
      <c r="X108" s="25">
        <f t="shared" ca="1" si="99"/>
        <v>-2.1842403334378049</v>
      </c>
      <c r="Y108" s="25">
        <f t="shared" ca="1" si="99"/>
        <v>-2.4871478435671373</v>
      </c>
      <c r="Z108" s="25">
        <f t="shared" ca="1" si="99"/>
        <v>-2.7900553536964696</v>
      </c>
      <c r="AA108" s="25">
        <f t="shared" ca="1" si="99"/>
        <v>-3.092962863825802</v>
      </c>
      <c r="AB108" s="25">
        <f t="shared" ca="1" si="99"/>
        <v>-3.3958703739551344</v>
      </c>
      <c r="AC108" s="25">
        <f t="shared" ca="1" si="99"/>
        <v>-3.6987778840844667</v>
      </c>
      <c r="AD108" s="25">
        <f t="shared" ca="1" si="99"/>
        <v>-4.0016853942137987</v>
      </c>
      <c r="AE108" s="25">
        <f t="shared" ca="1" si="99"/>
        <v>-4.3045929043431306</v>
      </c>
      <c r="AF108" s="25">
        <f ca="1">TotalEmissions!E14</f>
        <v>-4.6075004144724625</v>
      </c>
      <c r="AG108" s="25">
        <f t="shared" ref="AG108:AO108" ca="1" si="100">AF108+(($AP108-$AF108)/($AP$75-$AF$75))</f>
        <v>-4.9648744125707402</v>
      </c>
      <c r="AH108" s="25">
        <f t="shared" ca="1" si="100"/>
        <v>-5.3222484106690189</v>
      </c>
      <c r="AI108" s="25">
        <f t="shared" ca="1" si="100"/>
        <v>-5.6796224087672975</v>
      </c>
      <c r="AJ108" s="25">
        <f t="shared" ca="1" si="100"/>
        <v>-6.0369964068655761</v>
      </c>
      <c r="AK108" s="25">
        <f t="shared" ca="1" si="100"/>
        <v>-6.3943704049638548</v>
      </c>
      <c r="AL108" s="25">
        <f t="shared" ca="1" si="100"/>
        <v>-6.7517444030621334</v>
      </c>
      <c r="AM108" s="25">
        <f t="shared" ca="1" si="100"/>
        <v>-7.109118401160412</v>
      </c>
      <c r="AN108" s="25">
        <f t="shared" ca="1" si="100"/>
        <v>-7.4664923992586907</v>
      </c>
      <c r="AO108" s="25">
        <f t="shared" ca="1" si="100"/>
        <v>-7.8238663973569693</v>
      </c>
      <c r="AP108" s="25">
        <f ca="1">TotalEmissions!F14</f>
        <v>-8.1812403954552444</v>
      </c>
      <c r="AQ108" s="25"/>
      <c r="AR108" s="25"/>
      <c r="AS108" s="25"/>
      <c r="AT108" s="25"/>
      <c r="AU108" s="25"/>
      <c r="AV108" s="25"/>
      <c r="AW108" s="25"/>
      <c r="AX108" s="25"/>
      <c r="AY108" s="25"/>
      <c r="AZ108" s="25"/>
      <c r="BA108" s="25"/>
      <c r="BB108" s="25"/>
      <c r="BC108" s="25"/>
      <c r="BD108" s="25"/>
      <c r="BE108" s="25"/>
      <c r="BF108" s="25"/>
      <c r="BG108" s="25"/>
      <c r="BH108" s="25"/>
      <c r="BI108" s="25"/>
      <c r="BJ108" s="25"/>
      <c r="BK108" s="25"/>
      <c r="BL108" s="25"/>
      <c r="BM108" s="25"/>
      <c r="BN108" s="25"/>
      <c r="BO108" s="25"/>
      <c r="BP108" s="25"/>
      <c r="BQ108" s="25"/>
      <c r="BR108" s="25"/>
      <c r="BS108" s="25"/>
      <c r="BT108" s="25"/>
      <c r="BU108" s="25"/>
      <c r="BV108" s="25"/>
      <c r="BW108" s="25"/>
      <c r="BX108" s="25"/>
      <c r="BY108" s="25"/>
      <c r="BZ108" s="25"/>
      <c r="CA108" s="25"/>
      <c r="CB108" s="25"/>
      <c r="CC108" s="25"/>
      <c r="CD108" s="25"/>
      <c r="CE108" s="25"/>
      <c r="CF108" s="25"/>
      <c r="CG108" s="25"/>
      <c r="CH108" s="25"/>
      <c r="CI108" s="25"/>
      <c r="CJ108" s="25"/>
      <c r="CK108" s="25"/>
      <c r="CL108" s="25"/>
      <c r="CM108" s="25"/>
      <c r="CN108" s="25"/>
    </row>
    <row r="109" spans="1:92" x14ac:dyDescent="0.2">
      <c r="A109" s="25"/>
      <c r="B109" s="25"/>
      <c r="C109" s="25"/>
      <c r="D109" s="25"/>
      <c r="E109" s="25"/>
      <c r="F109" s="25"/>
      <c r="G109" s="25"/>
      <c r="H109" s="25"/>
      <c r="I109" s="25"/>
      <c r="J109" s="25"/>
      <c r="K109" s="25"/>
      <c r="L109" s="25"/>
      <c r="M109" s="25"/>
      <c r="N109" s="25"/>
      <c r="O109" s="25"/>
      <c r="P109" s="25"/>
      <c r="Q109" s="25"/>
      <c r="R109" s="25"/>
      <c r="S109" s="25"/>
      <c r="T109" s="25"/>
      <c r="U109" s="25"/>
      <c r="V109" s="25"/>
      <c r="W109" s="25"/>
      <c r="X109" s="25"/>
      <c r="Y109" s="25"/>
      <c r="Z109" s="25"/>
      <c r="AA109" s="25"/>
      <c r="AB109" s="25"/>
      <c r="AC109" s="25"/>
      <c r="AD109" s="25"/>
      <c r="AE109" s="25"/>
      <c r="AF109" s="25"/>
      <c r="AG109" s="25"/>
      <c r="AH109" s="25"/>
      <c r="AI109" s="25"/>
      <c r="AJ109" s="25"/>
      <c r="AK109" s="25"/>
      <c r="AL109" s="25"/>
      <c r="AM109" s="25"/>
      <c r="AN109" s="25"/>
      <c r="AO109" s="25"/>
      <c r="AP109" s="25"/>
      <c r="AQ109" s="25"/>
      <c r="AR109" s="25"/>
      <c r="AS109" s="25"/>
      <c r="AT109" s="25"/>
      <c r="AU109" s="25"/>
      <c r="AV109" s="25"/>
      <c r="AW109" s="25"/>
      <c r="AX109" s="25"/>
      <c r="AY109" s="25"/>
      <c r="AZ109" s="25"/>
      <c r="BA109" s="25"/>
      <c r="BB109" s="25"/>
      <c r="BC109" s="25"/>
      <c r="BD109" s="25"/>
      <c r="BE109" s="25"/>
      <c r="BF109" s="25"/>
      <c r="BG109" s="25"/>
      <c r="BH109" s="25"/>
      <c r="BI109" s="25"/>
      <c r="BJ109" s="25"/>
      <c r="BK109" s="25"/>
      <c r="BL109" s="25"/>
      <c r="BM109" s="25"/>
      <c r="BN109" s="25"/>
      <c r="BO109" s="25"/>
      <c r="BP109" s="25"/>
      <c r="BQ109" s="25"/>
      <c r="BR109" s="25"/>
      <c r="BS109" s="25"/>
      <c r="BT109" s="25"/>
      <c r="BU109" s="25"/>
      <c r="BV109" s="25"/>
      <c r="BW109" s="25"/>
      <c r="BX109" s="25"/>
      <c r="BY109" s="25"/>
      <c r="BZ109" s="25"/>
      <c r="CA109" s="25"/>
      <c r="CB109" s="25"/>
      <c r="CC109" s="25"/>
      <c r="CD109" s="25"/>
      <c r="CE109" s="25"/>
      <c r="CF109" s="25"/>
      <c r="CG109" s="25"/>
      <c r="CH109" s="25"/>
      <c r="CI109" s="25"/>
      <c r="CJ109" s="25"/>
      <c r="CK109" s="25"/>
      <c r="CL109" s="25"/>
      <c r="CM109" s="25"/>
      <c r="CN109" s="25"/>
    </row>
    <row r="110" spans="1:92" x14ac:dyDescent="0.2">
      <c r="A110" s="25" t="str">
        <f>TotalEmissions!A17</f>
        <v>Fossil Energy CCS</v>
      </c>
      <c r="B110" s="25">
        <f ca="1">TotalEmissions!B17</f>
        <v>0</v>
      </c>
      <c r="C110" s="25">
        <f t="shared" ref="C110:K110" ca="1" si="101">B110+(($L110-$B110)/($L$75-$B$75))</f>
        <v>3.2833179039359777E-3</v>
      </c>
      <c r="D110" s="25">
        <f t="shared" ca="1" si="101"/>
        <v>6.5666358078719555E-3</v>
      </c>
      <c r="E110" s="25">
        <f t="shared" ca="1" si="101"/>
        <v>9.8499537118079336E-3</v>
      </c>
      <c r="F110" s="25">
        <f t="shared" ca="1" si="101"/>
        <v>1.3133271615743911E-2</v>
      </c>
      <c r="G110" s="25">
        <f t="shared" ca="1" si="101"/>
        <v>1.6416589519679888E-2</v>
      </c>
      <c r="H110" s="25">
        <f t="shared" ca="1" si="101"/>
        <v>1.9699907423615867E-2</v>
      </c>
      <c r="I110" s="25">
        <f t="shared" ca="1" si="101"/>
        <v>2.2983225327551846E-2</v>
      </c>
      <c r="J110" s="25">
        <f t="shared" ca="1" si="101"/>
        <v>2.6266543231487825E-2</v>
      </c>
      <c r="K110" s="25">
        <f t="shared" ca="1" si="101"/>
        <v>2.9549861135423804E-2</v>
      </c>
      <c r="L110" s="25">
        <f ca="1">TotalEmissions!C17</f>
        <v>3.2833179039359776E-2</v>
      </c>
      <c r="M110" s="25">
        <f t="shared" ref="M110:U110" ca="1" si="102">L110+(($V110-$L110)/($V$75-$L$75))</f>
        <v>0.15389061006498181</v>
      </c>
      <c r="N110" s="25">
        <f t="shared" ca="1" si="102"/>
        <v>0.27494804109060383</v>
      </c>
      <c r="O110" s="25">
        <f t="shared" ca="1" si="102"/>
        <v>0.39600547211622583</v>
      </c>
      <c r="P110" s="25">
        <f t="shared" ca="1" si="102"/>
        <v>0.51706290314184788</v>
      </c>
      <c r="Q110" s="25">
        <f t="shared" ca="1" si="102"/>
        <v>0.63812033416746994</v>
      </c>
      <c r="R110" s="25">
        <f t="shared" ca="1" si="102"/>
        <v>0.75917776519309199</v>
      </c>
      <c r="S110" s="25">
        <f t="shared" ca="1" si="102"/>
        <v>0.88023519621871404</v>
      </c>
      <c r="T110" s="25">
        <f t="shared" ca="1" si="102"/>
        <v>1.0012926272443361</v>
      </c>
      <c r="U110" s="25">
        <f t="shared" ca="1" si="102"/>
        <v>1.1223500582699582</v>
      </c>
      <c r="V110" s="25">
        <f ca="1">TotalEmissions!D17</f>
        <v>1.24340748929558</v>
      </c>
      <c r="W110" s="25">
        <f t="shared" ref="W110:AE110" ca="1" si="103">V110+(($AF110-$V110)/($AF$75-$V$75))</f>
        <v>1.3645991443880121</v>
      </c>
      <c r="X110" s="25">
        <f t="shared" ca="1" si="103"/>
        <v>1.4857907994804442</v>
      </c>
      <c r="Y110" s="25">
        <f t="shared" ca="1" si="103"/>
        <v>1.6069824545728764</v>
      </c>
      <c r="Z110" s="25">
        <f t="shared" ca="1" si="103"/>
        <v>1.7281741096653085</v>
      </c>
      <c r="AA110" s="25">
        <f t="shared" ca="1" si="103"/>
        <v>1.8493657647577406</v>
      </c>
      <c r="AB110" s="25">
        <f t="shared" ca="1" si="103"/>
        <v>1.9705574198501727</v>
      </c>
      <c r="AC110" s="25">
        <f t="shared" ca="1" si="103"/>
        <v>2.0917490749426051</v>
      </c>
      <c r="AD110" s="25">
        <f t="shared" ca="1" si="103"/>
        <v>2.2129407300350374</v>
      </c>
      <c r="AE110" s="25">
        <f t="shared" ca="1" si="103"/>
        <v>2.3341323851274698</v>
      </c>
      <c r="AF110" s="25">
        <f ca="1">TotalEmissions!E17</f>
        <v>2.4553240402199017</v>
      </c>
      <c r="AG110" s="25">
        <f t="shared" ref="AG110:AO110" ca="1" si="104">AF110+(($AP110-$AF110)/($AP$75-$AF$75))</f>
        <v>2.5138224536176432</v>
      </c>
      <c r="AH110" s="25">
        <f t="shared" ca="1" si="104"/>
        <v>2.5723208670153848</v>
      </c>
      <c r="AI110" s="25">
        <f t="shared" ca="1" si="104"/>
        <v>2.6308192804131263</v>
      </c>
      <c r="AJ110" s="25">
        <f t="shared" ca="1" si="104"/>
        <v>2.6893176938108678</v>
      </c>
      <c r="AK110" s="25">
        <f t="shared" ca="1" si="104"/>
        <v>2.7478161072086094</v>
      </c>
      <c r="AL110" s="25">
        <f t="shared" ca="1" si="104"/>
        <v>2.8063145206063509</v>
      </c>
      <c r="AM110" s="25">
        <f t="shared" ca="1" si="104"/>
        <v>2.8648129340040924</v>
      </c>
      <c r="AN110" s="25">
        <f t="shared" ca="1" si="104"/>
        <v>2.923311347401834</v>
      </c>
      <c r="AO110" s="25">
        <f t="shared" ca="1" si="104"/>
        <v>2.9818097607995755</v>
      </c>
      <c r="AP110" s="25">
        <f ca="1">TotalEmissions!F17</f>
        <v>3.0403081741973175</v>
      </c>
      <c r="AQ110" s="25"/>
      <c r="AR110" s="25"/>
      <c r="AS110" s="25"/>
      <c r="AT110" s="25"/>
      <c r="AU110" s="25"/>
      <c r="AV110" s="25"/>
      <c r="AW110" s="25"/>
      <c r="AX110" s="25"/>
      <c r="AY110" s="25"/>
      <c r="AZ110" s="25"/>
      <c r="BA110" s="25"/>
      <c r="BB110" s="25"/>
      <c r="BC110" s="25"/>
      <c r="BD110" s="25"/>
      <c r="BE110" s="25"/>
      <c r="BF110" s="25"/>
      <c r="BG110" s="25"/>
      <c r="BH110" s="25"/>
      <c r="BI110" s="25"/>
      <c r="BJ110" s="25"/>
      <c r="BK110" s="25"/>
      <c r="BL110" s="25"/>
      <c r="BM110" s="25"/>
      <c r="BN110" s="25"/>
      <c r="BO110" s="25"/>
      <c r="BP110" s="25"/>
      <c r="BQ110" s="25"/>
      <c r="BR110" s="25"/>
      <c r="BS110" s="25"/>
      <c r="BT110" s="25"/>
      <c r="BU110" s="25"/>
      <c r="BV110" s="25"/>
      <c r="BW110" s="25"/>
      <c r="BX110" s="25"/>
      <c r="BY110" s="25"/>
      <c r="BZ110" s="25"/>
      <c r="CA110" s="25"/>
      <c r="CB110" s="25"/>
      <c r="CC110" s="25"/>
      <c r="CD110" s="25"/>
      <c r="CE110" s="25"/>
      <c r="CF110" s="25"/>
      <c r="CG110" s="25"/>
      <c r="CH110" s="25"/>
      <c r="CI110" s="25"/>
      <c r="CJ110" s="25"/>
      <c r="CK110" s="25"/>
      <c r="CL110" s="25"/>
      <c r="CM110" s="25"/>
      <c r="CN110" s="25"/>
    </row>
    <row r="111" spans="1:92" x14ac:dyDescent="0.2">
      <c r="A111" s="25" t="str">
        <f>TotalEmissions!A18</f>
        <v>Fossil Industry CCS</v>
      </c>
      <c r="B111" s="25">
        <f ca="1">TotalEmissions!B18</f>
        <v>0</v>
      </c>
      <c r="C111" s="25">
        <f t="shared" ref="C111:K111" ca="1" si="105">B111+(($L111-$B111)/($L$75-$B$75))</f>
        <v>1.6969379949538655E-3</v>
      </c>
      <c r="D111" s="25">
        <f t="shared" ca="1" si="105"/>
        <v>3.3938759899077311E-3</v>
      </c>
      <c r="E111" s="25">
        <f t="shared" ca="1" si="105"/>
        <v>5.0908139848615964E-3</v>
      </c>
      <c r="F111" s="25">
        <f t="shared" ca="1" si="105"/>
        <v>6.7877519798154621E-3</v>
      </c>
      <c r="G111" s="25">
        <f t="shared" ca="1" si="105"/>
        <v>8.4846899747693279E-3</v>
      </c>
      <c r="H111" s="25">
        <f t="shared" ca="1" si="105"/>
        <v>1.0181627969723193E-2</v>
      </c>
      <c r="I111" s="25">
        <f t="shared" ca="1" si="105"/>
        <v>1.1878565964677058E-2</v>
      </c>
      <c r="J111" s="25">
        <f t="shared" ca="1" si="105"/>
        <v>1.3575503959630923E-2</v>
      </c>
      <c r="K111" s="25">
        <f t="shared" ca="1" si="105"/>
        <v>1.5272441954584787E-2</v>
      </c>
      <c r="L111" s="25">
        <f ca="1">TotalEmissions!C18</f>
        <v>1.6969379949538656E-2</v>
      </c>
      <c r="M111" s="25">
        <f t="shared" ref="M111:U111" ca="1" si="106">L111+(($V111-$L111)/($V$75-$L$75))</f>
        <v>8.7475085582506523E-2</v>
      </c>
      <c r="N111" s="25">
        <f t="shared" ca="1" si="106"/>
        <v>0.1579807912154744</v>
      </c>
      <c r="O111" s="25">
        <f t="shared" ca="1" si="106"/>
        <v>0.22848649684844227</v>
      </c>
      <c r="P111" s="25">
        <f t="shared" ca="1" si="106"/>
        <v>0.29899220248141012</v>
      </c>
      <c r="Q111" s="25">
        <f t="shared" ca="1" si="106"/>
        <v>0.36949790811437799</v>
      </c>
      <c r="R111" s="25">
        <f t="shared" ca="1" si="106"/>
        <v>0.44000361374734587</v>
      </c>
      <c r="S111" s="25">
        <f t="shared" ca="1" si="106"/>
        <v>0.51050931938031374</v>
      </c>
      <c r="T111" s="25">
        <f t="shared" ca="1" si="106"/>
        <v>0.58101502501328162</v>
      </c>
      <c r="U111" s="25">
        <f t="shared" ca="1" si="106"/>
        <v>0.65152073064624949</v>
      </c>
      <c r="V111" s="25">
        <f ca="1">TotalEmissions!D18</f>
        <v>0.72202643627921737</v>
      </c>
      <c r="W111" s="25">
        <f t="shared" ref="W111:AE111" ca="1" si="107">V111+(($AF111-$V111)/($AF$75-$V$75))</f>
        <v>0.7915806824962297</v>
      </c>
      <c r="X111" s="25">
        <f t="shared" ca="1" si="107"/>
        <v>0.86113492871324215</v>
      </c>
      <c r="Y111" s="25">
        <f t="shared" ca="1" si="107"/>
        <v>0.9306891749302546</v>
      </c>
      <c r="Z111" s="25">
        <f t="shared" ca="1" si="107"/>
        <v>1.0002434211472671</v>
      </c>
      <c r="AA111" s="25">
        <f t="shared" ca="1" si="107"/>
        <v>1.0697976673642795</v>
      </c>
      <c r="AB111" s="25">
        <f t="shared" ca="1" si="107"/>
        <v>1.139351913581292</v>
      </c>
      <c r="AC111" s="25">
        <f t="shared" ca="1" si="107"/>
        <v>1.2089061597983044</v>
      </c>
      <c r="AD111" s="25">
        <f t="shared" ca="1" si="107"/>
        <v>1.2784604060153169</v>
      </c>
      <c r="AE111" s="25">
        <f t="shared" ca="1" si="107"/>
        <v>1.3480146522323293</v>
      </c>
      <c r="AF111" s="25">
        <f ca="1">TotalEmissions!E18</f>
        <v>1.4175688984493413</v>
      </c>
      <c r="AG111" s="25">
        <f t="shared" ref="AG111:AO111" ca="1" si="108">AF111+(($AP111-$AF111)/($AP$75-$AF$75))</f>
        <v>1.4139268163902063</v>
      </c>
      <c r="AH111" s="25">
        <f t="shared" ca="1" si="108"/>
        <v>1.4102847343310714</v>
      </c>
      <c r="AI111" s="25">
        <f t="shared" ca="1" si="108"/>
        <v>1.4066426522719364</v>
      </c>
      <c r="AJ111" s="25">
        <f t="shared" ca="1" si="108"/>
        <v>1.4030005702128014</v>
      </c>
      <c r="AK111" s="25">
        <f t="shared" ca="1" si="108"/>
        <v>1.3993584881536665</v>
      </c>
      <c r="AL111" s="25">
        <f t="shared" ca="1" si="108"/>
        <v>1.3957164060945315</v>
      </c>
      <c r="AM111" s="25">
        <f t="shared" ca="1" si="108"/>
        <v>1.3920743240353965</v>
      </c>
      <c r="AN111" s="25">
        <f t="shared" ca="1" si="108"/>
        <v>1.3884322419762616</v>
      </c>
      <c r="AO111" s="25">
        <f t="shared" ca="1" si="108"/>
        <v>1.3847901599171266</v>
      </c>
      <c r="AP111" s="25">
        <f ca="1">TotalEmissions!F18</f>
        <v>1.381148077857991</v>
      </c>
      <c r="AQ111" s="25"/>
      <c r="AR111" s="25"/>
      <c r="AS111" s="25"/>
      <c r="AT111" s="25"/>
      <c r="AU111" s="25"/>
      <c r="AV111" s="25"/>
      <c r="AW111" s="25"/>
      <c r="AX111" s="25"/>
      <c r="AY111" s="25"/>
      <c r="AZ111" s="25"/>
      <c r="BA111" s="25"/>
      <c r="BB111" s="25"/>
      <c r="BC111" s="25"/>
      <c r="BD111" s="25"/>
      <c r="BE111" s="25"/>
      <c r="BF111" s="25"/>
      <c r="BG111" s="25"/>
      <c r="BH111" s="25"/>
      <c r="BI111" s="25"/>
      <c r="BJ111" s="25"/>
      <c r="BK111" s="25"/>
      <c r="BL111" s="25"/>
      <c r="BM111" s="25"/>
      <c r="BN111" s="25"/>
      <c r="BO111" s="25"/>
      <c r="BP111" s="25"/>
      <c r="BQ111" s="25"/>
      <c r="BR111" s="25"/>
      <c r="BS111" s="25"/>
      <c r="BT111" s="25"/>
      <c r="BU111" s="25"/>
      <c r="BV111" s="25"/>
      <c r="BW111" s="25"/>
      <c r="BX111" s="25"/>
      <c r="BY111" s="25"/>
      <c r="BZ111" s="25"/>
      <c r="CA111" s="25"/>
      <c r="CB111" s="25"/>
      <c r="CC111" s="25"/>
      <c r="CD111" s="25"/>
      <c r="CE111" s="25"/>
      <c r="CF111" s="25"/>
      <c r="CG111" s="25"/>
      <c r="CH111" s="25"/>
      <c r="CI111" s="25"/>
      <c r="CJ111" s="25"/>
      <c r="CK111" s="25"/>
      <c r="CL111" s="25"/>
      <c r="CM111" s="25"/>
      <c r="CN111" s="25"/>
    </row>
    <row r="112" spans="1:92" x14ac:dyDescent="0.2">
      <c r="A112" s="25" t="str">
        <f>TotalEmissions!A20</f>
        <v>Biomass Energy CCS</v>
      </c>
      <c r="B112" s="25">
        <f ca="1">TotalEmissions!B20</f>
        <v>0</v>
      </c>
      <c r="C112" s="25">
        <f t="shared" ref="C112:K112" ca="1" si="109">B112+(($L112-$B112)/($L$75-$B$75))</f>
        <v>4.838606848404196E-19</v>
      </c>
      <c r="D112" s="25">
        <f t="shared" ca="1" si="109"/>
        <v>9.6772136968083921E-19</v>
      </c>
      <c r="E112" s="25">
        <f t="shared" ca="1" si="109"/>
        <v>1.4515820545212588E-18</v>
      </c>
      <c r="F112" s="25">
        <f t="shared" ca="1" si="109"/>
        <v>1.9354427393616784E-18</v>
      </c>
      <c r="G112" s="25">
        <f t="shared" ca="1" si="109"/>
        <v>2.4193034242020978E-18</v>
      </c>
      <c r="H112" s="25">
        <f t="shared" ca="1" si="109"/>
        <v>2.9031641090425172E-18</v>
      </c>
      <c r="I112" s="25">
        <f t="shared" ca="1" si="109"/>
        <v>3.3870247938829366E-18</v>
      </c>
      <c r="J112" s="25">
        <f t="shared" ca="1" si="109"/>
        <v>3.8708854787233561E-18</v>
      </c>
      <c r="K112" s="25">
        <f t="shared" ca="1" si="109"/>
        <v>4.3547461635637755E-18</v>
      </c>
      <c r="L112" s="25">
        <f ca="1">TotalEmissions!C20</f>
        <v>4.8386068484041956E-18</v>
      </c>
      <c r="M112" s="25">
        <f t="shared" ref="M112:U112" ca="1" si="110">L112+(($V112-$L112)/($V$75-$L$75))</f>
        <v>2.0047784098813769E-10</v>
      </c>
      <c r="N112" s="25">
        <f t="shared" ca="1" si="110"/>
        <v>4.0095567713766853E-10</v>
      </c>
      <c r="O112" s="25">
        <f t="shared" ca="1" si="110"/>
        <v>6.014335132871994E-10</v>
      </c>
      <c r="P112" s="25">
        <f t="shared" ca="1" si="110"/>
        <v>8.0191134943673022E-10</v>
      </c>
      <c r="Q112" s="25">
        <f t="shared" ca="1" si="110"/>
        <v>1.002389185586261E-9</v>
      </c>
      <c r="R112" s="25">
        <f t="shared" ca="1" si="110"/>
        <v>1.202867021735792E-9</v>
      </c>
      <c r="S112" s="25">
        <f t="shared" ca="1" si="110"/>
        <v>1.4033448578853229E-9</v>
      </c>
      <c r="T112" s="25">
        <f t="shared" ca="1" si="110"/>
        <v>1.6038226940348538E-9</v>
      </c>
      <c r="U112" s="25">
        <f t="shared" ca="1" si="110"/>
        <v>1.8043005301843847E-9</v>
      </c>
      <c r="V112" s="25">
        <f ca="1">TotalEmissions!D20</f>
        <v>2.004778366333915E-9</v>
      </c>
      <c r="W112" s="25">
        <f t="shared" ref="W112:AE112" ca="1" si="111">V112+(($AF112-$V112)/($AF$75-$V$75))</f>
        <v>6.3793849862093034E-9</v>
      </c>
      <c r="X112" s="25">
        <f t="shared" ca="1" si="111"/>
        <v>1.0753991606084691E-8</v>
      </c>
      <c r="Y112" s="25">
        <f t="shared" ca="1" si="111"/>
        <v>1.5128598225960081E-8</v>
      </c>
      <c r="Z112" s="25">
        <f t="shared" ca="1" si="111"/>
        <v>1.9503204845835469E-8</v>
      </c>
      <c r="AA112" s="25">
        <f t="shared" ca="1" si="111"/>
        <v>2.3877811465710857E-8</v>
      </c>
      <c r="AB112" s="25">
        <f t="shared" ca="1" si="111"/>
        <v>2.8252418085586245E-8</v>
      </c>
      <c r="AC112" s="25">
        <f t="shared" ca="1" si="111"/>
        <v>3.2627024705461633E-8</v>
      </c>
      <c r="AD112" s="25">
        <f t="shared" ca="1" si="111"/>
        <v>3.7001631325337018E-8</v>
      </c>
      <c r="AE112" s="25">
        <f t="shared" ca="1" si="111"/>
        <v>4.1376237945212403E-8</v>
      </c>
      <c r="AF112" s="25">
        <f ca="1">TotalEmissions!E20</f>
        <v>4.5750844565087794E-8</v>
      </c>
      <c r="AG112" s="25">
        <f t="shared" ref="AG112:AO112" ca="1" si="112">AF112+(($AP112-$AF112)/($AP$75-$AF$75))</f>
        <v>9.505157529046849E-6</v>
      </c>
      <c r="AH112" s="25">
        <f t="shared" ca="1" si="112"/>
        <v>1.896456421352861E-5</v>
      </c>
      <c r="AI112" s="25">
        <f t="shared" ca="1" si="112"/>
        <v>2.842397089801037E-5</v>
      </c>
      <c r="AJ112" s="25">
        <f t="shared" ca="1" si="112"/>
        <v>3.7883377582492131E-5</v>
      </c>
      <c r="AK112" s="25">
        <f t="shared" ca="1" si="112"/>
        <v>4.7342784266973895E-5</v>
      </c>
      <c r="AL112" s="25">
        <f t="shared" ca="1" si="112"/>
        <v>5.6802190951455659E-5</v>
      </c>
      <c r="AM112" s="25">
        <f t="shared" ca="1" si="112"/>
        <v>6.6261597635937423E-5</v>
      </c>
      <c r="AN112" s="25">
        <f t="shared" ca="1" si="112"/>
        <v>7.5721004320419187E-5</v>
      </c>
      <c r="AO112" s="25">
        <f t="shared" ca="1" si="112"/>
        <v>8.5180411004900952E-5</v>
      </c>
      <c r="AP112" s="25">
        <f ca="1">TotalEmissions!F20</f>
        <v>9.4639817689382689E-5</v>
      </c>
      <c r="AQ112" s="25"/>
      <c r="AR112" s="25"/>
      <c r="AS112" s="25"/>
      <c r="AT112" s="25"/>
      <c r="AU112" s="25"/>
      <c r="AV112" s="25"/>
      <c r="AW112" s="25"/>
      <c r="AX112" s="25"/>
      <c r="AY112" s="25"/>
      <c r="AZ112" s="25"/>
      <c r="BA112" s="25"/>
      <c r="BB112" s="25"/>
      <c r="BC112" s="25"/>
      <c r="BD112" s="25"/>
      <c r="BE112" s="25"/>
      <c r="BF112" s="25"/>
      <c r="BG112" s="25"/>
      <c r="BH112" s="25"/>
      <c r="BI112" s="25"/>
      <c r="BJ112" s="25"/>
      <c r="BK112" s="25"/>
      <c r="BL112" s="25"/>
      <c r="BM112" s="25"/>
      <c r="BN112" s="25"/>
      <c r="BO112" s="25"/>
      <c r="BP112" s="25"/>
      <c r="BQ112" s="25"/>
      <c r="BR112" s="25"/>
      <c r="BS112" s="25"/>
      <c r="BT112" s="25"/>
      <c r="BU112" s="25"/>
      <c r="BV112" s="25"/>
      <c r="BW112" s="25"/>
      <c r="BX112" s="25"/>
      <c r="BY112" s="25"/>
      <c r="BZ112" s="25"/>
      <c r="CA112" s="25"/>
      <c r="CB112" s="25"/>
      <c r="CC112" s="25"/>
      <c r="CD112" s="25"/>
      <c r="CE112" s="25"/>
      <c r="CF112" s="25"/>
      <c r="CG112" s="25"/>
      <c r="CH112" s="25"/>
      <c r="CI112" s="25"/>
      <c r="CJ112" s="25"/>
      <c r="CK112" s="25"/>
      <c r="CL112" s="25"/>
      <c r="CM112" s="25"/>
      <c r="CN112" s="25"/>
    </row>
    <row r="113" spans="1:173" x14ac:dyDescent="0.2">
      <c r="A113" s="25" t="str">
        <f>TotalEmissions!A21</f>
        <v>Biomass Industry CCS</v>
      </c>
      <c r="B113" s="25">
        <f ca="1">TotalEmissions!B21</f>
        <v>0</v>
      </c>
      <c r="C113" s="25">
        <f t="shared" ref="C113:K113" ca="1" si="113">B113+(($L113-$B113)/($L$75-$B$75))</f>
        <v>0</v>
      </c>
      <c r="D113" s="25">
        <f t="shared" ca="1" si="113"/>
        <v>0</v>
      </c>
      <c r="E113" s="25">
        <f t="shared" ca="1" si="113"/>
        <v>0</v>
      </c>
      <c r="F113" s="25">
        <f t="shared" ca="1" si="113"/>
        <v>0</v>
      </c>
      <c r="G113" s="25">
        <f t="shared" ca="1" si="113"/>
        <v>0</v>
      </c>
      <c r="H113" s="25">
        <f t="shared" ca="1" si="113"/>
        <v>0</v>
      </c>
      <c r="I113" s="25">
        <f t="shared" ca="1" si="113"/>
        <v>0</v>
      </c>
      <c r="J113" s="25">
        <f t="shared" ca="1" si="113"/>
        <v>0</v>
      </c>
      <c r="K113" s="25">
        <f t="shared" ca="1" si="113"/>
        <v>0</v>
      </c>
      <c r="L113" s="25">
        <f ca="1">TotalEmissions!C21</f>
        <v>0</v>
      </c>
      <c r="M113" s="25">
        <f t="shared" ref="M113:U113" ca="1" si="114">L113+(($V113-$L113)/($V$75-$L$75))</f>
        <v>0</v>
      </c>
      <c r="N113" s="25">
        <f t="shared" ca="1" si="114"/>
        <v>0</v>
      </c>
      <c r="O113" s="25">
        <f t="shared" ca="1" si="114"/>
        <v>0</v>
      </c>
      <c r="P113" s="25">
        <f t="shared" ca="1" si="114"/>
        <v>0</v>
      </c>
      <c r="Q113" s="25">
        <f t="shared" ca="1" si="114"/>
        <v>0</v>
      </c>
      <c r="R113" s="25">
        <f t="shared" ca="1" si="114"/>
        <v>0</v>
      </c>
      <c r="S113" s="25">
        <f t="shared" ca="1" si="114"/>
        <v>0</v>
      </c>
      <c r="T113" s="25">
        <f t="shared" ca="1" si="114"/>
        <v>0</v>
      </c>
      <c r="U113" s="25">
        <f t="shared" ca="1" si="114"/>
        <v>0</v>
      </c>
      <c r="V113" s="25">
        <f ca="1">TotalEmissions!D21</f>
        <v>0</v>
      </c>
      <c r="W113" s="25">
        <f t="shared" ref="W113:AE113" ca="1" si="115">V113+(($AF113-$V113)/($AF$75-$V$75))</f>
        <v>0</v>
      </c>
      <c r="X113" s="25">
        <f t="shared" ca="1" si="115"/>
        <v>0</v>
      </c>
      <c r="Y113" s="25">
        <f t="shared" ca="1" si="115"/>
        <v>0</v>
      </c>
      <c r="Z113" s="25">
        <f t="shared" ca="1" si="115"/>
        <v>0</v>
      </c>
      <c r="AA113" s="25">
        <f t="shared" ca="1" si="115"/>
        <v>0</v>
      </c>
      <c r="AB113" s="25">
        <f t="shared" ca="1" si="115"/>
        <v>0</v>
      </c>
      <c r="AC113" s="25">
        <f t="shared" ca="1" si="115"/>
        <v>0</v>
      </c>
      <c r="AD113" s="25">
        <f t="shared" ca="1" si="115"/>
        <v>0</v>
      </c>
      <c r="AE113" s="25">
        <f t="shared" ca="1" si="115"/>
        <v>0</v>
      </c>
      <c r="AF113" s="25">
        <f ca="1">TotalEmissions!E21</f>
        <v>0</v>
      </c>
      <c r="AG113" s="25">
        <f t="shared" ref="AG113:AO113" ca="1" si="116">AF113+(($AP113-$AF113)/($AP$75-$AF$75))</f>
        <v>0</v>
      </c>
      <c r="AH113" s="25">
        <f t="shared" ca="1" si="116"/>
        <v>0</v>
      </c>
      <c r="AI113" s="25">
        <f t="shared" ca="1" si="116"/>
        <v>0</v>
      </c>
      <c r="AJ113" s="25">
        <f t="shared" ca="1" si="116"/>
        <v>0</v>
      </c>
      <c r="AK113" s="25">
        <f t="shared" ca="1" si="116"/>
        <v>0</v>
      </c>
      <c r="AL113" s="25">
        <f t="shared" ca="1" si="116"/>
        <v>0</v>
      </c>
      <c r="AM113" s="25">
        <f t="shared" ca="1" si="116"/>
        <v>0</v>
      </c>
      <c r="AN113" s="25">
        <f t="shared" ca="1" si="116"/>
        <v>0</v>
      </c>
      <c r="AO113" s="25">
        <f t="shared" ca="1" si="116"/>
        <v>0</v>
      </c>
      <c r="AP113" s="25">
        <f ca="1">TotalEmissions!F21</f>
        <v>0</v>
      </c>
      <c r="AQ113" s="25"/>
      <c r="AR113" s="25"/>
      <c r="AS113" s="25"/>
      <c r="AT113" s="25"/>
      <c r="AU113" s="25"/>
      <c r="AV113" s="25"/>
      <c r="AW113" s="25"/>
      <c r="AX113" s="25"/>
      <c r="AY113" s="25"/>
      <c r="AZ113" s="25"/>
      <c r="BA113" s="25"/>
      <c r="BB113" s="25"/>
      <c r="BC113" s="25"/>
      <c r="BD113" s="25"/>
      <c r="BE113" s="25"/>
      <c r="BF113" s="25"/>
      <c r="BG113" s="25"/>
      <c r="BH113" s="25"/>
      <c r="BI113" s="25"/>
      <c r="BJ113" s="25"/>
      <c r="BK113" s="25"/>
      <c r="BL113" s="25"/>
      <c r="BM113" s="25"/>
      <c r="BN113" s="25"/>
      <c r="BO113" s="25"/>
      <c r="BP113" s="25"/>
      <c r="BQ113" s="25"/>
      <c r="BR113" s="25"/>
      <c r="BS113" s="25"/>
      <c r="BT113" s="25"/>
      <c r="BU113" s="25"/>
      <c r="BV113" s="25"/>
      <c r="BW113" s="25"/>
      <c r="BX113" s="25"/>
      <c r="BY113" s="25"/>
      <c r="BZ113" s="25"/>
      <c r="CA113" s="25"/>
      <c r="CB113" s="25"/>
      <c r="CC113" s="25"/>
      <c r="CD113" s="25"/>
      <c r="CE113" s="25"/>
      <c r="CF113" s="25"/>
      <c r="CG113" s="25"/>
      <c r="CH113" s="25"/>
      <c r="CI113" s="25"/>
      <c r="CJ113" s="25"/>
      <c r="CK113" s="25"/>
      <c r="CL113" s="25"/>
      <c r="CM113" s="25"/>
      <c r="CN113" s="25"/>
    </row>
    <row r="114" spans="1:173" x14ac:dyDescent="0.2">
      <c r="A114" s="25" t="str">
        <f>TotalEmissions!A28</f>
        <v>Net emissions (CO2 + other gases)</v>
      </c>
      <c r="B114" s="25">
        <f ca="1">TotalEmissions!B28</f>
        <v>49.203953937660756</v>
      </c>
      <c r="C114" s="25">
        <f t="shared" ref="C114:K114" ca="1" si="117">B114+(($L114-$B114)/($L$75-$B$75))</f>
        <v>48.916421415045903</v>
      </c>
      <c r="D114" s="25">
        <f t="shared" ca="1" si="117"/>
        <v>48.62888889243105</v>
      </c>
      <c r="E114" s="25">
        <f t="shared" ca="1" si="117"/>
        <v>48.341356369816197</v>
      </c>
      <c r="F114" s="25">
        <f t="shared" ca="1" si="117"/>
        <v>48.053823847201343</v>
      </c>
      <c r="G114" s="25">
        <f t="shared" ca="1" si="117"/>
        <v>47.76629132458649</v>
      </c>
      <c r="H114" s="25">
        <f t="shared" ca="1" si="117"/>
        <v>47.478758801971637</v>
      </c>
      <c r="I114" s="25">
        <f t="shared" ca="1" si="117"/>
        <v>47.191226279356783</v>
      </c>
      <c r="J114" s="25">
        <f t="shared" ca="1" si="117"/>
        <v>46.90369375674193</v>
      </c>
      <c r="K114" s="25">
        <f t="shared" ca="1" si="117"/>
        <v>46.616161234127077</v>
      </c>
      <c r="L114" s="25">
        <f ca="1">TotalEmissions!C28</f>
        <v>46.328628711512245</v>
      </c>
      <c r="M114" s="25">
        <f t="shared" ref="M114:U114" ca="1" si="118">L114+(($V114-$L114)/($V$75-$L$75))</f>
        <v>44.313831143132958</v>
      </c>
      <c r="N114" s="25">
        <f t="shared" ca="1" si="118"/>
        <v>42.299033574753672</v>
      </c>
      <c r="O114" s="25">
        <f t="shared" ca="1" si="118"/>
        <v>40.284236006374385</v>
      </c>
      <c r="P114" s="25">
        <f t="shared" ca="1" si="118"/>
        <v>38.269438437995099</v>
      </c>
      <c r="Q114" s="25">
        <f t="shared" ca="1" si="118"/>
        <v>36.254640869615812</v>
      </c>
      <c r="R114" s="25">
        <f t="shared" ca="1" si="118"/>
        <v>34.239843301236526</v>
      </c>
      <c r="S114" s="25">
        <f t="shared" ca="1" si="118"/>
        <v>32.225045732857239</v>
      </c>
      <c r="T114" s="25">
        <f t="shared" ca="1" si="118"/>
        <v>30.210248164477949</v>
      </c>
      <c r="U114" s="25">
        <f t="shared" ca="1" si="118"/>
        <v>28.195450596098659</v>
      </c>
      <c r="V114" s="25">
        <f ca="1">TotalEmissions!D28</f>
        <v>26.180653027719355</v>
      </c>
      <c r="W114" s="25">
        <f t="shared" ref="W114:AE114" ca="1" si="119">V114+(($AF114-$V114)/($AF$75-$V$75))</f>
        <v>24.622353300863871</v>
      </c>
      <c r="X114" s="25">
        <f t="shared" ca="1" si="119"/>
        <v>23.064053574008383</v>
      </c>
      <c r="Y114" s="25">
        <f t="shared" ca="1" si="119"/>
        <v>21.505753847152896</v>
      </c>
      <c r="Z114" s="25">
        <f t="shared" ca="1" si="119"/>
        <v>19.947454120297408</v>
      </c>
      <c r="AA114" s="25">
        <f t="shared" ca="1" si="119"/>
        <v>18.38915439344192</v>
      </c>
      <c r="AB114" s="25">
        <f t="shared" ca="1" si="119"/>
        <v>16.830854666586433</v>
      </c>
      <c r="AC114" s="25">
        <f t="shared" ca="1" si="119"/>
        <v>15.272554939730947</v>
      </c>
      <c r="AD114" s="25">
        <f t="shared" ca="1" si="119"/>
        <v>13.714255212875461</v>
      </c>
      <c r="AE114" s="25">
        <f t="shared" ca="1" si="119"/>
        <v>12.155955486019975</v>
      </c>
      <c r="AF114" s="25">
        <f ca="1">TotalEmissions!E28</f>
        <v>10.597655759164496</v>
      </c>
      <c r="AG114" s="25">
        <f t="shared" ref="AG114:AO114" ca="1" si="120">AF114+(($AP114-$AF114)/($AP$75-$AF$75))</f>
        <v>9.7573756155231557</v>
      </c>
      <c r="AH114" s="25">
        <f t="shared" ca="1" si="120"/>
        <v>8.9170954718818152</v>
      </c>
      <c r="AI114" s="25">
        <f t="shared" ca="1" si="120"/>
        <v>8.0768153282404747</v>
      </c>
      <c r="AJ114" s="25">
        <f t="shared" ca="1" si="120"/>
        <v>7.2365351845991333</v>
      </c>
      <c r="AK114" s="25">
        <f t="shared" ca="1" si="120"/>
        <v>6.3962550409577918</v>
      </c>
      <c r="AL114" s="25">
        <f t="shared" ca="1" si="120"/>
        <v>5.5559748973164504</v>
      </c>
      <c r="AM114" s="25">
        <f t="shared" ca="1" si="120"/>
        <v>4.715694753675109</v>
      </c>
      <c r="AN114" s="25">
        <f t="shared" ca="1" si="120"/>
        <v>3.8754146100337676</v>
      </c>
      <c r="AO114" s="25">
        <f t="shared" ca="1" si="120"/>
        <v>3.0351344663924262</v>
      </c>
      <c r="AP114" s="25">
        <f ca="1">TotalEmissions!F28</f>
        <v>2.1948543227510839</v>
      </c>
      <c r="AQ114" s="25"/>
      <c r="AR114" s="25"/>
      <c r="AS114" s="25"/>
      <c r="AT114" s="25"/>
      <c r="AU114" s="25"/>
      <c r="AV114" s="25"/>
      <c r="AW114" s="25"/>
      <c r="AX114" s="25"/>
      <c r="AY114" s="25"/>
      <c r="AZ114" s="25"/>
      <c r="BA114" s="25"/>
      <c r="BB114" s="25"/>
      <c r="BC114" s="25"/>
      <c r="BD114" s="25"/>
      <c r="BE114" s="25"/>
      <c r="BF114" s="25"/>
      <c r="BG114" s="25"/>
      <c r="BH114" s="25"/>
      <c r="BI114" s="25"/>
      <c r="BJ114" s="25"/>
      <c r="BK114" s="25"/>
      <c r="BL114" s="25"/>
      <c r="BM114" s="25"/>
      <c r="BN114" s="25"/>
      <c r="BO114" s="25"/>
      <c r="BP114" s="25"/>
      <c r="BQ114" s="25"/>
      <c r="BR114" s="25"/>
      <c r="BS114" s="25"/>
      <c r="BT114" s="25"/>
      <c r="BU114" s="25"/>
      <c r="BV114" s="25"/>
      <c r="BW114" s="25"/>
      <c r="BX114" s="25"/>
      <c r="BY114" s="25"/>
      <c r="BZ114" s="25"/>
      <c r="CA114" s="25"/>
      <c r="CB114" s="25"/>
      <c r="CC114" s="25"/>
      <c r="CD114" s="25"/>
      <c r="CE114" s="25"/>
      <c r="CF114" s="25"/>
      <c r="CG114" s="25"/>
      <c r="CH114" s="25"/>
      <c r="CI114" s="25"/>
      <c r="CJ114" s="25"/>
      <c r="CK114" s="25"/>
      <c r="CL114" s="25"/>
      <c r="CM114" s="25"/>
      <c r="CN114" s="25"/>
    </row>
    <row r="115" spans="1:173" x14ac:dyDescent="0.2">
      <c r="A115" s="248" t="s">
        <v>277</v>
      </c>
      <c r="B115" s="25">
        <f t="shared" ref="B115:AP115" ca="1" si="121">B114+B110+B111+B112+B113</f>
        <v>49.203953937660756</v>
      </c>
      <c r="C115" s="25">
        <f t="shared" ca="1" si="121"/>
        <v>48.921401670944796</v>
      </c>
      <c r="D115" s="25">
        <f t="shared" ca="1" si="121"/>
        <v>48.638849404228829</v>
      </c>
      <c r="E115" s="25">
        <f t="shared" ca="1" si="121"/>
        <v>48.356297137512868</v>
      </c>
      <c r="F115" s="25">
        <f t="shared" ca="1" si="121"/>
        <v>48.073744870796901</v>
      </c>
      <c r="G115" s="25">
        <f t="shared" ca="1" si="121"/>
        <v>47.79119260408094</v>
      </c>
      <c r="H115" s="25">
        <f t="shared" ca="1" si="121"/>
        <v>47.508640337364973</v>
      </c>
      <c r="I115" s="25">
        <f t="shared" ca="1" si="121"/>
        <v>47.226088070649013</v>
      </c>
      <c r="J115" s="25">
        <f t="shared" ca="1" si="121"/>
        <v>46.943535803933045</v>
      </c>
      <c r="K115" s="25">
        <f t="shared" ca="1" si="121"/>
        <v>46.660983537217085</v>
      </c>
      <c r="L115" s="25">
        <f t="shared" ca="1" si="121"/>
        <v>46.378431270501139</v>
      </c>
      <c r="M115" s="25">
        <f t="shared" ca="1" si="121"/>
        <v>44.555196838980926</v>
      </c>
      <c r="N115" s="25">
        <f t="shared" ca="1" si="121"/>
        <v>42.731962407460699</v>
      </c>
      <c r="O115" s="25">
        <f t="shared" ca="1" si="121"/>
        <v>40.908727975940486</v>
      </c>
      <c r="P115" s="25">
        <f t="shared" ca="1" si="121"/>
        <v>39.085493544420267</v>
      </c>
      <c r="Q115" s="25">
        <f t="shared" ca="1" si="121"/>
        <v>37.262259112900047</v>
      </c>
      <c r="R115" s="25">
        <f t="shared" ca="1" si="121"/>
        <v>35.439024681379827</v>
      </c>
      <c r="S115" s="25">
        <f t="shared" ca="1" si="121"/>
        <v>33.615790249859607</v>
      </c>
      <c r="T115" s="25">
        <f t="shared" ca="1" si="121"/>
        <v>31.792555818339391</v>
      </c>
      <c r="U115" s="25">
        <f t="shared" ca="1" si="121"/>
        <v>29.969321386819168</v>
      </c>
      <c r="V115" s="25">
        <f t="shared" ca="1" si="121"/>
        <v>28.146086955298934</v>
      </c>
      <c r="W115" s="25">
        <f t="shared" ca="1" si="121"/>
        <v>26.778533134127496</v>
      </c>
      <c r="X115" s="25">
        <f t="shared" ca="1" si="121"/>
        <v>25.410979312956062</v>
      </c>
      <c r="Y115" s="25">
        <f t="shared" ca="1" si="121"/>
        <v>24.043425491784625</v>
      </c>
      <c r="Z115" s="25">
        <f t="shared" ca="1" si="121"/>
        <v>22.675871670613187</v>
      </c>
      <c r="AA115" s="25">
        <f t="shared" ca="1" si="121"/>
        <v>21.308317849441753</v>
      </c>
      <c r="AB115" s="25">
        <f t="shared" ca="1" si="121"/>
        <v>19.940764028270319</v>
      </c>
      <c r="AC115" s="25">
        <f t="shared" ca="1" si="121"/>
        <v>18.573210207098878</v>
      </c>
      <c r="AD115" s="25">
        <f t="shared" ca="1" si="121"/>
        <v>17.205656385927444</v>
      </c>
      <c r="AE115" s="25">
        <f t="shared" ca="1" si="121"/>
        <v>15.838102564756012</v>
      </c>
      <c r="AF115" s="25">
        <f t="shared" ca="1" si="121"/>
        <v>14.470548743584583</v>
      </c>
      <c r="AG115" s="25">
        <f t="shared" ca="1" si="121"/>
        <v>13.685134390688534</v>
      </c>
      <c r="AH115" s="25">
        <f t="shared" ca="1" si="121"/>
        <v>12.899720037792486</v>
      </c>
      <c r="AI115" s="25">
        <f t="shared" ca="1" si="121"/>
        <v>12.114305684896435</v>
      </c>
      <c r="AJ115" s="25">
        <f t="shared" ca="1" si="121"/>
        <v>11.328891332000387</v>
      </c>
      <c r="AK115" s="25">
        <f t="shared" ca="1" si="121"/>
        <v>10.543476979104334</v>
      </c>
      <c r="AL115" s="25">
        <f t="shared" ca="1" si="121"/>
        <v>9.7580626262082824</v>
      </c>
      <c r="AM115" s="25">
        <f t="shared" ca="1" si="121"/>
        <v>8.9726482733122346</v>
      </c>
      <c r="AN115" s="25">
        <f t="shared" ca="1" si="121"/>
        <v>8.1872339204161833</v>
      </c>
      <c r="AO115" s="25">
        <f t="shared" ca="1" si="121"/>
        <v>7.4018195675201328</v>
      </c>
      <c r="AP115" s="25">
        <f t="shared" ca="1" si="121"/>
        <v>6.6164052146240815</v>
      </c>
      <c r="AQ115" s="25"/>
      <c r="AR115" s="25"/>
      <c r="AS115" s="25"/>
      <c r="AT115" s="25"/>
      <c r="AU115" s="25"/>
      <c r="AV115" s="25"/>
      <c r="AW115" s="25"/>
      <c r="AX115" s="25"/>
      <c r="AY115" s="25"/>
      <c r="AZ115" s="25"/>
      <c r="BA115" s="25"/>
      <c r="BB115" s="25"/>
      <c r="BC115" s="25"/>
      <c r="BD115" s="25"/>
      <c r="BE115" s="25"/>
      <c r="BF115" s="25"/>
      <c r="BG115" s="25"/>
      <c r="BH115" s="25"/>
      <c r="BI115" s="25"/>
      <c r="BJ115" s="25"/>
      <c r="BK115" s="25"/>
      <c r="BL115" s="25"/>
      <c r="BM115" s="25"/>
      <c r="BN115" s="25"/>
      <c r="BO115" s="25"/>
      <c r="BP115" s="25"/>
      <c r="BQ115" s="25"/>
      <c r="BR115" s="25"/>
      <c r="BS115" s="25"/>
      <c r="BT115" s="25"/>
      <c r="BU115" s="25"/>
      <c r="BV115" s="25"/>
      <c r="BW115" s="25"/>
      <c r="BX115" s="25"/>
      <c r="BY115" s="25"/>
      <c r="BZ115" s="25"/>
      <c r="CA115" s="25"/>
      <c r="CB115" s="25"/>
      <c r="CC115" s="25"/>
      <c r="CD115" s="25"/>
      <c r="CE115" s="25"/>
      <c r="CF115" s="25"/>
      <c r="CG115" s="25"/>
      <c r="CH115" s="25"/>
      <c r="CI115" s="25"/>
      <c r="CJ115" s="25"/>
      <c r="CK115" s="25"/>
      <c r="CL115" s="25"/>
      <c r="CM115" s="25"/>
      <c r="CN115" s="25"/>
    </row>
    <row r="116" spans="1:173" x14ac:dyDescent="0.2">
      <c r="A116" t="s">
        <v>234</v>
      </c>
      <c r="B116" s="25">
        <f t="shared" ref="B116:AP116" ca="1" si="122">B88+SUM(B91:B96)+SUM(B97:B99)</f>
        <v>49.203953937660749</v>
      </c>
      <c r="C116" s="25">
        <f t="shared" ca="1" si="122"/>
        <v>48.921401670944789</v>
      </c>
      <c r="D116" s="25">
        <f t="shared" ca="1" si="122"/>
        <v>48.638849404228829</v>
      </c>
      <c r="E116" s="25">
        <f t="shared" ca="1" si="122"/>
        <v>48.356297137512861</v>
      </c>
      <c r="F116" s="25">
        <f t="shared" ca="1" si="122"/>
        <v>48.073744870796901</v>
      </c>
      <c r="G116" s="25">
        <f t="shared" ca="1" si="122"/>
        <v>47.791192604080933</v>
      </c>
      <c r="H116" s="25">
        <f t="shared" ca="1" si="122"/>
        <v>47.508640337364973</v>
      </c>
      <c r="I116" s="25">
        <f t="shared" ca="1" si="122"/>
        <v>47.226088070649006</v>
      </c>
      <c r="J116" s="25">
        <f t="shared" ca="1" si="122"/>
        <v>46.943535803933045</v>
      </c>
      <c r="K116" s="25">
        <f t="shared" ca="1" si="122"/>
        <v>46.660983537217078</v>
      </c>
      <c r="L116" s="25">
        <f t="shared" ca="1" si="122"/>
        <v>46.378431270501125</v>
      </c>
      <c r="M116" s="25">
        <f t="shared" ca="1" si="122"/>
        <v>44.555196838980905</v>
      </c>
      <c r="N116" s="25">
        <f t="shared" ca="1" si="122"/>
        <v>42.731962407460685</v>
      </c>
      <c r="O116" s="25">
        <f t="shared" ca="1" si="122"/>
        <v>40.908727975940465</v>
      </c>
      <c r="P116" s="25">
        <f t="shared" ca="1" si="122"/>
        <v>39.085493544420238</v>
      </c>
      <c r="Q116" s="25">
        <f t="shared" ca="1" si="122"/>
        <v>37.262259112900011</v>
      </c>
      <c r="R116" s="25">
        <f t="shared" ca="1" si="122"/>
        <v>35.439024681379792</v>
      </c>
      <c r="S116" s="25">
        <f t="shared" ca="1" si="122"/>
        <v>33.615790249859572</v>
      </c>
      <c r="T116" s="25">
        <f t="shared" ca="1" si="122"/>
        <v>31.792555818339359</v>
      </c>
      <c r="U116" s="25">
        <f t="shared" ca="1" si="122"/>
        <v>29.969321386819139</v>
      </c>
      <c r="V116" s="25">
        <f t="shared" ca="1" si="122"/>
        <v>28.146086955298927</v>
      </c>
      <c r="W116" s="25">
        <f t="shared" ca="1" si="122"/>
        <v>26.7785331341275</v>
      </c>
      <c r="X116" s="25">
        <f t="shared" ca="1" si="122"/>
        <v>25.410979312956066</v>
      </c>
      <c r="Y116" s="25">
        <f t="shared" ca="1" si="122"/>
        <v>24.043425491784639</v>
      </c>
      <c r="Z116" s="25">
        <f t="shared" ca="1" si="122"/>
        <v>22.675871670613205</v>
      </c>
      <c r="AA116" s="25">
        <f t="shared" ca="1" si="122"/>
        <v>21.308317849441771</v>
      </c>
      <c r="AB116" s="25">
        <f t="shared" ca="1" si="122"/>
        <v>19.940764028270344</v>
      </c>
      <c r="AC116" s="25">
        <f t="shared" ca="1" si="122"/>
        <v>18.573210207098903</v>
      </c>
      <c r="AD116" s="25">
        <f t="shared" ca="1" si="122"/>
        <v>17.205656385927483</v>
      </c>
      <c r="AE116" s="25">
        <f t="shared" ca="1" si="122"/>
        <v>15.838102564756049</v>
      </c>
      <c r="AF116" s="25">
        <f t="shared" ca="1" si="122"/>
        <v>14.470548743584583</v>
      </c>
      <c r="AG116" s="25">
        <f t="shared" ca="1" si="122"/>
        <v>13.685134390688535</v>
      </c>
      <c r="AH116" s="25">
        <f t="shared" ca="1" si="122"/>
        <v>12.899720037792481</v>
      </c>
      <c r="AI116" s="25">
        <f t="shared" ca="1" si="122"/>
        <v>12.114305684896433</v>
      </c>
      <c r="AJ116" s="25">
        <f t="shared" ca="1" si="122"/>
        <v>11.328891332000389</v>
      </c>
      <c r="AK116" s="25">
        <f t="shared" ca="1" si="122"/>
        <v>10.543476979104334</v>
      </c>
      <c r="AL116" s="25">
        <f t="shared" ca="1" si="122"/>
        <v>9.7580626262082859</v>
      </c>
      <c r="AM116" s="25">
        <f t="shared" ca="1" si="122"/>
        <v>8.972648273312231</v>
      </c>
      <c r="AN116" s="25">
        <f t="shared" ca="1" si="122"/>
        <v>8.1872339204161904</v>
      </c>
      <c r="AO116" s="25">
        <f t="shared" ca="1" si="122"/>
        <v>7.4018195675201426</v>
      </c>
      <c r="AP116" s="25">
        <f t="shared" ca="1" si="122"/>
        <v>6.6164052146240948</v>
      </c>
      <c r="AQ116" s="25"/>
      <c r="AR116" s="25"/>
      <c r="AS116" s="25"/>
      <c r="AT116" s="25"/>
      <c r="AU116" s="25"/>
      <c r="AV116" s="25"/>
      <c r="AW116" s="25"/>
      <c r="AX116" s="25"/>
      <c r="AY116" s="25"/>
      <c r="AZ116" s="25"/>
      <c r="BA116" s="25"/>
      <c r="BB116" s="25"/>
      <c r="BC116" s="25"/>
      <c r="BD116" s="25"/>
      <c r="BE116" s="25"/>
      <c r="BF116" s="25"/>
      <c r="BG116" s="25"/>
      <c r="BH116" s="25"/>
      <c r="BI116" s="25"/>
      <c r="BJ116" s="25"/>
      <c r="BK116" s="25"/>
      <c r="BL116" s="25"/>
      <c r="BM116" s="25"/>
      <c r="BN116" s="25"/>
      <c r="BO116" s="25"/>
      <c r="BP116" s="25"/>
      <c r="BQ116" s="25"/>
      <c r="BR116" s="25"/>
      <c r="BS116" s="25"/>
      <c r="BT116" s="25"/>
      <c r="BU116" s="25"/>
      <c r="BV116" s="25"/>
      <c r="BW116" s="25"/>
      <c r="BX116" s="25"/>
      <c r="BY116" s="25"/>
      <c r="BZ116" s="25"/>
      <c r="CA116" s="25"/>
      <c r="CB116" s="25"/>
      <c r="CC116" s="25"/>
      <c r="CD116" s="25"/>
      <c r="CE116" s="25"/>
      <c r="CF116" s="25"/>
      <c r="CG116" s="25"/>
      <c r="CH116" s="25"/>
      <c r="CI116" s="25"/>
      <c r="CJ116" s="25"/>
      <c r="CK116" s="25"/>
      <c r="CL116" s="25"/>
      <c r="CM116" s="25"/>
      <c r="CN116" s="25"/>
    </row>
    <row r="118" spans="1:173" x14ac:dyDescent="0.2">
      <c r="A118" s="239" t="s">
        <v>275</v>
      </c>
      <c r="B118" s="25">
        <f ca="1">TotalEmissions!B17</f>
        <v>0</v>
      </c>
      <c r="C118" s="25">
        <f t="shared" ref="C118:K118" ca="1" si="123">B118+(($L118-$B118)/($L$75-$B$75))</f>
        <v>3.2833179039359777E-3</v>
      </c>
      <c r="D118" s="25">
        <f t="shared" ca="1" si="123"/>
        <v>6.5666358078719555E-3</v>
      </c>
      <c r="E118" s="25">
        <f t="shared" ca="1" si="123"/>
        <v>9.8499537118079336E-3</v>
      </c>
      <c r="F118" s="25">
        <f t="shared" ca="1" si="123"/>
        <v>1.3133271615743911E-2</v>
      </c>
      <c r="G118" s="25">
        <f t="shared" ca="1" si="123"/>
        <v>1.6416589519679888E-2</v>
      </c>
      <c r="H118" s="25">
        <f t="shared" ca="1" si="123"/>
        <v>1.9699907423615867E-2</v>
      </c>
      <c r="I118" s="25">
        <f t="shared" ca="1" si="123"/>
        <v>2.2983225327551846E-2</v>
      </c>
      <c r="J118" s="25">
        <f t="shared" ca="1" si="123"/>
        <v>2.6266543231487825E-2</v>
      </c>
      <c r="K118" s="25">
        <f t="shared" ca="1" si="123"/>
        <v>2.9549861135423804E-2</v>
      </c>
      <c r="L118" s="25">
        <f ca="1">TotalEmissions!C17</f>
        <v>3.2833179039359776E-2</v>
      </c>
      <c r="M118" s="25">
        <f t="shared" ref="M118:U118" ca="1" si="124">L118+(($V118-$L118)/($V$75-$L$75))</f>
        <v>0.15389061006498181</v>
      </c>
      <c r="N118" s="25">
        <f t="shared" ca="1" si="124"/>
        <v>0.27494804109060383</v>
      </c>
      <c r="O118" s="25">
        <f t="shared" ca="1" si="124"/>
        <v>0.39600547211622583</v>
      </c>
      <c r="P118" s="25">
        <f t="shared" ca="1" si="124"/>
        <v>0.51706290314184788</v>
      </c>
      <c r="Q118" s="25">
        <f t="shared" ca="1" si="124"/>
        <v>0.63812033416746994</v>
      </c>
      <c r="R118" s="25">
        <f t="shared" ca="1" si="124"/>
        <v>0.75917776519309199</v>
      </c>
      <c r="S118" s="25">
        <f t="shared" ca="1" si="124"/>
        <v>0.88023519621871404</v>
      </c>
      <c r="T118" s="25">
        <f t="shared" ca="1" si="124"/>
        <v>1.0012926272443361</v>
      </c>
      <c r="U118" s="25">
        <f t="shared" ca="1" si="124"/>
        <v>1.1223500582699582</v>
      </c>
      <c r="V118" s="25">
        <f ca="1">TotalEmissions!D17</f>
        <v>1.24340748929558</v>
      </c>
      <c r="W118" s="25">
        <f t="shared" ref="W118:AE118" ca="1" si="125">V118+(($AF118-$V118)/($AF$75-$V$75))</f>
        <v>1.3645991443880121</v>
      </c>
      <c r="X118" s="25">
        <f t="shared" ca="1" si="125"/>
        <v>1.4857907994804442</v>
      </c>
      <c r="Y118" s="25">
        <f t="shared" ca="1" si="125"/>
        <v>1.6069824545728764</v>
      </c>
      <c r="Z118" s="25">
        <f t="shared" ca="1" si="125"/>
        <v>1.7281741096653085</v>
      </c>
      <c r="AA118" s="25">
        <f t="shared" ca="1" si="125"/>
        <v>1.8493657647577406</v>
      </c>
      <c r="AB118" s="25">
        <f t="shared" ca="1" si="125"/>
        <v>1.9705574198501727</v>
      </c>
      <c r="AC118" s="25">
        <f t="shared" ca="1" si="125"/>
        <v>2.0917490749426051</v>
      </c>
      <c r="AD118" s="25">
        <f t="shared" ca="1" si="125"/>
        <v>2.2129407300350374</v>
      </c>
      <c r="AE118" s="25">
        <f t="shared" ca="1" si="125"/>
        <v>2.3341323851274698</v>
      </c>
      <c r="AF118" s="25">
        <f ca="1">TotalEmissions!E17</f>
        <v>2.4553240402199017</v>
      </c>
      <c r="AG118" s="25">
        <f t="shared" ref="AG118:AO118" ca="1" si="126">AF118+(($AP118-$AF118)/($AP$75-$AF$75))</f>
        <v>2.5138224536176432</v>
      </c>
      <c r="AH118" s="25">
        <f t="shared" ca="1" si="126"/>
        <v>2.5723208670153848</v>
      </c>
      <c r="AI118" s="25">
        <f t="shared" ca="1" si="126"/>
        <v>2.6308192804131263</v>
      </c>
      <c r="AJ118" s="25">
        <f t="shared" ca="1" si="126"/>
        <v>2.6893176938108678</v>
      </c>
      <c r="AK118" s="25">
        <f t="shared" ca="1" si="126"/>
        <v>2.7478161072086094</v>
      </c>
      <c r="AL118" s="25">
        <f t="shared" ca="1" si="126"/>
        <v>2.8063145206063509</v>
      </c>
      <c r="AM118" s="25">
        <f t="shared" ca="1" si="126"/>
        <v>2.8648129340040924</v>
      </c>
      <c r="AN118" s="25">
        <f t="shared" ca="1" si="126"/>
        <v>2.923311347401834</v>
      </c>
      <c r="AO118" s="25">
        <f t="shared" ca="1" si="126"/>
        <v>2.9818097607995755</v>
      </c>
      <c r="AP118" s="25">
        <f ca="1">TotalEmissions!F17</f>
        <v>3.0403081741973175</v>
      </c>
      <c r="AQ118" s="25"/>
      <c r="AR118" s="25"/>
      <c r="AS118" s="25"/>
      <c r="AT118" s="25"/>
      <c r="AU118" s="25"/>
      <c r="AV118" s="25"/>
      <c r="AW118" s="25"/>
      <c r="AX118" s="25"/>
      <c r="AY118" s="25"/>
      <c r="AZ118" s="25"/>
      <c r="BA118" s="25"/>
      <c r="BB118" s="25"/>
      <c r="BC118" s="25"/>
      <c r="BD118" s="25"/>
      <c r="BE118" s="25"/>
      <c r="BF118" s="25"/>
      <c r="BG118" s="25"/>
      <c r="BH118" s="25"/>
      <c r="BI118" s="25"/>
      <c r="BJ118" s="25"/>
      <c r="BK118" s="25"/>
      <c r="BL118" s="25"/>
      <c r="BM118" s="25"/>
      <c r="BN118" s="25"/>
      <c r="BO118" s="25"/>
      <c r="BP118" s="25"/>
      <c r="BQ118" s="25"/>
      <c r="BR118" s="25"/>
      <c r="BS118" s="25"/>
      <c r="BT118" s="25"/>
      <c r="BU118" s="25"/>
      <c r="BV118" s="25"/>
      <c r="BW118" s="25"/>
      <c r="BX118" s="25"/>
      <c r="BY118" s="25"/>
      <c r="BZ118" s="25"/>
      <c r="CA118" s="25"/>
      <c r="CB118" s="25"/>
      <c r="CC118" s="25"/>
      <c r="CD118" s="25"/>
      <c r="CE118" s="25"/>
      <c r="CF118" s="25"/>
      <c r="CG118" s="25"/>
      <c r="CH118" s="25"/>
      <c r="CI118" s="25"/>
      <c r="CJ118" s="25"/>
      <c r="CK118" s="25"/>
      <c r="CL118" s="25"/>
      <c r="CM118" s="25"/>
      <c r="CN118" s="25"/>
    </row>
    <row r="119" spans="1:173" x14ac:dyDescent="0.2">
      <c r="A119" s="240" t="s">
        <v>340</v>
      </c>
      <c r="B119" s="25">
        <f ca="1">TotalEmissions!B20</f>
        <v>0</v>
      </c>
      <c r="C119" s="25">
        <f t="shared" ref="C119:K119" ca="1" si="127">B119+(($L119-$B119)/($L$75-$B$75))</f>
        <v>4.838606848404196E-19</v>
      </c>
      <c r="D119" s="25">
        <f t="shared" ca="1" si="127"/>
        <v>9.6772136968083921E-19</v>
      </c>
      <c r="E119" s="25">
        <f t="shared" ca="1" si="127"/>
        <v>1.4515820545212588E-18</v>
      </c>
      <c r="F119" s="25">
        <f t="shared" ca="1" si="127"/>
        <v>1.9354427393616784E-18</v>
      </c>
      <c r="G119" s="25">
        <f t="shared" ca="1" si="127"/>
        <v>2.4193034242020978E-18</v>
      </c>
      <c r="H119" s="25">
        <f t="shared" ca="1" si="127"/>
        <v>2.9031641090425172E-18</v>
      </c>
      <c r="I119" s="25">
        <f t="shared" ca="1" si="127"/>
        <v>3.3870247938829366E-18</v>
      </c>
      <c r="J119" s="25">
        <f t="shared" ca="1" si="127"/>
        <v>3.8708854787233561E-18</v>
      </c>
      <c r="K119" s="25">
        <f t="shared" ca="1" si="127"/>
        <v>4.3547461635637755E-18</v>
      </c>
      <c r="L119" s="25">
        <f ca="1">TotalEmissions!C20</f>
        <v>4.8386068484041956E-18</v>
      </c>
      <c r="M119" s="25">
        <f t="shared" ref="M119:U119" ca="1" si="128">L119+(($V119-$L119)/($V$75-$L$75))</f>
        <v>2.0047784098813769E-10</v>
      </c>
      <c r="N119" s="25">
        <f t="shared" ca="1" si="128"/>
        <v>4.0095567713766853E-10</v>
      </c>
      <c r="O119" s="25">
        <f t="shared" ca="1" si="128"/>
        <v>6.014335132871994E-10</v>
      </c>
      <c r="P119" s="25">
        <f t="shared" ca="1" si="128"/>
        <v>8.0191134943673022E-10</v>
      </c>
      <c r="Q119" s="25">
        <f t="shared" ca="1" si="128"/>
        <v>1.002389185586261E-9</v>
      </c>
      <c r="R119" s="25">
        <f t="shared" ca="1" si="128"/>
        <v>1.202867021735792E-9</v>
      </c>
      <c r="S119" s="25">
        <f t="shared" ca="1" si="128"/>
        <v>1.4033448578853229E-9</v>
      </c>
      <c r="T119" s="25">
        <f t="shared" ca="1" si="128"/>
        <v>1.6038226940348538E-9</v>
      </c>
      <c r="U119" s="25">
        <f t="shared" ca="1" si="128"/>
        <v>1.8043005301843847E-9</v>
      </c>
      <c r="V119" s="25">
        <f ca="1">TotalEmissions!D20</f>
        <v>2.004778366333915E-9</v>
      </c>
      <c r="W119" s="25">
        <f t="shared" ref="W119:AE119" ca="1" si="129">V119+(($AF119-$V119)/($AF$75-$V$75))</f>
        <v>6.3793849862093034E-9</v>
      </c>
      <c r="X119" s="25">
        <f t="shared" ca="1" si="129"/>
        <v>1.0753991606084691E-8</v>
      </c>
      <c r="Y119" s="25">
        <f t="shared" ca="1" si="129"/>
        <v>1.5128598225960081E-8</v>
      </c>
      <c r="Z119" s="25">
        <f t="shared" ca="1" si="129"/>
        <v>1.9503204845835469E-8</v>
      </c>
      <c r="AA119" s="25">
        <f t="shared" ca="1" si="129"/>
        <v>2.3877811465710857E-8</v>
      </c>
      <c r="AB119" s="25">
        <f t="shared" ca="1" si="129"/>
        <v>2.8252418085586245E-8</v>
      </c>
      <c r="AC119" s="25">
        <f t="shared" ca="1" si="129"/>
        <v>3.2627024705461633E-8</v>
      </c>
      <c r="AD119" s="25">
        <f t="shared" ca="1" si="129"/>
        <v>3.7001631325337018E-8</v>
      </c>
      <c r="AE119" s="25">
        <f t="shared" ca="1" si="129"/>
        <v>4.1376237945212403E-8</v>
      </c>
      <c r="AF119" s="25">
        <f ca="1">TotalEmissions!E20</f>
        <v>4.5750844565087794E-8</v>
      </c>
      <c r="AG119" s="25">
        <f t="shared" ref="AG119:AO119" ca="1" si="130">AF119+(($AP119-$AF119)/($AP$75-$AF$75))</f>
        <v>9.505157529046849E-6</v>
      </c>
      <c r="AH119" s="25">
        <f t="shared" ca="1" si="130"/>
        <v>1.896456421352861E-5</v>
      </c>
      <c r="AI119" s="25">
        <f t="shared" ca="1" si="130"/>
        <v>2.842397089801037E-5</v>
      </c>
      <c r="AJ119" s="25">
        <f t="shared" ca="1" si="130"/>
        <v>3.7883377582492131E-5</v>
      </c>
      <c r="AK119" s="25">
        <f t="shared" ca="1" si="130"/>
        <v>4.7342784266973895E-5</v>
      </c>
      <c r="AL119" s="25">
        <f t="shared" ca="1" si="130"/>
        <v>5.6802190951455659E-5</v>
      </c>
      <c r="AM119" s="25">
        <f t="shared" ca="1" si="130"/>
        <v>6.6261597635937423E-5</v>
      </c>
      <c r="AN119" s="25">
        <f t="shared" ca="1" si="130"/>
        <v>7.5721004320419187E-5</v>
      </c>
      <c r="AO119" s="25">
        <f t="shared" ca="1" si="130"/>
        <v>8.5180411004900952E-5</v>
      </c>
      <c r="AP119" s="25">
        <f ca="1">TotalEmissions!F20</f>
        <v>9.4639817689382689E-5</v>
      </c>
      <c r="AQ119" s="25"/>
      <c r="AR119" s="25"/>
      <c r="AS119" s="25"/>
      <c r="AT119" s="25"/>
      <c r="AU119" s="25"/>
      <c r="AV119" s="25"/>
      <c r="AW119" s="25"/>
      <c r="AX119" s="25"/>
      <c r="AY119" s="25"/>
      <c r="AZ119" s="25"/>
      <c r="BA119" s="25"/>
      <c r="BB119" s="25"/>
      <c r="BC119" s="25"/>
      <c r="BD119" s="25"/>
      <c r="BE119" s="25"/>
      <c r="BF119" s="25"/>
      <c r="BG119" s="25"/>
      <c r="BH119" s="25"/>
      <c r="BI119" s="25"/>
      <c r="BJ119" s="25"/>
      <c r="BK119" s="25"/>
      <c r="BL119" s="25"/>
      <c r="BM119" s="25"/>
      <c r="BN119" s="25"/>
      <c r="BO119" s="25"/>
      <c r="BP119" s="25"/>
      <c r="BQ119" s="25"/>
      <c r="BR119" s="25"/>
      <c r="BS119" s="25"/>
      <c r="BT119" s="25"/>
      <c r="BU119" s="25"/>
      <c r="BV119" s="25"/>
      <c r="BW119" s="25"/>
      <c r="BX119" s="25"/>
      <c r="BY119" s="25"/>
      <c r="BZ119" s="25"/>
      <c r="CA119" s="25"/>
      <c r="CB119" s="25"/>
      <c r="CC119" s="25"/>
      <c r="CD119" s="25"/>
      <c r="CE119" s="25"/>
      <c r="CF119" s="25"/>
      <c r="CG119" s="25"/>
      <c r="CH119" s="25"/>
      <c r="CI119" s="25"/>
      <c r="CJ119" s="25"/>
      <c r="CK119" s="25"/>
      <c r="CL119" s="25"/>
      <c r="CM119" s="25"/>
      <c r="CN119" s="25"/>
    </row>
    <row r="120" spans="1:173" x14ac:dyDescent="0.2">
      <c r="A120" s="25" t="str">
        <f>TotalEmissions!A18</f>
        <v>Fossil Industry CCS</v>
      </c>
      <c r="B120" s="25">
        <f ca="1">TotalEmissions!B18</f>
        <v>0</v>
      </c>
      <c r="C120" s="25">
        <f t="shared" ref="C120:K120" ca="1" si="131">B120+(($L120-$B120)/($L$75-$B$75))</f>
        <v>1.6969379949538655E-3</v>
      </c>
      <c r="D120" s="25">
        <f t="shared" ca="1" si="131"/>
        <v>3.3938759899077311E-3</v>
      </c>
      <c r="E120" s="25">
        <f t="shared" ca="1" si="131"/>
        <v>5.0908139848615964E-3</v>
      </c>
      <c r="F120" s="25">
        <f t="shared" ca="1" si="131"/>
        <v>6.7877519798154621E-3</v>
      </c>
      <c r="G120" s="25">
        <f t="shared" ca="1" si="131"/>
        <v>8.4846899747693279E-3</v>
      </c>
      <c r="H120" s="25">
        <f t="shared" ca="1" si="131"/>
        <v>1.0181627969723193E-2</v>
      </c>
      <c r="I120" s="25">
        <f t="shared" ca="1" si="131"/>
        <v>1.1878565964677058E-2</v>
      </c>
      <c r="J120" s="25">
        <f t="shared" ca="1" si="131"/>
        <v>1.3575503959630923E-2</v>
      </c>
      <c r="K120" s="25">
        <f t="shared" ca="1" si="131"/>
        <v>1.5272441954584787E-2</v>
      </c>
      <c r="L120" s="25">
        <f ca="1">TotalEmissions!C18</f>
        <v>1.6969379949538656E-2</v>
      </c>
      <c r="M120" s="25">
        <f t="shared" ref="M120:U120" ca="1" si="132">L120+(($V120-$L120)/($V$75-$L$75))</f>
        <v>8.7475085582506523E-2</v>
      </c>
      <c r="N120" s="25">
        <f t="shared" ca="1" si="132"/>
        <v>0.1579807912154744</v>
      </c>
      <c r="O120" s="25">
        <f t="shared" ca="1" si="132"/>
        <v>0.22848649684844227</v>
      </c>
      <c r="P120" s="25">
        <f t="shared" ca="1" si="132"/>
        <v>0.29899220248141012</v>
      </c>
      <c r="Q120" s="25">
        <f t="shared" ca="1" si="132"/>
        <v>0.36949790811437799</v>
      </c>
      <c r="R120" s="25">
        <f t="shared" ca="1" si="132"/>
        <v>0.44000361374734587</v>
      </c>
      <c r="S120" s="25">
        <f t="shared" ca="1" si="132"/>
        <v>0.51050931938031374</v>
      </c>
      <c r="T120" s="25">
        <f t="shared" ca="1" si="132"/>
        <v>0.58101502501328162</v>
      </c>
      <c r="U120" s="25">
        <f t="shared" ca="1" si="132"/>
        <v>0.65152073064624949</v>
      </c>
      <c r="V120" s="25">
        <f ca="1">TotalEmissions!D18</f>
        <v>0.72202643627921737</v>
      </c>
      <c r="W120" s="25">
        <f t="shared" ref="W120:AE120" ca="1" si="133">V120+(($AF120-$V120)/($AF$75-$V$75))</f>
        <v>0.7915806824962297</v>
      </c>
      <c r="X120" s="25">
        <f t="shared" ca="1" si="133"/>
        <v>0.86113492871324215</v>
      </c>
      <c r="Y120" s="25">
        <f t="shared" ca="1" si="133"/>
        <v>0.9306891749302546</v>
      </c>
      <c r="Z120" s="25">
        <f t="shared" ca="1" si="133"/>
        <v>1.0002434211472671</v>
      </c>
      <c r="AA120" s="25">
        <f t="shared" ca="1" si="133"/>
        <v>1.0697976673642795</v>
      </c>
      <c r="AB120" s="25">
        <f t="shared" ca="1" si="133"/>
        <v>1.139351913581292</v>
      </c>
      <c r="AC120" s="25">
        <f t="shared" ca="1" si="133"/>
        <v>1.2089061597983044</v>
      </c>
      <c r="AD120" s="25">
        <f t="shared" ca="1" si="133"/>
        <v>1.2784604060153169</v>
      </c>
      <c r="AE120" s="25">
        <f t="shared" ca="1" si="133"/>
        <v>1.3480146522323293</v>
      </c>
      <c r="AF120" s="25">
        <f ca="1">TotalEmissions!E18</f>
        <v>1.4175688984493413</v>
      </c>
      <c r="AG120" s="25">
        <f t="shared" ref="AG120:AO120" ca="1" si="134">AF120+(($AP120-$AF120)/($AP$75-$AF$75))</f>
        <v>1.4139268163902063</v>
      </c>
      <c r="AH120" s="25">
        <f t="shared" ca="1" si="134"/>
        <v>1.4102847343310714</v>
      </c>
      <c r="AI120" s="25">
        <f t="shared" ca="1" si="134"/>
        <v>1.4066426522719364</v>
      </c>
      <c r="AJ120" s="25">
        <f t="shared" ca="1" si="134"/>
        <v>1.4030005702128014</v>
      </c>
      <c r="AK120" s="25">
        <f t="shared" ca="1" si="134"/>
        <v>1.3993584881536665</v>
      </c>
      <c r="AL120" s="25">
        <f t="shared" ca="1" si="134"/>
        <v>1.3957164060945315</v>
      </c>
      <c r="AM120" s="25">
        <f t="shared" ca="1" si="134"/>
        <v>1.3920743240353965</v>
      </c>
      <c r="AN120" s="25">
        <f t="shared" ca="1" si="134"/>
        <v>1.3884322419762616</v>
      </c>
      <c r="AO120" s="25">
        <f t="shared" ca="1" si="134"/>
        <v>1.3847901599171266</v>
      </c>
      <c r="AP120" s="25">
        <f ca="1">TotalEmissions!F18</f>
        <v>1.381148077857991</v>
      </c>
      <c r="AQ120" s="25"/>
      <c r="AR120" s="25"/>
      <c r="AS120" s="25"/>
      <c r="AT120" s="25"/>
      <c r="AU120" s="25"/>
      <c r="AV120" s="25"/>
      <c r="AW120" s="25"/>
      <c r="AX120" s="25"/>
      <c r="AY120" s="25"/>
      <c r="AZ120" s="25"/>
      <c r="BA120" s="25"/>
      <c r="BB120" s="25"/>
      <c r="BC120" s="25"/>
      <c r="BD120" s="25"/>
      <c r="BE120" s="25"/>
      <c r="BF120" s="25"/>
      <c r="BG120" s="25"/>
      <c r="BH120" s="25"/>
      <c r="BI120" s="25"/>
      <c r="BJ120" s="25"/>
      <c r="BK120" s="25"/>
      <c r="BL120" s="25"/>
      <c r="BM120" s="25"/>
      <c r="BN120" s="25"/>
      <c r="BO120" s="25"/>
      <c r="BP120" s="25"/>
      <c r="BQ120" s="25"/>
      <c r="BR120" s="25"/>
      <c r="BS120" s="25"/>
      <c r="BT120" s="25"/>
      <c r="BU120" s="25"/>
      <c r="BV120" s="25"/>
      <c r="BW120" s="25"/>
      <c r="BX120" s="25"/>
      <c r="BY120" s="25"/>
      <c r="BZ120" s="25"/>
      <c r="CA120" s="25"/>
      <c r="CB120" s="25"/>
      <c r="CC120" s="25"/>
      <c r="CD120" s="25"/>
      <c r="CE120" s="25"/>
      <c r="CF120" s="25"/>
      <c r="CG120" s="25"/>
      <c r="CH120" s="25"/>
      <c r="CI120" s="25"/>
      <c r="CJ120" s="25"/>
      <c r="CK120" s="25"/>
      <c r="CL120" s="25"/>
      <c r="CM120" s="25"/>
      <c r="CN120" s="25"/>
    </row>
    <row r="121" spans="1:173" x14ac:dyDescent="0.2">
      <c r="A121" s="25" t="str">
        <f>TotalEmissions!A21</f>
        <v>Biomass Industry CCS</v>
      </c>
      <c r="B121" s="25">
        <f ca="1">TotalEmissions!B21</f>
        <v>0</v>
      </c>
      <c r="C121" s="25">
        <f t="shared" ref="C121:K121" ca="1" si="135">B121+(($L121-$B121)/($L$75-$B$75))</f>
        <v>0</v>
      </c>
      <c r="D121" s="25">
        <f t="shared" ca="1" si="135"/>
        <v>0</v>
      </c>
      <c r="E121" s="25">
        <f t="shared" ca="1" si="135"/>
        <v>0</v>
      </c>
      <c r="F121" s="25">
        <f t="shared" ca="1" si="135"/>
        <v>0</v>
      </c>
      <c r="G121" s="25">
        <f t="shared" ca="1" si="135"/>
        <v>0</v>
      </c>
      <c r="H121" s="25">
        <f t="shared" ca="1" si="135"/>
        <v>0</v>
      </c>
      <c r="I121" s="25">
        <f t="shared" ca="1" si="135"/>
        <v>0</v>
      </c>
      <c r="J121" s="25">
        <f t="shared" ca="1" si="135"/>
        <v>0</v>
      </c>
      <c r="K121" s="25">
        <f t="shared" ca="1" si="135"/>
        <v>0</v>
      </c>
      <c r="L121" s="25">
        <f ca="1">TotalEmissions!C21</f>
        <v>0</v>
      </c>
      <c r="M121" s="25">
        <f t="shared" ref="M121:U121" ca="1" si="136">L121+(($V121-$L121)/($V$75-$L$75))</f>
        <v>0</v>
      </c>
      <c r="N121" s="25">
        <f t="shared" ca="1" si="136"/>
        <v>0</v>
      </c>
      <c r="O121" s="25">
        <f t="shared" ca="1" si="136"/>
        <v>0</v>
      </c>
      <c r="P121" s="25">
        <f t="shared" ca="1" si="136"/>
        <v>0</v>
      </c>
      <c r="Q121" s="25">
        <f t="shared" ca="1" si="136"/>
        <v>0</v>
      </c>
      <c r="R121" s="25">
        <f t="shared" ca="1" si="136"/>
        <v>0</v>
      </c>
      <c r="S121" s="25">
        <f t="shared" ca="1" si="136"/>
        <v>0</v>
      </c>
      <c r="T121" s="25">
        <f t="shared" ca="1" si="136"/>
        <v>0</v>
      </c>
      <c r="U121" s="25">
        <f t="shared" ca="1" si="136"/>
        <v>0</v>
      </c>
      <c r="V121" s="25">
        <f ca="1">TotalEmissions!D21</f>
        <v>0</v>
      </c>
      <c r="W121" s="25">
        <f t="shared" ref="W121:AE121" ca="1" si="137">V121+(($AF121-$V121)/($AF$75-$V$75))</f>
        <v>0</v>
      </c>
      <c r="X121" s="25">
        <f t="shared" ca="1" si="137"/>
        <v>0</v>
      </c>
      <c r="Y121" s="25">
        <f t="shared" ca="1" si="137"/>
        <v>0</v>
      </c>
      <c r="Z121" s="25">
        <f t="shared" ca="1" si="137"/>
        <v>0</v>
      </c>
      <c r="AA121" s="25">
        <f t="shared" ca="1" si="137"/>
        <v>0</v>
      </c>
      <c r="AB121" s="25">
        <f t="shared" ca="1" si="137"/>
        <v>0</v>
      </c>
      <c r="AC121" s="25">
        <f t="shared" ca="1" si="137"/>
        <v>0</v>
      </c>
      <c r="AD121" s="25">
        <f t="shared" ca="1" si="137"/>
        <v>0</v>
      </c>
      <c r="AE121" s="25">
        <f t="shared" ca="1" si="137"/>
        <v>0</v>
      </c>
      <c r="AF121" s="25">
        <f ca="1">TotalEmissions!E21</f>
        <v>0</v>
      </c>
      <c r="AG121" s="25">
        <f t="shared" ref="AG121:AO121" ca="1" si="138">AF121+(($AP121-$AF121)/($AP$75-$AF$75))</f>
        <v>0</v>
      </c>
      <c r="AH121" s="25">
        <f t="shared" ca="1" si="138"/>
        <v>0</v>
      </c>
      <c r="AI121" s="25">
        <f t="shared" ca="1" si="138"/>
        <v>0</v>
      </c>
      <c r="AJ121" s="25">
        <f t="shared" ca="1" si="138"/>
        <v>0</v>
      </c>
      <c r="AK121" s="25">
        <f t="shared" ca="1" si="138"/>
        <v>0</v>
      </c>
      <c r="AL121" s="25">
        <f t="shared" ca="1" si="138"/>
        <v>0</v>
      </c>
      <c r="AM121" s="25">
        <f t="shared" ca="1" si="138"/>
        <v>0</v>
      </c>
      <c r="AN121" s="25">
        <f t="shared" ca="1" si="138"/>
        <v>0</v>
      </c>
      <c r="AO121" s="25">
        <f t="shared" ca="1" si="138"/>
        <v>0</v>
      </c>
      <c r="AP121" s="25">
        <f ca="1">TotalEmissions!F21</f>
        <v>0</v>
      </c>
      <c r="AQ121" s="25"/>
      <c r="AR121" s="25"/>
      <c r="AS121" s="25"/>
      <c r="AT121" s="25"/>
      <c r="AU121" s="25"/>
      <c r="AV121" s="25"/>
      <c r="AW121" s="25"/>
      <c r="AX121" s="25"/>
      <c r="AY121" s="25"/>
      <c r="AZ121" s="25"/>
      <c r="BA121" s="25"/>
      <c r="BB121" s="25"/>
      <c r="BC121" s="25"/>
      <c r="BD121" s="25"/>
      <c r="BE121" s="25"/>
      <c r="BF121" s="25"/>
      <c r="BG121" s="25"/>
      <c r="BH121" s="25"/>
      <c r="BI121" s="25"/>
      <c r="BJ121" s="25"/>
      <c r="BK121" s="25"/>
      <c r="BL121" s="25"/>
      <c r="BM121" s="25"/>
      <c r="BN121" s="25"/>
      <c r="BO121" s="25"/>
      <c r="BP121" s="25"/>
      <c r="BQ121" s="25"/>
      <c r="BR121" s="25"/>
      <c r="BS121" s="25"/>
      <c r="BT121" s="25"/>
      <c r="BU121" s="25"/>
      <c r="BV121" s="25"/>
      <c r="BW121" s="25"/>
      <c r="BX121" s="25"/>
      <c r="BY121" s="25"/>
      <c r="BZ121" s="25"/>
      <c r="CA121" s="25"/>
      <c r="CB121" s="25"/>
      <c r="CC121" s="25"/>
      <c r="CD121" s="25"/>
      <c r="CE121" s="25"/>
      <c r="CF121" s="25"/>
      <c r="CG121" s="25"/>
      <c r="CH121" s="25"/>
      <c r="CI121" s="25"/>
      <c r="CJ121" s="25"/>
      <c r="CK121" s="25"/>
      <c r="CL121" s="25"/>
      <c r="CM121" s="25"/>
      <c r="CN121" s="25"/>
    </row>
    <row r="122" spans="1:173" x14ac:dyDescent="0.2">
      <c r="A122" s="241" t="s">
        <v>278</v>
      </c>
      <c r="B122" s="25">
        <f t="shared" ref="B122:AP122" ca="1" si="139">B115-B118-B119-B120-B121</f>
        <v>49.203953937660756</v>
      </c>
      <c r="C122" s="25">
        <f t="shared" ca="1" si="139"/>
        <v>48.916421415045903</v>
      </c>
      <c r="D122" s="25">
        <f t="shared" ca="1" si="139"/>
        <v>48.62888889243105</v>
      </c>
      <c r="E122" s="25">
        <f t="shared" ca="1" si="139"/>
        <v>48.341356369816197</v>
      </c>
      <c r="F122" s="25">
        <f t="shared" ca="1" si="139"/>
        <v>48.053823847201343</v>
      </c>
      <c r="G122" s="25">
        <f t="shared" ca="1" si="139"/>
        <v>47.76629132458649</v>
      </c>
      <c r="H122" s="25">
        <f t="shared" ca="1" si="139"/>
        <v>47.478758801971637</v>
      </c>
      <c r="I122" s="25">
        <f t="shared" ca="1" si="139"/>
        <v>47.191226279356783</v>
      </c>
      <c r="J122" s="25">
        <f t="shared" ca="1" si="139"/>
        <v>46.90369375674193</v>
      </c>
      <c r="K122" s="25">
        <f t="shared" ca="1" si="139"/>
        <v>46.616161234127077</v>
      </c>
      <c r="L122" s="25">
        <f t="shared" ca="1" si="139"/>
        <v>46.328628711512245</v>
      </c>
      <c r="M122" s="25">
        <f t="shared" ca="1" si="139"/>
        <v>44.313831143132958</v>
      </c>
      <c r="N122" s="25">
        <f t="shared" ca="1" si="139"/>
        <v>42.299033574753672</v>
      </c>
      <c r="O122" s="25">
        <f t="shared" ca="1" si="139"/>
        <v>40.284236006374393</v>
      </c>
      <c r="P122" s="25">
        <f t="shared" ca="1" si="139"/>
        <v>38.269438437995099</v>
      </c>
      <c r="Q122" s="25">
        <f t="shared" ca="1" si="139"/>
        <v>36.254640869615812</v>
      </c>
      <c r="R122" s="25">
        <f t="shared" ca="1" si="139"/>
        <v>34.239843301236526</v>
      </c>
      <c r="S122" s="25">
        <f t="shared" ca="1" si="139"/>
        <v>32.225045732857239</v>
      </c>
      <c r="T122" s="25">
        <f t="shared" ca="1" si="139"/>
        <v>30.210248164477949</v>
      </c>
      <c r="U122" s="25">
        <f t="shared" ca="1" si="139"/>
        <v>28.195450596098659</v>
      </c>
      <c r="V122" s="25">
        <f t="shared" ca="1" si="139"/>
        <v>26.180653027719355</v>
      </c>
      <c r="W122" s="25">
        <f t="shared" ca="1" si="139"/>
        <v>24.622353300863871</v>
      </c>
      <c r="X122" s="25">
        <f t="shared" ca="1" si="139"/>
        <v>23.064053574008383</v>
      </c>
      <c r="Y122" s="25">
        <f t="shared" ca="1" si="139"/>
        <v>21.505753847152896</v>
      </c>
      <c r="Z122" s="25">
        <f t="shared" ca="1" si="139"/>
        <v>19.947454120297408</v>
      </c>
      <c r="AA122" s="25">
        <f t="shared" ca="1" si="139"/>
        <v>18.38915439344192</v>
      </c>
      <c r="AB122" s="25">
        <f t="shared" ca="1" si="139"/>
        <v>16.830854666586433</v>
      </c>
      <c r="AC122" s="25">
        <f t="shared" ca="1" si="139"/>
        <v>15.272554939730943</v>
      </c>
      <c r="AD122" s="25">
        <f t="shared" ca="1" si="139"/>
        <v>13.714255212875459</v>
      </c>
      <c r="AE122" s="25">
        <f t="shared" ca="1" si="139"/>
        <v>12.155955486019975</v>
      </c>
      <c r="AF122" s="25">
        <f t="shared" ca="1" si="139"/>
        <v>10.597655759164496</v>
      </c>
      <c r="AG122" s="25">
        <f t="shared" ca="1" si="139"/>
        <v>9.7573756155231539</v>
      </c>
      <c r="AH122" s="25">
        <f t="shared" ca="1" si="139"/>
        <v>8.9170954718818152</v>
      </c>
      <c r="AI122" s="25">
        <f t="shared" ca="1" si="139"/>
        <v>8.0768153282404747</v>
      </c>
      <c r="AJ122" s="25">
        <f t="shared" ca="1" si="139"/>
        <v>7.2365351845991341</v>
      </c>
      <c r="AK122" s="25">
        <f t="shared" ca="1" si="139"/>
        <v>6.396255040957791</v>
      </c>
      <c r="AL122" s="25">
        <f t="shared" ca="1" si="139"/>
        <v>5.5559748973164478</v>
      </c>
      <c r="AM122" s="25">
        <f t="shared" ca="1" si="139"/>
        <v>4.715694753675109</v>
      </c>
      <c r="AN122" s="25">
        <f t="shared" ca="1" si="139"/>
        <v>3.8754146100337681</v>
      </c>
      <c r="AO122" s="25">
        <f t="shared" ca="1" si="139"/>
        <v>3.0351344663924262</v>
      </c>
      <c r="AP122" s="25">
        <f t="shared" ca="1" si="139"/>
        <v>2.1948543227510839</v>
      </c>
      <c r="AQ122" s="25"/>
      <c r="AR122" s="25"/>
      <c r="AS122" s="25"/>
      <c r="AT122" s="25"/>
      <c r="AU122" s="25"/>
      <c r="AV122" s="25"/>
      <c r="AW122" s="25"/>
      <c r="AX122" s="25"/>
      <c r="AY122" s="25"/>
      <c r="AZ122" s="25"/>
      <c r="BA122" s="25"/>
      <c r="BB122" s="25"/>
      <c r="BC122" s="25"/>
      <c r="BD122" s="25"/>
      <c r="BE122" s="25"/>
      <c r="BF122" s="25"/>
      <c r="BG122" s="25"/>
      <c r="BH122" s="25"/>
      <c r="BI122" s="25"/>
      <c r="BJ122" s="25"/>
      <c r="BK122" s="25"/>
      <c r="BL122" s="25"/>
      <c r="BM122" s="25"/>
      <c r="BN122" s="25"/>
      <c r="BO122" s="25"/>
      <c r="BP122" s="25"/>
      <c r="BQ122" s="25"/>
      <c r="BR122" s="25"/>
      <c r="BS122" s="25"/>
      <c r="BT122" s="25"/>
      <c r="BU122" s="25"/>
      <c r="BV122" s="25"/>
      <c r="BW122" s="25"/>
      <c r="BX122" s="25"/>
      <c r="BY122" s="25"/>
      <c r="BZ122" s="25"/>
      <c r="CA122" s="25"/>
      <c r="CB122" s="25"/>
      <c r="CC122" s="25"/>
      <c r="CD122" s="25"/>
      <c r="CE122" s="25"/>
      <c r="CF122" s="25"/>
      <c r="CG122" s="25"/>
      <c r="CH122" s="25"/>
      <c r="CI122" s="25"/>
      <c r="CJ122" s="25"/>
      <c r="CK122" s="25"/>
      <c r="CL122" s="25"/>
      <c r="CM122" s="25"/>
      <c r="CN122" s="25"/>
    </row>
    <row r="123" spans="1:173" x14ac:dyDescent="0.2">
      <c r="A123" t="s">
        <v>234</v>
      </c>
      <c r="B123" s="25">
        <f ca="1">TotalEmissions!B28</f>
        <v>49.203953937660756</v>
      </c>
      <c r="C123" s="25"/>
      <c r="D123" s="25"/>
      <c r="E123" s="25"/>
      <c r="F123" s="25"/>
      <c r="G123" s="25"/>
      <c r="H123" s="25"/>
      <c r="I123" s="25"/>
      <c r="J123" s="25"/>
      <c r="K123" s="25"/>
      <c r="L123" s="25">
        <f ca="1">TotalEmissions!C28</f>
        <v>46.328628711512245</v>
      </c>
      <c r="M123" s="25"/>
      <c r="N123" s="25"/>
      <c r="O123" s="25"/>
      <c r="P123" s="25"/>
      <c r="Q123" s="25"/>
      <c r="R123" s="25"/>
      <c r="S123" s="25"/>
      <c r="T123" s="25"/>
      <c r="U123" s="25"/>
      <c r="V123" s="25">
        <f ca="1">TotalEmissions!D28</f>
        <v>26.180653027719355</v>
      </c>
      <c r="W123" s="25"/>
      <c r="X123" s="25"/>
      <c r="Y123" s="25"/>
      <c r="Z123" s="25"/>
      <c r="AA123" s="25"/>
      <c r="AB123" s="25"/>
      <c r="AC123" s="25"/>
      <c r="AD123" s="25"/>
      <c r="AE123" s="25"/>
      <c r="AF123" s="25">
        <f ca="1">TotalEmissions!E28</f>
        <v>10.597655759164496</v>
      </c>
      <c r="AG123" s="25"/>
      <c r="AH123" s="25"/>
      <c r="AI123" s="25"/>
      <c r="AJ123" s="25"/>
      <c r="AK123" s="25"/>
      <c r="AL123" s="25"/>
      <c r="AM123" s="25"/>
      <c r="AN123" s="25"/>
      <c r="AO123" s="25"/>
      <c r="AP123" s="25">
        <f ca="1">TotalEmissions!F28</f>
        <v>2.1948543227510839</v>
      </c>
      <c r="AQ123" s="25"/>
      <c r="AR123" s="25"/>
      <c r="AS123" s="25"/>
      <c r="AT123" s="25"/>
      <c r="AU123" s="25"/>
      <c r="AV123" s="25"/>
      <c r="AW123" s="25"/>
      <c r="AX123" s="25"/>
      <c r="AY123" s="25"/>
      <c r="AZ123" s="25"/>
      <c r="BA123" s="25"/>
      <c r="BB123" s="25"/>
      <c r="BC123" s="25"/>
      <c r="BD123" s="25"/>
      <c r="BE123" s="25"/>
      <c r="BF123" s="25"/>
      <c r="BG123" s="25"/>
      <c r="BH123" s="25"/>
      <c r="BI123" s="25"/>
      <c r="BJ123" s="25"/>
      <c r="BK123" s="25"/>
      <c r="BL123" s="25"/>
      <c r="BM123" s="25"/>
      <c r="BN123" s="25"/>
      <c r="BO123" s="25"/>
      <c r="BP123" s="25"/>
      <c r="BQ123" s="25"/>
      <c r="BR123" s="25"/>
      <c r="BS123" s="25"/>
      <c r="BT123" s="25"/>
      <c r="BU123" s="25"/>
      <c r="BV123" s="25"/>
      <c r="BW123" s="25"/>
      <c r="BX123" s="25"/>
      <c r="BY123" s="25"/>
      <c r="BZ123" s="25"/>
      <c r="CA123" s="25"/>
      <c r="CB123" s="25"/>
      <c r="CC123" s="25"/>
      <c r="CD123" s="25"/>
      <c r="CE123" s="25"/>
      <c r="CF123" s="25"/>
      <c r="CG123" s="25"/>
      <c r="CH123" s="25"/>
      <c r="CI123" s="25"/>
      <c r="CJ123" s="25"/>
      <c r="CK123" s="25"/>
      <c r="CL123" s="25"/>
      <c r="CM123" s="25"/>
      <c r="CN123" s="25"/>
      <c r="CO123" s="25"/>
      <c r="CP123" s="25"/>
      <c r="CQ123" s="25"/>
      <c r="CR123" s="25"/>
      <c r="CS123" s="25"/>
      <c r="CT123" s="25"/>
      <c r="CU123" s="25"/>
      <c r="CV123" s="25"/>
      <c r="CW123" s="25"/>
      <c r="CX123" s="25"/>
      <c r="CY123" s="25"/>
      <c r="CZ123" s="25"/>
      <c r="DA123" s="25"/>
      <c r="DB123" s="25"/>
      <c r="DC123" s="25"/>
      <c r="DD123" s="25"/>
      <c r="DE123" s="25"/>
      <c r="DF123" s="25"/>
      <c r="DG123" s="25"/>
      <c r="DH123" s="25"/>
      <c r="DI123" s="25"/>
      <c r="DJ123" s="25"/>
      <c r="DK123" s="25"/>
      <c r="DL123" s="25"/>
      <c r="DM123" s="25"/>
      <c r="DN123" s="25"/>
      <c r="DO123" s="25"/>
      <c r="DP123" s="25"/>
      <c r="DQ123" s="25"/>
      <c r="DR123" s="25"/>
      <c r="DS123" s="25"/>
      <c r="DT123" s="25"/>
      <c r="DU123" s="25"/>
      <c r="DV123" s="25"/>
      <c r="DW123" s="25"/>
      <c r="DX123" s="25"/>
      <c r="DY123" s="25"/>
      <c r="DZ123" s="25"/>
      <c r="EA123" s="25"/>
      <c r="EB123" s="25"/>
      <c r="EC123" s="25"/>
      <c r="ED123" s="25"/>
      <c r="EE123" s="25"/>
      <c r="EF123" s="25"/>
      <c r="EG123" s="25"/>
      <c r="EH123" s="25"/>
      <c r="EI123" s="25"/>
      <c r="EJ123" s="25"/>
      <c r="EK123" s="25"/>
      <c r="EL123" s="25"/>
      <c r="EM123" s="25"/>
      <c r="EN123" s="25"/>
      <c r="EO123" s="25"/>
      <c r="EP123" s="25"/>
      <c r="EQ123" s="25"/>
      <c r="ER123" s="25"/>
      <c r="ES123" s="25"/>
      <c r="ET123" s="25"/>
      <c r="EU123" s="25"/>
      <c r="EV123" s="25"/>
      <c r="EW123" s="25"/>
      <c r="EX123" s="25"/>
      <c r="EY123" s="25"/>
      <c r="EZ123" s="25"/>
      <c r="FA123" s="25"/>
      <c r="FB123" s="25"/>
      <c r="FC123" s="25"/>
      <c r="FD123" s="25"/>
      <c r="FE123" s="25"/>
      <c r="FF123" s="25"/>
      <c r="FG123" s="25"/>
      <c r="FH123" s="25"/>
      <c r="FI123" s="25"/>
      <c r="FJ123" s="25"/>
      <c r="FK123" s="25"/>
      <c r="FL123" s="25"/>
      <c r="FM123" s="25"/>
      <c r="FN123" s="25"/>
      <c r="FO123" s="25"/>
      <c r="FP123" s="25"/>
      <c r="FQ123" s="25"/>
    </row>
    <row r="124" spans="1:173" x14ac:dyDescent="0.2">
      <c r="B124" s="25"/>
      <c r="C124" s="25"/>
      <c r="D124" s="25"/>
      <c r="E124" s="25"/>
      <c r="F124" s="25"/>
      <c r="G124" s="25"/>
      <c r="H124" s="25"/>
      <c r="I124" s="25"/>
      <c r="J124" s="25"/>
      <c r="K124" s="25"/>
    </row>
  </sheetData>
  <pageMargins left="0.7" right="0.7" top="0.75" bottom="0.75" header="0.3" footer="0.3"/>
  <pageSetup orientation="portrait" horizontalDpi="0" verticalDpi="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4D45A-E7C2-1446-A11E-AD7E378125CA}">
  <sheetPr>
    <tabColor rgb="FFCF009B"/>
  </sheetPr>
  <dimension ref="A1:FQ149"/>
  <sheetViews>
    <sheetView zoomScale="150" zoomScaleNormal="150" workbookViewId="0">
      <selection activeCell="A6" sqref="A6:A7"/>
    </sheetView>
  </sheetViews>
  <sheetFormatPr baseColWidth="10" defaultRowHeight="16" x14ac:dyDescent="0.2"/>
  <cols>
    <col min="1" max="1" width="48.33203125" customWidth="1"/>
    <col min="2" max="2" width="11.5" bestFit="1" customWidth="1"/>
    <col min="5" max="5" width="40.33203125" customWidth="1"/>
  </cols>
  <sheetData>
    <row r="1" spans="1:10" x14ac:dyDescent="0.2">
      <c r="A1" s="21" t="s">
        <v>255</v>
      </c>
    </row>
    <row r="2" spans="1:10" x14ac:dyDescent="0.2">
      <c r="B2" s="25"/>
      <c r="F2" s="25"/>
    </row>
    <row r="3" spans="1:10" x14ac:dyDescent="0.2">
      <c r="A3" s="21" t="s">
        <v>235</v>
      </c>
      <c r="B3" s="25">
        <f ca="1">SUM(AP83:CN83)</f>
        <v>3013.0402317047124</v>
      </c>
      <c r="C3" s="25">
        <f ca="1">B2+B3</f>
        <v>3013.0402317047124</v>
      </c>
      <c r="E3" s="21" t="s">
        <v>279</v>
      </c>
      <c r="F3" s="25">
        <f ca="1">SUM(AP99:CN99)</f>
        <v>4301.0465965856547</v>
      </c>
    </row>
    <row r="4" spans="1:10" x14ac:dyDescent="0.2">
      <c r="A4" s="208" t="s">
        <v>238</v>
      </c>
      <c r="B4">
        <f t="shared" ref="B4:B9" ca="1" si="0">SUM(AP102:CN102)</f>
        <v>-6.5261846640498966</v>
      </c>
      <c r="E4" s="249" t="s">
        <v>338</v>
      </c>
      <c r="F4" s="25">
        <f ca="1">-(SUM(AP86:CN86)+SUM(AP95:CN95))</f>
        <v>-146.83985209465027</v>
      </c>
    </row>
    <row r="5" spans="1:10" x14ac:dyDescent="0.2">
      <c r="A5" s="251" t="s">
        <v>231</v>
      </c>
      <c r="B5">
        <f t="shared" ca="1" si="0"/>
        <v>-224.88012702660677</v>
      </c>
      <c r="E5" s="249" t="s">
        <v>264</v>
      </c>
      <c r="F5" s="25">
        <f ca="1">-SUM(AP88:CN88)</f>
        <v>-54.464129998349989</v>
      </c>
    </row>
    <row r="6" spans="1:10" x14ac:dyDescent="0.2">
      <c r="A6" s="251" t="s">
        <v>461</v>
      </c>
      <c r="B6">
        <f t="shared" ca="1" si="0"/>
        <v>65.410787280385648</v>
      </c>
      <c r="E6" s="249" t="s">
        <v>265</v>
      </c>
      <c r="F6" s="25">
        <f ca="1">-SUM(AP87:CN87)</f>
        <v>-1086.7023827879423</v>
      </c>
      <c r="H6" s="25"/>
    </row>
    <row r="7" spans="1:10" x14ac:dyDescent="0.2">
      <c r="A7" s="251" t="s">
        <v>462</v>
      </c>
      <c r="B7">
        <f t="shared" ca="1" si="0"/>
        <v>-955.94175111959623</v>
      </c>
      <c r="E7" s="21" t="s">
        <v>235</v>
      </c>
      <c r="F7" s="25">
        <f ca="1">F3+F4+F5+F6</f>
        <v>3013.0402317047128</v>
      </c>
      <c r="H7" s="25"/>
      <c r="J7" s="25"/>
    </row>
    <row r="8" spans="1:10" x14ac:dyDescent="0.2">
      <c r="A8" s="251" t="s">
        <v>268</v>
      </c>
      <c r="B8">
        <f t="shared" ca="1" si="0"/>
        <v>-1036.2117543409458</v>
      </c>
      <c r="E8" s="211" t="s">
        <v>238</v>
      </c>
      <c r="F8">
        <f t="shared" ref="F8:F13" ca="1" si="1">SUM(AP102:CN102)</f>
        <v>-6.5261846640498966</v>
      </c>
      <c r="H8" s="25"/>
    </row>
    <row r="9" spans="1:10" x14ac:dyDescent="0.2">
      <c r="A9" s="251" t="s">
        <v>269</v>
      </c>
      <c r="B9">
        <f t="shared" ca="1" si="0"/>
        <v>-396.35415672825593</v>
      </c>
      <c r="E9" s="212" t="s">
        <v>231</v>
      </c>
      <c r="F9">
        <f t="shared" ca="1" si="1"/>
        <v>-224.88012702660677</v>
      </c>
    </row>
    <row r="10" spans="1:10" x14ac:dyDescent="0.2">
      <c r="A10" s="42" t="s">
        <v>236</v>
      </c>
      <c r="B10" s="25">
        <f ca="1">B2+B3+B4+B5+B6+B7+B8+B9</f>
        <v>458.5370451056433</v>
      </c>
      <c r="C10" t="s">
        <v>234</v>
      </c>
      <c r="D10" s="25">
        <f ca="1">SUM(AP124:CN124)</f>
        <v>458.53704510564245</v>
      </c>
      <c r="E10" s="251" t="s">
        <v>461</v>
      </c>
      <c r="F10">
        <f t="shared" ca="1" si="1"/>
        <v>65.410787280385648</v>
      </c>
    </row>
    <row r="11" spans="1:10" x14ac:dyDescent="0.2">
      <c r="A11" s="251" t="s">
        <v>230</v>
      </c>
      <c r="B11" s="25">
        <f ca="1">-SUM(AP135:CN135)</f>
        <v>-272.26561981204998</v>
      </c>
      <c r="E11" s="251" t="s">
        <v>462</v>
      </c>
      <c r="F11">
        <f t="shared" ca="1" si="1"/>
        <v>-955.94175111959623</v>
      </c>
    </row>
    <row r="12" spans="1:10" x14ac:dyDescent="0.2">
      <c r="A12" s="42" t="s">
        <v>237</v>
      </c>
      <c r="B12" s="25">
        <f ca="1">B10+B11</f>
        <v>186.27142529359332</v>
      </c>
      <c r="C12" t="s">
        <v>234</v>
      </c>
      <c r="D12" s="25">
        <f ca="1">SUM(AP125:CN125)</f>
        <v>186.27142529359253</v>
      </c>
      <c r="E12" s="212" t="s">
        <v>270</v>
      </c>
      <c r="F12">
        <f t="shared" ca="1" si="1"/>
        <v>-1036.2117543409458</v>
      </c>
    </row>
    <row r="13" spans="1:10" x14ac:dyDescent="0.2">
      <c r="A13" s="249" t="s">
        <v>339</v>
      </c>
      <c r="B13" s="25">
        <f ca="1">SUM(AP127:CN127)</f>
        <v>14.083718169480566</v>
      </c>
      <c r="D13" s="25"/>
      <c r="E13" s="212" t="s">
        <v>271</v>
      </c>
      <c r="F13">
        <f t="shared" ca="1" si="1"/>
        <v>-396.35415672825593</v>
      </c>
    </row>
    <row r="14" spans="1:10" x14ac:dyDescent="0.2">
      <c r="A14" s="249" t="s">
        <v>266</v>
      </c>
      <c r="B14" s="25">
        <f ca="1">SUM(AP129:CN129)</f>
        <v>-296.29402653834677</v>
      </c>
      <c r="D14" s="25"/>
      <c r="E14" s="248" t="s">
        <v>236</v>
      </c>
      <c r="F14" s="25">
        <f ca="1">SUM(F7:F13)</f>
        <v>458.53704510564376</v>
      </c>
      <c r="G14" t="s">
        <v>234</v>
      </c>
      <c r="H14" s="25">
        <f ca="1">SUM(AP124:CN124)</f>
        <v>458.53704510564245</v>
      </c>
      <c r="I14" s="242">
        <f ca="1">F14-H14</f>
        <v>1.3073986337985843E-12</v>
      </c>
    </row>
    <row r="15" spans="1:10" x14ac:dyDescent="0.2">
      <c r="A15" s="249" t="s">
        <v>267</v>
      </c>
      <c r="B15" s="25">
        <f ca="1">SUM(AP128:CN128)</f>
        <v>154.98271543571479</v>
      </c>
      <c r="D15" s="25"/>
      <c r="E15" s="212" t="s">
        <v>341</v>
      </c>
      <c r="F15" s="25">
        <f ca="1">-SUM(AP135:CN135)</f>
        <v>-272.26561981204998</v>
      </c>
    </row>
    <row r="16" spans="1:10" x14ac:dyDescent="0.2">
      <c r="A16" s="249" t="s">
        <v>340</v>
      </c>
      <c r="B16" s="25">
        <f ca="1">-SUM(AP144:CN144)</f>
        <v>-5.0217178542580785E-3</v>
      </c>
      <c r="D16" s="25"/>
      <c r="E16" s="248" t="s">
        <v>237</v>
      </c>
      <c r="F16" s="25">
        <f ca="1">F14+F15</f>
        <v>186.27142529359378</v>
      </c>
    </row>
    <row r="17" spans="1:9" x14ac:dyDescent="0.2">
      <c r="A17" s="36" t="s">
        <v>278</v>
      </c>
      <c r="B17" s="25">
        <f ca="1">SUM(B12:B16)</f>
        <v>59.038810642587656</v>
      </c>
      <c r="C17" t="s">
        <v>234</v>
      </c>
      <c r="D17" s="25">
        <f ca="1">SUM(AP147:CN147)</f>
        <v>59.03881064258691</v>
      </c>
      <c r="E17" s="249" t="s">
        <v>339</v>
      </c>
      <c r="F17" s="25">
        <f ca="1">SUM(AP127:CN127)</f>
        <v>14.083718169480566</v>
      </c>
    </row>
    <row r="18" spans="1:9" x14ac:dyDescent="0.2">
      <c r="A18" s="36"/>
      <c r="B18" s="25"/>
      <c r="D18" s="25"/>
      <c r="E18" s="249" t="s">
        <v>266</v>
      </c>
      <c r="F18" s="25">
        <f ca="1">SUM(AP129:CN129)</f>
        <v>-296.29402653834677</v>
      </c>
    </row>
    <row r="19" spans="1:9" x14ac:dyDescent="0.2">
      <c r="A19" s="36"/>
      <c r="B19" s="25"/>
      <c r="D19" s="25"/>
      <c r="E19" s="249" t="s">
        <v>267</v>
      </c>
      <c r="F19" s="25">
        <f ca="1">SUM(AP128:CN128)</f>
        <v>154.98271543571479</v>
      </c>
    </row>
    <row r="20" spans="1:9" x14ac:dyDescent="0.2">
      <c r="E20" s="249" t="s">
        <v>340</v>
      </c>
      <c r="F20" s="25">
        <f ca="1">-SUM(AP144:CN144)</f>
        <v>-5.0217178542580785E-3</v>
      </c>
    </row>
    <row r="21" spans="1:9" x14ac:dyDescent="0.2">
      <c r="E21" s="250" t="s">
        <v>278</v>
      </c>
      <c r="F21" s="25">
        <f ca="1">SUM(F16:F20)</f>
        <v>59.038810642588111</v>
      </c>
      <c r="G21" t="s">
        <v>234</v>
      </c>
      <c r="H21" s="25">
        <f ca="1">F3+F4+F5+F6+F8+F9+F10+F11+F12+F13+F15+F17+F18+F19+F20</f>
        <v>59.038810642588111</v>
      </c>
      <c r="I21" s="242">
        <f ca="1">F21-H21</f>
        <v>0</v>
      </c>
    </row>
    <row r="22" spans="1:9" x14ac:dyDescent="0.2">
      <c r="A22" s="21" t="s">
        <v>254</v>
      </c>
      <c r="E22" s="25"/>
    </row>
    <row r="23" spans="1:9" x14ac:dyDescent="0.2">
      <c r="B23" s="25"/>
      <c r="E23" s="25"/>
    </row>
    <row r="24" spans="1:9" x14ac:dyDescent="0.2">
      <c r="A24" s="21" t="s">
        <v>235</v>
      </c>
      <c r="B24" s="25">
        <f ca="1">SUM(AP83:CN83)</f>
        <v>3013.0402317047124</v>
      </c>
    </row>
    <row r="25" spans="1:9" x14ac:dyDescent="0.2">
      <c r="A25" s="208" t="s">
        <v>238</v>
      </c>
      <c r="B25">
        <f t="shared" ref="B25:B30" ca="1" si="2">SUM(AP102:CN102)</f>
        <v>-6.5261846640498966</v>
      </c>
    </row>
    <row r="26" spans="1:9" x14ac:dyDescent="0.2">
      <c r="A26" s="251" t="s">
        <v>231</v>
      </c>
      <c r="B26">
        <f t="shared" ca="1" si="2"/>
        <v>-224.88012702660677</v>
      </c>
    </row>
    <row r="27" spans="1:9" x14ac:dyDescent="0.2">
      <c r="A27" s="251" t="s">
        <v>461</v>
      </c>
      <c r="B27">
        <f t="shared" ca="1" si="2"/>
        <v>65.410787280385648</v>
      </c>
    </row>
    <row r="28" spans="1:9" x14ac:dyDescent="0.2">
      <c r="A28" s="251" t="s">
        <v>462</v>
      </c>
      <c r="B28">
        <f t="shared" ca="1" si="2"/>
        <v>-955.94175111959623</v>
      </c>
      <c r="F28" s="178" t="s">
        <v>439</v>
      </c>
    </row>
    <row r="29" spans="1:9" x14ac:dyDescent="0.2">
      <c r="A29" s="251" t="s">
        <v>268</v>
      </c>
      <c r="B29">
        <f t="shared" ca="1" si="2"/>
        <v>-1036.2117543409458</v>
      </c>
      <c r="E29" s="21" t="s">
        <v>279</v>
      </c>
      <c r="F29" s="25">
        <f ca="1">SUM(AP99:CN99)</f>
        <v>4301.0465965856547</v>
      </c>
    </row>
    <row r="30" spans="1:9" x14ac:dyDescent="0.2">
      <c r="A30" s="251" t="s">
        <v>269</v>
      </c>
      <c r="B30">
        <f t="shared" ca="1" si="2"/>
        <v>-396.35415672825593</v>
      </c>
      <c r="H30" s="25">
        <f ca="1">SUM(AP86:CN86)+SUM(AP95:CN95)</f>
        <v>146.83985209465027</v>
      </c>
      <c r="I30" s="249" t="s">
        <v>338</v>
      </c>
    </row>
    <row r="31" spans="1:9" x14ac:dyDescent="0.2">
      <c r="A31" s="248" t="s">
        <v>236</v>
      </c>
      <c r="B31" s="25">
        <f ca="1">SUM([9]WaterfallData2050_2100!B24:B30)</f>
        <v>53.512267674191804</v>
      </c>
      <c r="H31" s="25">
        <f ca="1">SUM(AP87:CN87)</f>
        <v>1086.7023827879423</v>
      </c>
      <c r="I31" s="249" t="s">
        <v>264</v>
      </c>
    </row>
    <row r="32" spans="1:9" x14ac:dyDescent="0.2">
      <c r="A32" s="251"/>
      <c r="H32" s="25">
        <f ca="1">SUM(AP88:CN88)</f>
        <v>54.464129998349989</v>
      </c>
      <c r="I32" s="249" t="s">
        <v>265</v>
      </c>
    </row>
    <row r="33" spans="1:9" x14ac:dyDescent="0.2">
      <c r="A33" s="251"/>
      <c r="E33" s="249"/>
      <c r="G33" s="25">
        <f ca="1">F29-H30-H31-H32</f>
        <v>3013.0402317047124</v>
      </c>
      <c r="H33" s="21" t="s">
        <v>344</v>
      </c>
    </row>
    <row r="34" spans="1:9" x14ac:dyDescent="0.2">
      <c r="E34" s="211" t="s">
        <v>238</v>
      </c>
      <c r="F34" s="25">
        <f t="shared" ref="F34:F39" ca="1" si="3">SUM(AP102:CN102)</f>
        <v>-6.5261846640498966</v>
      </c>
    </row>
    <row r="35" spans="1:9" x14ac:dyDescent="0.2">
      <c r="A35" t="str">
        <f>E29</f>
        <v>Total Anthropogenic Emissions Ref</v>
      </c>
      <c r="B35" s="25">
        <f ca="1">F29</f>
        <v>4301.0465965856547</v>
      </c>
      <c r="E35" s="212" t="s">
        <v>231</v>
      </c>
      <c r="F35" s="25">
        <f t="shared" ca="1" si="3"/>
        <v>-224.88012702660677</v>
      </c>
    </row>
    <row r="36" spans="1:9" x14ac:dyDescent="0.2">
      <c r="A36" t="str">
        <f t="shared" ref="A36:B41" si="4">E34</f>
        <v>∆PEDEq/FE (ESLF)</v>
      </c>
      <c r="B36" s="25">
        <f ca="1">F34</f>
        <v>-6.5261846640498966</v>
      </c>
      <c r="E36" s="251" t="s">
        <v>461</v>
      </c>
      <c r="F36" s="25">
        <f t="shared" ca="1" si="3"/>
        <v>65.410787280385648</v>
      </c>
    </row>
    <row r="37" spans="1:9" x14ac:dyDescent="0.2">
      <c r="A37" t="str">
        <f t="shared" si="4"/>
        <v xml:space="preserve">∆P  </v>
      </c>
      <c r="B37" s="25">
        <f ca="1">F35</f>
        <v>-224.88012702660677</v>
      </c>
      <c r="E37" s="251" t="s">
        <v>462</v>
      </c>
      <c r="F37" s="25">
        <f t="shared" ca="1" si="3"/>
        <v>-955.94175111959623</v>
      </c>
    </row>
    <row r="38" spans="1:9" x14ac:dyDescent="0.2">
      <c r="A38" t="str">
        <f t="shared" si="4"/>
        <v>∆GNP/P</v>
      </c>
      <c r="B38" s="25">
        <f ca="1">F36</f>
        <v>65.410787280385648</v>
      </c>
      <c r="E38" s="212" t="s">
        <v>270</v>
      </c>
      <c r="F38" s="25">
        <f t="shared" ca="1" si="3"/>
        <v>-1036.2117543409458</v>
      </c>
    </row>
    <row r="39" spans="1:9" x14ac:dyDescent="0.2">
      <c r="A39" t="str">
        <f t="shared" si="4"/>
        <v xml:space="preserve">∆FE/GNP </v>
      </c>
      <c r="B39">
        <f t="shared" ca="1" si="4"/>
        <v>-955.94175111959623</v>
      </c>
      <c r="E39" s="212" t="s">
        <v>271</v>
      </c>
      <c r="F39" s="25">
        <f t="shared" ca="1" si="3"/>
        <v>-396.35415672825593</v>
      </c>
    </row>
    <row r="40" spans="1:9" x14ac:dyDescent="0.2">
      <c r="A40" t="str">
        <f t="shared" si="4"/>
        <v xml:space="preserve">∆PEFF/PEDEq </v>
      </c>
      <c r="B40">
        <f t="shared" ca="1" si="4"/>
        <v>-1036.2117543409458</v>
      </c>
      <c r="E40" s="249"/>
      <c r="F40" s="25"/>
      <c r="G40" s="25">
        <f ca="1">G33+SUM(F34:F39)</f>
        <v>458.5370451056433</v>
      </c>
      <c r="H40" s="21" t="s">
        <v>345</v>
      </c>
    </row>
    <row r="41" spans="1:9" x14ac:dyDescent="0.2">
      <c r="A41" t="str">
        <f t="shared" si="4"/>
        <v xml:space="preserve">∆TFC/PEFF </v>
      </c>
      <c r="B41" s="25">
        <f ca="1">F39</f>
        <v>-396.35415672825593</v>
      </c>
      <c r="H41" s="25">
        <f ca="1">-SUM(AP135:CN135)</f>
        <v>-272.26561981204998</v>
      </c>
      <c r="I41" s="249" t="s">
        <v>275</v>
      </c>
    </row>
    <row r="42" spans="1:9" x14ac:dyDescent="0.2">
      <c r="A42" t="str">
        <f t="shared" ref="A42:B48" si="5">E53</f>
        <v>∆Total Industry Carbon (TIC)</v>
      </c>
      <c r="B42">
        <f t="shared" ca="1" si="5"/>
        <v>-59.866718042828616</v>
      </c>
      <c r="E42" s="249"/>
      <c r="F42" s="25"/>
      <c r="G42" s="25">
        <f ca="1">G40+H41</f>
        <v>186.27142529359332</v>
      </c>
      <c r="H42" s="21" t="s">
        <v>346</v>
      </c>
    </row>
    <row r="43" spans="1:9" x14ac:dyDescent="0.2">
      <c r="A43" t="str">
        <f t="shared" si="5"/>
        <v xml:space="preserve">∆Land Use </v>
      </c>
      <c r="B43">
        <f t="shared" ca="1" si="5"/>
        <v>-350.75815653669673</v>
      </c>
      <c r="H43" s="25">
        <f ca="1">SUM(AP127:CN127)</f>
        <v>14.083718169480566</v>
      </c>
      <c r="I43" s="249" t="s">
        <v>339</v>
      </c>
    </row>
    <row r="44" spans="1:9" x14ac:dyDescent="0.2">
      <c r="A44" t="str">
        <f t="shared" si="5"/>
        <v xml:space="preserve">∆Other Gases </v>
      </c>
      <c r="B44" s="25">
        <f ca="1">F55</f>
        <v>-931.71966735222759</v>
      </c>
      <c r="H44" s="25">
        <f ca="1">SUM(AP129:CN129)</f>
        <v>-296.29402653834677</v>
      </c>
      <c r="I44" s="249" t="s">
        <v>266</v>
      </c>
    </row>
    <row r="45" spans="1:9" x14ac:dyDescent="0.2">
      <c r="A45" t="str">
        <f t="shared" si="5"/>
        <v>Total Anthropogenic Emissions Int</v>
      </c>
      <c r="B45">
        <f t="shared" ca="1" si="5"/>
        <v>404.19886805483219</v>
      </c>
      <c r="H45" s="25">
        <f ca="1">SUM(AP128:CN128)</f>
        <v>154.98271543571479</v>
      </c>
      <c r="I45" s="249" t="s">
        <v>267</v>
      </c>
    </row>
    <row r="46" spans="1:9" x14ac:dyDescent="0.2">
      <c r="A46" t="str">
        <f t="shared" si="5"/>
        <v>Fossil CCS Int</v>
      </c>
      <c r="B46">
        <f t="shared" ca="1" si="5"/>
        <v>-345.15503569439107</v>
      </c>
      <c r="H46" s="25">
        <f ca="1">-SUM(AP144:CN144)</f>
        <v>-5.0217178542580785E-3</v>
      </c>
      <c r="I46" s="249" t="s">
        <v>347</v>
      </c>
    </row>
    <row r="47" spans="1:9" x14ac:dyDescent="0.2">
      <c r="A47" t="str">
        <f t="shared" si="5"/>
        <v>Biomass CCS Int</v>
      </c>
      <c r="B47">
        <f t="shared" ca="1" si="5"/>
        <v>-5.0217178542580785E-3</v>
      </c>
      <c r="E47" s="249"/>
      <c r="F47" s="25"/>
      <c r="G47" s="25">
        <f ca="1">G42+H43+H44+H45+H46</f>
        <v>59.038810642587656</v>
      </c>
      <c r="H47" s="250" t="s">
        <v>278</v>
      </c>
    </row>
    <row r="48" spans="1:9" x14ac:dyDescent="0.2">
      <c r="A48" t="str">
        <f t="shared" si="5"/>
        <v>Net Anthropogenic Emissions Int</v>
      </c>
      <c r="B48">
        <f t="shared" ca="1" si="5"/>
        <v>59.03881064258691</v>
      </c>
      <c r="H48" s="25">
        <f ca="1">SUM(AP135:CN135)</f>
        <v>272.26561981204998</v>
      </c>
      <c r="I48" s="249" t="s">
        <v>275</v>
      </c>
    </row>
    <row r="49" spans="5:10" x14ac:dyDescent="0.2">
      <c r="H49" s="25">
        <f ca="1">SUM(AP136:CN136)</f>
        <v>72.889415882341069</v>
      </c>
      <c r="I49" t="s">
        <v>342</v>
      </c>
    </row>
    <row r="50" spans="5:10" x14ac:dyDescent="0.2">
      <c r="H50" s="25">
        <f ca="1">SUM(AP144:CN144)</f>
        <v>5.0217178542580785E-3</v>
      </c>
      <c r="I50" s="249" t="s">
        <v>347</v>
      </c>
    </row>
    <row r="51" spans="5:10" x14ac:dyDescent="0.2">
      <c r="H51" s="25">
        <f ca="1">SUM(AP146:CN146)</f>
        <v>0</v>
      </c>
      <c r="I51" s="25" t="s">
        <v>348</v>
      </c>
    </row>
    <row r="52" spans="5:10" x14ac:dyDescent="0.2">
      <c r="E52" s="249"/>
      <c r="F52" s="25"/>
      <c r="G52" s="25">
        <f ca="1">G47+H48+H49+H50+H51</f>
        <v>404.19886805483299</v>
      </c>
      <c r="H52" s="248" t="s">
        <v>277</v>
      </c>
    </row>
    <row r="53" spans="5:10" x14ac:dyDescent="0.2">
      <c r="E53" s="249" t="s">
        <v>349</v>
      </c>
      <c r="F53" s="25">
        <f ca="1">SUM(AP108:CN108)</f>
        <v>-59.866718042828616</v>
      </c>
    </row>
    <row r="54" spans="5:10" x14ac:dyDescent="0.2">
      <c r="E54" s="249" t="s">
        <v>272</v>
      </c>
      <c r="F54" s="25">
        <f ca="1">SUM(AP109:CN109)</f>
        <v>-350.75815653669673</v>
      </c>
    </row>
    <row r="55" spans="5:10" x14ac:dyDescent="0.2">
      <c r="E55" s="249" t="s">
        <v>273</v>
      </c>
      <c r="F55" s="25">
        <f ca="1">SUM(AP110:CN110)</f>
        <v>-931.71966735222759</v>
      </c>
    </row>
    <row r="56" spans="5:10" x14ac:dyDescent="0.2">
      <c r="E56" s="248" t="s">
        <v>277</v>
      </c>
      <c r="F56" s="25">
        <f ca="1">SUM(AP140:CN140)</f>
        <v>404.19886805483219</v>
      </c>
      <c r="G56" s="25">
        <f ca="1">F14+F18+F19+F17+SUM(AP136:CN136)</f>
        <v>404.19886805483338</v>
      </c>
      <c r="H56" s="25">
        <f ca="1">F29-H30-H31-H32+F34+F35+F36+F37+F38+F39+H43+H44+H45+H46+H49+H50+H51</f>
        <v>404.19886805483299</v>
      </c>
      <c r="I56" s="25">
        <f ca="1">SUM(AP141:CN141)</f>
        <v>404.19886805483242</v>
      </c>
      <c r="J56" s="242">
        <f ca="1">I56-F56</f>
        <v>0</v>
      </c>
    </row>
    <row r="57" spans="5:10" x14ac:dyDescent="0.2">
      <c r="E57" s="212" t="s">
        <v>337</v>
      </c>
      <c r="F57" s="25">
        <f ca="1">-SUM(AP135:CN136)</f>
        <v>-345.15503569439107</v>
      </c>
      <c r="G57" s="25"/>
    </row>
    <row r="58" spans="5:10" x14ac:dyDescent="0.2">
      <c r="E58" s="249" t="s">
        <v>276</v>
      </c>
      <c r="F58" s="25">
        <f ca="1">-SUM(AP137:CN138)</f>
        <v>-5.0217178542580785E-3</v>
      </c>
    </row>
    <row r="59" spans="5:10" x14ac:dyDescent="0.2">
      <c r="E59" s="250" t="s">
        <v>278</v>
      </c>
      <c r="F59" s="25">
        <f ca="1">SUM(AP147:CN147)</f>
        <v>59.03881064258691</v>
      </c>
      <c r="G59" s="25">
        <f ca="1">G56+F57+F58</f>
        <v>59.038810642588054</v>
      </c>
      <c r="I59" s="242">
        <f ca="1">G59-F59</f>
        <v>1.1439738045737613E-12</v>
      </c>
    </row>
    <row r="60" spans="5:10" x14ac:dyDescent="0.2">
      <c r="G60" s="243"/>
    </row>
    <row r="70" spans="1:92" x14ac:dyDescent="0.2">
      <c r="D70" s="25"/>
      <c r="E70" s="25"/>
      <c r="F70" s="25"/>
      <c r="G70" s="25"/>
    </row>
    <row r="75" spans="1:92" ht="18" customHeight="1" x14ac:dyDescent="0.2">
      <c r="A75" s="21" t="s">
        <v>331</v>
      </c>
      <c r="B75" s="238">
        <v>2010</v>
      </c>
      <c r="C75" s="238">
        <v>2011</v>
      </c>
      <c r="D75" s="238">
        <v>2012</v>
      </c>
      <c r="E75" s="238">
        <v>2013</v>
      </c>
      <c r="F75" s="238">
        <v>2014</v>
      </c>
      <c r="G75" s="238">
        <v>2015</v>
      </c>
      <c r="H75" s="238">
        <v>2016</v>
      </c>
      <c r="I75" s="238">
        <v>2017</v>
      </c>
      <c r="J75" s="238">
        <v>2018</v>
      </c>
      <c r="K75" s="238">
        <v>2019</v>
      </c>
      <c r="L75" s="238">
        <v>2020</v>
      </c>
      <c r="M75" s="238">
        <v>2021</v>
      </c>
      <c r="N75" s="238">
        <v>2022</v>
      </c>
      <c r="O75" s="238">
        <v>2023</v>
      </c>
      <c r="P75" s="238">
        <v>2024</v>
      </c>
      <c r="Q75" s="238">
        <v>2025</v>
      </c>
      <c r="R75" s="238">
        <v>2026</v>
      </c>
      <c r="S75" s="238">
        <v>2027</v>
      </c>
      <c r="T75" s="238">
        <v>2028</v>
      </c>
      <c r="U75" s="238">
        <v>2029</v>
      </c>
      <c r="V75" s="238">
        <v>2030</v>
      </c>
      <c r="W75" s="238">
        <v>2031</v>
      </c>
      <c r="X75" s="238">
        <v>2032</v>
      </c>
      <c r="Y75" s="238">
        <v>2033</v>
      </c>
      <c r="Z75" s="238">
        <v>2034</v>
      </c>
      <c r="AA75" s="238">
        <v>2035</v>
      </c>
      <c r="AB75" s="238">
        <v>2036</v>
      </c>
      <c r="AC75" s="238">
        <v>2037</v>
      </c>
      <c r="AD75" s="238">
        <v>2038</v>
      </c>
      <c r="AE75" s="238">
        <v>2039</v>
      </c>
      <c r="AF75" s="238">
        <v>2040</v>
      </c>
      <c r="AG75" s="238">
        <v>2041</v>
      </c>
      <c r="AH75" s="238">
        <v>2042</v>
      </c>
      <c r="AI75" s="238">
        <v>2043</v>
      </c>
      <c r="AJ75" s="238">
        <v>2044</v>
      </c>
      <c r="AK75" s="238">
        <v>2045</v>
      </c>
      <c r="AL75" s="238">
        <v>2046</v>
      </c>
      <c r="AM75" s="238">
        <v>2047</v>
      </c>
      <c r="AN75" s="238">
        <v>2048</v>
      </c>
      <c r="AO75" s="238">
        <v>2049</v>
      </c>
      <c r="AP75" s="238">
        <v>2050</v>
      </c>
      <c r="AQ75" s="238">
        <v>2051</v>
      </c>
      <c r="AR75" s="238">
        <v>2052</v>
      </c>
      <c r="AS75" s="238">
        <v>2053</v>
      </c>
      <c r="AT75" s="238">
        <v>2054</v>
      </c>
      <c r="AU75" s="238">
        <v>2055</v>
      </c>
      <c r="AV75" s="238">
        <v>2056</v>
      </c>
      <c r="AW75" s="238">
        <v>2057</v>
      </c>
      <c r="AX75" s="238">
        <v>2058</v>
      </c>
      <c r="AY75" s="238">
        <v>2059</v>
      </c>
      <c r="AZ75" s="238">
        <v>2060</v>
      </c>
      <c r="BA75" s="238">
        <v>2061</v>
      </c>
      <c r="BB75" s="238">
        <v>2062</v>
      </c>
      <c r="BC75" s="238">
        <v>2063</v>
      </c>
      <c r="BD75" s="238">
        <v>2064</v>
      </c>
      <c r="BE75" s="238">
        <v>2065</v>
      </c>
      <c r="BF75" s="238">
        <v>2066</v>
      </c>
      <c r="BG75" s="238">
        <v>2067</v>
      </c>
      <c r="BH75" s="238">
        <v>2068</v>
      </c>
      <c r="BI75" s="238">
        <v>2069</v>
      </c>
      <c r="BJ75" s="238">
        <v>2070</v>
      </c>
      <c r="BK75" s="238">
        <v>2071</v>
      </c>
      <c r="BL75" s="238">
        <v>2072</v>
      </c>
      <c r="BM75" s="238">
        <v>2073</v>
      </c>
      <c r="BN75" s="238">
        <v>2074</v>
      </c>
      <c r="BO75" s="238">
        <v>2075</v>
      </c>
      <c r="BP75" s="238">
        <v>2076</v>
      </c>
      <c r="BQ75" s="238">
        <v>2077</v>
      </c>
      <c r="BR75" s="238">
        <v>2078</v>
      </c>
      <c r="BS75" s="238">
        <v>2079</v>
      </c>
      <c r="BT75" s="238">
        <v>2080</v>
      </c>
      <c r="BU75" s="238">
        <v>2081</v>
      </c>
      <c r="BV75" s="238">
        <v>2082</v>
      </c>
      <c r="BW75" s="238">
        <v>2083</v>
      </c>
      <c r="BX75" s="238">
        <v>2084</v>
      </c>
      <c r="BY75" s="238">
        <v>2085</v>
      </c>
      <c r="BZ75" s="238">
        <v>2086</v>
      </c>
      <c r="CA75" s="238">
        <v>2087</v>
      </c>
      <c r="CB75" s="238">
        <v>2088</v>
      </c>
      <c r="CC75" s="238">
        <v>2089</v>
      </c>
      <c r="CD75" s="238">
        <v>2090</v>
      </c>
      <c r="CE75" s="238">
        <v>2091</v>
      </c>
      <c r="CF75" s="238">
        <v>2092</v>
      </c>
      <c r="CG75" s="238">
        <v>2093</v>
      </c>
      <c r="CH75" s="238">
        <v>2094</v>
      </c>
      <c r="CI75" s="238">
        <v>2095</v>
      </c>
      <c r="CJ75" s="238">
        <v>2096</v>
      </c>
      <c r="CK75" s="238">
        <v>2097</v>
      </c>
      <c r="CL75" s="238">
        <v>2098</v>
      </c>
      <c r="CM75" s="238">
        <v>2099</v>
      </c>
      <c r="CN75" s="238">
        <v>2100</v>
      </c>
    </row>
    <row r="76" spans="1:92" ht="18" customHeight="1" x14ac:dyDescent="0.2">
      <c r="A76" s="238" t="str">
        <f>ExpKayaRatiosRef!A2</f>
        <v>P</v>
      </c>
      <c r="B76" s="238">
        <f ca="1">ExpKayaRatiosRef!E2</f>
        <v>6.9217978520000001</v>
      </c>
      <c r="C76">
        <f t="shared" ref="C76:K81" ca="1" si="6">B76+($L76-$B76)/($L$75-$B$75)</f>
        <v>6.9967682620999998</v>
      </c>
      <c r="D76">
        <f t="shared" ca="1" si="6"/>
        <v>7.0717386721999995</v>
      </c>
      <c r="E76">
        <f t="shared" ca="1" si="6"/>
        <v>7.1467090822999992</v>
      </c>
      <c r="F76">
        <f t="shared" ca="1" si="6"/>
        <v>7.221679492399999</v>
      </c>
      <c r="G76">
        <f t="shared" ca="1" si="6"/>
        <v>7.2966499024999987</v>
      </c>
      <c r="H76">
        <f t="shared" ca="1" si="6"/>
        <v>7.3716203125999984</v>
      </c>
      <c r="I76">
        <f t="shared" ca="1" si="6"/>
        <v>7.4465907226999981</v>
      </c>
      <c r="J76">
        <f t="shared" ca="1" si="6"/>
        <v>7.5215611327999978</v>
      </c>
      <c r="K76">
        <f t="shared" ca="1" si="6"/>
        <v>7.5965315428999975</v>
      </c>
      <c r="L76" s="238">
        <f ca="1">ExpKayaRatiosRef!F2</f>
        <v>7.6715019529999999</v>
      </c>
      <c r="M76">
        <f ca="1">L76+($V76-$L76)/($V$75-$L$75)</f>
        <v>7.7371200193999998</v>
      </c>
      <c r="N76">
        <f t="shared" ref="N76:U76" ca="1" si="7">M76+($V76-$L76)/($V$75-$L$75)</f>
        <v>7.8027380857999997</v>
      </c>
      <c r="O76">
        <f t="shared" ca="1" si="7"/>
        <v>7.8683561521999996</v>
      </c>
      <c r="P76">
        <f t="shared" ca="1" si="7"/>
        <v>7.9339742185999995</v>
      </c>
      <c r="Q76">
        <f t="shared" ca="1" si="7"/>
        <v>7.9995922849999994</v>
      </c>
      <c r="R76">
        <f t="shared" ca="1" si="7"/>
        <v>8.0652103513999993</v>
      </c>
      <c r="S76">
        <f t="shared" ca="1" si="7"/>
        <v>8.1308284178000001</v>
      </c>
      <c r="T76">
        <f t="shared" ca="1" si="7"/>
        <v>8.1964464842000009</v>
      </c>
      <c r="U76">
        <f t="shared" ca="1" si="7"/>
        <v>8.2620645506000017</v>
      </c>
      <c r="V76" s="238">
        <f ca="1">ExpKayaRatiosRef!G2</f>
        <v>8.3276826170000007</v>
      </c>
      <c r="W76">
        <f ca="1">V76+($AF76-$V76)/($AF$75-$V$75)</f>
        <v>8.3806319334000001</v>
      </c>
      <c r="X76">
        <f t="shared" ref="X76:AE76" ca="1" si="8">W76+($AF76-$V76)/($AF$75-$V$75)</f>
        <v>8.4335812497999996</v>
      </c>
      <c r="Y76">
        <f t="shared" ca="1" si="8"/>
        <v>8.486530566199999</v>
      </c>
      <c r="Z76">
        <f t="shared" ca="1" si="8"/>
        <v>8.5394798825999985</v>
      </c>
      <c r="AA76">
        <f t="shared" ca="1" si="8"/>
        <v>8.5924291989999979</v>
      </c>
      <c r="AB76">
        <f t="shared" ca="1" si="8"/>
        <v>8.6453785153999974</v>
      </c>
      <c r="AC76">
        <f t="shared" ca="1" si="8"/>
        <v>8.6983278317999968</v>
      </c>
      <c r="AD76">
        <f t="shared" ca="1" si="8"/>
        <v>8.7512771481999962</v>
      </c>
      <c r="AE76">
        <f t="shared" ca="1" si="8"/>
        <v>8.8042264645999957</v>
      </c>
      <c r="AF76" s="238">
        <f ca="1">ExpKayaRatiosRef!H2</f>
        <v>8.8571757810000005</v>
      </c>
      <c r="AG76">
        <f ca="1">AF76+($AP76-$AF76)/($AP$75-$AF$75)</f>
        <v>8.8957124998000001</v>
      </c>
      <c r="AH76">
        <f ca="1">AG76+($AP76-$AF76)/($AP$75-$AF$75)</f>
        <v>8.9342492185999998</v>
      </c>
      <c r="AI76">
        <f t="shared" ref="AI76:AO76" ca="1" si="9">AH76+($AP76-$AF76)/($AP$75-$AF$75)</f>
        <v>8.9727859373999994</v>
      </c>
      <c r="AJ76">
        <f t="shared" ca="1" si="9"/>
        <v>9.0113226561999991</v>
      </c>
      <c r="AK76">
        <f t="shared" ca="1" si="9"/>
        <v>9.0498593749999987</v>
      </c>
      <c r="AL76">
        <f t="shared" ca="1" si="9"/>
        <v>9.0883960937999984</v>
      </c>
      <c r="AM76">
        <f t="shared" ca="1" si="9"/>
        <v>9.126932812599998</v>
      </c>
      <c r="AN76">
        <f t="shared" ca="1" si="9"/>
        <v>9.1654695313999976</v>
      </c>
      <c r="AO76">
        <f t="shared" ca="1" si="9"/>
        <v>9.2040062501999973</v>
      </c>
      <c r="AP76" s="238">
        <f ca="1">ExpKayaRatiosRef!I2</f>
        <v>9.2425429690000005</v>
      </c>
      <c r="AQ76">
        <f ca="1">AP76+($AZ76-$AP76)/($AZ$75-$AP$75)</f>
        <v>9.2642854494000009</v>
      </c>
      <c r="AR76">
        <f t="shared" ref="AR76:AY76" ca="1" si="10">AQ76+($BA76-$AP76)/($BA$75-$AP$75)</f>
        <v>9.2846979493454551</v>
      </c>
      <c r="AS76">
        <f t="shared" ca="1" si="10"/>
        <v>9.3051104492909094</v>
      </c>
      <c r="AT76">
        <f t="shared" ca="1" si="10"/>
        <v>9.3255229492363636</v>
      </c>
      <c r="AU76">
        <f t="shared" ca="1" si="10"/>
        <v>9.3459354491818178</v>
      </c>
      <c r="AV76">
        <f t="shared" ca="1" si="10"/>
        <v>9.3663479491272721</v>
      </c>
      <c r="AW76">
        <f t="shared" ca="1" si="10"/>
        <v>9.3867604490727263</v>
      </c>
      <c r="AX76">
        <f t="shared" ca="1" si="10"/>
        <v>9.4071729490181806</v>
      </c>
      <c r="AY76">
        <f t="shared" ca="1" si="10"/>
        <v>9.4275854489636348</v>
      </c>
      <c r="AZ76" s="238">
        <f ca="1">ExpKayaRatiosRef!J2</f>
        <v>9.4599677730000007</v>
      </c>
      <c r="BA76">
        <f ca="1">AZ76+($BJ76-$AZ76)/($BJ$75-$AZ$75)</f>
        <v>9.4670804684000007</v>
      </c>
      <c r="BB76">
        <f t="shared" ref="BB76:BI76" ca="1" si="11">BA76+($BJ76-$AZ76)/($BJ$75-$AZ$75)</f>
        <v>9.4741931638000008</v>
      </c>
      <c r="BC76">
        <f t="shared" ca="1" si="11"/>
        <v>9.4813058592000008</v>
      </c>
      <c r="BD76">
        <f t="shared" ca="1" si="11"/>
        <v>9.4884185546000008</v>
      </c>
      <c r="BE76">
        <f t="shared" ca="1" si="11"/>
        <v>9.4955312500000009</v>
      </c>
      <c r="BF76">
        <f t="shared" ca="1" si="11"/>
        <v>9.5026439454000009</v>
      </c>
      <c r="BG76">
        <f t="shared" ca="1" si="11"/>
        <v>9.5097566408000009</v>
      </c>
      <c r="BH76">
        <f t="shared" ca="1" si="11"/>
        <v>9.516869336200001</v>
      </c>
      <c r="BI76">
        <f t="shared" ca="1" si="11"/>
        <v>9.523982031600001</v>
      </c>
      <c r="BJ76" s="238">
        <f ca="1">ExpKayaRatiosRef!K2</f>
        <v>9.5310947269999993</v>
      </c>
      <c r="BK76">
        <f ca="1">BJ76+($BT76-$BJ76)/($BT$75-$BJ$75)</f>
        <v>9.5260080081999998</v>
      </c>
      <c r="BL76">
        <f t="shared" ref="BL76:BS76" ca="1" si="12">BK76+($BT76-$BJ76)/($BT$75-$BJ$75)</f>
        <v>9.5209212894000004</v>
      </c>
      <c r="BM76">
        <f t="shared" ca="1" si="12"/>
        <v>9.5158345706000009</v>
      </c>
      <c r="BN76">
        <f t="shared" ca="1" si="12"/>
        <v>9.5107478518000015</v>
      </c>
      <c r="BO76">
        <f t="shared" ca="1" si="12"/>
        <v>9.505661133000002</v>
      </c>
      <c r="BP76">
        <f ca="1">BO76+($BT76-$BJ76)/($BT$75-$BJ$75)</f>
        <v>9.5005744142000026</v>
      </c>
      <c r="BQ76">
        <f t="shared" ca="1" si="12"/>
        <v>9.4954876954000031</v>
      </c>
      <c r="BR76">
        <f t="shared" ca="1" si="12"/>
        <v>9.4904009766000037</v>
      </c>
      <c r="BS76">
        <f t="shared" ca="1" si="12"/>
        <v>9.4853142578000043</v>
      </c>
      <c r="BT76" s="238">
        <f ca="1">ExpKayaRatiosRef!L2</f>
        <v>9.4802275389999995</v>
      </c>
      <c r="BU76">
        <f ca="1">BT76+($CD76-$BT76)/($CD$75-$BT$75)</f>
        <v>9.464775488199999</v>
      </c>
      <c r="BV76">
        <f t="shared" ref="BV76:CC76" ca="1" si="13">BU76+($CD76-$BT76)/($CD$75-$BT$75)</f>
        <v>9.4493234373999986</v>
      </c>
      <c r="BW76">
        <f t="shared" ca="1" si="13"/>
        <v>9.4338713865999981</v>
      </c>
      <c r="BX76">
        <f t="shared" ca="1" si="13"/>
        <v>9.4184193357999977</v>
      </c>
      <c r="BY76">
        <f t="shared" ca="1" si="13"/>
        <v>9.4029672849999972</v>
      </c>
      <c r="BZ76">
        <f t="shared" ca="1" si="13"/>
        <v>9.3875152341999968</v>
      </c>
      <c r="CA76">
        <f t="shared" ca="1" si="13"/>
        <v>9.3720631833999963</v>
      </c>
      <c r="CB76">
        <f t="shared" ca="1" si="13"/>
        <v>9.3566111325999959</v>
      </c>
      <c r="CC76">
        <f t="shared" ca="1" si="13"/>
        <v>9.3411590817999954</v>
      </c>
      <c r="CD76" s="238">
        <f ca="1">ExpKayaRatiosRef!M2</f>
        <v>9.3257070310000003</v>
      </c>
      <c r="CE76">
        <f ca="1">CD76+($CN76-$CD76)/($CN$75-$CD$75)</f>
        <v>9.3034597653999995</v>
      </c>
      <c r="CF76">
        <f t="shared" ref="CF76:CM76" ca="1" si="14">CE76+($CN76-$CD76)/($CN$75-$CD$75)</f>
        <v>9.2812124997999987</v>
      </c>
      <c r="CG76">
        <f t="shared" ca="1" si="14"/>
        <v>9.258965234199998</v>
      </c>
      <c r="CH76">
        <f t="shared" ca="1" si="14"/>
        <v>9.2367179685999972</v>
      </c>
      <c r="CI76">
        <f t="shared" ca="1" si="14"/>
        <v>9.2144707029999964</v>
      </c>
      <c r="CJ76">
        <f t="shared" ca="1" si="14"/>
        <v>9.1922234373999956</v>
      </c>
      <c r="CK76">
        <f t="shared" ca="1" si="14"/>
        <v>9.1699761717999948</v>
      </c>
      <c r="CL76">
        <f t="shared" ca="1" si="14"/>
        <v>9.147728906199994</v>
      </c>
      <c r="CM76">
        <f t="shared" ca="1" si="14"/>
        <v>9.1254816405999932</v>
      </c>
      <c r="CN76" s="238">
        <f ca="1">ExpKayaRatiosRef!N2</f>
        <v>9.1032343749999995</v>
      </c>
    </row>
    <row r="77" spans="1:92" ht="18" customHeight="1" x14ac:dyDescent="0.2">
      <c r="A77" s="238" t="str">
        <f>ExpKayaRatiosRef!A3</f>
        <v>GNP/P</v>
      </c>
      <c r="B77" s="238">
        <f ca="1">ExpKayaRatiosRef!E3</f>
        <v>10879.842592952973</v>
      </c>
      <c r="C77">
        <f t="shared" ca="1" si="6"/>
        <v>11248.710252417788</v>
      </c>
      <c r="D77">
        <f t="shared" ca="1" si="6"/>
        <v>11617.577911882603</v>
      </c>
      <c r="E77">
        <f t="shared" ca="1" si="6"/>
        <v>11986.445571347418</v>
      </c>
      <c r="F77">
        <f t="shared" ca="1" si="6"/>
        <v>12355.313230812233</v>
      </c>
      <c r="G77">
        <f t="shared" ca="1" si="6"/>
        <v>12724.180890277048</v>
      </c>
      <c r="H77">
        <f t="shared" ca="1" si="6"/>
        <v>13093.048549741863</v>
      </c>
      <c r="I77">
        <f t="shared" ca="1" si="6"/>
        <v>13461.916209206678</v>
      </c>
      <c r="J77">
        <f t="shared" ca="1" si="6"/>
        <v>13830.783868671493</v>
      </c>
      <c r="K77">
        <f t="shared" ca="1" si="6"/>
        <v>14199.651528136308</v>
      </c>
      <c r="L77" s="238">
        <f ca="1">ExpKayaRatiosRef!F3</f>
        <v>14568.519187601125</v>
      </c>
      <c r="M77">
        <f t="shared" ref="M77:U81" ca="1" si="15">L77+($V77-$L77)/($V$75-$L$75)</f>
        <v>15024.494693061279</v>
      </c>
      <c r="N77">
        <f t="shared" ca="1" si="15"/>
        <v>15480.470198521432</v>
      </c>
      <c r="O77">
        <f t="shared" ca="1" si="15"/>
        <v>15936.445703981586</v>
      </c>
      <c r="P77">
        <f t="shared" ca="1" si="15"/>
        <v>16392.421209441742</v>
      </c>
      <c r="Q77">
        <f t="shared" ca="1" si="15"/>
        <v>16848.396714901897</v>
      </c>
      <c r="R77">
        <f t="shared" ca="1" si="15"/>
        <v>17304.372220362053</v>
      </c>
      <c r="S77">
        <f t="shared" ca="1" si="15"/>
        <v>17760.347725822208</v>
      </c>
      <c r="T77">
        <f t="shared" ca="1" si="15"/>
        <v>18216.323231282364</v>
      </c>
      <c r="U77">
        <f t="shared" ca="1" si="15"/>
        <v>18672.298736742519</v>
      </c>
      <c r="V77" s="238">
        <f ca="1">ExpKayaRatiosRef!G3</f>
        <v>19128.274242202668</v>
      </c>
      <c r="W77">
        <f t="shared" ref="W77:AE81" ca="1" si="16">V77+($AF77-$V77)/($AF$75-$V$75)</f>
        <v>19556.444199391375</v>
      </c>
      <c r="X77">
        <f t="shared" ca="1" si="16"/>
        <v>19984.614156580083</v>
      </c>
      <c r="Y77">
        <f t="shared" ca="1" si="16"/>
        <v>20412.78411376879</v>
      </c>
      <c r="Z77">
        <f t="shared" ca="1" si="16"/>
        <v>20840.954070957498</v>
      </c>
      <c r="AA77">
        <f t="shared" ca="1" si="16"/>
        <v>21269.124028146205</v>
      </c>
      <c r="AB77">
        <f t="shared" ca="1" si="16"/>
        <v>21697.293985334913</v>
      </c>
      <c r="AC77">
        <f t="shared" ca="1" si="16"/>
        <v>22125.46394252362</v>
      </c>
      <c r="AD77">
        <f t="shared" ca="1" si="16"/>
        <v>22553.633899712328</v>
      </c>
      <c r="AE77">
        <f t="shared" ca="1" si="16"/>
        <v>22981.803856901035</v>
      </c>
      <c r="AF77" s="238">
        <f ca="1">ExpKayaRatiosRef!H3</f>
        <v>23409.973814089757</v>
      </c>
      <c r="AG77">
        <f t="shared" ref="AG77:AO81" ca="1" si="17">AF77+($AP77-$AF77)/($AP$75-$AF$75)</f>
        <v>23856.464116147563</v>
      </c>
      <c r="AH77">
        <f t="shared" ca="1" si="17"/>
        <v>24302.954418205369</v>
      </c>
      <c r="AI77">
        <f t="shared" ca="1" si="17"/>
        <v>24749.444720263175</v>
      </c>
      <c r="AJ77">
        <f t="shared" ca="1" si="17"/>
        <v>25195.93502232098</v>
      </c>
      <c r="AK77">
        <f t="shared" ca="1" si="17"/>
        <v>25642.425324378786</v>
      </c>
      <c r="AL77">
        <f t="shared" ca="1" si="17"/>
        <v>26088.915626436592</v>
      </c>
      <c r="AM77">
        <f t="shared" ca="1" si="17"/>
        <v>26535.405928494398</v>
      </c>
      <c r="AN77">
        <f t="shared" ca="1" si="17"/>
        <v>26981.896230552204</v>
      </c>
      <c r="AO77">
        <f t="shared" ca="1" si="17"/>
        <v>27428.386532610009</v>
      </c>
      <c r="AP77" s="238">
        <f ca="1">ExpKayaRatiosRef!I3</f>
        <v>27874.876834667815</v>
      </c>
      <c r="AQ77">
        <f t="shared" ref="AQ77:AY81" ca="1" si="18">AP77+($BA77-$AP77)/($BA$75-$AP$75)</f>
        <v>28391.15502178582</v>
      </c>
      <c r="AR77">
        <f t="shared" ca="1" si="18"/>
        <v>28907.433208903825</v>
      </c>
      <c r="AS77">
        <f t="shared" ca="1" si="18"/>
        <v>29423.71139602183</v>
      </c>
      <c r="AT77">
        <f t="shared" ca="1" si="18"/>
        <v>29939.989583139835</v>
      </c>
      <c r="AU77">
        <f t="shared" ca="1" si="18"/>
        <v>30456.26777025784</v>
      </c>
      <c r="AV77">
        <f t="shared" ca="1" si="18"/>
        <v>30972.545957375845</v>
      </c>
      <c r="AW77">
        <f t="shared" ca="1" si="18"/>
        <v>31488.82414449385</v>
      </c>
      <c r="AX77">
        <f t="shared" ca="1" si="18"/>
        <v>32005.102331611855</v>
      </c>
      <c r="AY77">
        <f t="shared" ca="1" si="18"/>
        <v>32521.38051872986</v>
      </c>
      <c r="AZ77" s="238">
        <f ca="1">ExpKayaRatiosRef!J3</f>
        <v>32936.227752199971</v>
      </c>
      <c r="BA77">
        <f t="shared" ref="BA77:BI81" ca="1" si="19">AZ77+($BJ77-$AZ77)/($BJ$75-$AZ$75)</f>
        <v>33553.936892965874</v>
      </c>
      <c r="BB77">
        <f t="shared" ca="1" si="19"/>
        <v>34171.646033731777</v>
      </c>
      <c r="BC77">
        <f t="shared" ca="1" si="19"/>
        <v>34789.355174497679</v>
      </c>
      <c r="BD77">
        <f t="shared" ca="1" si="19"/>
        <v>35407.064315263582</v>
      </c>
      <c r="BE77">
        <f t="shared" ca="1" si="19"/>
        <v>36024.773456029485</v>
      </c>
      <c r="BF77">
        <f t="shared" ca="1" si="19"/>
        <v>36642.482596795388</v>
      </c>
      <c r="BG77">
        <f t="shared" ca="1" si="19"/>
        <v>37260.19173756129</v>
      </c>
      <c r="BH77">
        <f t="shared" ca="1" si="19"/>
        <v>37877.900878327193</v>
      </c>
      <c r="BI77">
        <f t="shared" ca="1" si="19"/>
        <v>38495.610019093096</v>
      </c>
      <c r="BJ77" s="238">
        <f ca="1">ExpKayaRatiosRef!K3</f>
        <v>39113.319159858984</v>
      </c>
      <c r="BK77">
        <f t="shared" ref="BK77:BS81" ca="1" si="20">BJ77+($BT77-$BJ77)/($BT$75-$BJ$75)</f>
        <v>39839.612778611845</v>
      </c>
      <c r="BL77">
        <f t="shared" ca="1" si="20"/>
        <v>40565.906397364706</v>
      </c>
      <c r="BM77">
        <f t="shared" ca="1" si="20"/>
        <v>41292.200016117567</v>
      </c>
      <c r="BN77">
        <f t="shared" ca="1" si="20"/>
        <v>42018.493634870429</v>
      </c>
      <c r="BO77">
        <f t="shared" ca="1" si="20"/>
        <v>42744.78725362329</v>
      </c>
      <c r="BP77">
        <f t="shared" ca="1" si="20"/>
        <v>43471.080872376151</v>
      </c>
      <c r="BQ77">
        <f t="shared" ca="1" si="20"/>
        <v>44197.374491129012</v>
      </c>
      <c r="BR77">
        <f t="shared" ca="1" si="20"/>
        <v>44923.668109881874</v>
      </c>
      <c r="BS77">
        <f t="shared" ca="1" si="20"/>
        <v>45649.961728634735</v>
      </c>
      <c r="BT77" s="238">
        <f ca="1">ExpKayaRatiosRef!L3</f>
        <v>46376.255347387611</v>
      </c>
      <c r="BU77">
        <f t="shared" ref="BU77:CC81" ca="1" si="21">BT77+($CD77-$BT77)/($CD$75-$BT$75)</f>
        <v>47235.450505128094</v>
      </c>
      <c r="BV77">
        <f t="shared" ca="1" si="21"/>
        <v>48094.645662868577</v>
      </c>
      <c r="BW77">
        <f t="shared" ca="1" si="21"/>
        <v>48953.840820609061</v>
      </c>
      <c r="BX77">
        <f t="shared" ca="1" si="21"/>
        <v>49813.035978349544</v>
      </c>
      <c r="BY77">
        <f t="shared" ca="1" si="21"/>
        <v>50672.231136090028</v>
      </c>
      <c r="BZ77">
        <f t="shared" ca="1" si="21"/>
        <v>51531.426293830511</v>
      </c>
      <c r="CA77">
        <f t="shared" ca="1" si="21"/>
        <v>52390.621451570994</v>
      </c>
      <c r="CB77">
        <f t="shared" ca="1" si="21"/>
        <v>53249.816609311478</v>
      </c>
      <c r="CC77">
        <f t="shared" ca="1" si="21"/>
        <v>54109.011767051961</v>
      </c>
      <c r="CD77" s="238">
        <f ca="1">ExpKayaRatiosRef!M3</f>
        <v>54968.206924792466</v>
      </c>
      <c r="CE77">
        <f t="shared" ref="CE77:CM81" ca="1" si="22">CD77+($CN77-$CD77)/($CN$75-$CD$75)</f>
        <v>55975.343376666104</v>
      </c>
      <c r="CF77">
        <f t="shared" ca="1" si="22"/>
        <v>56982.479828539741</v>
      </c>
      <c r="CG77">
        <f t="shared" ca="1" si="22"/>
        <v>57989.616280413378</v>
      </c>
      <c r="CH77">
        <f t="shared" ca="1" si="22"/>
        <v>58996.752732287016</v>
      </c>
      <c r="CI77">
        <f t="shared" ca="1" si="22"/>
        <v>60003.889184160653</v>
      </c>
      <c r="CJ77">
        <f t="shared" ca="1" si="22"/>
        <v>61011.02563603429</v>
      </c>
      <c r="CK77">
        <f t="shared" ca="1" si="22"/>
        <v>62018.162087907927</v>
      </c>
      <c r="CL77">
        <f t="shared" ca="1" si="22"/>
        <v>63025.298539781565</v>
      </c>
      <c r="CM77">
        <f t="shared" ca="1" si="22"/>
        <v>64032.434991655202</v>
      </c>
      <c r="CN77" s="238">
        <f ca="1">ExpKayaRatiosRef!N3</f>
        <v>65039.571443528832</v>
      </c>
    </row>
    <row r="78" spans="1:92" ht="18" customHeight="1" x14ac:dyDescent="0.2">
      <c r="A78" s="238" t="str">
        <f>ExpKayaRatiosRef!A4</f>
        <v>FE/GNP</v>
      </c>
      <c r="B78" s="238">
        <f ca="1">ExpKayaRatiosRef!E4</f>
        <v>4.8881986641254178</v>
      </c>
      <c r="C78">
        <f t="shared" ca="1" si="6"/>
        <v>4.7778878649205225</v>
      </c>
      <c r="D78">
        <f t="shared" ca="1" si="6"/>
        <v>4.6675770657156272</v>
      </c>
      <c r="E78">
        <f t="shared" ca="1" si="6"/>
        <v>4.557266266510732</v>
      </c>
      <c r="F78">
        <f t="shared" ca="1" si="6"/>
        <v>4.4469554673058367</v>
      </c>
      <c r="G78">
        <f t="shared" ca="1" si="6"/>
        <v>4.3366446681009414</v>
      </c>
      <c r="H78">
        <f t="shared" ca="1" si="6"/>
        <v>4.2263338688960461</v>
      </c>
      <c r="I78">
        <f t="shared" ca="1" si="6"/>
        <v>4.1160230696911508</v>
      </c>
      <c r="J78">
        <f t="shared" ca="1" si="6"/>
        <v>4.0057122704862556</v>
      </c>
      <c r="K78">
        <f t="shared" ca="1" si="6"/>
        <v>3.8954014712813598</v>
      </c>
      <c r="L78" s="238">
        <f ca="1">ExpKayaRatiosRef!F4</f>
        <v>3.785090672076461</v>
      </c>
      <c r="M78">
        <f t="shared" ca="1" si="15"/>
        <v>3.7075483714742341</v>
      </c>
      <c r="N78">
        <f t="shared" ca="1" si="15"/>
        <v>3.6300060708720072</v>
      </c>
      <c r="O78">
        <f t="shared" ca="1" si="15"/>
        <v>3.5524637702697803</v>
      </c>
      <c r="P78">
        <f t="shared" ca="1" si="15"/>
        <v>3.4749214696675534</v>
      </c>
      <c r="Q78">
        <f t="shared" ca="1" si="15"/>
        <v>3.3973791690653266</v>
      </c>
      <c r="R78">
        <f t="shared" ca="1" si="15"/>
        <v>3.3198368684630997</v>
      </c>
      <c r="S78">
        <f t="shared" ca="1" si="15"/>
        <v>3.2422945678608728</v>
      </c>
      <c r="T78">
        <f t="shared" ca="1" si="15"/>
        <v>3.1647522672586459</v>
      </c>
      <c r="U78">
        <f t="shared" ca="1" si="15"/>
        <v>3.087209966656419</v>
      </c>
      <c r="V78" s="238">
        <f ca="1">ExpKayaRatiosRef!G4</f>
        <v>3.0096676660541926</v>
      </c>
      <c r="W78">
        <f t="shared" ca="1" si="16"/>
        <v>2.9700732979838111</v>
      </c>
      <c r="X78">
        <f t="shared" ca="1" si="16"/>
        <v>2.9304789299134297</v>
      </c>
      <c r="Y78">
        <f t="shared" ca="1" si="16"/>
        <v>2.8908845618430483</v>
      </c>
      <c r="Z78">
        <f t="shared" ca="1" si="16"/>
        <v>2.8512901937726669</v>
      </c>
      <c r="AA78">
        <f t="shared" ca="1" si="16"/>
        <v>2.8116958257022855</v>
      </c>
      <c r="AB78">
        <f t="shared" ca="1" si="16"/>
        <v>2.7721014576319041</v>
      </c>
      <c r="AC78">
        <f t="shared" ca="1" si="16"/>
        <v>2.7325070895615227</v>
      </c>
      <c r="AD78">
        <f t="shared" ca="1" si="16"/>
        <v>2.6929127214911412</v>
      </c>
      <c r="AE78">
        <f t="shared" ca="1" si="16"/>
        <v>2.6533183534207598</v>
      </c>
      <c r="AF78" s="238">
        <f ca="1">ExpKayaRatiosRef!H4</f>
        <v>2.6137239853503771</v>
      </c>
      <c r="AG78">
        <f t="shared" ca="1" si="17"/>
        <v>2.5860051194786386</v>
      </c>
      <c r="AH78">
        <f t="shared" ca="1" si="17"/>
        <v>2.5582862536069002</v>
      </c>
      <c r="AI78">
        <f t="shared" ca="1" si="17"/>
        <v>2.5305673877351618</v>
      </c>
      <c r="AJ78">
        <f t="shared" ca="1" si="17"/>
        <v>2.5028485218634233</v>
      </c>
      <c r="AK78">
        <f t="shared" ca="1" si="17"/>
        <v>2.4751296559916849</v>
      </c>
      <c r="AL78">
        <f t="shared" ca="1" si="17"/>
        <v>2.4474107901199464</v>
      </c>
      <c r="AM78">
        <f t="shared" ca="1" si="17"/>
        <v>2.419691924248208</v>
      </c>
      <c r="AN78">
        <f t="shared" ca="1" si="17"/>
        <v>2.3919730583764696</v>
      </c>
      <c r="AO78">
        <f t="shared" ca="1" si="17"/>
        <v>2.3642541925047311</v>
      </c>
      <c r="AP78" s="238">
        <f ca="1">ExpKayaRatiosRef!I4</f>
        <v>2.3365353266329931</v>
      </c>
      <c r="AQ78">
        <f t="shared" ca="1" si="18"/>
        <v>2.3161625571698581</v>
      </c>
      <c r="AR78">
        <f t="shared" ca="1" si="18"/>
        <v>2.295789787706723</v>
      </c>
      <c r="AS78">
        <f t="shared" ca="1" si="18"/>
        <v>2.275417018243588</v>
      </c>
      <c r="AT78">
        <f t="shared" ca="1" si="18"/>
        <v>2.255044248780453</v>
      </c>
      <c r="AU78">
        <f t="shared" ca="1" si="18"/>
        <v>2.2346714793173179</v>
      </c>
      <c r="AV78">
        <f t="shared" ca="1" si="18"/>
        <v>2.2142987098541829</v>
      </c>
      <c r="AW78">
        <f t="shared" ca="1" si="18"/>
        <v>2.1939259403910478</v>
      </c>
      <c r="AX78">
        <f t="shared" ca="1" si="18"/>
        <v>2.1735531709279128</v>
      </c>
      <c r="AY78">
        <f t="shared" ca="1" si="18"/>
        <v>2.1531804014647777</v>
      </c>
      <c r="AZ78" s="238">
        <f ca="1">ExpKayaRatiosRef!J4</f>
        <v>2.1328361375101297</v>
      </c>
      <c r="BA78">
        <f t="shared" ca="1" si="19"/>
        <v>2.1124348625385054</v>
      </c>
      <c r="BB78">
        <f t="shared" ca="1" si="19"/>
        <v>2.0920335875668812</v>
      </c>
      <c r="BC78">
        <f t="shared" ca="1" si="19"/>
        <v>2.0716323125952569</v>
      </c>
      <c r="BD78">
        <f t="shared" ca="1" si="19"/>
        <v>2.0512310376236327</v>
      </c>
      <c r="BE78">
        <f t="shared" ca="1" si="19"/>
        <v>2.0308297626520084</v>
      </c>
      <c r="BF78">
        <f t="shared" ca="1" si="19"/>
        <v>2.0104284876803842</v>
      </c>
      <c r="BG78">
        <f t="shared" ca="1" si="19"/>
        <v>1.9900272127087599</v>
      </c>
      <c r="BH78">
        <f t="shared" ca="1" si="19"/>
        <v>1.9696259377371357</v>
      </c>
      <c r="BI78">
        <f t="shared" ca="1" si="19"/>
        <v>1.9492246627655114</v>
      </c>
      <c r="BJ78" s="238">
        <f ca="1">ExpKayaRatiosRef!K4</f>
        <v>1.9288233877938881</v>
      </c>
      <c r="BK78">
        <f t="shared" ca="1" si="20"/>
        <v>1.9100527056241026</v>
      </c>
      <c r="BL78">
        <f t="shared" ca="1" si="20"/>
        <v>1.8912820234543171</v>
      </c>
      <c r="BM78">
        <f t="shared" ca="1" si="20"/>
        <v>1.8725113412845316</v>
      </c>
      <c r="BN78">
        <f t="shared" ca="1" si="20"/>
        <v>1.8537406591147461</v>
      </c>
      <c r="BO78">
        <f t="shared" ca="1" si="20"/>
        <v>1.8349699769449606</v>
      </c>
      <c r="BP78">
        <f t="shared" ca="1" si="20"/>
        <v>1.8161992947751751</v>
      </c>
      <c r="BQ78">
        <f t="shared" ca="1" si="20"/>
        <v>1.7974286126053896</v>
      </c>
      <c r="BR78">
        <f t="shared" ca="1" si="20"/>
        <v>1.7786579304356041</v>
      </c>
      <c r="BS78">
        <f t="shared" ca="1" si="20"/>
        <v>1.7598872482658185</v>
      </c>
      <c r="BT78" s="238">
        <f ca="1">ExpKayaRatiosRef!L4</f>
        <v>1.7411165660960337</v>
      </c>
      <c r="BU78">
        <f t="shared" ca="1" si="21"/>
        <v>1.7232607027325939</v>
      </c>
      <c r="BV78">
        <f t="shared" ca="1" si="21"/>
        <v>1.7054048393691541</v>
      </c>
      <c r="BW78">
        <f t="shared" ca="1" si="21"/>
        <v>1.6875489760057143</v>
      </c>
      <c r="BX78">
        <f t="shared" ca="1" si="21"/>
        <v>1.6696931126422745</v>
      </c>
      <c r="BY78">
        <f t="shared" ca="1" si="21"/>
        <v>1.6518372492788347</v>
      </c>
      <c r="BZ78">
        <f t="shared" ca="1" si="21"/>
        <v>1.6339813859153949</v>
      </c>
      <c r="CA78">
        <f t="shared" ca="1" si="21"/>
        <v>1.6161255225519551</v>
      </c>
      <c r="CB78">
        <f t="shared" ca="1" si="21"/>
        <v>1.5982696591885153</v>
      </c>
      <c r="CC78">
        <f t="shared" ca="1" si="21"/>
        <v>1.5804137958250755</v>
      </c>
      <c r="CD78" s="238">
        <f ca="1">ExpKayaRatiosRef!M4</f>
        <v>1.5625579324616352</v>
      </c>
      <c r="CE78">
        <f t="shared" ca="1" si="22"/>
        <v>1.5467925436831662</v>
      </c>
      <c r="CF78">
        <f t="shared" ca="1" si="22"/>
        <v>1.5310271549046972</v>
      </c>
      <c r="CG78">
        <f t="shared" ca="1" si="22"/>
        <v>1.5152617661262282</v>
      </c>
      <c r="CH78">
        <f t="shared" ca="1" si="22"/>
        <v>1.4994963773477592</v>
      </c>
      <c r="CI78">
        <f t="shared" ca="1" si="22"/>
        <v>1.4837309885692902</v>
      </c>
      <c r="CJ78">
        <f t="shared" ca="1" si="22"/>
        <v>1.4679655997908212</v>
      </c>
      <c r="CK78">
        <f t="shared" ca="1" si="22"/>
        <v>1.4522002110123522</v>
      </c>
      <c r="CL78">
        <f t="shared" ca="1" si="22"/>
        <v>1.4364348222338832</v>
      </c>
      <c r="CM78">
        <f t="shared" ca="1" si="22"/>
        <v>1.4206694334554142</v>
      </c>
      <c r="CN78" s="238">
        <f ca="1">ExpKayaRatiosRef!N4</f>
        <v>1.4049040446769456</v>
      </c>
    </row>
    <row r="79" spans="1:92" ht="18" customHeight="1" x14ac:dyDescent="0.2">
      <c r="A79" s="238" t="str">
        <f>ExpKayaRatiosRef!A5</f>
        <v>PEDEq/FE</v>
      </c>
      <c r="B79" s="238">
        <f ca="1">ExpKayaRatiosRef!E5</f>
        <v>1.375178461283006</v>
      </c>
      <c r="C79">
        <f t="shared" ca="1" si="6"/>
        <v>1.3781374227945165</v>
      </c>
      <c r="D79">
        <f t="shared" ca="1" si="6"/>
        <v>1.3810963843060269</v>
      </c>
      <c r="E79">
        <f t="shared" ca="1" si="6"/>
        <v>1.3840553458175373</v>
      </c>
      <c r="F79">
        <f t="shared" ca="1" si="6"/>
        <v>1.3870143073290477</v>
      </c>
      <c r="G79">
        <f t="shared" ca="1" si="6"/>
        <v>1.3899732688405582</v>
      </c>
      <c r="H79">
        <f t="shared" ca="1" si="6"/>
        <v>1.3929322303520686</v>
      </c>
      <c r="I79">
        <f t="shared" ca="1" si="6"/>
        <v>1.395891191863579</v>
      </c>
      <c r="J79">
        <f t="shared" ca="1" si="6"/>
        <v>1.3988501533750894</v>
      </c>
      <c r="K79">
        <f t="shared" ca="1" si="6"/>
        <v>1.4018091148865999</v>
      </c>
      <c r="L79" s="238">
        <f ca="1">ExpKayaRatiosRef!F5</f>
        <v>1.4047680763981099</v>
      </c>
      <c r="M79">
        <f t="shared" ca="1" si="15"/>
        <v>1.4054227848257839</v>
      </c>
      <c r="N79">
        <f t="shared" ca="1" si="15"/>
        <v>1.4060774932534579</v>
      </c>
      <c r="O79">
        <f t="shared" ca="1" si="15"/>
        <v>1.4067322016811319</v>
      </c>
      <c r="P79">
        <f t="shared" ca="1" si="15"/>
        <v>1.4073869101088059</v>
      </c>
      <c r="Q79">
        <f t="shared" ca="1" si="15"/>
        <v>1.4080416185364799</v>
      </c>
      <c r="R79">
        <f t="shared" ca="1" si="15"/>
        <v>1.4086963269641539</v>
      </c>
      <c r="S79">
        <f t="shared" ca="1" si="15"/>
        <v>1.4093510353918279</v>
      </c>
      <c r="T79">
        <f t="shared" ca="1" si="15"/>
        <v>1.4100057438195019</v>
      </c>
      <c r="U79">
        <f t="shared" ca="1" si="15"/>
        <v>1.410660452247176</v>
      </c>
      <c r="V79" s="238">
        <f ca="1">ExpKayaRatiosRef!G5</f>
        <v>1.4113151606748491</v>
      </c>
      <c r="W79">
        <f t="shared" ca="1" si="16"/>
        <v>1.4096034482916342</v>
      </c>
      <c r="X79">
        <f t="shared" ca="1" si="16"/>
        <v>1.4078917359084193</v>
      </c>
      <c r="Y79">
        <f t="shared" ca="1" si="16"/>
        <v>1.4061800235252044</v>
      </c>
      <c r="Z79">
        <f t="shared" ca="1" si="16"/>
        <v>1.4044683111419896</v>
      </c>
      <c r="AA79">
        <f t="shared" ca="1" si="16"/>
        <v>1.4027565987587747</v>
      </c>
      <c r="AB79">
        <f t="shared" ca="1" si="16"/>
        <v>1.4010448863755598</v>
      </c>
      <c r="AC79">
        <f t="shared" ca="1" si="16"/>
        <v>1.3993331739923449</v>
      </c>
      <c r="AD79">
        <f t="shared" ca="1" si="16"/>
        <v>1.39762146160913</v>
      </c>
      <c r="AE79">
        <f t="shared" ca="1" si="16"/>
        <v>1.3959097492259152</v>
      </c>
      <c r="AF79" s="238">
        <f ca="1">ExpKayaRatiosRef!H5</f>
        <v>1.3941980368427014</v>
      </c>
      <c r="AG79">
        <f t="shared" ca="1" si="17"/>
        <v>1.3930363954110168</v>
      </c>
      <c r="AH79">
        <f t="shared" ca="1" si="17"/>
        <v>1.3918747539793321</v>
      </c>
      <c r="AI79">
        <f t="shared" ca="1" si="17"/>
        <v>1.3907131125476475</v>
      </c>
      <c r="AJ79">
        <f t="shared" ca="1" si="17"/>
        <v>1.3895514711159629</v>
      </c>
      <c r="AK79">
        <f t="shared" ca="1" si="17"/>
        <v>1.3883898296842783</v>
      </c>
      <c r="AL79">
        <f t="shared" ca="1" si="17"/>
        <v>1.3872281882525936</v>
      </c>
      <c r="AM79">
        <f t="shared" ca="1" si="17"/>
        <v>1.386066546820909</v>
      </c>
      <c r="AN79">
        <f t="shared" ca="1" si="17"/>
        <v>1.3849049053892244</v>
      </c>
      <c r="AO79">
        <f t="shared" ca="1" si="17"/>
        <v>1.3837432639575398</v>
      </c>
      <c r="AP79" s="238">
        <f ca="1">ExpKayaRatiosRef!I5</f>
        <v>1.3825816225258558</v>
      </c>
      <c r="AQ79">
        <f t="shared" ca="1" si="18"/>
        <v>1.3812965461862481</v>
      </c>
      <c r="AR79">
        <f t="shared" ca="1" si="18"/>
        <v>1.3800114698466404</v>
      </c>
      <c r="AS79">
        <f t="shared" ca="1" si="18"/>
        <v>1.3787263935070326</v>
      </c>
      <c r="AT79">
        <f t="shared" ca="1" si="18"/>
        <v>1.3774413171674249</v>
      </c>
      <c r="AU79">
        <f t="shared" ca="1" si="18"/>
        <v>1.3761562408278172</v>
      </c>
      <c r="AV79">
        <f t="shared" ca="1" si="18"/>
        <v>1.3748711644882095</v>
      </c>
      <c r="AW79">
        <f t="shared" ca="1" si="18"/>
        <v>1.3735860881486017</v>
      </c>
      <c r="AX79">
        <f t="shared" ca="1" si="18"/>
        <v>1.372301011808994</v>
      </c>
      <c r="AY79">
        <f t="shared" ca="1" si="18"/>
        <v>1.3710159354693863</v>
      </c>
      <c r="AZ79" s="238">
        <f ca="1">ExpKayaRatiosRef!J5</f>
        <v>1.3695457674328577</v>
      </c>
      <c r="BA79">
        <f t="shared" ca="1" si="19"/>
        <v>1.3684457827901713</v>
      </c>
      <c r="BB79">
        <f t="shared" ca="1" si="19"/>
        <v>1.3673457981474848</v>
      </c>
      <c r="BC79">
        <f t="shared" ca="1" si="19"/>
        <v>1.3662458135047983</v>
      </c>
      <c r="BD79">
        <f t="shared" ca="1" si="19"/>
        <v>1.3651458288621119</v>
      </c>
      <c r="BE79">
        <f t="shared" ca="1" si="19"/>
        <v>1.3640458442194254</v>
      </c>
      <c r="BF79">
        <f t="shared" ca="1" si="19"/>
        <v>1.362945859576739</v>
      </c>
      <c r="BG79">
        <f t="shared" ca="1" si="19"/>
        <v>1.3618458749340525</v>
      </c>
      <c r="BH79">
        <f t="shared" ca="1" si="19"/>
        <v>1.3607458902913661</v>
      </c>
      <c r="BI79">
        <f t="shared" ca="1" si="19"/>
        <v>1.3596459056486796</v>
      </c>
      <c r="BJ79" s="238">
        <f ca="1">ExpKayaRatiosRef!K5</f>
        <v>1.358545921005992</v>
      </c>
      <c r="BK79">
        <f t="shared" ca="1" si="20"/>
        <v>1.3582603619443141</v>
      </c>
      <c r="BL79">
        <f t="shared" ca="1" si="20"/>
        <v>1.3579748028826364</v>
      </c>
      <c r="BM79">
        <f t="shared" ca="1" si="20"/>
        <v>1.3576892438209587</v>
      </c>
      <c r="BN79">
        <f t="shared" ca="1" si="20"/>
        <v>1.357403684759281</v>
      </c>
      <c r="BO79">
        <f t="shared" ca="1" si="20"/>
        <v>1.3571181256976033</v>
      </c>
      <c r="BP79">
        <f t="shared" ca="1" si="20"/>
        <v>1.3568325666359256</v>
      </c>
      <c r="BQ79">
        <f t="shared" ca="1" si="20"/>
        <v>1.3565470075742478</v>
      </c>
      <c r="BR79">
        <f t="shared" ca="1" si="20"/>
        <v>1.3562614485125701</v>
      </c>
      <c r="BS79">
        <f t="shared" ca="1" si="20"/>
        <v>1.3559758894508924</v>
      </c>
      <c r="BT79" s="238">
        <f ca="1">ExpKayaRatiosRef!L5</f>
        <v>1.3556903303892138</v>
      </c>
      <c r="BU79">
        <f t="shared" ca="1" si="21"/>
        <v>1.3568729443265899</v>
      </c>
      <c r="BV79">
        <f t="shared" ca="1" si="21"/>
        <v>1.358055558263966</v>
      </c>
      <c r="BW79">
        <f t="shared" ca="1" si="21"/>
        <v>1.359238172201342</v>
      </c>
      <c r="BX79">
        <f t="shared" ca="1" si="21"/>
        <v>1.3604207861387181</v>
      </c>
      <c r="BY79">
        <f t="shared" ca="1" si="21"/>
        <v>1.3616034000760942</v>
      </c>
      <c r="BZ79">
        <f t="shared" ca="1" si="21"/>
        <v>1.3627860140134702</v>
      </c>
      <c r="CA79">
        <f t="shared" ca="1" si="21"/>
        <v>1.3639686279508463</v>
      </c>
      <c r="CB79">
        <f t="shared" ca="1" si="21"/>
        <v>1.3651512418882223</v>
      </c>
      <c r="CC79">
        <f t="shared" ca="1" si="21"/>
        <v>1.3663338558255984</v>
      </c>
      <c r="CD79" s="238">
        <f ca="1">ExpKayaRatiosRef!M5</f>
        <v>1.3675164697629745</v>
      </c>
      <c r="CE79">
        <f t="shared" ca="1" si="22"/>
        <v>1.3692431794572646</v>
      </c>
      <c r="CF79">
        <f t="shared" ca="1" si="22"/>
        <v>1.3709698891515547</v>
      </c>
      <c r="CG79">
        <f t="shared" ca="1" si="22"/>
        <v>1.3726965988458448</v>
      </c>
      <c r="CH79">
        <f t="shared" ca="1" si="22"/>
        <v>1.3744233085401349</v>
      </c>
      <c r="CI79">
        <f t="shared" ca="1" si="22"/>
        <v>1.3761500182344251</v>
      </c>
      <c r="CJ79">
        <f t="shared" ca="1" si="22"/>
        <v>1.3778767279287152</v>
      </c>
      <c r="CK79">
        <f t="shared" ca="1" si="22"/>
        <v>1.3796034376230053</v>
      </c>
      <c r="CL79">
        <f t="shared" ca="1" si="22"/>
        <v>1.3813301473172954</v>
      </c>
      <c r="CM79">
        <f t="shared" ca="1" si="22"/>
        <v>1.3830568570115855</v>
      </c>
      <c r="CN79" s="238">
        <f ca="1">ExpKayaRatiosRef!N5</f>
        <v>1.3847835667058763</v>
      </c>
    </row>
    <row r="80" spans="1:92" ht="18" customHeight="1" x14ac:dyDescent="0.2">
      <c r="A80" s="238" t="str">
        <f>ExpKayaRatiosRef!A6</f>
        <v>PEFF/PEDEq</v>
      </c>
      <c r="B80" s="238">
        <f ca="1">ExpKayaRatiosRef!E6</f>
        <v>0.85060341362881065</v>
      </c>
      <c r="C80">
        <f t="shared" ca="1" si="6"/>
        <v>0.84987725768235856</v>
      </c>
      <c r="D80">
        <f t="shared" ca="1" si="6"/>
        <v>0.84915110173590647</v>
      </c>
      <c r="E80">
        <f t="shared" ca="1" si="6"/>
        <v>0.84842494578945438</v>
      </c>
      <c r="F80">
        <f t="shared" ca="1" si="6"/>
        <v>0.84769878984300229</v>
      </c>
      <c r="G80">
        <f t="shared" ca="1" si="6"/>
        <v>0.8469726338965502</v>
      </c>
      <c r="H80">
        <f t="shared" ca="1" si="6"/>
        <v>0.84624647795009811</v>
      </c>
      <c r="I80">
        <f t="shared" ca="1" si="6"/>
        <v>0.84552032200364602</v>
      </c>
      <c r="J80">
        <f t="shared" ca="1" si="6"/>
        <v>0.84479416605719393</v>
      </c>
      <c r="K80">
        <f t="shared" ca="1" si="6"/>
        <v>0.84406801011074184</v>
      </c>
      <c r="L80" s="238">
        <f ca="1">ExpKayaRatiosRef!F6</f>
        <v>0.84334185416428931</v>
      </c>
      <c r="M80">
        <f t="shared" ca="1" si="15"/>
        <v>0.84250187920057074</v>
      </c>
      <c r="N80">
        <f t="shared" ca="1" si="15"/>
        <v>0.84166190423685217</v>
      </c>
      <c r="O80">
        <f t="shared" ca="1" si="15"/>
        <v>0.84082192927313359</v>
      </c>
      <c r="P80">
        <f t="shared" ca="1" si="15"/>
        <v>0.83998195430941502</v>
      </c>
      <c r="Q80">
        <f t="shared" ca="1" si="15"/>
        <v>0.83914197934569645</v>
      </c>
      <c r="R80">
        <f t="shared" ca="1" si="15"/>
        <v>0.83830200438197788</v>
      </c>
      <c r="S80">
        <f t="shared" ca="1" si="15"/>
        <v>0.83746202941825931</v>
      </c>
      <c r="T80">
        <f t="shared" ca="1" si="15"/>
        <v>0.83662205445454074</v>
      </c>
      <c r="U80">
        <f t="shared" ca="1" si="15"/>
        <v>0.83578207949082217</v>
      </c>
      <c r="V80" s="238">
        <f ca="1">ExpKayaRatiosRef!G6</f>
        <v>0.83494210452710382</v>
      </c>
      <c r="W80">
        <f t="shared" ca="1" si="16"/>
        <v>0.83285923436452491</v>
      </c>
      <c r="X80">
        <f t="shared" ca="1" si="16"/>
        <v>0.830776364201946</v>
      </c>
      <c r="Y80">
        <f t="shared" ca="1" si="16"/>
        <v>0.8286934940393671</v>
      </c>
      <c r="Z80">
        <f t="shared" ca="1" si="16"/>
        <v>0.82661062387678819</v>
      </c>
      <c r="AA80">
        <f t="shared" ca="1" si="16"/>
        <v>0.82452775371420928</v>
      </c>
      <c r="AB80">
        <f t="shared" ca="1" si="16"/>
        <v>0.82244488355163037</v>
      </c>
      <c r="AC80">
        <f t="shared" ca="1" si="16"/>
        <v>0.82036201338905146</v>
      </c>
      <c r="AD80">
        <f t="shared" ca="1" si="16"/>
        <v>0.81827914322647255</v>
      </c>
      <c r="AE80">
        <f t="shared" ca="1" si="16"/>
        <v>0.81619627306389364</v>
      </c>
      <c r="AF80" s="238">
        <f ca="1">ExpKayaRatiosRef!H6</f>
        <v>0.81411340290131473</v>
      </c>
      <c r="AG80">
        <f t="shared" ca="1" si="17"/>
        <v>0.81359163452772365</v>
      </c>
      <c r="AH80">
        <f t="shared" ca="1" si="17"/>
        <v>0.81306986615413246</v>
      </c>
      <c r="AI80">
        <f t="shared" ca="1" si="17"/>
        <v>0.81254809778054127</v>
      </c>
      <c r="AJ80">
        <f t="shared" ca="1" si="17"/>
        <v>0.81202632940695008</v>
      </c>
      <c r="AK80">
        <f t="shared" ca="1" si="17"/>
        <v>0.81150456103335888</v>
      </c>
      <c r="AL80">
        <f t="shared" ca="1" si="17"/>
        <v>0.81098279265976769</v>
      </c>
      <c r="AM80">
        <f t="shared" ca="1" si="17"/>
        <v>0.8104610242861765</v>
      </c>
      <c r="AN80">
        <f t="shared" ca="1" si="17"/>
        <v>0.80993925591258531</v>
      </c>
      <c r="AO80">
        <f t="shared" ca="1" si="17"/>
        <v>0.80941748753899412</v>
      </c>
      <c r="AP80" s="238">
        <f ca="1">ExpKayaRatiosRef!I6</f>
        <v>0.80889571916540337</v>
      </c>
      <c r="AQ80">
        <f t="shared" ca="1" si="18"/>
        <v>0.81004283956518686</v>
      </c>
      <c r="AR80">
        <f t="shared" ca="1" si="18"/>
        <v>0.81118995996497034</v>
      </c>
      <c r="AS80">
        <f t="shared" ca="1" si="18"/>
        <v>0.81233708036475383</v>
      </c>
      <c r="AT80">
        <f t="shared" ca="1" si="18"/>
        <v>0.81348420076453731</v>
      </c>
      <c r="AU80">
        <f t="shared" ca="1" si="18"/>
        <v>0.8146313211643208</v>
      </c>
      <c r="AV80">
        <f t="shared" ca="1" si="18"/>
        <v>0.81577844156410428</v>
      </c>
      <c r="AW80">
        <f t="shared" ca="1" si="18"/>
        <v>0.81692556196388777</v>
      </c>
      <c r="AX80">
        <f t="shared" ca="1" si="18"/>
        <v>0.81807268236367126</v>
      </c>
      <c r="AY80">
        <f t="shared" ca="1" si="18"/>
        <v>0.81921980276345474</v>
      </c>
      <c r="AZ80" s="238">
        <f ca="1">ExpKayaRatiosRef!J6</f>
        <v>0.82244693228204069</v>
      </c>
      <c r="BA80">
        <f t="shared" ca="1" si="19"/>
        <v>0.82151404356302227</v>
      </c>
      <c r="BB80">
        <f t="shared" ca="1" si="19"/>
        <v>0.82058115484400385</v>
      </c>
      <c r="BC80">
        <f t="shared" ca="1" si="19"/>
        <v>0.81964826612498543</v>
      </c>
      <c r="BD80">
        <f t="shared" ca="1" si="19"/>
        <v>0.818715377405967</v>
      </c>
      <c r="BE80">
        <f t="shared" ca="1" si="19"/>
        <v>0.81778248868694858</v>
      </c>
      <c r="BF80">
        <f t="shared" ca="1" si="19"/>
        <v>0.81684959996793016</v>
      </c>
      <c r="BG80">
        <f t="shared" ca="1" si="19"/>
        <v>0.81591671124891174</v>
      </c>
      <c r="BH80">
        <f t="shared" ca="1" si="19"/>
        <v>0.81498382252989332</v>
      </c>
      <c r="BI80">
        <f t="shared" ca="1" si="19"/>
        <v>0.8140509338108749</v>
      </c>
      <c r="BJ80" s="238">
        <f ca="1">ExpKayaRatiosRef!K6</f>
        <v>0.81311804509185615</v>
      </c>
      <c r="BK80">
        <f t="shared" ca="1" si="20"/>
        <v>0.81158831199706327</v>
      </c>
      <c r="BL80">
        <f t="shared" ca="1" si="20"/>
        <v>0.8100585789022704</v>
      </c>
      <c r="BM80">
        <f t="shared" ca="1" si="20"/>
        <v>0.80852884580747753</v>
      </c>
      <c r="BN80">
        <f t="shared" ca="1" si="20"/>
        <v>0.80699911271268465</v>
      </c>
      <c r="BO80">
        <f t="shared" ca="1" si="20"/>
        <v>0.80546937961789178</v>
      </c>
      <c r="BP80">
        <f t="shared" ca="1" si="20"/>
        <v>0.80393964652309891</v>
      </c>
      <c r="BQ80">
        <f t="shared" ca="1" si="20"/>
        <v>0.80240991342830603</v>
      </c>
      <c r="BR80">
        <f t="shared" ca="1" si="20"/>
        <v>0.80088018033351316</v>
      </c>
      <c r="BS80">
        <f t="shared" ca="1" si="20"/>
        <v>0.79935044723872029</v>
      </c>
      <c r="BT80" s="238">
        <f ca="1">ExpKayaRatiosRef!L6</f>
        <v>0.79782071414392741</v>
      </c>
      <c r="BU80">
        <f t="shared" ca="1" si="21"/>
        <v>0.797084226690432</v>
      </c>
      <c r="BV80">
        <f t="shared" ca="1" si="21"/>
        <v>0.79634773923693658</v>
      </c>
      <c r="BW80">
        <f t="shared" ca="1" si="21"/>
        <v>0.79561125178344116</v>
      </c>
      <c r="BX80">
        <f t="shared" ca="1" si="21"/>
        <v>0.79487476432994575</v>
      </c>
      <c r="BY80">
        <f t="shared" ca="1" si="21"/>
        <v>0.79413827687645033</v>
      </c>
      <c r="BZ80">
        <f t="shared" ca="1" si="21"/>
        <v>0.79340178942295492</v>
      </c>
      <c r="CA80">
        <f t="shared" ca="1" si="21"/>
        <v>0.7926653019694595</v>
      </c>
      <c r="CB80">
        <f t="shared" ca="1" si="21"/>
        <v>0.79192881451596409</v>
      </c>
      <c r="CC80">
        <f t="shared" ca="1" si="21"/>
        <v>0.79119232706246867</v>
      </c>
      <c r="CD80" s="238">
        <f ca="1">ExpKayaRatiosRef!M6</f>
        <v>0.79045583960897325</v>
      </c>
      <c r="CE80">
        <f t="shared" ca="1" si="22"/>
        <v>0.79012774536476171</v>
      </c>
      <c r="CF80">
        <f t="shared" ca="1" si="22"/>
        <v>0.78979965112055017</v>
      </c>
      <c r="CG80">
        <f t="shared" ca="1" si="22"/>
        <v>0.78947155687633863</v>
      </c>
      <c r="CH80">
        <f t="shared" ca="1" si="22"/>
        <v>0.78914346263212709</v>
      </c>
      <c r="CI80">
        <f t="shared" ca="1" si="22"/>
        <v>0.78881536838791555</v>
      </c>
      <c r="CJ80">
        <f t="shared" ca="1" si="22"/>
        <v>0.78848727414370401</v>
      </c>
      <c r="CK80">
        <f t="shared" ca="1" si="22"/>
        <v>0.78815917989949247</v>
      </c>
      <c r="CL80">
        <f t="shared" ca="1" si="22"/>
        <v>0.78783108565528093</v>
      </c>
      <c r="CM80">
        <f t="shared" ca="1" si="22"/>
        <v>0.78750299141106939</v>
      </c>
      <c r="CN80" s="238">
        <f ca="1">ExpKayaRatiosRef!N6</f>
        <v>0.78717489716685785</v>
      </c>
    </row>
    <row r="81" spans="1:167" ht="18" customHeight="1" x14ac:dyDescent="0.2">
      <c r="A81" s="238" t="str">
        <f>ExpKayaRatiosRef!A7</f>
        <v>TFC/PEFF</v>
      </c>
      <c r="B81" s="256">
        <f ca="1">ExpKayaRatiosRef!E7</f>
        <v>70.809223457492806</v>
      </c>
      <c r="C81">
        <f t="shared" ca="1" si="6"/>
        <v>70.995209766347216</v>
      </c>
      <c r="D81">
        <f t="shared" ca="1" si="6"/>
        <v>71.181196075201626</v>
      </c>
      <c r="E81">
        <f t="shared" ca="1" si="6"/>
        <v>71.367182384056036</v>
      </c>
      <c r="F81">
        <f t="shared" ca="1" si="6"/>
        <v>71.553168692910447</v>
      </c>
      <c r="G81">
        <f t="shared" ca="1" si="6"/>
        <v>71.739155001764857</v>
      </c>
      <c r="H81">
        <f t="shared" ca="1" si="6"/>
        <v>71.925141310619267</v>
      </c>
      <c r="I81">
        <f t="shared" ca="1" si="6"/>
        <v>72.111127619473677</v>
      </c>
      <c r="J81">
        <f t="shared" ca="1" si="6"/>
        <v>72.297113928328088</v>
      </c>
      <c r="K81">
        <f t="shared" ca="1" si="6"/>
        <v>72.483100237182498</v>
      </c>
      <c r="L81" s="238">
        <f ca="1">ExpKayaRatiosRef!F7</f>
        <v>72.66908654603688</v>
      </c>
      <c r="M81">
        <f t="shared" ca="1" si="15"/>
        <v>72.691266233343839</v>
      </c>
      <c r="N81">
        <f t="shared" ca="1" si="15"/>
        <v>72.713445920650798</v>
      </c>
      <c r="O81">
        <f t="shared" ca="1" si="15"/>
        <v>72.735625607957758</v>
      </c>
      <c r="P81">
        <f t="shared" ca="1" si="15"/>
        <v>72.757805295264717</v>
      </c>
      <c r="Q81">
        <f t="shared" ca="1" si="15"/>
        <v>72.779984982571676</v>
      </c>
      <c r="R81">
        <f t="shared" ca="1" si="15"/>
        <v>72.802164669878636</v>
      </c>
      <c r="S81">
        <f t="shared" ca="1" si="15"/>
        <v>72.824344357185595</v>
      </c>
      <c r="T81">
        <f t="shared" ca="1" si="15"/>
        <v>72.846524044492554</v>
      </c>
      <c r="U81">
        <f t="shared" ca="1" si="15"/>
        <v>72.868703731799513</v>
      </c>
      <c r="V81" s="238">
        <f ca="1">ExpKayaRatiosRef!G7</f>
        <v>72.890883419106402</v>
      </c>
      <c r="W81">
        <f t="shared" ca="1" si="16"/>
        <v>72.85854156221518</v>
      </c>
      <c r="X81">
        <f t="shared" ca="1" si="16"/>
        <v>72.826199705323958</v>
      </c>
      <c r="Y81">
        <f t="shared" ca="1" si="16"/>
        <v>72.793857848432737</v>
      </c>
      <c r="Z81">
        <f t="shared" ca="1" si="16"/>
        <v>72.761515991541515</v>
      </c>
      <c r="AA81">
        <f t="shared" ca="1" si="16"/>
        <v>72.729174134650293</v>
      </c>
      <c r="AB81">
        <f t="shared" ca="1" si="16"/>
        <v>72.696832277759071</v>
      </c>
      <c r="AC81">
        <f t="shared" ca="1" si="16"/>
        <v>72.66449042086785</v>
      </c>
      <c r="AD81">
        <f t="shared" ca="1" si="16"/>
        <v>72.632148563976628</v>
      </c>
      <c r="AE81">
        <f t="shared" ca="1" si="16"/>
        <v>72.599806707085406</v>
      </c>
      <c r="AF81" s="238">
        <f ca="1">ExpKayaRatiosRef!H7</f>
        <v>72.567464850194185</v>
      </c>
      <c r="AG81">
        <f t="shared" ca="1" si="17"/>
        <v>72.537358747140132</v>
      </c>
      <c r="AH81">
        <f t="shared" ca="1" si="17"/>
        <v>72.50725264408608</v>
      </c>
      <c r="AI81">
        <f t="shared" ca="1" si="17"/>
        <v>72.477146541032027</v>
      </c>
      <c r="AJ81">
        <f t="shared" ca="1" si="17"/>
        <v>72.447040437977975</v>
      </c>
      <c r="AK81">
        <f t="shared" ca="1" si="17"/>
        <v>72.416934334923923</v>
      </c>
      <c r="AL81">
        <f t="shared" ca="1" si="17"/>
        <v>72.38682823186987</v>
      </c>
      <c r="AM81">
        <f t="shared" ca="1" si="17"/>
        <v>72.356722128815818</v>
      </c>
      <c r="AN81">
        <f t="shared" ca="1" si="17"/>
        <v>72.326616025761766</v>
      </c>
      <c r="AO81">
        <f t="shared" ca="1" si="17"/>
        <v>72.296509922707713</v>
      </c>
      <c r="AP81" s="238">
        <f ca="1">ExpKayaRatiosRef!I7</f>
        <v>72.266403819653618</v>
      </c>
      <c r="AQ81">
        <f t="shared" ca="1" si="18"/>
        <v>72.219274484114862</v>
      </c>
      <c r="AR81">
        <f t="shared" ca="1" si="18"/>
        <v>72.172145148576107</v>
      </c>
      <c r="AS81">
        <f t="shared" ca="1" si="18"/>
        <v>72.125015813037351</v>
      </c>
      <c r="AT81">
        <f t="shared" ca="1" si="18"/>
        <v>72.077886477498595</v>
      </c>
      <c r="AU81">
        <f t="shared" ca="1" si="18"/>
        <v>72.030757141959839</v>
      </c>
      <c r="AV81">
        <f t="shared" ca="1" si="18"/>
        <v>71.983627806421083</v>
      </c>
      <c r="AW81">
        <f t="shared" ca="1" si="18"/>
        <v>71.936498470882327</v>
      </c>
      <c r="AX81">
        <f t="shared" ca="1" si="18"/>
        <v>71.889369135343571</v>
      </c>
      <c r="AY81">
        <f t="shared" ca="1" si="18"/>
        <v>71.842239799804815</v>
      </c>
      <c r="AZ81" s="238">
        <f ca="1">ExpKayaRatiosRef!J7</f>
        <v>71.675915512519595</v>
      </c>
      <c r="BA81">
        <f t="shared" ca="1" si="19"/>
        <v>71.747981128727318</v>
      </c>
      <c r="BB81">
        <f t="shared" ca="1" si="19"/>
        <v>71.820046744935041</v>
      </c>
      <c r="BC81">
        <f t="shared" ca="1" si="19"/>
        <v>71.892112361142765</v>
      </c>
      <c r="BD81">
        <f t="shared" ca="1" si="19"/>
        <v>71.964177977350488</v>
      </c>
      <c r="BE81">
        <f t="shared" ca="1" si="19"/>
        <v>72.036243593558211</v>
      </c>
      <c r="BF81">
        <f t="shared" ca="1" si="19"/>
        <v>72.108309209765935</v>
      </c>
      <c r="BG81">
        <f t="shared" ca="1" si="19"/>
        <v>72.180374825973658</v>
      </c>
      <c r="BH81">
        <f t="shared" ca="1" si="19"/>
        <v>72.252440442181381</v>
      </c>
      <c r="BI81">
        <f t="shared" ca="1" si="19"/>
        <v>72.324506058389105</v>
      </c>
      <c r="BJ81" s="238">
        <f ca="1">ExpKayaRatiosRef!K7</f>
        <v>72.396571674596771</v>
      </c>
      <c r="BK81">
        <f t="shared" ca="1" si="20"/>
        <v>72.481411940438576</v>
      </c>
      <c r="BL81">
        <f t="shared" ca="1" si="20"/>
        <v>72.566252206280382</v>
      </c>
      <c r="BM81">
        <f t="shared" ca="1" si="20"/>
        <v>72.651092472122187</v>
      </c>
      <c r="BN81">
        <f t="shared" ca="1" si="20"/>
        <v>72.735932737963992</v>
      </c>
      <c r="BO81">
        <f t="shared" ca="1" si="20"/>
        <v>72.820773003805797</v>
      </c>
      <c r="BP81">
        <f t="shared" ca="1" si="20"/>
        <v>72.905613269647603</v>
      </c>
      <c r="BQ81">
        <f t="shared" ca="1" si="20"/>
        <v>72.990453535489408</v>
      </c>
      <c r="BR81">
        <f t="shared" ca="1" si="20"/>
        <v>73.075293801331213</v>
      </c>
      <c r="BS81">
        <f t="shared" ca="1" si="20"/>
        <v>73.160134067173018</v>
      </c>
      <c r="BT81" s="238">
        <f ca="1">ExpKayaRatiosRef!L7</f>
        <v>73.244974333014838</v>
      </c>
      <c r="BU81">
        <f t="shared" ca="1" si="21"/>
        <v>73.384669893030434</v>
      </c>
      <c r="BV81">
        <f t="shared" ca="1" si="21"/>
        <v>73.52436545304603</v>
      </c>
      <c r="BW81">
        <f t="shared" ca="1" si="21"/>
        <v>73.664061013061627</v>
      </c>
      <c r="BX81">
        <f t="shared" ca="1" si="21"/>
        <v>73.803756573077223</v>
      </c>
      <c r="BY81">
        <f t="shared" ca="1" si="21"/>
        <v>73.943452133092819</v>
      </c>
      <c r="BZ81">
        <f t="shared" ca="1" si="21"/>
        <v>74.083147693108415</v>
      </c>
      <c r="CA81">
        <f t="shared" ca="1" si="21"/>
        <v>74.222843253124012</v>
      </c>
      <c r="CB81">
        <f t="shared" ca="1" si="21"/>
        <v>74.362538813139608</v>
      </c>
      <c r="CC81">
        <f t="shared" ca="1" si="21"/>
        <v>74.502234373155204</v>
      </c>
      <c r="CD81" s="238">
        <f ca="1">ExpKayaRatiosRef!M7</f>
        <v>74.641929933170829</v>
      </c>
      <c r="CE81">
        <f t="shared" ca="1" si="22"/>
        <v>74.821179388563081</v>
      </c>
      <c r="CF81">
        <f t="shared" ca="1" si="22"/>
        <v>75.000428843955333</v>
      </c>
      <c r="CG81">
        <f t="shared" ca="1" si="22"/>
        <v>75.179678299347586</v>
      </c>
      <c r="CH81">
        <f t="shared" ca="1" si="22"/>
        <v>75.358927754739838</v>
      </c>
      <c r="CI81">
        <f t="shared" ca="1" si="22"/>
        <v>75.538177210132091</v>
      </c>
      <c r="CJ81">
        <f t="shared" ca="1" si="22"/>
        <v>75.717426665524343</v>
      </c>
      <c r="CK81">
        <f t="shared" ca="1" si="22"/>
        <v>75.896676120916595</v>
      </c>
      <c r="CL81">
        <f t="shared" ca="1" si="22"/>
        <v>76.075925576308848</v>
      </c>
      <c r="CM81">
        <f t="shared" ca="1" si="22"/>
        <v>76.2551750317011</v>
      </c>
      <c r="CN81" s="238">
        <f ca="1">ExpKayaRatiosRef!N7</f>
        <v>76.434424487093352</v>
      </c>
    </row>
    <row r="82" spans="1:167" ht="18" customHeight="1" x14ac:dyDescent="0.2">
      <c r="A82" s="21"/>
      <c r="B82" s="238"/>
      <c r="C82" s="238"/>
      <c r="D82" s="238"/>
      <c r="E82" s="238"/>
      <c r="F82" s="238"/>
      <c r="G82" s="238"/>
      <c r="H82" s="238"/>
      <c r="I82" s="238"/>
      <c r="J82" s="238"/>
      <c r="K82" s="238"/>
      <c r="L82" s="238"/>
      <c r="M82" s="238"/>
      <c r="N82" s="238"/>
      <c r="O82" s="238"/>
      <c r="P82" s="238"/>
      <c r="Q82" s="238"/>
      <c r="R82" s="238"/>
      <c r="S82" s="238"/>
      <c r="T82" s="238"/>
      <c r="U82" s="238"/>
      <c r="V82" s="238"/>
      <c r="W82" s="238"/>
      <c r="X82" s="238"/>
      <c r="Y82" s="238"/>
      <c r="Z82" s="238"/>
      <c r="AA82" s="238"/>
      <c r="AB82" s="238"/>
      <c r="AC82" s="238"/>
      <c r="AD82" s="238"/>
      <c r="AE82" s="238"/>
      <c r="AF82" s="238"/>
      <c r="AG82" s="238"/>
      <c r="AH82" s="238"/>
      <c r="AI82" s="238"/>
      <c r="AJ82" s="238"/>
      <c r="AK82" s="238"/>
      <c r="AL82" s="238"/>
      <c r="AM82" s="238"/>
      <c r="AN82" s="238"/>
      <c r="AO82" s="238"/>
      <c r="AP82" s="238"/>
      <c r="AQ82" s="238"/>
      <c r="AR82" s="238"/>
      <c r="AS82" s="238"/>
      <c r="AT82" s="238"/>
      <c r="AU82" s="238"/>
      <c r="AV82" s="238"/>
      <c r="AW82" s="238"/>
      <c r="AX82" s="238"/>
      <c r="AY82" s="238"/>
      <c r="AZ82" s="238"/>
      <c r="BA82" s="238"/>
      <c r="BB82" s="238"/>
      <c r="BC82" s="238"/>
      <c r="BD82" s="238"/>
      <c r="BE82" s="238"/>
      <c r="BF82" s="238"/>
      <c r="BG82" s="238"/>
      <c r="BH82" s="238"/>
      <c r="BI82" s="238"/>
      <c r="BJ82" s="238"/>
      <c r="BK82" s="238"/>
      <c r="BL82" s="238"/>
      <c r="BM82" s="238"/>
      <c r="BN82" s="238"/>
      <c r="BO82" s="238"/>
      <c r="BP82" s="238"/>
      <c r="BQ82" s="238"/>
      <c r="BR82" s="238"/>
      <c r="BS82" s="238"/>
      <c r="BT82" s="238"/>
      <c r="BU82" s="238"/>
      <c r="BV82" s="238"/>
      <c r="BW82" s="238"/>
      <c r="BX82" s="238"/>
      <c r="BY82" s="238"/>
      <c r="BZ82" s="238"/>
      <c r="CA82" s="238"/>
      <c r="CB82" s="238"/>
      <c r="CC82" s="238"/>
      <c r="CD82" s="238"/>
      <c r="CE82" s="238"/>
      <c r="CF82" s="238"/>
      <c r="CG82" s="238"/>
      <c r="CH82" s="238"/>
      <c r="CI82" s="238"/>
      <c r="CJ82" s="238"/>
      <c r="CK82" s="238"/>
      <c r="CL82" s="238"/>
      <c r="CM82" s="238"/>
      <c r="CN82" s="238"/>
    </row>
    <row r="83" spans="1:167" x14ac:dyDescent="0.2">
      <c r="A83" s="25" t="s">
        <v>43</v>
      </c>
      <c r="B83" s="25">
        <f ca="1">B84+B94</f>
        <v>30.490629196166992</v>
      </c>
      <c r="C83" s="25">
        <f t="shared" ref="C83:BN83" ca="1" si="23">C84+C94</f>
        <v>31.083483600616454</v>
      </c>
      <c r="D83" s="25">
        <f t="shared" ca="1" si="23"/>
        <v>31.676338005065915</v>
      </c>
      <c r="E83" s="25">
        <f t="shared" ca="1" si="23"/>
        <v>32.269192409515377</v>
      </c>
      <c r="F83" s="25">
        <f t="shared" ca="1" si="23"/>
        <v>32.862046813964838</v>
      </c>
      <c r="G83" s="25">
        <f t="shared" ca="1" si="23"/>
        <v>33.4549012184143</v>
      </c>
      <c r="H83" s="25">
        <f t="shared" ca="1" si="23"/>
        <v>34.047755622863761</v>
      </c>
      <c r="I83" s="25">
        <f t="shared" ca="1" si="23"/>
        <v>34.640610027313222</v>
      </c>
      <c r="J83" s="25">
        <f t="shared" ca="1" si="23"/>
        <v>35.233464431762684</v>
      </c>
      <c r="K83" s="25">
        <f t="shared" ca="1" si="23"/>
        <v>35.826318836212145</v>
      </c>
      <c r="L83" s="25">
        <f t="shared" ca="1" si="23"/>
        <v>36.419173240661621</v>
      </c>
      <c r="M83" s="25">
        <f t="shared" ca="1" si="23"/>
        <v>36.895120684305823</v>
      </c>
      <c r="N83" s="25">
        <f t="shared" ca="1" si="23"/>
        <v>37.371068127950025</v>
      </c>
      <c r="O83" s="25">
        <f t="shared" ca="1" si="23"/>
        <v>37.847015571594227</v>
      </c>
      <c r="P83" s="25">
        <f t="shared" ca="1" si="23"/>
        <v>38.322963015238429</v>
      </c>
      <c r="Q83" s="25">
        <f t="shared" ca="1" si="23"/>
        <v>38.798910458882631</v>
      </c>
      <c r="R83" s="25">
        <f t="shared" ca="1" si="23"/>
        <v>39.274857902526833</v>
      </c>
      <c r="S83" s="25">
        <f t="shared" ca="1" si="23"/>
        <v>39.750805346171035</v>
      </c>
      <c r="T83" s="25">
        <f t="shared" ca="1" si="23"/>
        <v>40.226752789815237</v>
      </c>
      <c r="U83" s="25">
        <f t="shared" ca="1" si="23"/>
        <v>40.702700233459439</v>
      </c>
      <c r="V83" s="25">
        <f t="shared" ca="1" si="23"/>
        <v>41.178647677103676</v>
      </c>
      <c r="W83" s="25">
        <f t="shared" ca="1" si="23"/>
        <v>41.524608707427973</v>
      </c>
      <c r="X83" s="25">
        <f t="shared" ca="1" si="23"/>
        <v>41.870569737752277</v>
      </c>
      <c r="Y83" s="25">
        <f t="shared" ca="1" si="23"/>
        <v>42.216530768076581</v>
      </c>
      <c r="Z83" s="25">
        <f t="shared" ca="1" si="23"/>
        <v>42.562491798400885</v>
      </c>
      <c r="AA83" s="25">
        <f t="shared" ca="1" si="23"/>
        <v>42.908452828725189</v>
      </c>
      <c r="AB83" s="25">
        <f t="shared" ca="1" si="23"/>
        <v>43.254413859049492</v>
      </c>
      <c r="AC83" s="25">
        <f t="shared" ca="1" si="23"/>
        <v>43.600374889373796</v>
      </c>
      <c r="AD83" s="25">
        <f t="shared" ca="1" si="23"/>
        <v>43.9463359196981</v>
      </c>
      <c r="AE83" s="25">
        <f t="shared" ca="1" si="23"/>
        <v>44.292296950022404</v>
      </c>
      <c r="AF83" s="25">
        <f t="shared" ca="1" si="23"/>
        <v>44.63825798034668</v>
      </c>
      <c r="AG83" s="25">
        <f t="shared" ca="1" si="23"/>
        <v>45.039585685729982</v>
      </c>
      <c r="AH83" s="25">
        <f t="shared" ca="1" si="23"/>
        <v>45.440913391113284</v>
      </c>
      <c r="AI83" s="25">
        <f t="shared" ca="1" si="23"/>
        <v>45.842241096496586</v>
      </c>
      <c r="AJ83" s="25">
        <f t="shared" ca="1" si="23"/>
        <v>46.243568801879888</v>
      </c>
      <c r="AK83" s="25">
        <f t="shared" ca="1" si="23"/>
        <v>46.644896507263191</v>
      </c>
      <c r="AL83" s="25">
        <f t="shared" ca="1" si="23"/>
        <v>47.046224212646493</v>
      </c>
      <c r="AM83" s="25">
        <f t="shared" ca="1" si="23"/>
        <v>47.447551918029795</v>
      </c>
      <c r="AN83" s="25">
        <f t="shared" ca="1" si="23"/>
        <v>47.848879623413097</v>
      </c>
      <c r="AO83" s="25">
        <f t="shared" ca="1" si="23"/>
        <v>48.2502073287964</v>
      </c>
      <c r="AP83" s="25">
        <f t="shared" ca="1" si="23"/>
        <v>48.651535034179688</v>
      </c>
      <c r="AQ83" s="25">
        <f t="shared" ca="1" si="23"/>
        <v>49.151492245992024</v>
      </c>
      <c r="AR83" s="25">
        <f t="shared" ca="1" si="23"/>
        <v>49.651449457804361</v>
      </c>
      <c r="AS83" s="25">
        <f t="shared" ca="1" si="23"/>
        <v>50.151406669616698</v>
      </c>
      <c r="AT83" s="25">
        <f t="shared" ca="1" si="23"/>
        <v>50.651363881429035</v>
      </c>
      <c r="AU83" s="25">
        <f t="shared" ca="1" si="23"/>
        <v>51.151321093241371</v>
      </c>
      <c r="AV83" s="25">
        <f t="shared" ca="1" si="23"/>
        <v>51.651278305053708</v>
      </c>
      <c r="AW83" s="25">
        <f t="shared" ca="1" si="23"/>
        <v>52.151235516866045</v>
      </c>
      <c r="AX83" s="25">
        <f t="shared" ca="1" si="23"/>
        <v>52.651192728678382</v>
      </c>
      <c r="AY83" s="25">
        <f t="shared" ca="1" si="23"/>
        <v>53.151149940490718</v>
      </c>
      <c r="AZ83" s="25">
        <f t="shared" ca="1" si="23"/>
        <v>53.651107152303055</v>
      </c>
      <c r="BA83" s="25">
        <f t="shared" ca="1" si="23"/>
        <v>54.036499563852942</v>
      </c>
      <c r="BB83" s="25">
        <f t="shared" ca="1" si="23"/>
        <v>54.421891975402829</v>
      </c>
      <c r="BC83" s="25">
        <f t="shared" ca="1" si="23"/>
        <v>54.807284386952716</v>
      </c>
      <c r="BD83" s="25">
        <f t="shared" ca="1" si="23"/>
        <v>55.192676798502603</v>
      </c>
      <c r="BE83" s="25">
        <f t="shared" ca="1" si="23"/>
        <v>55.57806921005249</v>
      </c>
      <c r="BF83" s="25">
        <f t="shared" ca="1" si="23"/>
        <v>55.963461621602377</v>
      </c>
      <c r="BG83" s="25">
        <f t="shared" ca="1" si="23"/>
        <v>56.348854033152264</v>
      </c>
      <c r="BH83" s="25">
        <f t="shared" ca="1" si="23"/>
        <v>56.734246444702151</v>
      </c>
      <c r="BI83" s="25">
        <f t="shared" ca="1" si="23"/>
        <v>57.119638856252038</v>
      </c>
      <c r="BJ83" s="25">
        <f t="shared" ca="1" si="23"/>
        <v>57.505031267801918</v>
      </c>
      <c r="BK83" s="25">
        <f t="shared" ca="1" si="23"/>
        <v>57.818901411692302</v>
      </c>
      <c r="BL83" s="25">
        <f t="shared" ca="1" si="23"/>
        <v>58.132771555582686</v>
      </c>
      <c r="BM83" s="25">
        <f t="shared" ca="1" si="23"/>
        <v>58.446641699473069</v>
      </c>
      <c r="BN83" s="25">
        <f t="shared" ca="1" si="23"/>
        <v>58.760511843363453</v>
      </c>
      <c r="BO83" s="25">
        <f t="shared" ref="BO83:CN83" ca="1" si="24">BO84+BO94</f>
        <v>59.074381987253837</v>
      </c>
      <c r="BP83" s="25">
        <f t="shared" ca="1" si="24"/>
        <v>59.38825213114422</v>
      </c>
      <c r="BQ83" s="25">
        <f t="shared" ca="1" si="24"/>
        <v>59.702122275034604</v>
      </c>
      <c r="BR83" s="25">
        <f t="shared" ca="1" si="24"/>
        <v>60.015992418924988</v>
      </c>
      <c r="BS83" s="25">
        <f t="shared" ca="1" si="24"/>
        <v>60.329862562815372</v>
      </c>
      <c r="BT83" s="25">
        <f t="shared" ca="1" si="24"/>
        <v>60.643732706705727</v>
      </c>
      <c r="BU83" s="25">
        <f t="shared" ca="1" si="24"/>
        <v>61.042186037699381</v>
      </c>
      <c r="BV83" s="25">
        <f t="shared" ca="1" si="24"/>
        <v>61.440639368693034</v>
      </c>
      <c r="BW83" s="25">
        <f t="shared" ca="1" si="24"/>
        <v>61.839092699686688</v>
      </c>
      <c r="BX83" s="25">
        <f t="shared" ca="1" si="24"/>
        <v>62.237546030680342</v>
      </c>
      <c r="BY83" s="25">
        <f t="shared" ca="1" si="24"/>
        <v>62.635999361673996</v>
      </c>
      <c r="BZ83" s="25">
        <f t="shared" ca="1" si="24"/>
        <v>63.034452692667649</v>
      </c>
      <c r="CA83" s="25">
        <f t="shared" ca="1" si="24"/>
        <v>63.432906023661303</v>
      </c>
      <c r="CB83" s="25">
        <f t="shared" ca="1" si="24"/>
        <v>63.831359354654957</v>
      </c>
      <c r="CC83" s="25">
        <f t="shared" ca="1" si="24"/>
        <v>64.229812685648611</v>
      </c>
      <c r="CD83" s="25">
        <f t="shared" ca="1" si="24"/>
        <v>64.628266016642257</v>
      </c>
      <c r="CE83" s="25">
        <f t="shared" ca="1" si="24"/>
        <v>65.095901552836096</v>
      </c>
      <c r="CF83" s="25">
        <f t="shared" ca="1" si="24"/>
        <v>65.56353708902995</v>
      </c>
      <c r="CG83" s="25">
        <f t="shared" ca="1" si="24"/>
        <v>66.031172625223803</v>
      </c>
      <c r="CH83" s="25">
        <f t="shared" ca="1" si="24"/>
        <v>66.498808161417656</v>
      </c>
      <c r="CI83" s="25">
        <f t="shared" ca="1" si="24"/>
        <v>66.96644369761151</v>
      </c>
      <c r="CJ83" s="25">
        <f t="shared" ca="1" si="24"/>
        <v>67.434079233805363</v>
      </c>
      <c r="CK83" s="25">
        <f t="shared" ca="1" si="24"/>
        <v>67.901714769999217</v>
      </c>
      <c r="CL83" s="25">
        <f t="shared" ca="1" si="24"/>
        <v>68.36935030619307</v>
      </c>
      <c r="CM83" s="25">
        <f t="shared" ca="1" si="24"/>
        <v>68.836985842386923</v>
      </c>
      <c r="CN83" s="25">
        <f t="shared" ca="1" si="24"/>
        <v>69.30462137858072</v>
      </c>
    </row>
    <row r="84" spans="1:167" x14ac:dyDescent="0.2">
      <c r="A84" s="25" t="str">
        <f>TotalEmissions!A34</f>
        <v>NFC</v>
      </c>
      <c r="B84" s="25">
        <f ca="1">TotalEmissions!B34</f>
        <v>30.490629196166992</v>
      </c>
      <c r="C84" s="25">
        <f t="shared" ref="C84:K84" ca="1" si="25">B84+(($L84-$B84)/($L$75-$B$75))</f>
        <v>31.083483600616454</v>
      </c>
      <c r="D84" s="25">
        <f t="shared" ca="1" si="25"/>
        <v>31.676338005065915</v>
      </c>
      <c r="E84" s="25">
        <f t="shared" ca="1" si="25"/>
        <v>32.269192409515377</v>
      </c>
      <c r="F84" s="25">
        <f t="shared" ca="1" si="25"/>
        <v>32.862046813964838</v>
      </c>
      <c r="G84" s="25">
        <f t="shared" ca="1" si="25"/>
        <v>33.4549012184143</v>
      </c>
      <c r="H84" s="25">
        <f t="shared" ca="1" si="25"/>
        <v>34.047755622863761</v>
      </c>
      <c r="I84" s="25">
        <f t="shared" ca="1" si="25"/>
        <v>34.640610027313222</v>
      </c>
      <c r="J84" s="25">
        <f t="shared" ca="1" si="25"/>
        <v>35.233464431762684</v>
      </c>
      <c r="K84" s="25">
        <f t="shared" ca="1" si="25"/>
        <v>35.826318836212145</v>
      </c>
      <c r="L84" s="25">
        <f ca="1">TotalEmissions!C34</f>
        <v>36.419173240661621</v>
      </c>
      <c r="M84" s="25">
        <f t="shared" ref="M84:U84" ca="1" si="26">L84+(($V84-$L84)/($V$75-$L$75))</f>
        <v>36.895120684305823</v>
      </c>
      <c r="N84" s="25">
        <f t="shared" ca="1" si="26"/>
        <v>37.371068127950025</v>
      </c>
      <c r="O84" s="25">
        <f t="shared" ca="1" si="26"/>
        <v>37.847015571594227</v>
      </c>
      <c r="P84" s="25">
        <f t="shared" ca="1" si="26"/>
        <v>38.322963015238429</v>
      </c>
      <c r="Q84" s="25">
        <f t="shared" ca="1" si="26"/>
        <v>38.798910458882631</v>
      </c>
      <c r="R84" s="25">
        <f t="shared" ca="1" si="26"/>
        <v>39.274857902526833</v>
      </c>
      <c r="S84" s="25">
        <f t="shared" ca="1" si="26"/>
        <v>39.750805346171035</v>
      </c>
      <c r="T84" s="25">
        <f t="shared" ca="1" si="26"/>
        <v>40.226752789815237</v>
      </c>
      <c r="U84" s="25">
        <f t="shared" ca="1" si="26"/>
        <v>40.702700233459439</v>
      </c>
      <c r="V84" s="25">
        <f ca="1">TotalEmissions!D34</f>
        <v>41.178647677103676</v>
      </c>
      <c r="W84" s="25">
        <f t="shared" ref="W84:AE84" ca="1" si="27">V84+(($AF84-$V84)/($AF$75-$V$75))</f>
        <v>41.524608707427973</v>
      </c>
      <c r="X84" s="25">
        <f t="shared" ca="1" si="27"/>
        <v>41.870569737752277</v>
      </c>
      <c r="Y84" s="25">
        <f t="shared" ca="1" si="27"/>
        <v>42.216530768076581</v>
      </c>
      <c r="Z84" s="25">
        <f t="shared" ca="1" si="27"/>
        <v>42.562491798400885</v>
      </c>
      <c r="AA84" s="25">
        <f t="shared" ca="1" si="27"/>
        <v>42.908452828725189</v>
      </c>
      <c r="AB84" s="25">
        <f t="shared" ca="1" si="27"/>
        <v>43.254413859049492</v>
      </c>
      <c r="AC84" s="25">
        <f t="shared" ca="1" si="27"/>
        <v>43.600374889373796</v>
      </c>
      <c r="AD84" s="25">
        <f t="shared" ca="1" si="27"/>
        <v>43.9463359196981</v>
      </c>
      <c r="AE84" s="25">
        <f t="shared" ca="1" si="27"/>
        <v>44.292296950022404</v>
      </c>
      <c r="AF84" s="25">
        <f ca="1">TotalEmissions!E34</f>
        <v>44.63825798034668</v>
      </c>
      <c r="AG84" s="25">
        <f t="shared" ref="AG84:AO84" ca="1" si="28">AF84+(($AP84-$AF84)/($AP$75-$AF$75))</f>
        <v>45.039585685729982</v>
      </c>
      <c r="AH84" s="25">
        <f t="shared" ca="1" si="28"/>
        <v>45.440913391113284</v>
      </c>
      <c r="AI84" s="25">
        <f t="shared" ca="1" si="28"/>
        <v>45.842241096496586</v>
      </c>
      <c r="AJ84" s="25">
        <f t="shared" ca="1" si="28"/>
        <v>46.243568801879888</v>
      </c>
      <c r="AK84" s="25">
        <f t="shared" ca="1" si="28"/>
        <v>46.644896507263191</v>
      </c>
      <c r="AL84" s="25">
        <f t="shared" ca="1" si="28"/>
        <v>47.046224212646493</v>
      </c>
      <c r="AM84" s="25">
        <f t="shared" ca="1" si="28"/>
        <v>47.447551918029795</v>
      </c>
      <c r="AN84" s="25">
        <f t="shared" ca="1" si="28"/>
        <v>47.848879623413097</v>
      </c>
      <c r="AO84" s="25">
        <f t="shared" ca="1" si="28"/>
        <v>48.2502073287964</v>
      </c>
      <c r="AP84" s="25">
        <f ca="1">TotalEmissions!F34</f>
        <v>48.651535034179688</v>
      </c>
      <c r="AQ84" s="25">
        <f t="shared" ref="AQ84:AY84" ca="1" si="29">AP84+(($AZ84-$AP84)/($AZ$75-$AP$75))</f>
        <v>49.151492245992024</v>
      </c>
      <c r="AR84" s="25">
        <f t="shared" ca="1" si="29"/>
        <v>49.651449457804361</v>
      </c>
      <c r="AS84" s="25">
        <f t="shared" ca="1" si="29"/>
        <v>50.151406669616698</v>
      </c>
      <c r="AT84" s="25">
        <f t="shared" ca="1" si="29"/>
        <v>50.651363881429035</v>
      </c>
      <c r="AU84" s="25">
        <f t="shared" ca="1" si="29"/>
        <v>51.151321093241371</v>
      </c>
      <c r="AV84" s="25">
        <f t="shared" ca="1" si="29"/>
        <v>51.651278305053708</v>
      </c>
      <c r="AW84" s="25">
        <f t="shared" ca="1" si="29"/>
        <v>52.151235516866045</v>
      </c>
      <c r="AX84" s="25">
        <f t="shared" ca="1" si="29"/>
        <v>52.651192728678382</v>
      </c>
      <c r="AY84" s="25">
        <f t="shared" ca="1" si="29"/>
        <v>53.151149940490718</v>
      </c>
      <c r="AZ84" s="25">
        <f ca="1">TotalEmissions!G34</f>
        <v>53.651107152303055</v>
      </c>
      <c r="BA84" s="25">
        <f t="shared" ref="BA84:BI84" ca="1" si="30">AZ84+(($BJ84-$AZ84)/($BJ$75-$AZ$75))</f>
        <v>54.036499563852942</v>
      </c>
      <c r="BB84" s="25">
        <f t="shared" ca="1" si="30"/>
        <v>54.421891975402829</v>
      </c>
      <c r="BC84" s="25">
        <f t="shared" ca="1" si="30"/>
        <v>54.807284386952716</v>
      </c>
      <c r="BD84" s="25">
        <f t="shared" ca="1" si="30"/>
        <v>55.192676798502603</v>
      </c>
      <c r="BE84" s="25">
        <f t="shared" ca="1" si="30"/>
        <v>55.57806921005249</v>
      </c>
      <c r="BF84" s="25">
        <f t="shared" ca="1" si="30"/>
        <v>55.963461621602377</v>
      </c>
      <c r="BG84" s="25">
        <f t="shared" ca="1" si="30"/>
        <v>56.348854033152264</v>
      </c>
      <c r="BH84" s="25">
        <f t="shared" ca="1" si="30"/>
        <v>56.734246444702151</v>
      </c>
      <c r="BI84" s="25">
        <f t="shared" ca="1" si="30"/>
        <v>57.119638856252038</v>
      </c>
      <c r="BJ84" s="25">
        <f ca="1">TotalEmissions!H34</f>
        <v>57.505031267801918</v>
      </c>
      <c r="BK84" s="25">
        <f t="shared" ref="BK84:BS84" ca="1" si="31">BJ84+(($BT84-$BJ84)/($BT$75-$BJ$75))</f>
        <v>57.818901411692302</v>
      </c>
      <c r="BL84" s="25">
        <f t="shared" ca="1" si="31"/>
        <v>58.132771555582686</v>
      </c>
      <c r="BM84" s="25">
        <f t="shared" ca="1" si="31"/>
        <v>58.446641699473069</v>
      </c>
      <c r="BN84" s="25">
        <f t="shared" ca="1" si="31"/>
        <v>58.760511843363453</v>
      </c>
      <c r="BO84" s="25">
        <f t="shared" ca="1" si="31"/>
        <v>59.074381987253837</v>
      </c>
      <c r="BP84" s="25">
        <f t="shared" ca="1" si="31"/>
        <v>59.38825213114422</v>
      </c>
      <c r="BQ84" s="25">
        <f t="shared" ca="1" si="31"/>
        <v>59.702122275034604</v>
      </c>
      <c r="BR84" s="25">
        <f t="shared" ca="1" si="31"/>
        <v>60.015992418924988</v>
      </c>
      <c r="BS84" s="25">
        <f t="shared" ca="1" si="31"/>
        <v>60.329862562815372</v>
      </c>
      <c r="BT84" s="25">
        <f ca="1">TotalEmissions!I34</f>
        <v>60.643732706705727</v>
      </c>
      <c r="BU84" s="25">
        <f t="shared" ref="BU84:CC84" ca="1" si="32">BT84+(($CD84-$BT84)/($CD$75-$BT$75))</f>
        <v>61.042186037699381</v>
      </c>
      <c r="BV84" s="25">
        <f t="shared" ca="1" si="32"/>
        <v>61.440639368693034</v>
      </c>
      <c r="BW84" s="25">
        <f t="shared" ca="1" si="32"/>
        <v>61.839092699686688</v>
      </c>
      <c r="BX84" s="25">
        <f t="shared" ca="1" si="32"/>
        <v>62.237546030680342</v>
      </c>
      <c r="BY84" s="25">
        <f t="shared" ca="1" si="32"/>
        <v>62.635999361673996</v>
      </c>
      <c r="BZ84" s="25">
        <f t="shared" ca="1" si="32"/>
        <v>63.034452692667649</v>
      </c>
      <c r="CA84" s="25">
        <f t="shared" ca="1" si="32"/>
        <v>63.432906023661303</v>
      </c>
      <c r="CB84" s="25">
        <f t="shared" ca="1" si="32"/>
        <v>63.831359354654957</v>
      </c>
      <c r="CC84" s="25">
        <f t="shared" ca="1" si="32"/>
        <v>64.229812685648611</v>
      </c>
      <c r="CD84" s="25">
        <f ca="1">TotalEmissions!J34</f>
        <v>64.628266016642257</v>
      </c>
      <c r="CE84" s="25">
        <f t="shared" ref="CE84:CM84" ca="1" si="33">CD84+(($CN84-$CD84)/($CN$75-$CD$75))</f>
        <v>65.095901552836096</v>
      </c>
      <c r="CF84" s="25">
        <f t="shared" ca="1" si="33"/>
        <v>65.56353708902995</v>
      </c>
      <c r="CG84" s="25">
        <f t="shared" ca="1" si="33"/>
        <v>66.031172625223803</v>
      </c>
      <c r="CH84" s="25">
        <f t="shared" ca="1" si="33"/>
        <v>66.498808161417656</v>
      </c>
      <c r="CI84" s="25">
        <f t="shared" ca="1" si="33"/>
        <v>66.96644369761151</v>
      </c>
      <c r="CJ84" s="25">
        <f t="shared" ca="1" si="33"/>
        <v>67.434079233805363</v>
      </c>
      <c r="CK84" s="25">
        <f t="shared" ca="1" si="33"/>
        <v>67.901714769999217</v>
      </c>
      <c r="CL84" s="25">
        <f t="shared" ca="1" si="33"/>
        <v>68.36935030619307</v>
      </c>
      <c r="CM84" s="25">
        <f t="shared" ca="1" si="33"/>
        <v>68.836985842386923</v>
      </c>
      <c r="CN84" s="25">
        <f ca="1">TotalEmissions!K34</f>
        <v>69.30462137858072</v>
      </c>
    </row>
    <row r="85" spans="1:167" s="25" customFormat="1" ht="18" customHeight="1" x14ac:dyDescent="0.2">
      <c r="A85" s="179" t="s">
        <v>343</v>
      </c>
      <c r="B85" s="25">
        <f ca="1">B86+B95</f>
        <v>1.6196451683839161</v>
      </c>
      <c r="C85" s="25">
        <f t="shared" ref="C85:BN85" ca="1" si="34">C86+C95</f>
        <v>1.6423196047544479</v>
      </c>
      <c r="D85" s="25">
        <f t="shared" ca="1" si="34"/>
        <v>1.6649940411249797</v>
      </c>
      <c r="E85" s="25">
        <f t="shared" ca="1" si="34"/>
        <v>1.6876684774955115</v>
      </c>
      <c r="F85" s="25">
        <f t="shared" ca="1" si="34"/>
        <v>1.7103429138660433</v>
      </c>
      <c r="G85" s="25">
        <f t="shared" ca="1" si="34"/>
        <v>1.7330173502365751</v>
      </c>
      <c r="H85" s="25">
        <f t="shared" ca="1" si="34"/>
        <v>1.7556917866071069</v>
      </c>
      <c r="I85" s="25">
        <f t="shared" ca="1" si="34"/>
        <v>1.7783662229776387</v>
      </c>
      <c r="J85" s="25">
        <f t="shared" ca="1" si="34"/>
        <v>1.8010406593481705</v>
      </c>
      <c r="K85" s="25">
        <f t="shared" ca="1" si="34"/>
        <v>1.8237150957187023</v>
      </c>
      <c r="L85" s="25">
        <f t="shared" ca="1" si="34"/>
        <v>1.8463895320892334</v>
      </c>
      <c r="M85" s="25">
        <f t="shared" ca="1" si="34"/>
        <v>1.8632360716660819</v>
      </c>
      <c r="N85" s="25">
        <f t="shared" ca="1" si="34"/>
        <v>1.8800826112429303</v>
      </c>
      <c r="O85" s="25">
        <f t="shared" ca="1" si="34"/>
        <v>1.8969291508197788</v>
      </c>
      <c r="P85" s="25">
        <f t="shared" ca="1" si="34"/>
        <v>1.9137756903966272</v>
      </c>
      <c r="Q85" s="25">
        <f t="shared" ca="1" si="34"/>
        <v>1.9306222299734757</v>
      </c>
      <c r="R85" s="25">
        <f t="shared" ca="1" si="34"/>
        <v>1.9474687695503241</v>
      </c>
      <c r="S85" s="25">
        <f t="shared" ca="1" si="34"/>
        <v>1.9643153091271726</v>
      </c>
      <c r="T85" s="25">
        <f t="shared" ca="1" si="34"/>
        <v>1.981161848704021</v>
      </c>
      <c r="U85" s="25">
        <f t="shared" ca="1" si="34"/>
        <v>1.9980083882808695</v>
      </c>
      <c r="V85" s="25">
        <f t="shared" ca="1" si="34"/>
        <v>2.014854927857717</v>
      </c>
      <c r="W85" s="25">
        <f t="shared" ca="1" si="34"/>
        <v>2.023089228073756</v>
      </c>
      <c r="X85" s="25">
        <f t="shared" ca="1" si="34"/>
        <v>2.031323528289795</v>
      </c>
      <c r="Y85" s="25">
        <f t="shared" ca="1" si="34"/>
        <v>2.039557828505834</v>
      </c>
      <c r="Z85" s="25">
        <f t="shared" ca="1" si="34"/>
        <v>2.047792128721873</v>
      </c>
      <c r="AA85" s="25">
        <f t="shared" ca="1" si="34"/>
        <v>2.056026428937912</v>
      </c>
      <c r="AB85" s="25">
        <f t="shared" ca="1" si="34"/>
        <v>2.064260729153951</v>
      </c>
      <c r="AC85" s="25">
        <f t="shared" ca="1" si="34"/>
        <v>2.07249502936999</v>
      </c>
      <c r="AD85" s="25">
        <f t="shared" ca="1" si="34"/>
        <v>2.080729329586029</v>
      </c>
      <c r="AE85" s="25">
        <f t="shared" ca="1" si="34"/>
        <v>2.088963629802068</v>
      </c>
      <c r="AF85" s="25">
        <f t="shared" ca="1" si="34"/>
        <v>2.0971979300181069</v>
      </c>
      <c r="AG85" s="25">
        <f t="shared" ca="1" si="34"/>
        <v>2.1167549530665077</v>
      </c>
      <c r="AH85" s="25">
        <f t="shared" ca="1" si="34"/>
        <v>2.1363119761149085</v>
      </c>
      <c r="AI85" s="25">
        <f t="shared" ca="1" si="34"/>
        <v>2.1558689991633093</v>
      </c>
      <c r="AJ85" s="25">
        <f t="shared" ca="1" si="34"/>
        <v>2.1754260222117101</v>
      </c>
      <c r="AK85" s="25">
        <f t="shared" ca="1" si="34"/>
        <v>2.1949830452601109</v>
      </c>
      <c r="AL85" s="25">
        <f t="shared" ca="1" si="34"/>
        <v>2.2145400683085117</v>
      </c>
      <c r="AM85" s="25">
        <f t="shared" ca="1" si="34"/>
        <v>2.2340970913569125</v>
      </c>
      <c r="AN85" s="25">
        <f t="shared" ca="1" si="34"/>
        <v>2.2536541144053133</v>
      </c>
      <c r="AO85" s="25">
        <f t="shared" ca="1" si="34"/>
        <v>2.2732111374537141</v>
      </c>
      <c r="AP85" s="25">
        <f t="shared" ca="1" si="34"/>
        <v>2.2927681605021157</v>
      </c>
      <c r="AQ85" s="25">
        <f t="shared" ca="1" si="34"/>
        <v>2.3170106848080954</v>
      </c>
      <c r="AR85" s="25">
        <f t="shared" ca="1" si="34"/>
        <v>2.3412532091140745</v>
      </c>
      <c r="AS85" s="25">
        <f t="shared" ca="1" si="34"/>
        <v>2.3654957334200537</v>
      </c>
      <c r="AT85" s="25">
        <f t="shared" ca="1" si="34"/>
        <v>2.3897382577260329</v>
      </c>
      <c r="AU85" s="25">
        <f t="shared" ca="1" si="34"/>
        <v>2.4139807820320121</v>
      </c>
      <c r="AV85" s="25">
        <f t="shared" ca="1" si="34"/>
        <v>2.4382233063379912</v>
      </c>
      <c r="AW85" s="25">
        <f t="shared" ca="1" si="34"/>
        <v>2.4624658306439704</v>
      </c>
      <c r="AX85" s="25">
        <f t="shared" ca="1" si="34"/>
        <v>2.4867083549499496</v>
      </c>
      <c r="AY85" s="25">
        <f t="shared" ca="1" si="34"/>
        <v>2.5109508792559287</v>
      </c>
      <c r="AZ85" s="25">
        <f t="shared" ca="1" si="34"/>
        <v>2.5351934035619097</v>
      </c>
      <c r="BA85" s="25">
        <f t="shared" ca="1" si="34"/>
        <v>2.5452103098233536</v>
      </c>
      <c r="BB85" s="25">
        <f t="shared" ca="1" si="34"/>
        <v>2.5552272160847975</v>
      </c>
      <c r="BC85" s="25">
        <f t="shared" ca="1" si="34"/>
        <v>2.5652441223462414</v>
      </c>
      <c r="BD85" s="25">
        <f t="shared" ca="1" si="34"/>
        <v>2.5752610286076854</v>
      </c>
      <c r="BE85" s="25">
        <f t="shared" ca="1" si="34"/>
        <v>2.5852779348691293</v>
      </c>
      <c r="BF85" s="25">
        <f t="shared" ca="1" si="34"/>
        <v>2.5952948411305732</v>
      </c>
      <c r="BG85" s="25">
        <f t="shared" ca="1" si="34"/>
        <v>2.6053117473920171</v>
      </c>
      <c r="BH85" s="25">
        <f t="shared" ca="1" si="34"/>
        <v>2.615328653653461</v>
      </c>
      <c r="BI85" s="25">
        <f t="shared" ca="1" si="34"/>
        <v>2.6253455599149049</v>
      </c>
      <c r="BJ85" s="25">
        <f t="shared" ca="1" si="34"/>
        <v>2.6353624661763506</v>
      </c>
      <c r="BK85" s="25">
        <f t="shared" ca="1" si="34"/>
        <v>2.6603376368681588</v>
      </c>
      <c r="BL85" s="25">
        <f t="shared" ca="1" si="34"/>
        <v>2.685312807559967</v>
      </c>
      <c r="BM85" s="25">
        <f t="shared" ca="1" si="34"/>
        <v>2.7102879782517753</v>
      </c>
      <c r="BN85" s="25">
        <f t="shared" ca="1" si="34"/>
        <v>2.7352631489435835</v>
      </c>
      <c r="BO85" s="25">
        <f t="shared" ref="BO85:CN85" ca="1" si="35">BO86+BO95</f>
        <v>2.7602383196353917</v>
      </c>
      <c r="BP85" s="25">
        <f t="shared" ca="1" si="35"/>
        <v>2.7852134903271999</v>
      </c>
      <c r="BQ85" s="25">
        <f t="shared" ca="1" si="35"/>
        <v>2.8101886610190081</v>
      </c>
      <c r="BR85" s="25">
        <f t="shared" ca="1" si="35"/>
        <v>2.8351638317108163</v>
      </c>
      <c r="BS85" s="25">
        <f t="shared" ca="1" si="35"/>
        <v>2.8601390024026245</v>
      </c>
      <c r="BT85" s="25">
        <f t="shared" ca="1" si="35"/>
        <v>2.8851141730944314</v>
      </c>
      <c r="BU85" s="25">
        <f t="shared" ca="1" si="35"/>
        <v>2.9290259460608161</v>
      </c>
      <c r="BV85" s="25">
        <f t="shared" ca="1" si="35"/>
        <v>2.9729377190272008</v>
      </c>
      <c r="BW85" s="25">
        <f t="shared" ca="1" si="35"/>
        <v>3.0168494919935855</v>
      </c>
      <c r="BX85" s="25">
        <f t="shared" ca="1" si="35"/>
        <v>3.0607612649599703</v>
      </c>
      <c r="BY85" s="25">
        <f t="shared" ca="1" si="35"/>
        <v>3.104673037926355</v>
      </c>
      <c r="BZ85" s="25">
        <f t="shared" ca="1" si="35"/>
        <v>3.1485848108927397</v>
      </c>
      <c r="CA85" s="25">
        <f t="shared" ca="1" si="35"/>
        <v>3.1924965838591244</v>
      </c>
      <c r="CB85" s="25">
        <f t="shared" ca="1" si="35"/>
        <v>3.2364083568255091</v>
      </c>
      <c r="CC85" s="25">
        <f t="shared" ca="1" si="35"/>
        <v>3.2803201297918938</v>
      </c>
      <c r="CD85" s="25">
        <f t="shared" ca="1" si="35"/>
        <v>3.3242319027582803</v>
      </c>
      <c r="CE85" s="25">
        <f t="shared" ca="1" si="35"/>
        <v>3.363274308045705</v>
      </c>
      <c r="CF85" s="25">
        <f t="shared" ca="1" si="35"/>
        <v>3.4023167133331298</v>
      </c>
      <c r="CG85" s="25">
        <f t="shared" ca="1" si="35"/>
        <v>3.4413591186205545</v>
      </c>
      <c r="CH85" s="25">
        <f t="shared" ca="1" si="35"/>
        <v>3.4804015239079793</v>
      </c>
      <c r="CI85" s="25">
        <f t="shared" ca="1" si="35"/>
        <v>3.5194439291954041</v>
      </c>
      <c r="CJ85" s="25">
        <f t="shared" ca="1" si="35"/>
        <v>3.5584863344828288</v>
      </c>
      <c r="CK85" s="25">
        <f t="shared" ca="1" si="35"/>
        <v>3.5975287397702536</v>
      </c>
      <c r="CL85" s="25">
        <f t="shared" ca="1" si="35"/>
        <v>3.6365711450576783</v>
      </c>
      <c r="CM85" s="25">
        <f t="shared" ca="1" si="35"/>
        <v>3.6756135503451031</v>
      </c>
      <c r="CN85" s="25">
        <f t="shared" ca="1" si="35"/>
        <v>3.7146559556325274</v>
      </c>
    </row>
    <row r="86" spans="1:167" x14ac:dyDescent="0.2">
      <c r="A86" s="25" t="str">
        <f>TotalEmissions!A38</f>
        <v>NIC (Net Industry Carbon)</v>
      </c>
      <c r="B86" s="25">
        <f ca="1">TotalEmissions!B38</f>
        <v>1.6196451683839161</v>
      </c>
      <c r="C86" s="25">
        <f t="shared" ref="C86:K88" ca="1" si="36">B86+(($L86-$B86)/($L$75-$B$75))</f>
        <v>1.6423196047544479</v>
      </c>
      <c r="D86" s="25">
        <f t="shared" ca="1" si="36"/>
        <v>1.6649940411249797</v>
      </c>
      <c r="E86" s="25">
        <f t="shared" ca="1" si="36"/>
        <v>1.6876684774955115</v>
      </c>
      <c r="F86" s="25">
        <f t="shared" ca="1" si="36"/>
        <v>1.7103429138660433</v>
      </c>
      <c r="G86" s="25">
        <f t="shared" ca="1" si="36"/>
        <v>1.7330173502365751</v>
      </c>
      <c r="H86" s="25">
        <f t="shared" ca="1" si="36"/>
        <v>1.7556917866071069</v>
      </c>
      <c r="I86" s="25">
        <f t="shared" ca="1" si="36"/>
        <v>1.7783662229776387</v>
      </c>
      <c r="J86" s="25">
        <f t="shared" ca="1" si="36"/>
        <v>1.8010406593481705</v>
      </c>
      <c r="K86" s="25">
        <f t="shared" ca="1" si="36"/>
        <v>1.8237150957187023</v>
      </c>
      <c r="L86" s="25">
        <f ca="1">TotalEmissions!C38</f>
        <v>1.8463895320892334</v>
      </c>
      <c r="M86" s="25">
        <f t="shared" ref="M86:U88" ca="1" si="37">L86+(($V86-$L86)/($V$75-$L$75))</f>
        <v>1.8632360716660819</v>
      </c>
      <c r="N86" s="25">
        <f t="shared" ca="1" si="37"/>
        <v>1.8800826112429303</v>
      </c>
      <c r="O86" s="25">
        <f t="shared" ca="1" si="37"/>
        <v>1.8969291508197788</v>
      </c>
      <c r="P86" s="25">
        <f t="shared" ca="1" si="37"/>
        <v>1.9137756903966272</v>
      </c>
      <c r="Q86" s="25">
        <f t="shared" ca="1" si="37"/>
        <v>1.9306222299734757</v>
      </c>
      <c r="R86" s="25">
        <f t="shared" ca="1" si="37"/>
        <v>1.9474687695503241</v>
      </c>
      <c r="S86" s="25">
        <f t="shared" ca="1" si="37"/>
        <v>1.9643153091271726</v>
      </c>
      <c r="T86" s="25">
        <f t="shared" ca="1" si="37"/>
        <v>1.981161848704021</v>
      </c>
      <c r="U86" s="25">
        <f t="shared" ca="1" si="37"/>
        <v>1.9980083882808695</v>
      </c>
      <c r="V86" s="25">
        <f ca="1">TotalEmissions!D38</f>
        <v>2.014854927857717</v>
      </c>
      <c r="W86" s="25">
        <f t="shared" ref="W86:AE88" ca="1" si="38">V86+(($AF86-$V86)/($AF$75-$V$75))</f>
        <v>2.023089228073756</v>
      </c>
      <c r="X86" s="25">
        <f t="shared" ca="1" si="38"/>
        <v>2.031323528289795</v>
      </c>
      <c r="Y86" s="25">
        <f t="shared" ca="1" si="38"/>
        <v>2.039557828505834</v>
      </c>
      <c r="Z86" s="25">
        <f t="shared" ca="1" si="38"/>
        <v>2.047792128721873</v>
      </c>
      <c r="AA86" s="25">
        <f t="shared" ca="1" si="38"/>
        <v>2.056026428937912</v>
      </c>
      <c r="AB86" s="25">
        <f t="shared" ca="1" si="38"/>
        <v>2.064260729153951</v>
      </c>
      <c r="AC86" s="25">
        <f t="shared" ca="1" si="38"/>
        <v>2.07249502936999</v>
      </c>
      <c r="AD86" s="25">
        <f t="shared" ca="1" si="38"/>
        <v>2.080729329586029</v>
      </c>
      <c r="AE86" s="25">
        <f t="shared" ca="1" si="38"/>
        <v>2.088963629802068</v>
      </c>
      <c r="AF86" s="25">
        <f ca="1">TotalEmissions!E38</f>
        <v>2.0971979300181069</v>
      </c>
      <c r="AG86" s="25">
        <f t="shared" ref="AG86:AO88" ca="1" si="39">AF86+(($AP86-$AF86)/($AP$75-$AF$75))</f>
        <v>2.1167549530665077</v>
      </c>
      <c r="AH86" s="25">
        <f t="shared" ca="1" si="39"/>
        <v>2.1363119761149085</v>
      </c>
      <c r="AI86" s="25">
        <f t="shared" ca="1" si="39"/>
        <v>2.1558689991633093</v>
      </c>
      <c r="AJ86" s="25">
        <f t="shared" ca="1" si="39"/>
        <v>2.1754260222117101</v>
      </c>
      <c r="AK86" s="25">
        <f t="shared" ca="1" si="39"/>
        <v>2.1949830452601109</v>
      </c>
      <c r="AL86" s="25">
        <f t="shared" ca="1" si="39"/>
        <v>2.2145400683085117</v>
      </c>
      <c r="AM86" s="25">
        <f t="shared" ca="1" si="39"/>
        <v>2.2340970913569125</v>
      </c>
      <c r="AN86" s="25">
        <f t="shared" ca="1" si="39"/>
        <v>2.2536541144053133</v>
      </c>
      <c r="AO86" s="25">
        <f t="shared" ca="1" si="39"/>
        <v>2.2732111374537141</v>
      </c>
      <c r="AP86" s="25">
        <f ca="1">TotalEmissions!F38</f>
        <v>2.2927681605021157</v>
      </c>
      <c r="AQ86" s="25">
        <f t="shared" ref="AQ86:AY88" ca="1" si="40">AP86+(($AZ86-$AP86)/($AZ$75-$AP$75))</f>
        <v>2.3170106848080954</v>
      </c>
      <c r="AR86" s="25">
        <f t="shared" ca="1" si="40"/>
        <v>2.3412532091140745</v>
      </c>
      <c r="AS86" s="25">
        <f t="shared" ca="1" si="40"/>
        <v>2.3654957334200537</v>
      </c>
      <c r="AT86" s="25">
        <f t="shared" ca="1" si="40"/>
        <v>2.3897382577260329</v>
      </c>
      <c r="AU86" s="25">
        <f t="shared" ca="1" si="40"/>
        <v>2.4139807820320121</v>
      </c>
      <c r="AV86" s="25">
        <f t="shared" ca="1" si="40"/>
        <v>2.4382233063379912</v>
      </c>
      <c r="AW86" s="25">
        <f t="shared" ca="1" si="40"/>
        <v>2.4624658306439704</v>
      </c>
      <c r="AX86" s="25">
        <f t="shared" ca="1" si="40"/>
        <v>2.4867083549499496</v>
      </c>
      <c r="AY86" s="25">
        <f t="shared" ca="1" si="40"/>
        <v>2.5109508792559287</v>
      </c>
      <c r="AZ86" s="25">
        <f ca="1">TotalEmissions!G38</f>
        <v>2.5351934035619097</v>
      </c>
      <c r="BA86" s="25">
        <f t="shared" ref="BA86:BI88" ca="1" si="41">AZ86+(($BJ86-$AZ86)/($BJ$75-$AZ$75))</f>
        <v>2.5452103098233536</v>
      </c>
      <c r="BB86" s="25">
        <f t="shared" ca="1" si="41"/>
        <v>2.5552272160847975</v>
      </c>
      <c r="BC86" s="25">
        <f t="shared" ca="1" si="41"/>
        <v>2.5652441223462414</v>
      </c>
      <c r="BD86" s="25">
        <f t="shared" ca="1" si="41"/>
        <v>2.5752610286076854</v>
      </c>
      <c r="BE86" s="25">
        <f t="shared" ca="1" si="41"/>
        <v>2.5852779348691293</v>
      </c>
      <c r="BF86" s="25">
        <f t="shared" ca="1" si="41"/>
        <v>2.5952948411305732</v>
      </c>
      <c r="BG86" s="25">
        <f t="shared" ca="1" si="41"/>
        <v>2.6053117473920171</v>
      </c>
      <c r="BH86" s="25">
        <f t="shared" ca="1" si="41"/>
        <v>2.615328653653461</v>
      </c>
      <c r="BI86" s="25">
        <f t="shared" ca="1" si="41"/>
        <v>2.6253455599149049</v>
      </c>
      <c r="BJ86" s="25">
        <f ca="1">TotalEmissions!H38</f>
        <v>2.6353624661763506</v>
      </c>
      <c r="BK86" s="25">
        <f t="shared" ref="BK86:BS88" ca="1" si="42">BJ86+(($BT86-$BJ86)/($BT$75-$BJ$75))</f>
        <v>2.6603376368681588</v>
      </c>
      <c r="BL86" s="25">
        <f t="shared" ca="1" si="42"/>
        <v>2.685312807559967</v>
      </c>
      <c r="BM86" s="25">
        <f t="shared" ca="1" si="42"/>
        <v>2.7102879782517753</v>
      </c>
      <c r="BN86" s="25">
        <f t="shared" ca="1" si="42"/>
        <v>2.7352631489435835</v>
      </c>
      <c r="BO86" s="25">
        <f t="shared" ca="1" si="42"/>
        <v>2.7602383196353917</v>
      </c>
      <c r="BP86" s="25">
        <f t="shared" ca="1" si="42"/>
        <v>2.7852134903271999</v>
      </c>
      <c r="BQ86" s="25">
        <f t="shared" ca="1" si="42"/>
        <v>2.8101886610190081</v>
      </c>
      <c r="BR86" s="25">
        <f t="shared" ca="1" si="42"/>
        <v>2.8351638317108163</v>
      </c>
      <c r="BS86" s="25">
        <f t="shared" ca="1" si="42"/>
        <v>2.8601390024026245</v>
      </c>
      <c r="BT86" s="25">
        <f ca="1">TotalEmissions!I38</f>
        <v>2.8851141730944314</v>
      </c>
      <c r="BU86" s="25">
        <f t="shared" ref="BU86:CC88" ca="1" si="43">BT86+(($CD86-$BT86)/($CD$75-$BT$75))</f>
        <v>2.9290259460608161</v>
      </c>
      <c r="BV86" s="25">
        <f t="shared" ca="1" si="43"/>
        <v>2.9729377190272008</v>
      </c>
      <c r="BW86" s="25">
        <f t="shared" ca="1" si="43"/>
        <v>3.0168494919935855</v>
      </c>
      <c r="BX86" s="25">
        <f t="shared" ca="1" si="43"/>
        <v>3.0607612649599703</v>
      </c>
      <c r="BY86" s="25">
        <f t="shared" ca="1" si="43"/>
        <v>3.104673037926355</v>
      </c>
      <c r="BZ86" s="25">
        <f t="shared" ca="1" si="43"/>
        <v>3.1485848108927397</v>
      </c>
      <c r="CA86" s="25">
        <f t="shared" ca="1" si="43"/>
        <v>3.1924965838591244</v>
      </c>
      <c r="CB86" s="25">
        <f t="shared" ca="1" si="43"/>
        <v>3.2364083568255091</v>
      </c>
      <c r="CC86" s="25">
        <f t="shared" ca="1" si="43"/>
        <v>3.2803201297918938</v>
      </c>
      <c r="CD86" s="25">
        <f ca="1">TotalEmissions!J38</f>
        <v>3.3242319027582803</v>
      </c>
      <c r="CE86" s="25">
        <f t="shared" ref="CE86:CM88" ca="1" si="44">CD86+(($CN86-$CD86)/($CN$75-$CD$75))</f>
        <v>3.363274308045705</v>
      </c>
      <c r="CF86" s="25">
        <f t="shared" ca="1" si="44"/>
        <v>3.4023167133331298</v>
      </c>
      <c r="CG86" s="25">
        <f t="shared" ca="1" si="44"/>
        <v>3.4413591186205545</v>
      </c>
      <c r="CH86" s="25">
        <f t="shared" ca="1" si="44"/>
        <v>3.4804015239079793</v>
      </c>
      <c r="CI86" s="25">
        <f t="shared" ca="1" si="44"/>
        <v>3.5194439291954041</v>
      </c>
      <c r="CJ86" s="25">
        <f t="shared" ca="1" si="44"/>
        <v>3.5584863344828288</v>
      </c>
      <c r="CK86" s="25">
        <f t="shared" ca="1" si="44"/>
        <v>3.5975287397702536</v>
      </c>
      <c r="CL86" s="25">
        <f t="shared" ca="1" si="44"/>
        <v>3.6365711450576783</v>
      </c>
      <c r="CM86" s="25">
        <f t="shared" ca="1" si="44"/>
        <v>3.6756135503451031</v>
      </c>
      <c r="CN86" s="25">
        <f ca="1">TotalEmissions!K38</f>
        <v>3.7146559556325274</v>
      </c>
    </row>
    <row r="87" spans="1:167" x14ac:dyDescent="0.2">
      <c r="A87" s="25" t="str">
        <f>TotalEmissions!A41</f>
        <v>other gases</v>
      </c>
      <c r="B87" s="25">
        <f ca="1">TotalEmissions!B41</f>
        <v>13.334865283349865</v>
      </c>
      <c r="C87" s="25">
        <f t="shared" ca="1" si="36"/>
        <v>13.595352721688675</v>
      </c>
      <c r="D87" s="25">
        <f t="shared" ca="1" si="36"/>
        <v>13.855840160027485</v>
      </c>
      <c r="E87" s="25">
        <f t="shared" ca="1" si="36"/>
        <v>14.116327598366295</v>
      </c>
      <c r="F87" s="25">
        <f t="shared" ca="1" si="36"/>
        <v>14.376815036705105</v>
      </c>
      <c r="G87" s="25">
        <f t="shared" ca="1" si="36"/>
        <v>14.637302475043915</v>
      </c>
      <c r="H87" s="25">
        <f t="shared" ca="1" si="36"/>
        <v>14.897789913382725</v>
      </c>
      <c r="I87" s="25">
        <f t="shared" ca="1" si="36"/>
        <v>15.158277351721535</v>
      </c>
      <c r="J87" s="25">
        <f t="shared" ca="1" si="36"/>
        <v>15.418764790060346</v>
      </c>
      <c r="K87" s="25">
        <f t="shared" ca="1" si="36"/>
        <v>15.679252228399156</v>
      </c>
      <c r="L87" s="25">
        <f ca="1">TotalEmissions!C41</f>
        <v>15.939739666737964</v>
      </c>
      <c r="M87" s="25">
        <f t="shared" ca="1" si="37"/>
        <v>16.122186188327223</v>
      </c>
      <c r="N87" s="25">
        <f t="shared" ca="1" si="37"/>
        <v>16.304632709916483</v>
      </c>
      <c r="O87" s="25">
        <f t="shared" ca="1" si="37"/>
        <v>16.487079231505742</v>
      </c>
      <c r="P87" s="25">
        <f t="shared" ca="1" si="37"/>
        <v>16.669525753095002</v>
      </c>
      <c r="Q87" s="25">
        <f t="shared" ca="1" si="37"/>
        <v>16.851972274684261</v>
      </c>
      <c r="R87" s="25">
        <f t="shared" ca="1" si="37"/>
        <v>17.034418796273521</v>
      </c>
      <c r="S87" s="25">
        <f t="shared" ca="1" si="37"/>
        <v>17.21686531786278</v>
      </c>
      <c r="T87" s="25">
        <f t="shared" ca="1" si="37"/>
        <v>17.399311839452039</v>
      </c>
      <c r="U87" s="25">
        <f t="shared" ca="1" si="37"/>
        <v>17.581758361041299</v>
      </c>
      <c r="V87" s="25">
        <f ca="1">TotalEmissions!D41</f>
        <v>17.764204882630548</v>
      </c>
      <c r="W87" s="25">
        <f t="shared" ca="1" si="38"/>
        <v>17.891256840003628</v>
      </c>
      <c r="X87" s="25">
        <f t="shared" ca="1" si="38"/>
        <v>18.018308797376712</v>
      </c>
      <c r="Y87" s="25">
        <f t="shared" ca="1" si="38"/>
        <v>18.145360754749795</v>
      </c>
      <c r="Z87" s="25">
        <f t="shared" ca="1" si="38"/>
        <v>18.272412712122879</v>
      </c>
      <c r="AA87" s="25">
        <f t="shared" ca="1" si="38"/>
        <v>18.399464669495963</v>
      </c>
      <c r="AB87" s="25">
        <f t="shared" ca="1" si="38"/>
        <v>18.526516626869046</v>
      </c>
      <c r="AC87" s="25">
        <f t="shared" ca="1" si="38"/>
        <v>18.65356858424213</v>
      </c>
      <c r="AD87" s="25">
        <f t="shared" ca="1" si="38"/>
        <v>18.780620541615214</v>
      </c>
      <c r="AE87" s="25">
        <f t="shared" ca="1" si="38"/>
        <v>18.907672498988298</v>
      </c>
      <c r="AF87" s="25">
        <f ca="1">TotalEmissions!E41</f>
        <v>19.034724456361367</v>
      </c>
      <c r="AG87" s="25">
        <f t="shared" ca="1" si="39"/>
        <v>19.132057167126931</v>
      </c>
      <c r="AH87" s="25">
        <f t="shared" ca="1" si="39"/>
        <v>19.229389877892494</v>
      </c>
      <c r="AI87" s="25">
        <f t="shared" ca="1" si="39"/>
        <v>19.326722588658058</v>
      </c>
      <c r="AJ87" s="25">
        <f t="shared" ca="1" si="39"/>
        <v>19.424055299423621</v>
      </c>
      <c r="AK87" s="25">
        <f t="shared" ca="1" si="39"/>
        <v>19.521388010189185</v>
      </c>
      <c r="AL87" s="25">
        <f t="shared" ca="1" si="39"/>
        <v>19.618720720954748</v>
      </c>
      <c r="AM87" s="25">
        <f t="shared" ca="1" si="39"/>
        <v>19.716053431720312</v>
      </c>
      <c r="AN87" s="25">
        <f t="shared" ca="1" si="39"/>
        <v>19.813386142485875</v>
      </c>
      <c r="AO87" s="25">
        <f t="shared" ca="1" si="39"/>
        <v>19.910718853251439</v>
      </c>
      <c r="AP87" s="25">
        <f ca="1">TotalEmissions!F41</f>
        <v>20.008051564016991</v>
      </c>
      <c r="AQ87" s="25">
        <f t="shared" ca="1" si="40"/>
        <v>20.033222804662653</v>
      </c>
      <c r="AR87" s="25">
        <f t="shared" ca="1" si="40"/>
        <v>20.058394045308315</v>
      </c>
      <c r="AS87" s="25">
        <f t="shared" ca="1" si="40"/>
        <v>20.083565285953977</v>
      </c>
      <c r="AT87" s="25">
        <f t="shared" ca="1" si="40"/>
        <v>20.108736526599639</v>
      </c>
      <c r="AU87" s="25">
        <f t="shared" ca="1" si="40"/>
        <v>20.133907767245301</v>
      </c>
      <c r="AV87" s="25">
        <f t="shared" ca="1" si="40"/>
        <v>20.159079007890963</v>
      </c>
      <c r="AW87" s="25">
        <f t="shared" ca="1" si="40"/>
        <v>20.184250248536625</v>
      </c>
      <c r="AX87" s="25">
        <f t="shared" ca="1" si="40"/>
        <v>20.209421489182287</v>
      </c>
      <c r="AY87" s="25">
        <f t="shared" ca="1" si="40"/>
        <v>20.234592729827948</v>
      </c>
      <c r="AZ87" s="25">
        <f ca="1">TotalEmissions!G41</f>
        <v>20.259763970473617</v>
      </c>
      <c r="BA87" s="25">
        <f t="shared" ca="1" si="41"/>
        <v>20.316264623295453</v>
      </c>
      <c r="BB87" s="25">
        <f t="shared" ca="1" si="41"/>
        <v>20.372765276117288</v>
      </c>
      <c r="BC87" s="25">
        <f t="shared" ca="1" si="41"/>
        <v>20.429265928939124</v>
      </c>
      <c r="BD87" s="25">
        <f t="shared" ca="1" si="41"/>
        <v>20.485766581760959</v>
      </c>
      <c r="BE87" s="25">
        <f t="shared" ca="1" si="41"/>
        <v>20.542267234582795</v>
      </c>
      <c r="BF87" s="25">
        <f t="shared" ca="1" si="41"/>
        <v>20.59876788740463</v>
      </c>
      <c r="BG87" s="25">
        <f t="shared" ca="1" si="41"/>
        <v>20.655268540226466</v>
      </c>
      <c r="BH87" s="25">
        <f t="shared" ca="1" si="41"/>
        <v>20.711769193048301</v>
      </c>
      <c r="BI87" s="25">
        <f t="shared" ca="1" si="41"/>
        <v>20.768269845870137</v>
      </c>
      <c r="BJ87" s="25">
        <f ca="1">TotalEmissions!H41</f>
        <v>20.824770498691962</v>
      </c>
      <c r="BK87" s="25">
        <f t="shared" ca="1" si="42"/>
        <v>20.901965716265156</v>
      </c>
      <c r="BL87" s="25">
        <f t="shared" ca="1" si="42"/>
        <v>20.979160933838351</v>
      </c>
      <c r="BM87" s="25">
        <f t="shared" ca="1" si="42"/>
        <v>21.056356151411546</v>
      </c>
      <c r="BN87" s="25">
        <f t="shared" ca="1" si="42"/>
        <v>21.13355136898474</v>
      </c>
      <c r="BO87" s="25">
        <f t="shared" ca="1" si="42"/>
        <v>21.210746586557935</v>
      </c>
      <c r="BP87" s="25">
        <f t="shared" ca="1" si="42"/>
        <v>21.28794180413113</v>
      </c>
      <c r="BQ87" s="25">
        <f t="shared" ca="1" si="42"/>
        <v>21.365137021704324</v>
      </c>
      <c r="BR87" s="25">
        <f t="shared" ca="1" si="42"/>
        <v>21.442332239277519</v>
      </c>
      <c r="BS87" s="25">
        <f t="shared" ca="1" si="42"/>
        <v>21.519527456850714</v>
      </c>
      <c r="BT87" s="25">
        <f ca="1">TotalEmissions!I41</f>
        <v>21.596722674423901</v>
      </c>
      <c r="BU87" s="25">
        <f t="shared" ca="1" si="43"/>
        <v>21.660614256164681</v>
      </c>
      <c r="BV87" s="25">
        <f t="shared" ca="1" si="43"/>
        <v>21.724505837905461</v>
      </c>
      <c r="BW87" s="25">
        <f t="shared" ca="1" si="43"/>
        <v>21.788397419646241</v>
      </c>
      <c r="BX87" s="25">
        <f t="shared" ca="1" si="43"/>
        <v>21.852289001387021</v>
      </c>
      <c r="BY87" s="25">
        <f t="shared" ca="1" si="43"/>
        <v>21.916180583127801</v>
      </c>
      <c r="BZ87" s="25">
        <f t="shared" ca="1" si="43"/>
        <v>21.980072164868581</v>
      </c>
      <c r="CA87" s="25">
        <f t="shared" ca="1" si="43"/>
        <v>22.043963746609361</v>
      </c>
      <c r="CB87" s="25">
        <f t="shared" ca="1" si="43"/>
        <v>22.107855328350141</v>
      </c>
      <c r="CC87" s="25">
        <f t="shared" ca="1" si="43"/>
        <v>22.171746910090921</v>
      </c>
      <c r="CD87" s="25">
        <f ca="1">TotalEmissions!J41</f>
        <v>22.235638491831704</v>
      </c>
      <c r="CE87" s="25">
        <f t="shared" ca="1" si="44"/>
        <v>22.330059057769208</v>
      </c>
      <c r="CF87" s="25">
        <f t="shared" ca="1" si="44"/>
        <v>22.424479623706713</v>
      </c>
      <c r="CG87" s="25">
        <f t="shared" ca="1" si="44"/>
        <v>22.518900189644217</v>
      </c>
      <c r="CH87" s="25">
        <f t="shared" ca="1" si="44"/>
        <v>22.613320755581721</v>
      </c>
      <c r="CI87" s="25">
        <f t="shared" ca="1" si="44"/>
        <v>22.707741321519226</v>
      </c>
      <c r="CJ87" s="25">
        <f t="shared" ca="1" si="44"/>
        <v>22.80216188745673</v>
      </c>
      <c r="CK87" s="25">
        <f t="shared" ca="1" si="44"/>
        <v>22.896582453394235</v>
      </c>
      <c r="CL87" s="25">
        <f t="shared" ca="1" si="44"/>
        <v>22.991003019331739</v>
      </c>
      <c r="CM87" s="25">
        <f t="shared" ca="1" si="44"/>
        <v>23.085423585269243</v>
      </c>
      <c r="CN87" s="25">
        <f ca="1">TotalEmissions!K41</f>
        <v>23.179844151206744</v>
      </c>
    </row>
    <row r="88" spans="1:167" x14ac:dyDescent="0.2">
      <c r="A88" s="25" t="str">
        <f>TotalEmissions!A44</f>
        <v>Land use</v>
      </c>
      <c r="B88" s="25">
        <f ca="1">TotalEmissions!B44</f>
        <v>3.5023383199999998</v>
      </c>
      <c r="C88" s="25">
        <f t="shared" ca="1" si="36"/>
        <v>3.6733500844</v>
      </c>
      <c r="D88" s="25">
        <f t="shared" ca="1" si="36"/>
        <v>3.8443618488000002</v>
      </c>
      <c r="E88" s="25">
        <f t="shared" ca="1" si="36"/>
        <v>4.0153736132000004</v>
      </c>
      <c r="F88" s="25">
        <f t="shared" ca="1" si="36"/>
        <v>4.1863853776000006</v>
      </c>
      <c r="G88" s="25">
        <f t="shared" ca="1" si="36"/>
        <v>4.3573971420000008</v>
      </c>
      <c r="H88" s="25">
        <f t="shared" ca="1" si="36"/>
        <v>4.528408906400001</v>
      </c>
      <c r="I88" s="25">
        <f t="shared" ca="1" si="36"/>
        <v>4.6994206708000013</v>
      </c>
      <c r="J88" s="25">
        <f t="shared" ca="1" si="36"/>
        <v>4.8704324352000015</v>
      </c>
      <c r="K88" s="25">
        <f t="shared" ca="1" si="36"/>
        <v>5.0414441996000017</v>
      </c>
      <c r="L88" s="25">
        <f ca="1">TotalEmissions!C44</f>
        <v>5.2124559640000001</v>
      </c>
      <c r="M88" s="25">
        <f t="shared" ca="1" si="37"/>
        <v>5.3193018330999999</v>
      </c>
      <c r="N88" s="25">
        <f t="shared" ca="1" si="37"/>
        <v>5.4261477021999998</v>
      </c>
      <c r="O88" s="25">
        <f t="shared" ca="1" si="37"/>
        <v>5.5329935712999996</v>
      </c>
      <c r="P88" s="25">
        <f t="shared" ca="1" si="37"/>
        <v>5.6398394403999994</v>
      </c>
      <c r="Q88" s="25">
        <f t="shared" ca="1" si="37"/>
        <v>5.7466853094999992</v>
      </c>
      <c r="R88" s="25">
        <f t="shared" ca="1" si="37"/>
        <v>5.8535311785999991</v>
      </c>
      <c r="S88" s="25">
        <f t="shared" ca="1" si="37"/>
        <v>5.9603770476999989</v>
      </c>
      <c r="T88" s="25">
        <f t="shared" ca="1" si="37"/>
        <v>6.0672229167999987</v>
      </c>
      <c r="U88" s="25">
        <f t="shared" ca="1" si="37"/>
        <v>6.1740687858999985</v>
      </c>
      <c r="V88" s="25">
        <f ca="1">TotalEmissions!D44</f>
        <v>6.2809146550000001</v>
      </c>
      <c r="W88" s="25">
        <f t="shared" ca="1" si="38"/>
        <v>6.2706550759000006</v>
      </c>
      <c r="X88" s="25">
        <f t="shared" ca="1" si="38"/>
        <v>6.2603954968000011</v>
      </c>
      <c r="Y88" s="25">
        <f t="shared" ca="1" si="38"/>
        <v>6.2501359177000015</v>
      </c>
      <c r="Z88" s="25">
        <f t="shared" ca="1" si="38"/>
        <v>6.239876338600002</v>
      </c>
      <c r="AA88" s="25">
        <f t="shared" ca="1" si="38"/>
        <v>6.2296167595000025</v>
      </c>
      <c r="AB88" s="25">
        <f t="shared" ca="1" si="38"/>
        <v>6.219357180400003</v>
      </c>
      <c r="AC88" s="25">
        <f t="shared" ca="1" si="38"/>
        <v>6.2090976013000034</v>
      </c>
      <c r="AD88" s="25">
        <f t="shared" ca="1" si="38"/>
        <v>6.1988380222000039</v>
      </c>
      <c r="AE88" s="25">
        <f t="shared" ca="1" si="38"/>
        <v>6.1885784431000044</v>
      </c>
      <c r="AF88" s="25">
        <f ca="1">TotalEmissions!E44</f>
        <v>6.1783188640000004</v>
      </c>
      <c r="AG88" s="25">
        <f t="shared" ca="1" si="39"/>
        <v>6.0651667623000005</v>
      </c>
      <c r="AH88" s="25">
        <f t="shared" ca="1" si="39"/>
        <v>5.9520146606000006</v>
      </c>
      <c r="AI88" s="25">
        <f t="shared" ca="1" si="39"/>
        <v>5.8388625589000007</v>
      </c>
      <c r="AJ88" s="25">
        <f t="shared" ca="1" si="39"/>
        <v>5.7257104572000008</v>
      </c>
      <c r="AK88" s="25">
        <f t="shared" ca="1" si="39"/>
        <v>5.6125583555000009</v>
      </c>
      <c r="AL88" s="25">
        <f t="shared" ca="1" si="39"/>
        <v>5.499406253800001</v>
      </c>
      <c r="AM88" s="25">
        <f t="shared" ca="1" si="39"/>
        <v>5.3862541521000011</v>
      </c>
      <c r="AN88" s="25">
        <f t="shared" ca="1" si="39"/>
        <v>5.2731020504000012</v>
      </c>
      <c r="AO88" s="25">
        <f t="shared" ca="1" si="39"/>
        <v>5.1599499487000013</v>
      </c>
      <c r="AP88" s="25">
        <f ca="1">TotalEmissions!F44</f>
        <v>5.0467978469999997</v>
      </c>
      <c r="AQ88" s="25">
        <f t="shared" ca="1" si="40"/>
        <v>4.6856494322</v>
      </c>
      <c r="AR88" s="25">
        <f t="shared" ca="1" si="40"/>
        <v>4.3245010174000003</v>
      </c>
      <c r="AS88" s="25">
        <f t="shared" ca="1" si="40"/>
        <v>3.9633526026000001</v>
      </c>
      <c r="AT88" s="25">
        <f t="shared" ca="1" si="40"/>
        <v>3.6022041878</v>
      </c>
      <c r="AU88" s="25">
        <f t="shared" ca="1" si="40"/>
        <v>3.2410557729999998</v>
      </c>
      <c r="AV88" s="25">
        <f t="shared" ca="1" si="40"/>
        <v>2.8799073581999997</v>
      </c>
      <c r="AW88" s="25">
        <f t="shared" ca="1" si="40"/>
        <v>2.5187589433999995</v>
      </c>
      <c r="AX88" s="25">
        <f t="shared" ca="1" si="40"/>
        <v>2.1576105285999994</v>
      </c>
      <c r="AY88" s="25">
        <f t="shared" ca="1" si="40"/>
        <v>1.7964621137999994</v>
      </c>
      <c r="AZ88" s="25">
        <f ca="1">TotalEmissions!G44</f>
        <v>1.4353136990000002</v>
      </c>
      <c r="BA88" s="25">
        <f t="shared" ca="1" si="41"/>
        <v>1.3644087569200001</v>
      </c>
      <c r="BB88" s="25">
        <f t="shared" ca="1" si="41"/>
        <v>1.29350381484</v>
      </c>
      <c r="BC88" s="25">
        <f t="shared" ca="1" si="41"/>
        <v>1.2225988727599999</v>
      </c>
      <c r="BD88" s="25">
        <f t="shared" ca="1" si="41"/>
        <v>1.1516939306799998</v>
      </c>
      <c r="BE88" s="25">
        <f t="shared" ca="1" si="41"/>
        <v>1.0807889885999997</v>
      </c>
      <c r="BF88" s="25">
        <f t="shared" ca="1" si="41"/>
        <v>1.0098840465199996</v>
      </c>
      <c r="BG88" s="25">
        <f t="shared" ca="1" si="41"/>
        <v>0.93897910443999966</v>
      </c>
      <c r="BH88" s="25">
        <f t="shared" ca="1" si="41"/>
        <v>0.86807416235999968</v>
      </c>
      <c r="BI88" s="25">
        <f t="shared" ca="1" si="41"/>
        <v>0.7971692202799997</v>
      </c>
      <c r="BJ88" s="25">
        <f ca="1">TotalEmissions!H44</f>
        <v>0.72626427820000006</v>
      </c>
      <c r="BK88" s="25">
        <f t="shared" ca="1" si="42"/>
        <v>0.74505921066000003</v>
      </c>
      <c r="BL88" s="25">
        <f t="shared" ca="1" si="42"/>
        <v>0.76385414312</v>
      </c>
      <c r="BM88" s="25">
        <f t="shared" ca="1" si="42"/>
        <v>0.78264907557999996</v>
      </c>
      <c r="BN88" s="25">
        <f t="shared" ca="1" si="42"/>
        <v>0.80144400803999993</v>
      </c>
      <c r="BO88" s="25">
        <f t="shared" ca="1" si="42"/>
        <v>0.8202389404999999</v>
      </c>
      <c r="BP88" s="25">
        <f t="shared" ca="1" si="42"/>
        <v>0.83903387295999987</v>
      </c>
      <c r="BQ88" s="25">
        <f t="shared" ca="1" si="42"/>
        <v>0.85782880541999984</v>
      </c>
      <c r="BR88" s="25">
        <f t="shared" ca="1" si="42"/>
        <v>0.87662373787999981</v>
      </c>
      <c r="BS88" s="25">
        <f t="shared" ca="1" si="42"/>
        <v>0.89541867033999978</v>
      </c>
      <c r="BT88" s="25">
        <f ca="1">TotalEmissions!I44</f>
        <v>0.91421360279999997</v>
      </c>
      <c r="BU88" s="25">
        <f t="shared" ca="1" si="43"/>
        <v>0.81124705181000001</v>
      </c>
      <c r="BV88" s="25">
        <f t="shared" ca="1" si="43"/>
        <v>0.70828050082000005</v>
      </c>
      <c r="BW88" s="25">
        <f t="shared" ca="1" si="43"/>
        <v>0.60531394983000009</v>
      </c>
      <c r="BX88" s="25">
        <f t="shared" ca="1" si="43"/>
        <v>0.50234739884000013</v>
      </c>
      <c r="BY88" s="25">
        <f t="shared" ca="1" si="43"/>
        <v>0.39938084785000011</v>
      </c>
      <c r="BZ88" s="25">
        <f t="shared" ca="1" si="43"/>
        <v>0.29641429686000009</v>
      </c>
      <c r="CA88" s="25">
        <f t="shared" ca="1" si="43"/>
        <v>0.19344774587000008</v>
      </c>
      <c r="CB88" s="25">
        <f t="shared" ca="1" si="43"/>
        <v>9.0481194880000074E-2</v>
      </c>
      <c r="CC88" s="25">
        <f t="shared" ca="1" si="43"/>
        <v>-1.2485356109999929E-2</v>
      </c>
      <c r="CD88" s="25">
        <f ca="1">TotalEmissions!J44</f>
        <v>-0.1154519071</v>
      </c>
      <c r="CE88" s="25">
        <f t="shared" ca="1" si="44"/>
        <v>-0.15657316892000001</v>
      </c>
      <c r="CF88" s="25">
        <f t="shared" ca="1" si="44"/>
        <v>-0.19769443074000001</v>
      </c>
      <c r="CG88" s="25">
        <f t="shared" ca="1" si="44"/>
        <v>-0.23881569256000001</v>
      </c>
      <c r="CH88" s="25">
        <f t="shared" ca="1" si="44"/>
        <v>-0.27993695438000005</v>
      </c>
      <c r="CI88" s="25">
        <f t="shared" ca="1" si="44"/>
        <v>-0.32105821620000008</v>
      </c>
      <c r="CJ88" s="25">
        <f t="shared" ca="1" si="44"/>
        <v>-0.36217947802000011</v>
      </c>
      <c r="CK88" s="25">
        <f t="shared" ca="1" si="44"/>
        <v>-0.40330073984000014</v>
      </c>
      <c r="CL88" s="25">
        <f t="shared" ca="1" si="44"/>
        <v>-0.44442200166000018</v>
      </c>
      <c r="CM88" s="25">
        <f t="shared" ca="1" si="44"/>
        <v>-0.48554326348000021</v>
      </c>
      <c r="CN88" s="25">
        <f ca="1">TotalEmissions!K44</f>
        <v>-0.52666452530000007</v>
      </c>
    </row>
    <row r="89" spans="1:167" x14ac:dyDescent="0.2">
      <c r="A89" s="25"/>
      <c r="B89" s="25"/>
      <c r="C89" s="25"/>
      <c r="D89" s="25"/>
      <c r="E89" s="25"/>
      <c r="F89" s="25"/>
      <c r="G89" s="25"/>
      <c r="H89" s="25"/>
      <c r="I89" s="25"/>
      <c r="J89" s="25"/>
      <c r="K89" s="25"/>
      <c r="L89" s="25"/>
      <c r="M89" s="25"/>
      <c r="N89" s="25"/>
      <c r="O89" s="25"/>
      <c r="P89" s="25"/>
      <c r="Q89" s="25"/>
      <c r="R89" s="25"/>
      <c r="S89" s="25"/>
      <c r="T89" s="25"/>
      <c r="U89" s="25"/>
      <c r="V89" s="25"/>
      <c r="W89" s="25"/>
      <c r="X89" s="25"/>
      <c r="Y89" s="25"/>
      <c r="Z89" s="25"/>
      <c r="AA89" s="25"/>
      <c r="AB89" s="25"/>
      <c r="AC89" s="25"/>
      <c r="AD89" s="25"/>
      <c r="AE89" s="25"/>
      <c r="AF89" s="25"/>
      <c r="AG89" s="25"/>
      <c r="AH89" s="25"/>
      <c r="AI89" s="25"/>
      <c r="AJ89" s="25"/>
      <c r="AK89" s="25"/>
      <c r="AL89" s="25"/>
      <c r="AM89" s="25"/>
      <c r="AN89" s="25"/>
      <c r="AO89" s="25"/>
      <c r="AP89" s="25"/>
      <c r="AQ89" s="25"/>
      <c r="AR89" s="25"/>
      <c r="AS89" s="25"/>
      <c r="AT89" s="25"/>
      <c r="AU89" s="25"/>
      <c r="AV89" s="25"/>
      <c r="AW89" s="25"/>
      <c r="AX89" s="25"/>
      <c r="AY89" s="25"/>
      <c r="AZ89" s="25"/>
      <c r="BA89" s="25"/>
      <c r="BB89" s="25"/>
      <c r="BC89" s="25"/>
      <c r="BD89" s="25"/>
      <c r="BE89" s="25"/>
      <c r="BF89" s="25"/>
      <c r="BG89" s="25"/>
      <c r="BH89" s="25"/>
      <c r="BI89" s="25"/>
      <c r="BJ89" s="25"/>
      <c r="BK89" s="25"/>
      <c r="BL89" s="25"/>
      <c r="BM89" s="25"/>
      <c r="BN89" s="25"/>
      <c r="BO89" s="25"/>
      <c r="BP89" s="25"/>
      <c r="BQ89" s="25"/>
      <c r="BR89" s="25"/>
      <c r="BS89" s="25"/>
      <c r="BT89" s="25"/>
      <c r="BU89" s="25"/>
      <c r="BV89" s="25"/>
      <c r="BW89" s="25"/>
      <c r="BX89" s="25"/>
      <c r="BY89" s="25"/>
      <c r="BZ89" s="25"/>
      <c r="CA89" s="25"/>
      <c r="CB89" s="25"/>
      <c r="CC89" s="25"/>
      <c r="CD89" s="25"/>
      <c r="CE89" s="25"/>
      <c r="CF89" s="25"/>
      <c r="CG89" s="25"/>
      <c r="CH89" s="25"/>
      <c r="CI89" s="25"/>
      <c r="CJ89" s="25"/>
      <c r="CK89" s="25"/>
      <c r="CL89" s="25"/>
      <c r="CM89" s="25"/>
      <c r="CN89" s="25"/>
    </row>
    <row r="90" spans="1:167" x14ac:dyDescent="0.2">
      <c r="A90" s="26" t="s">
        <v>26</v>
      </c>
      <c r="B90" s="25">
        <f ca="1">OtherGases!H8/1000</f>
        <v>9.7174163993399993</v>
      </c>
      <c r="C90">
        <f t="shared" ref="C90:K92" ca="1" si="45">B90+($L90-$B90)/($L$75-$B$75)</f>
        <v>9.8500357390049995</v>
      </c>
      <c r="D90">
        <f t="shared" ca="1" si="45"/>
        <v>9.9826550786699997</v>
      </c>
      <c r="E90">
        <f t="shared" ca="1" si="45"/>
        <v>10.115274418335</v>
      </c>
      <c r="F90">
        <f t="shared" ca="1" si="45"/>
        <v>10.247893758</v>
      </c>
      <c r="G90">
        <f t="shared" ca="1" si="45"/>
        <v>10.380513097665</v>
      </c>
      <c r="H90">
        <f t="shared" ca="1" si="45"/>
        <v>10.51313243733</v>
      </c>
      <c r="I90">
        <f t="shared" ca="1" si="45"/>
        <v>10.645751776995001</v>
      </c>
      <c r="J90">
        <f t="shared" ca="1" si="45"/>
        <v>10.778371116660001</v>
      </c>
      <c r="K90">
        <f t="shared" ca="1" si="45"/>
        <v>10.910990456325001</v>
      </c>
      <c r="L90" s="25">
        <f ca="1">OtherGases!I8/1000</f>
        <v>11.043609795989999</v>
      </c>
      <c r="M90">
        <f ca="1">L90+($V90-$L90)/($V$75-$L$75)</f>
        <v>11.143943451234</v>
      </c>
      <c r="N90">
        <f t="shared" ref="N90:U92" ca="1" si="46">M90+($V90-$L90)/($V$75-$L$75)</f>
        <v>11.244277106478</v>
      </c>
      <c r="O90">
        <f t="shared" ca="1" si="46"/>
        <v>11.344610761722</v>
      </c>
      <c r="P90">
        <f t="shared" ca="1" si="46"/>
        <v>11.444944416966001</v>
      </c>
      <c r="Q90">
        <f t="shared" ca="1" si="46"/>
        <v>11.545278072210001</v>
      </c>
      <c r="R90">
        <f t="shared" ca="1" si="46"/>
        <v>11.645611727454002</v>
      </c>
      <c r="S90">
        <f t="shared" ca="1" si="46"/>
        <v>11.745945382698002</v>
      </c>
      <c r="T90">
        <f t="shared" ca="1" si="46"/>
        <v>11.846279037942002</v>
      </c>
      <c r="U90">
        <f t="shared" ca="1" si="46"/>
        <v>11.946612693186003</v>
      </c>
      <c r="V90" s="25">
        <f ca="1">OtherGases!J8/1000</f>
        <v>12.04694634843</v>
      </c>
      <c r="W90">
        <f ca="1">V90+($AF90-$V90)/($AF$75-$V$75)</f>
        <v>12.101167266740999</v>
      </c>
      <c r="X90">
        <f t="shared" ref="X90:AE92" ca="1" si="47">W90+($AF90-$V90)/($AF$75-$V$75)</f>
        <v>12.155388185051999</v>
      </c>
      <c r="Y90">
        <f t="shared" ca="1" si="47"/>
        <v>12.209609103362999</v>
      </c>
      <c r="Z90">
        <f t="shared" ca="1" si="47"/>
        <v>12.263830021673998</v>
      </c>
      <c r="AA90">
        <f t="shared" ca="1" si="47"/>
        <v>12.318050939984998</v>
      </c>
      <c r="AB90">
        <f t="shared" ca="1" si="47"/>
        <v>12.372271858295997</v>
      </c>
      <c r="AC90">
        <f t="shared" ca="1" si="47"/>
        <v>12.426492776606997</v>
      </c>
      <c r="AD90">
        <f t="shared" ca="1" si="47"/>
        <v>12.480713694917997</v>
      </c>
      <c r="AE90">
        <f t="shared" ca="1" si="47"/>
        <v>12.534934613228996</v>
      </c>
      <c r="AF90" s="25">
        <f ca="1">OtherGases!K8/1000</f>
        <v>12.589155531539998</v>
      </c>
      <c r="AG90">
        <f ca="1">AF90+($AP90-$AF90)/($AP$75-$AF$75)</f>
        <v>12.621818319056999</v>
      </c>
      <c r="AH90">
        <f ca="1">AG90+($AP90-$AF90)/($AP$75-$AF$75)</f>
        <v>12.654481106574</v>
      </c>
      <c r="AI90">
        <f t="shared" ref="AI90:AO92" ca="1" si="48">AH90+($AP90-$AF90)/($AP$75-$AF$75)</f>
        <v>12.687143894091001</v>
      </c>
      <c r="AJ90">
        <f t="shared" ca="1" si="48"/>
        <v>12.719806681608002</v>
      </c>
      <c r="AK90">
        <f t="shared" ca="1" si="48"/>
        <v>12.752469469125003</v>
      </c>
      <c r="AL90">
        <f t="shared" ca="1" si="48"/>
        <v>12.785132256642004</v>
      </c>
      <c r="AM90">
        <f t="shared" ca="1" si="48"/>
        <v>12.817795044159006</v>
      </c>
      <c r="AN90">
        <f t="shared" ca="1" si="48"/>
        <v>12.850457831676007</v>
      </c>
      <c r="AO90">
        <f t="shared" ca="1" si="48"/>
        <v>12.883120619193008</v>
      </c>
      <c r="AP90" s="25">
        <f ca="1">OtherGases!L8/1000</f>
        <v>12.91578340671</v>
      </c>
      <c r="AQ90">
        <f ca="1">AP90+($AZ90-$AP90)/($AZ$75-$AP$75)</f>
        <v>12.900153259503</v>
      </c>
      <c r="AR90">
        <f t="shared" ref="AR90:AY92" ca="1" si="49">AQ90+($BA90-$AP90)/($BA$75-$AP$75)</f>
        <v>12.886169519398909</v>
      </c>
      <c r="AS90">
        <f t="shared" ca="1" si="49"/>
        <v>12.872185779294817</v>
      </c>
      <c r="AT90">
        <f t="shared" ca="1" si="49"/>
        <v>12.858202039190726</v>
      </c>
      <c r="AU90">
        <f t="shared" ca="1" si="49"/>
        <v>12.844218299086634</v>
      </c>
      <c r="AV90">
        <f t="shared" ca="1" si="49"/>
        <v>12.830234558982543</v>
      </c>
      <c r="AW90">
        <f t="shared" ca="1" si="49"/>
        <v>12.816250818878451</v>
      </c>
      <c r="AX90">
        <f t="shared" ca="1" si="49"/>
        <v>12.80226707877436</v>
      </c>
      <c r="AY90">
        <f t="shared" ca="1" si="49"/>
        <v>12.788283338670269</v>
      </c>
      <c r="AZ90" s="25">
        <f ca="1">OtherGases!M8/1000</f>
        <v>12.75948193464</v>
      </c>
      <c r="BA90">
        <f ca="1">AZ90+($BJ90-$AZ90)/($BJ$75-$AZ$75)</f>
        <v>12.761962265565</v>
      </c>
      <c r="BB90">
        <f t="shared" ref="BB90:BI92" ca="1" si="50">BA90+($BJ90-$AZ90)/($BJ$75-$AZ$75)</f>
        <v>12.764442596489999</v>
      </c>
      <c r="BC90">
        <f t="shared" ca="1" si="50"/>
        <v>12.766922927414999</v>
      </c>
      <c r="BD90">
        <f t="shared" ca="1" si="50"/>
        <v>12.769403258339999</v>
      </c>
      <c r="BE90">
        <f t="shared" ca="1" si="50"/>
        <v>12.771883589264998</v>
      </c>
      <c r="BF90">
        <f t="shared" ca="1" si="50"/>
        <v>12.774363920189998</v>
      </c>
      <c r="BG90">
        <f t="shared" ca="1" si="50"/>
        <v>12.776844251114998</v>
      </c>
      <c r="BH90">
        <f t="shared" ca="1" si="50"/>
        <v>12.779324582039997</v>
      </c>
      <c r="BI90">
        <f t="shared" ca="1" si="50"/>
        <v>12.781804912964997</v>
      </c>
      <c r="BJ90" s="25">
        <f ca="1">OtherGases!N8/1000</f>
        <v>12.784285243889999</v>
      </c>
      <c r="BK90">
        <f ca="1">BJ90+($BT90-$BJ90)/($BT$75-$BJ$75)</f>
        <v>12.793887278315999</v>
      </c>
      <c r="BL90">
        <f t="shared" ref="BL90:BP92" ca="1" si="51">BK90+($BT90-$BJ90)/($BT$75-$BJ$75)</f>
        <v>12.803489312741998</v>
      </c>
      <c r="BM90">
        <f t="shared" ca="1" si="51"/>
        <v>12.813091347167997</v>
      </c>
      <c r="BN90">
        <f t="shared" ca="1" si="51"/>
        <v>12.822693381593997</v>
      </c>
      <c r="BO90">
        <f t="shared" ca="1" si="51"/>
        <v>12.832295416019996</v>
      </c>
      <c r="BP90">
        <f ca="1">BO90+($BT90-$BJ90)/($BT$75-$BJ$75)</f>
        <v>12.841897450445995</v>
      </c>
      <c r="BQ90">
        <f t="shared" ref="BQ90:BS92" ca="1" si="52">BP90+($BT90-$BJ90)/($BT$75-$BJ$75)</f>
        <v>12.851499484871994</v>
      </c>
      <c r="BR90">
        <f t="shared" ca="1" si="52"/>
        <v>12.861101519297993</v>
      </c>
      <c r="BS90">
        <f t="shared" ca="1" si="52"/>
        <v>12.870703553723992</v>
      </c>
      <c r="BT90" s="25">
        <f ca="1">OtherGases!O8/1000</f>
        <v>12.880305588149998</v>
      </c>
      <c r="BU90">
        <f ca="1">BT90+($CD90-$BT90)/($CD$75-$BT$75)</f>
        <v>12.888687337955998</v>
      </c>
      <c r="BV90">
        <f t="shared" ref="BV90:CC92" ca="1" si="53">BU90+($CD90-$BT90)/($CD$75-$BT$75)</f>
        <v>12.897069087761999</v>
      </c>
      <c r="BW90">
        <f t="shared" ca="1" si="53"/>
        <v>12.905450837567999</v>
      </c>
      <c r="BX90">
        <f t="shared" ca="1" si="53"/>
        <v>12.913832587373999</v>
      </c>
      <c r="BY90">
        <f t="shared" ca="1" si="53"/>
        <v>12.92221433718</v>
      </c>
      <c r="BZ90">
        <f t="shared" ca="1" si="53"/>
        <v>12.930596086986</v>
      </c>
      <c r="CA90">
        <f t="shared" ca="1" si="53"/>
        <v>12.938977836792001</v>
      </c>
      <c r="CB90">
        <f t="shared" ca="1" si="53"/>
        <v>12.947359586598001</v>
      </c>
      <c r="CC90">
        <f t="shared" ca="1" si="53"/>
        <v>12.955741336404001</v>
      </c>
      <c r="CD90" s="25">
        <f ca="1">OtherGases!P8/1000</f>
        <v>12.96412308621</v>
      </c>
      <c r="CE90">
        <f ca="1">CD90+($CN90-$CD90)/($CN$75-$CD$75)</f>
        <v>13.019043888855</v>
      </c>
      <c r="CF90">
        <f t="shared" ref="CF90:CM92" ca="1" si="54">CE90+($CN90-$CD90)/($CN$75-$CD$75)</f>
        <v>13.073964691500001</v>
      </c>
      <c r="CG90">
        <f t="shared" ca="1" si="54"/>
        <v>13.128885494145001</v>
      </c>
      <c r="CH90">
        <f t="shared" ca="1" si="54"/>
        <v>13.183806296790001</v>
      </c>
      <c r="CI90">
        <f t="shared" ca="1" si="54"/>
        <v>13.238727099435001</v>
      </c>
      <c r="CJ90">
        <f t="shared" ca="1" si="54"/>
        <v>13.293647902080002</v>
      </c>
      <c r="CK90">
        <f t="shared" ca="1" si="54"/>
        <v>13.348568704725002</v>
      </c>
      <c r="CL90">
        <f t="shared" ca="1" si="54"/>
        <v>13.403489507370002</v>
      </c>
      <c r="CM90">
        <f t="shared" ca="1" si="54"/>
        <v>13.458410310015003</v>
      </c>
      <c r="CN90" s="25">
        <f ca="1">OtherGases!Q8/1000</f>
        <v>13.513331112659998</v>
      </c>
      <c r="CO90" s="25"/>
      <c r="CP90" s="25"/>
      <c r="CQ90" s="25"/>
      <c r="CR90" s="25"/>
      <c r="CS90" s="25"/>
      <c r="CT90" s="25"/>
      <c r="CU90" s="25"/>
      <c r="CV90" s="25"/>
      <c r="CW90" s="25"/>
      <c r="CX90" s="25"/>
      <c r="CY90" s="25"/>
      <c r="CZ90" s="25"/>
      <c r="DA90" s="25"/>
      <c r="DB90" s="25"/>
      <c r="DC90" s="25"/>
      <c r="DD90" s="25"/>
      <c r="DE90" s="25"/>
      <c r="DF90" s="25"/>
      <c r="DG90" s="25"/>
      <c r="DH90" s="25"/>
      <c r="DI90" s="25"/>
      <c r="DJ90" s="25"/>
      <c r="DK90" s="25"/>
      <c r="DL90" s="25"/>
      <c r="DM90" s="25"/>
      <c r="DN90" s="25"/>
      <c r="DO90" s="25"/>
      <c r="DP90" s="25"/>
      <c r="DQ90" s="25"/>
      <c r="DR90" s="25"/>
      <c r="DS90" s="25"/>
      <c r="DT90" s="25"/>
      <c r="DU90" s="25"/>
      <c r="DV90" s="25"/>
      <c r="DW90" s="25"/>
      <c r="DX90" s="25"/>
      <c r="DY90" s="25"/>
      <c r="DZ90" s="25"/>
      <c r="EA90" s="25"/>
      <c r="EB90" s="25"/>
      <c r="EC90" s="25"/>
      <c r="ED90" s="25"/>
      <c r="EE90" s="25"/>
      <c r="EF90" s="25"/>
      <c r="EG90" s="25"/>
      <c r="EH90" s="25"/>
      <c r="EI90" s="25"/>
      <c r="EJ90" s="25"/>
      <c r="EK90" s="25"/>
      <c r="EL90" s="25"/>
      <c r="EM90" s="25"/>
      <c r="EN90" s="25"/>
      <c r="EO90" s="25"/>
      <c r="EP90" s="25"/>
      <c r="EQ90" s="25"/>
      <c r="ER90" s="25"/>
      <c r="ES90" s="25"/>
      <c r="ET90" s="25"/>
      <c r="EU90" s="25"/>
      <c r="EV90" s="25"/>
      <c r="EW90" s="25"/>
      <c r="EX90" s="25"/>
      <c r="EY90" s="25"/>
      <c r="EZ90" s="25"/>
      <c r="FA90" s="25"/>
      <c r="FB90" s="25"/>
      <c r="FC90" s="25"/>
      <c r="FD90" s="25"/>
      <c r="FE90" s="25"/>
      <c r="FF90" s="25"/>
      <c r="FG90" s="25"/>
      <c r="FH90" s="25"/>
      <c r="FI90" s="25"/>
      <c r="FJ90" s="25"/>
      <c r="FK90" s="25"/>
    </row>
    <row r="91" spans="1:167" x14ac:dyDescent="0.2">
      <c r="A91" s="26" t="s">
        <v>21</v>
      </c>
      <c r="B91" s="25">
        <f ca="1">OtherGases!H9/1000</f>
        <v>2.6849729568480001</v>
      </c>
      <c r="C91">
        <f t="shared" ca="1" si="45"/>
        <v>2.7217600001591999</v>
      </c>
      <c r="D91">
        <f t="shared" ca="1" si="45"/>
        <v>2.7585470434703998</v>
      </c>
      <c r="E91">
        <f t="shared" ca="1" si="45"/>
        <v>2.7953340867815997</v>
      </c>
      <c r="F91">
        <f t="shared" ca="1" si="45"/>
        <v>2.8321211300927995</v>
      </c>
      <c r="G91">
        <f t="shared" ca="1" si="45"/>
        <v>2.8689081734039994</v>
      </c>
      <c r="H91">
        <f t="shared" ca="1" si="45"/>
        <v>2.9056952167151993</v>
      </c>
      <c r="I91">
        <f t="shared" ca="1" si="45"/>
        <v>2.9424822600263991</v>
      </c>
      <c r="J91">
        <f t="shared" ca="1" si="45"/>
        <v>2.979269303337599</v>
      </c>
      <c r="K91">
        <f t="shared" ca="1" si="45"/>
        <v>3.0160563466487988</v>
      </c>
      <c r="L91" s="25">
        <f ca="1">OtherGases!I9/1000</f>
        <v>3.0528433899600005</v>
      </c>
      <c r="M91">
        <f t="shared" ref="M91:M92" ca="1" si="55">L91+($V91-$L91)/($V$75-$L$75)</f>
        <v>3.0884784801780003</v>
      </c>
      <c r="N91">
        <f t="shared" ca="1" si="46"/>
        <v>3.1241135703960001</v>
      </c>
      <c r="O91">
        <f t="shared" ca="1" si="46"/>
        <v>3.1597486606139999</v>
      </c>
      <c r="P91">
        <f t="shared" ca="1" si="46"/>
        <v>3.1953837508319998</v>
      </c>
      <c r="Q91">
        <f t="shared" ca="1" si="46"/>
        <v>3.2310188410499996</v>
      </c>
      <c r="R91">
        <f t="shared" ca="1" si="46"/>
        <v>3.2666539312679994</v>
      </c>
      <c r="S91">
        <f t="shared" ca="1" si="46"/>
        <v>3.3022890214859992</v>
      </c>
      <c r="T91">
        <f t="shared" ca="1" si="46"/>
        <v>3.3379241117039991</v>
      </c>
      <c r="U91">
        <f t="shared" ca="1" si="46"/>
        <v>3.3735592019219989</v>
      </c>
      <c r="V91" s="25">
        <f ca="1">OtherGases!J9/1000</f>
        <v>3.40919429214</v>
      </c>
      <c r="W91">
        <f t="shared" ref="W91:W92" ca="1" si="56">V91+($AF91-$V91)/($AF$75-$V$75)</f>
        <v>3.4322393845740002</v>
      </c>
      <c r="X91">
        <f t="shared" ca="1" si="47"/>
        <v>3.455284477008</v>
      </c>
      <c r="Y91">
        <f t="shared" ca="1" si="47"/>
        <v>3.4783295694419998</v>
      </c>
      <c r="Z91">
        <f t="shared" ca="1" si="47"/>
        <v>3.5013746618759995</v>
      </c>
      <c r="AA91">
        <f t="shared" ca="1" si="47"/>
        <v>3.5244197543099993</v>
      </c>
      <c r="AB91">
        <f t="shared" ca="1" si="47"/>
        <v>3.5474648467439991</v>
      </c>
      <c r="AC91">
        <f t="shared" ca="1" si="47"/>
        <v>3.5705099391779989</v>
      </c>
      <c r="AD91">
        <f t="shared" ca="1" si="47"/>
        <v>3.5935550316119986</v>
      </c>
      <c r="AE91">
        <f t="shared" ca="1" si="47"/>
        <v>3.6166001240459984</v>
      </c>
      <c r="AF91" s="25">
        <f ca="1">OtherGases!K9/1000</f>
        <v>3.6396452164799999</v>
      </c>
      <c r="AG91">
        <f t="shared" ref="AG91:AH92" ca="1" si="57">AF91+($AP91-$AF91)/($AP$75-$AF$75)</f>
        <v>3.6542048647650001</v>
      </c>
      <c r="AH91">
        <f t="shared" ca="1" si="57"/>
        <v>3.6687645130500002</v>
      </c>
      <c r="AI91">
        <f t="shared" ca="1" si="48"/>
        <v>3.6833241613350003</v>
      </c>
      <c r="AJ91">
        <f t="shared" ca="1" si="48"/>
        <v>3.6978838096200004</v>
      </c>
      <c r="AK91">
        <f t="shared" ca="1" si="48"/>
        <v>3.7124434579050005</v>
      </c>
      <c r="AL91">
        <f t="shared" ca="1" si="48"/>
        <v>3.7270031061900006</v>
      </c>
      <c r="AM91">
        <f t="shared" ca="1" si="48"/>
        <v>3.7415627544750008</v>
      </c>
      <c r="AN91">
        <f t="shared" ca="1" si="48"/>
        <v>3.7561224027600009</v>
      </c>
      <c r="AO91">
        <f t="shared" ca="1" si="48"/>
        <v>3.770682051045001</v>
      </c>
      <c r="AP91" s="25">
        <f ca="1">OtherGases!L9/1000</f>
        <v>3.7852416993299998</v>
      </c>
      <c r="AQ91">
        <f t="shared" ref="AQ91:AQ92" ca="1" si="58">AP91+($BA91-$AP91)/($BA$75-$AP$75)</f>
        <v>3.7774717682519996</v>
      </c>
      <c r="AR91">
        <f t="shared" ca="1" si="49"/>
        <v>3.7697018371739994</v>
      </c>
      <c r="AS91">
        <f t="shared" ca="1" si="49"/>
        <v>3.7619319060959993</v>
      </c>
      <c r="AT91">
        <f t="shared" ca="1" si="49"/>
        <v>3.7541619750179991</v>
      </c>
      <c r="AU91">
        <f t="shared" ca="1" si="49"/>
        <v>3.7463920439399989</v>
      </c>
      <c r="AV91">
        <f t="shared" ca="1" si="49"/>
        <v>3.7386221128619987</v>
      </c>
      <c r="AW91">
        <f t="shared" ca="1" si="49"/>
        <v>3.7308521817839986</v>
      </c>
      <c r="AX91">
        <f t="shared" ca="1" si="49"/>
        <v>3.7230822507059984</v>
      </c>
      <c r="AY91">
        <f t="shared" ca="1" si="49"/>
        <v>3.7153123196279982</v>
      </c>
      <c r="AZ91" s="25">
        <f ca="1">OtherGases!M9/1000</f>
        <v>3.70040569353</v>
      </c>
      <c r="BA91">
        <f t="shared" ref="BA91:BA92" ca="1" si="59">AZ91+($BJ91-$AZ91)/($BJ$75-$AZ$75)</f>
        <v>3.6997724574720001</v>
      </c>
      <c r="BB91">
        <f t="shared" ca="1" si="50"/>
        <v>3.6991392214140002</v>
      </c>
      <c r="BC91">
        <f t="shared" ca="1" si="50"/>
        <v>3.6985059853560003</v>
      </c>
      <c r="BD91">
        <f t="shared" ca="1" si="50"/>
        <v>3.6978727492980004</v>
      </c>
      <c r="BE91">
        <f t="shared" ca="1" si="50"/>
        <v>3.6972395132400004</v>
      </c>
      <c r="BF91">
        <f t="shared" ca="1" si="50"/>
        <v>3.6966062771820005</v>
      </c>
      <c r="BG91">
        <f t="shared" ca="1" si="50"/>
        <v>3.6959730411240006</v>
      </c>
      <c r="BH91">
        <f t="shared" ca="1" si="50"/>
        <v>3.6953398050660007</v>
      </c>
      <c r="BI91">
        <f t="shared" ca="1" si="50"/>
        <v>3.6947065690080008</v>
      </c>
      <c r="BJ91" s="25">
        <f ca="1">OtherGases!N9/1000</f>
        <v>3.69407333295</v>
      </c>
      <c r="BK91">
        <f t="shared" ref="BK91:BK92" ca="1" si="60">BJ91+($BT91-$BJ91)/($BT$75-$BJ$75)</f>
        <v>3.6998884614510001</v>
      </c>
      <c r="BL91">
        <f t="shared" ca="1" si="51"/>
        <v>3.7057035899520003</v>
      </c>
      <c r="BM91">
        <f t="shared" ca="1" si="51"/>
        <v>3.7115187184530005</v>
      </c>
      <c r="BN91">
        <f t="shared" ca="1" si="51"/>
        <v>3.7173338469540007</v>
      </c>
      <c r="BO91">
        <f t="shared" ca="1" si="51"/>
        <v>3.7231489754550009</v>
      </c>
      <c r="BP91">
        <f t="shared" ca="1" si="51"/>
        <v>3.7289641039560011</v>
      </c>
      <c r="BQ91">
        <f t="shared" ca="1" si="52"/>
        <v>3.7347792324570013</v>
      </c>
      <c r="BR91">
        <f t="shared" ca="1" si="52"/>
        <v>3.7405943609580015</v>
      </c>
      <c r="BS91">
        <f t="shared" ca="1" si="52"/>
        <v>3.7464094894590017</v>
      </c>
      <c r="BT91" s="25">
        <f ca="1">OtherGases!O9/1000</f>
        <v>3.7522246179600001</v>
      </c>
      <c r="BU91">
        <f t="shared" ref="BU91:BU92" ca="1" si="61">BT91+($CD91-$BT91)/($CD$75-$BT$75)</f>
        <v>3.7522159458419999</v>
      </c>
      <c r="BV91">
        <f t="shared" ca="1" si="53"/>
        <v>3.7522072737239998</v>
      </c>
      <c r="BW91">
        <f t="shared" ca="1" si="53"/>
        <v>3.7521986016059996</v>
      </c>
      <c r="BX91">
        <f t="shared" ca="1" si="53"/>
        <v>3.7521899294879995</v>
      </c>
      <c r="BY91">
        <f t="shared" ca="1" si="53"/>
        <v>3.7521812573699993</v>
      </c>
      <c r="BZ91">
        <f t="shared" ca="1" si="53"/>
        <v>3.7521725852519991</v>
      </c>
      <c r="CA91">
        <f t="shared" ca="1" si="53"/>
        <v>3.752163913133999</v>
      </c>
      <c r="CB91">
        <f t="shared" ca="1" si="53"/>
        <v>3.7521552410159988</v>
      </c>
      <c r="CC91">
        <f t="shared" ca="1" si="53"/>
        <v>3.7521465688979987</v>
      </c>
      <c r="CD91" s="25">
        <f ca="1">OtherGases!P9/1000</f>
        <v>3.7521378967799999</v>
      </c>
      <c r="CE91">
        <f t="shared" ref="CE91:CE92" ca="1" si="62">CD91+($CN91-$CD91)/($CN$75-$CD$75)</f>
        <v>3.7533870661559998</v>
      </c>
      <c r="CF91">
        <f t="shared" ca="1" si="54"/>
        <v>3.7546362355319998</v>
      </c>
      <c r="CG91">
        <f t="shared" ca="1" si="54"/>
        <v>3.7558854049079997</v>
      </c>
      <c r="CH91">
        <f t="shared" ca="1" si="54"/>
        <v>3.7571345742839997</v>
      </c>
      <c r="CI91">
        <f t="shared" ca="1" si="54"/>
        <v>3.7583837436599996</v>
      </c>
      <c r="CJ91">
        <f t="shared" ca="1" si="54"/>
        <v>3.7596329130359996</v>
      </c>
      <c r="CK91">
        <f t="shared" ca="1" si="54"/>
        <v>3.7608820824119995</v>
      </c>
      <c r="CL91">
        <f t="shared" ca="1" si="54"/>
        <v>3.7621312517879995</v>
      </c>
      <c r="CM91">
        <f t="shared" ca="1" si="54"/>
        <v>3.7633804211639994</v>
      </c>
      <c r="CN91" s="25">
        <f ca="1">OtherGases!Q9/1000</f>
        <v>3.7646295905399998</v>
      </c>
      <c r="CO91" s="25"/>
      <c r="CP91" s="25"/>
      <c r="CQ91" s="25"/>
      <c r="CR91" s="25"/>
      <c r="CS91" s="25"/>
      <c r="CT91" s="25"/>
      <c r="CU91" s="25"/>
      <c r="CV91" s="25"/>
      <c r="CW91" s="25"/>
      <c r="CX91" s="25"/>
      <c r="CY91" s="25"/>
      <c r="CZ91" s="25"/>
      <c r="DA91" s="25"/>
      <c r="DB91" s="25"/>
      <c r="DC91" s="25"/>
      <c r="DD91" s="25"/>
      <c r="DE91" s="25"/>
      <c r="DF91" s="25"/>
      <c r="DG91" s="25"/>
      <c r="DH91" s="25"/>
      <c r="DI91" s="25"/>
      <c r="DJ91" s="25"/>
      <c r="DK91" s="25"/>
      <c r="DL91" s="25"/>
      <c r="DM91" s="25"/>
      <c r="DN91" s="25"/>
      <c r="DO91" s="25"/>
      <c r="DP91" s="25"/>
      <c r="DQ91" s="25"/>
      <c r="DR91" s="25"/>
      <c r="DS91" s="25"/>
      <c r="DT91" s="25"/>
      <c r="DU91" s="25"/>
      <c r="DV91" s="25"/>
      <c r="DW91" s="25"/>
      <c r="DX91" s="25"/>
      <c r="DY91" s="25"/>
      <c r="DZ91" s="25"/>
      <c r="EA91" s="25"/>
      <c r="EB91" s="25"/>
      <c r="EC91" s="25"/>
      <c r="ED91" s="25"/>
      <c r="EE91" s="25"/>
      <c r="EF91" s="25"/>
      <c r="EG91" s="25"/>
      <c r="EH91" s="25"/>
      <c r="EI91" s="25"/>
      <c r="EJ91" s="25"/>
      <c r="EK91" s="25"/>
      <c r="EL91" s="25"/>
      <c r="EM91" s="25"/>
      <c r="EN91" s="25"/>
      <c r="EO91" s="25"/>
      <c r="EP91" s="25"/>
      <c r="EQ91" s="25"/>
      <c r="ER91" s="25"/>
      <c r="ES91" s="25"/>
      <c r="ET91" s="25"/>
      <c r="EU91" s="25"/>
      <c r="EV91" s="25"/>
      <c r="EW91" s="25"/>
      <c r="EX91" s="25"/>
      <c r="EY91" s="25"/>
      <c r="EZ91" s="25"/>
      <c r="FA91" s="25"/>
      <c r="FB91" s="25"/>
      <c r="FC91" s="25"/>
      <c r="FD91" s="25"/>
      <c r="FE91" s="25"/>
      <c r="FF91" s="25"/>
      <c r="FG91" s="25"/>
      <c r="FH91" s="25"/>
      <c r="FI91" s="25"/>
      <c r="FJ91" s="25"/>
      <c r="FK91" s="25"/>
    </row>
    <row r="92" spans="1:167" x14ac:dyDescent="0.2">
      <c r="A92" s="265" t="s">
        <v>23</v>
      </c>
      <c r="B92" s="25">
        <f ca="1">OtherGases!H10/1000</f>
        <v>0.93247592716186511</v>
      </c>
      <c r="C92">
        <f t="shared" ca="1" si="45"/>
        <v>1.023556982524475</v>
      </c>
      <c r="D92">
        <f t="shared" ca="1" si="45"/>
        <v>1.1146380378870848</v>
      </c>
      <c r="E92">
        <f t="shared" ca="1" si="45"/>
        <v>1.2057190932496946</v>
      </c>
      <c r="F92">
        <f t="shared" ca="1" si="45"/>
        <v>1.2968001486123044</v>
      </c>
      <c r="G92">
        <f t="shared" ca="1" si="45"/>
        <v>1.3878812039749142</v>
      </c>
      <c r="H92">
        <f t="shared" ca="1" si="45"/>
        <v>1.478962259337524</v>
      </c>
      <c r="I92">
        <f t="shared" ca="1" si="45"/>
        <v>1.5700433147001338</v>
      </c>
      <c r="J92">
        <f t="shared" ca="1" si="45"/>
        <v>1.6611243700627436</v>
      </c>
      <c r="K92">
        <f t="shared" ca="1" si="45"/>
        <v>1.7522054254253534</v>
      </c>
      <c r="L92" s="25">
        <f ca="1">OtherGases!I10/1000</f>
        <v>1.8432864807879636</v>
      </c>
      <c r="M92">
        <f t="shared" ca="1" si="55"/>
        <v>1.889764256915222</v>
      </c>
      <c r="N92">
        <f t="shared" ca="1" si="46"/>
        <v>1.9362420330424803</v>
      </c>
      <c r="O92">
        <f t="shared" ca="1" si="46"/>
        <v>1.9827198091697387</v>
      </c>
      <c r="P92">
        <f t="shared" ca="1" si="46"/>
        <v>2.029197585296997</v>
      </c>
      <c r="Q92">
        <f t="shared" ca="1" si="46"/>
        <v>2.0756753614242553</v>
      </c>
      <c r="R92">
        <f t="shared" ca="1" si="46"/>
        <v>2.1221531375515137</v>
      </c>
      <c r="S92">
        <f t="shared" ca="1" si="46"/>
        <v>2.168630913678772</v>
      </c>
      <c r="T92">
        <f t="shared" ca="1" si="46"/>
        <v>2.2151086898060304</v>
      </c>
      <c r="U92">
        <f t="shared" ca="1" si="46"/>
        <v>2.2615864659332887</v>
      </c>
      <c r="V92" s="25">
        <f ca="1">OtherGases!J10/1000</f>
        <v>2.3080642420605466</v>
      </c>
      <c r="W92">
        <f t="shared" ca="1" si="56"/>
        <v>2.3578501886886287</v>
      </c>
      <c r="X92">
        <f t="shared" ca="1" si="47"/>
        <v>2.4076361353167108</v>
      </c>
      <c r="Y92">
        <f t="shared" ca="1" si="47"/>
        <v>2.4574220819447929</v>
      </c>
      <c r="Z92">
        <f t="shared" ca="1" si="47"/>
        <v>2.5072080285728751</v>
      </c>
      <c r="AA92">
        <f t="shared" ca="1" si="47"/>
        <v>2.5569939752009572</v>
      </c>
      <c r="AB92">
        <f t="shared" ca="1" si="47"/>
        <v>2.6067799218290393</v>
      </c>
      <c r="AC92">
        <f t="shared" ca="1" si="47"/>
        <v>2.6565658684571214</v>
      </c>
      <c r="AD92">
        <f t="shared" ca="1" si="47"/>
        <v>2.7063518150852035</v>
      </c>
      <c r="AE92">
        <f t="shared" ca="1" si="47"/>
        <v>2.7561377617132856</v>
      </c>
      <c r="AF92" s="25">
        <f ca="1">OtherGases!K10/1000</f>
        <v>2.8059237083413695</v>
      </c>
      <c r="AG92">
        <f t="shared" ca="1" si="57"/>
        <v>2.8560339833049317</v>
      </c>
      <c r="AH92">
        <f t="shared" ca="1" si="57"/>
        <v>2.906144258268494</v>
      </c>
      <c r="AI92">
        <f t="shared" ca="1" si="48"/>
        <v>2.9562545332320562</v>
      </c>
      <c r="AJ92">
        <f t="shared" ca="1" si="48"/>
        <v>3.0063648081956185</v>
      </c>
      <c r="AK92">
        <f t="shared" ca="1" si="48"/>
        <v>3.0564750831591807</v>
      </c>
      <c r="AL92">
        <f t="shared" ca="1" si="48"/>
        <v>3.1065853581227429</v>
      </c>
      <c r="AM92">
        <f t="shared" ca="1" si="48"/>
        <v>3.1566956330863052</v>
      </c>
      <c r="AN92">
        <f t="shared" ca="1" si="48"/>
        <v>3.2068059080498674</v>
      </c>
      <c r="AO92">
        <f t="shared" ca="1" si="48"/>
        <v>3.2569161830134297</v>
      </c>
      <c r="AP92" s="25">
        <f ca="1">OtherGases!L10/1000</f>
        <v>3.3070264579769897</v>
      </c>
      <c r="AQ92">
        <f t="shared" ca="1" si="58"/>
        <v>3.3567994981843956</v>
      </c>
      <c r="AR92">
        <f t="shared" ca="1" si="49"/>
        <v>3.4065725383918015</v>
      </c>
      <c r="AS92">
        <f t="shared" ca="1" si="49"/>
        <v>3.4563455785992074</v>
      </c>
      <c r="AT92">
        <f t="shared" ca="1" si="49"/>
        <v>3.5061186188066134</v>
      </c>
      <c r="AU92">
        <f t="shared" ca="1" si="49"/>
        <v>3.5558916590140193</v>
      </c>
      <c r="AV92">
        <f t="shared" ca="1" si="49"/>
        <v>3.6056646992214252</v>
      </c>
      <c r="AW92">
        <f t="shared" ca="1" si="49"/>
        <v>3.6554377394288311</v>
      </c>
      <c r="AX92">
        <f t="shared" ca="1" si="49"/>
        <v>3.705210779636237</v>
      </c>
      <c r="AY92">
        <f t="shared" ca="1" si="49"/>
        <v>3.7549838198436429</v>
      </c>
      <c r="AZ92" s="25">
        <f ca="1">OtherGases!M10/1000</f>
        <v>3.7998763423036195</v>
      </c>
      <c r="BA92">
        <f t="shared" ca="1" si="59"/>
        <v>3.8545299002584534</v>
      </c>
      <c r="BB92">
        <f t="shared" ca="1" si="50"/>
        <v>3.9091834582132874</v>
      </c>
      <c r="BC92">
        <f t="shared" ca="1" si="50"/>
        <v>3.9638370161681213</v>
      </c>
      <c r="BD92">
        <f t="shared" ca="1" si="50"/>
        <v>4.0184905741229553</v>
      </c>
      <c r="BE92">
        <f t="shared" ca="1" si="50"/>
        <v>4.0731441320777897</v>
      </c>
      <c r="BF92">
        <f t="shared" ca="1" si="50"/>
        <v>4.1277976900326241</v>
      </c>
      <c r="BG92">
        <f t="shared" ca="1" si="50"/>
        <v>4.1824512479874585</v>
      </c>
      <c r="BH92">
        <f t="shared" ca="1" si="50"/>
        <v>4.2371048059422929</v>
      </c>
      <c r="BI92">
        <f t="shared" ca="1" si="50"/>
        <v>4.2917583638971273</v>
      </c>
      <c r="BJ92" s="25">
        <f ca="1">OtherGases!N10/1000</f>
        <v>4.3464119218519599</v>
      </c>
      <c r="BK92">
        <f t="shared" ca="1" si="60"/>
        <v>4.4081899764981545</v>
      </c>
      <c r="BL92">
        <f t="shared" ca="1" si="51"/>
        <v>4.469968031144349</v>
      </c>
      <c r="BM92">
        <f t="shared" ca="1" si="51"/>
        <v>4.5317460857905436</v>
      </c>
      <c r="BN92">
        <f t="shared" ca="1" si="51"/>
        <v>4.5935241404367382</v>
      </c>
      <c r="BO92">
        <f t="shared" ca="1" si="51"/>
        <v>4.6553021950829327</v>
      </c>
      <c r="BP92">
        <f t="shared" ca="1" si="51"/>
        <v>4.7170802497291273</v>
      </c>
      <c r="BQ92">
        <f t="shared" ca="1" si="52"/>
        <v>4.7788583043753219</v>
      </c>
      <c r="BR92">
        <f t="shared" ca="1" si="52"/>
        <v>4.8406363590215165</v>
      </c>
      <c r="BS92">
        <f t="shared" ca="1" si="52"/>
        <v>4.902414413667711</v>
      </c>
      <c r="BT92" s="25">
        <f ca="1">OtherGases!O10/1000</f>
        <v>4.9641924683139029</v>
      </c>
      <c r="BU92">
        <f t="shared" ca="1" si="61"/>
        <v>5.0197109723666831</v>
      </c>
      <c r="BV92">
        <f t="shared" ca="1" si="53"/>
        <v>5.0752294764194632</v>
      </c>
      <c r="BW92">
        <f t="shared" ca="1" si="53"/>
        <v>5.1307479804722433</v>
      </c>
      <c r="BX92">
        <f t="shared" ca="1" si="53"/>
        <v>5.1862664845250235</v>
      </c>
      <c r="BY92">
        <f t="shared" ca="1" si="53"/>
        <v>5.2417849885778036</v>
      </c>
      <c r="BZ92">
        <f t="shared" ca="1" si="53"/>
        <v>5.2973034926305838</v>
      </c>
      <c r="CA92">
        <f t="shared" ca="1" si="53"/>
        <v>5.3528219966833639</v>
      </c>
      <c r="CB92">
        <f t="shared" ca="1" si="53"/>
        <v>5.408340500736144</v>
      </c>
      <c r="CC92">
        <f t="shared" ca="1" si="53"/>
        <v>5.4638590047889242</v>
      </c>
      <c r="CD92" s="25">
        <f ca="1">OtherGases!P10/1000</f>
        <v>5.5193775088417043</v>
      </c>
      <c r="CE92">
        <f t="shared" ca="1" si="62"/>
        <v>5.5576281027582084</v>
      </c>
      <c r="CF92">
        <f t="shared" ca="1" si="54"/>
        <v>5.5958786966747125</v>
      </c>
      <c r="CG92">
        <f t="shared" ca="1" si="54"/>
        <v>5.6341292905912166</v>
      </c>
      <c r="CH92">
        <f t="shared" ca="1" si="54"/>
        <v>5.6723798845077207</v>
      </c>
      <c r="CI92">
        <f t="shared" ca="1" si="54"/>
        <v>5.7106304784242248</v>
      </c>
      <c r="CJ92">
        <f t="shared" ca="1" si="54"/>
        <v>5.7488810723407289</v>
      </c>
      <c r="CK92">
        <f t="shared" ca="1" si="54"/>
        <v>5.787131666257233</v>
      </c>
      <c r="CL92">
        <f t="shared" ca="1" si="54"/>
        <v>5.8253822601737371</v>
      </c>
      <c r="CM92">
        <f t="shared" ca="1" si="54"/>
        <v>5.8636328540902412</v>
      </c>
      <c r="CN92" s="25">
        <f ca="1">OtherGases!Q10/1000</f>
        <v>5.9018834480067435</v>
      </c>
      <c r="CO92" s="25"/>
      <c r="CP92" s="25"/>
      <c r="CQ92" s="25"/>
      <c r="CR92" s="25"/>
      <c r="CS92" s="25"/>
      <c r="CT92" s="25"/>
      <c r="CU92" s="25"/>
      <c r="CV92" s="25"/>
      <c r="CW92" s="25"/>
      <c r="CX92" s="25"/>
      <c r="CY92" s="25"/>
      <c r="CZ92" s="25"/>
      <c r="DA92" s="25"/>
      <c r="DB92" s="25"/>
      <c r="DC92" s="25"/>
      <c r="DD92" s="25"/>
      <c r="DE92" s="25"/>
      <c r="DF92" s="25"/>
      <c r="DG92" s="25"/>
      <c r="DH92" s="25"/>
      <c r="DI92" s="25"/>
      <c r="DJ92" s="25"/>
      <c r="DK92" s="25"/>
      <c r="DL92" s="25"/>
      <c r="DM92" s="25"/>
      <c r="DN92" s="25"/>
      <c r="DO92" s="25"/>
      <c r="DP92" s="25"/>
      <c r="DQ92" s="25"/>
      <c r="DR92" s="25"/>
      <c r="DS92" s="25"/>
      <c r="DT92" s="25"/>
      <c r="DU92" s="25"/>
      <c r="DV92" s="25"/>
      <c r="DW92" s="25"/>
      <c r="DX92" s="25"/>
      <c r="DY92" s="25"/>
      <c r="DZ92" s="25"/>
      <c r="EA92" s="25"/>
      <c r="EB92" s="25"/>
      <c r="EC92" s="25"/>
      <c r="ED92" s="25"/>
      <c r="EE92" s="25"/>
      <c r="EF92" s="25"/>
      <c r="EG92" s="25"/>
      <c r="EH92" s="25"/>
      <c r="EI92" s="25"/>
      <c r="EJ92" s="25"/>
      <c r="EK92" s="25"/>
      <c r="EL92" s="25"/>
      <c r="EM92" s="25"/>
      <c r="EN92" s="25"/>
      <c r="EO92" s="25"/>
      <c r="EP92" s="25"/>
      <c r="EQ92" s="25"/>
      <c r="ER92" s="25"/>
      <c r="ES92" s="25"/>
      <c r="ET92" s="25"/>
      <c r="EU92" s="25"/>
      <c r="EV92" s="25"/>
      <c r="EW92" s="25"/>
      <c r="EX92" s="25"/>
      <c r="EY92" s="25"/>
      <c r="EZ92" s="25"/>
      <c r="FA92" s="25"/>
      <c r="FB92" s="25"/>
      <c r="FC92" s="25"/>
      <c r="FD92" s="25"/>
      <c r="FE92" s="25"/>
      <c r="FF92" s="25"/>
      <c r="FG92" s="25"/>
      <c r="FH92" s="25"/>
      <c r="FI92" s="25"/>
      <c r="FJ92" s="25"/>
      <c r="FK92" s="25"/>
    </row>
    <row r="93" spans="1:167" x14ac:dyDescent="0.2">
      <c r="A93" s="25"/>
      <c r="B93" s="25"/>
      <c r="C93" s="25"/>
      <c r="D93" s="25"/>
      <c r="E93" s="25"/>
      <c r="F93" s="25"/>
      <c r="G93" s="25"/>
      <c r="H93" s="25"/>
      <c r="I93" s="25"/>
      <c r="J93" s="25"/>
      <c r="K93" s="25"/>
      <c r="L93" s="25"/>
      <c r="M93" s="25"/>
      <c r="N93" s="25"/>
      <c r="O93" s="25"/>
      <c r="P93" s="25"/>
      <c r="Q93" s="25"/>
      <c r="R93" s="25"/>
      <c r="S93" s="25"/>
      <c r="T93" s="25"/>
      <c r="U93" s="25"/>
      <c r="V93" s="25"/>
      <c r="W93" s="25"/>
      <c r="X93" s="25"/>
      <c r="Y93" s="25"/>
      <c r="Z93" s="25"/>
      <c r="AA93" s="25"/>
      <c r="AB93" s="25"/>
      <c r="AC93" s="25"/>
      <c r="AD93" s="25"/>
      <c r="AE93" s="25"/>
      <c r="AF93" s="25"/>
      <c r="AG93" s="25"/>
      <c r="AH93" s="25"/>
      <c r="AI93" s="25"/>
      <c r="AJ93" s="25"/>
      <c r="AK93" s="25"/>
      <c r="AL93" s="25"/>
      <c r="AM93" s="25"/>
      <c r="AN93" s="25"/>
      <c r="AO93" s="25"/>
      <c r="AP93" s="25"/>
      <c r="AQ93" s="25"/>
      <c r="AR93" s="25"/>
      <c r="AS93" s="25"/>
      <c r="AT93" s="25"/>
      <c r="AU93" s="25"/>
      <c r="AV93" s="25"/>
      <c r="AW93" s="25"/>
      <c r="AX93" s="25"/>
      <c r="AY93" s="25"/>
      <c r="AZ93" s="25"/>
      <c r="BA93" s="25"/>
      <c r="BB93" s="25"/>
      <c r="BC93" s="25"/>
      <c r="BD93" s="25"/>
      <c r="BE93" s="25"/>
      <c r="BF93" s="25"/>
      <c r="BG93" s="25"/>
      <c r="BH93" s="25"/>
      <c r="BI93" s="25"/>
      <c r="BJ93" s="25"/>
      <c r="BK93" s="25"/>
      <c r="BL93" s="25"/>
      <c r="BM93" s="25"/>
      <c r="BN93" s="25"/>
      <c r="BO93" s="25"/>
      <c r="BP93" s="25"/>
      <c r="BQ93" s="25"/>
      <c r="BR93" s="25"/>
      <c r="BS93" s="25"/>
      <c r="BT93" s="25"/>
      <c r="BU93" s="25"/>
      <c r="BV93" s="25"/>
      <c r="BW93" s="25"/>
      <c r="BX93" s="25"/>
      <c r="BY93" s="25"/>
      <c r="BZ93" s="25"/>
      <c r="CA93" s="25"/>
      <c r="CB93" s="25"/>
      <c r="CC93" s="25"/>
      <c r="CD93" s="25"/>
      <c r="CE93" s="25"/>
      <c r="CF93" s="25"/>
      <c r="CG93" s="25"/>
      <c r="CH93" s="25"/>
      <c r="CI93" s="25"/>
      <c r="CJ93" s="25"/>
      <c r="CK93" s="25"/>
      <c r="CL93" s="25"/>
      <c r="CM93" s="25"/>
      <c r="CN93" s="25"/>
    </row>
    <row r="94" spans="1:167" x14ac:dyDescent="0.2">
      <c r="A94" s="25" t="str">
        <f>TotalEmissions!A47</f>
        <v>Fossil Energy CCS</v>
      </c>
      <c r="B94" s="25">
        <f ca="1">TotalEmissions!B47</f>
        <v>0</v>
      </c>
      <c r="C94" s="25">
        <f t="shared" ref="C94:K98" ca="1" si="63">B94+(($L94-$B94)/($L$75-$B$75))</f>
        <v>0</v>
      </c>
      <c r="D94" s="25">
        <f t="shared" ca="1" si="63"/>
        <v>0</v>
      </c>
      <c r="E94" s="25">
        <f t="shared" ca="1" si="63"/>
        <v>0</v>
      </c>
      <c r="F94" s="25">
        <f t="shared" ca="1" si="63"/>
        <v>0</v>
      </c>
      <c r="G94" s="25">
        <f t="shared" ca="1" si="63"/>
        <v>0</v>
      </c>
      <c r="H94" s="25">
        <f t="shared" ca="1" si="63"/>
        <v>0</v>
      </c>
      <c r="I94" s="25">
        <f t="shared" ca="1" si="63"/>
        <v>0</v>
      </c>
      <c r="J94" s="25">
        <f t="shared" ca="1" si="63"/>
        <v>0</v>
      </c>
      <c r="K94" s="25">
        <f t="shared" ca="1" si="63"/>
        <v>0</v>
      </c>
      <c r="L94" s="25">
        <f ca="1">TotalEmissions!C47</f>
        <v>0</v>
      </c>
      <c r="M94" s="25">
        <f ca="1">L94+(($V94-$L94)/($V$75-$L$75))</f>
        <v>0</v>
      </c>
      <c r="N94" s="25">
        <f t="shared" ref="N94:U94" ca="1" si="64">M94+(($V94-$L94)/($V$75-$L$75))</f>
        <v>0</v>
      </c>
      <c r="O94" s="25">
        <f t="shared" ca="1" si="64"/>
        <v>0</v>
      </c>
      <c r="P94" s="25">
        <f t="shared" ca="1" si="64"/>
        <v>0</v>
      </c>
      <c r="Q94" s="25">
        <f t="shared" ca="1" si="64"/>
        <v>0</v>
      </c>
      <c r="R94" s="25">
        <f t="shared" ca="1" si="64"/>
        <v>0</v>
      </c>
      <c r="S94" s="25">
        <f t="shared" ca="1" si="64"/>
        <v>0</v>
      </c>
      <c r="T94" s="25">
        <f t="shared" ca="1" si="64"/>
        <v>0</v>
      </c>
      <c r="U94" s="25">
        <f t="shared" ca="1" si="64"/>
        <v>0</v>
      </c>
      <c r="V94" s="25">
        <f ca="1">TotalEmissions!D47</f>
        <v>0</v>
      </c>
      <c r="W94" s="25">
        <f ca="1">V94+(($AF94-$V94)/($AF$75-$V$75))</f>
        <v>0</v>
      </c>
      <c r="X94" s="25">
        <f t="shared" ref="X94:AE94" ca="1" si="65">W94+(($AF94-$V94)/($AF$75-$V$75))</f>
        <v>0</v>
      </c>
      <c r="Y94" s="25">
        <f t="shared" ca="1" si="65"/>
        <v>0</v>
      </c>
      <c r="Z94" s="25">
        <f t="shared" ca="1" si="65"/>
        <v>0</v>
      </c>
      <c r="AA94" s="25">
        <f t="shared" ca="1" si="65"/>
        <v>0</v>
      </c>
      <c r="AB94" s="25">
        <f t="shared" ca="1" si="65"/>
        <v>0</v>
      </c>
      <c r="AC94" s="25">
        <f t="shared" ca="1" si="65"/>
        <v>0</v>
      </c>
      <c r="AD94" s="25">
        <f t="shared" ca="1" si="65"/>
        <v>0</v>
      </c>
      <c r="AE94" s="25">
        <f t="shared" ca="1" si="65"/>
        <v>0</v>
      </c>
      <c r="AF94" s="25">
        <f ca="1">TotalEmissions!E47</f>
        <v>0</v>
      </c>
      <c r="AG94" s="25">
        <f ca="1">AF94+(($AP94-$AF94)/($AP$75-$AF$75))</f>
        <v>0</v>
      </c>
      <c r="AH94" s="25">
        <f t="shared" ref="AH94:AO94" ca="1" si="66">AG94+(($AP94-$AF94)/($AP$75-$AF$75))</f>
        <v>0</v>
      </c>
      <c r="AI94" s="25">
        <f t="shared" ca="1" si="66"/>
        <v>0</v>
      </c>
      <c r="AJ94" s="25">
        <f t="shared" ca="1" si="66"/>
        <v>0</v>
      </c>
      <c r="AK94" s="25">
        <f t="shared" ca="1" si="66"/>
        <v>0</v>
      </c>
      <c r="AL94" s="25">
        <f t="shared" ca="1" si="66"/>
        <v>0</v>
      </c>
      <c r="AM94" s="25">
        <f t="shared" ca="1" si="66"/>
        <v>0</v>
      </c>
      <c r="AN94" s="25">
        <f t="shared" ca="1" si="66"/>
        <v>0</v>
      </c>
      <c r="AO94" s="25">
        <f t="shared" ca="1" si="66"/>
        <v>0</v>
      </c>
      <c r="AP94" s="25">
        <f ca="1">TotalEmissions!F47</f>
        <v>0</v>
      </c>
      <c r="AQ94" s="25">
        <f ca="1">AP94+(($AZ94-$AP94)/($AZ$75-$AP$75))</f>
        <v>0</v>
      </c>
      <c r="AR94" s="25">
        <f t="shared" ref="AR94:AY94" ca="1" si="67">AQ94+(($AZ94-$AP94)/($AZ$75-$AP$75))</f>
        <v>0</v>
      </c>
      <c r="AS94" s="25">
        <f t="shared" ca="1" si="67"/>
        <v>0</v>
      </c>
      <c r="AT94" s="25">
        <f t="shared" ca="1" si="67"/>
        <v>0</v>
      </c>
      <c r="AU94" s="25">
        <f t="shared" ca="1" si="67"/>
        <v>0</v>
      </c>
      <c r="AV94" s="25">
        <f t="shared" ca="1" si="67"/>
        <v>0</v>
      </c>
      <c r="AW94" s="25">
        <f t="shared" ca="1" si="67"/>
        <v>0</v>
      </c>
      <c r="AX94" s="25">
        <f t="shared" ca="1" si="67"/>
        <v>0</v>
      </c>
      <c r="AY94" s="25">
        <f t="shared" ca="1" si="67"/>
        <v>0</v>
      </c>
      <c r="AZ94" s="25">
        <f ca="1">TotalEmissions!G47</f>
        <v>0</v>
      </c>
      <c r="BA94" s="25">
        <f ca="1">AZ94+(($BJ94-$AZ94)/($BJ$75-$AZ$75))</f>
        <v>0</v>
      </c>
      <c r="BB94" s="25">
        <f t="shared" ref="BB94:BI94" ca="1" si="68">BA94+(($BJ94-$AZ94)/($BJ$75-$AZ$75))</f>
        <v>0</v>
      </c>
      <c r="BC94" s="25">
        <f t="shared" ca="1" si="68"/>
        <v>0</v>
      </c>
      <c r="BD94" s="25">
        <f t="shared" ca="1" si="68"/>
        <v>0</v>
      </c>
      <c r="BE94" s="25">
        <f t="shared" ca="1" si="68"/>
        <v>0</v>
      </c>
      <c r="BF94" s="25">
        <f t="shared" ca="1" si="68"/>
        <v>0</v>
      </c>
      <c r="BG94" s="25">
        <f t="shared" ca="1" si="68"/>
        <v>0</v>
      </c>
      <c r="BH94" s="25">
        <f t="shared" ca="1" si="68"/>
        <v>0</v>
      </c>
      <c r="BI94" s="25">
        <f t="shared" ca="1" si="68"/>
        <v>0</v>
      </c>
      <c r="BJ94" s="25">
        <f ca="1">TotalEmissions!H47</f>
        <v>0</v>
      </c>
      <c r="BK94" s="25">
        <f ca="1">BJ94+(($BT94-$BJ94)/($BT$75-$BJ$75))</f>
        <v>0</v>
      </c>
      <c r="BL94" s="25">
        <f t="shared" ref="BL94:BS94" ca="1" si="69">BK94+(($BT94-$BJ94)/($BT$75-$BJ$75))</f>
        <v>0</v>
      </c>
      <c r="BM94" s="25">
        <f t="shared" ca="1" si="69"/>
        <v>0</v>
      </c>
      <c r="BN94" s="25">
        <f t="shared" ca="1" si="69"/>
        <v>0</v>
      </c>
      <c r="BO94" s="25">
        <f t="shared" ca="1" si="69"/>
        <v>0</v>
      </c>
      <c r="BP94" s="25">
        <f t="shared" ca="1" si="69"/>
        <v>0</v>
      </c>
      <c r="BQ94" s="25">
        <f t="shared" ca="1" si="69"/>
        <v>0</v>
      </c>
      <c r="BR94" s="25">
        <f t="shared" ca="1" si="69"/>
        <v>0</v>
      </c>
      <c r="BS94" s="25">
        <f t="shared" ca="1" si="69"/>
        <v>0</v>
      </c>
      <c r="BT94" s="25">
        <f ca="1">TotalEmissions!I47</f>
        <v>0</v>
      </c>
      <c r="BU94" s="25">
        <f ca="1">BT94+(($CD94-$BT94)/($CD$75-$BT$75))</f>
        <v>0</v>
      </c>
      <c r="BV94" s="25">
        <f t="shared" ref="BV94:CC94" ca="1" si="70">BU94+(($CD94-$BT94)/($CD$75-$BT$75))</f>
        <v>0</v>
      </c>
      <c r="BW94" s="25">
        <f t="shared" ca="1" si="70"/>
        <v>0</v>
      </c>
      <c r="BX94" s="25">
        <f t="shared" ca="1" si="70"/>
        <v>0</v>
      </c>
      <c r="BY94" s="25">
        <f t="shared" ca="1" si="70"/>
        <v>0</v>
      </c>
      <c r="BZ94" s="25">
        <f t="shared" ca="1" si="70"/>
        <v>0</v>
      </c>
      <c r="CA94" s="25">
        <f t="shared" ca="1" si="70"/>
        <v>0</v>
      </c>
      <c r="CB94" s="25">
        <f t="shared" ca="1" si="70"/>
        <v>0</v>
      </c>
      <c r="CC94" s="25">
        <f t="shared" ca="1" si="70"/>
        <v>0</v>
      </c>
      <c r="CD94" s="25">
        <f ca="1">TotalEmissions!J47</f>
        <v>0</v>
      </c>
      <c r="CE94" s="25">
        <f ca="1">CD94+(($CN94-$CD94)/($CN$75-$CD$75))</f>
        <v>0</v>
      </c>
      <c r="CF94" s="25">
        <f t="shared" ref="CF94:CM94" ca="1" si="71">CE94+(($CN94-$CD94)/($CN$75-$CD$75))</f>
        <v>0</v>
      </c>
      <c r="CG94" s="25">
        <f t="shared" ca="1" si="71"/>
        <v>0</v>
      </c>
      <c r="CH94" s="25">
        <f t="shared" ca="1" si="71"/>
        <v>0</v>
      </c>
      <c r="CI94" s="25">
        <f t="shared" ca="1" si="71"/>
        <v>0</v>
      </c>
      <c r="CJ94" s="25">
        <f t="shared" ca="1" si="71"/>
        <v>0</v>
      </c>
      <c r="CK94" s="25">
        <f t="shared" ca="1" si="71"/>
        <v>0</v>
      </c>
      <c r="CL94" s="25">
        <f t="shared" ca="1" si="71"/>
        <v>0</v>
      </c>
      <c r="CM94" s="25">
        <f t="shared" ca="1" si="71"/>
        <v>0</v>
      </c>
      <c r="CN94" s="25">
        <f ca="1">TotalEmissions!K47</f>
        <v>0</v>
      </c>
    </row>
    <row r="95" spans="1:167" x14ac:dyDescent="0.2">
      <c r="A95" s="25" t="str">
        <f>TotalEmissions!A48</f>
        <v>Fossil Industry CCS</v>
      </c>
      <c r="B95" s="25">
        <f ca="1">TotalEmissions!B48</f>
        <v>0</v>
      </c>
      <c r="C95" s="25">
        <f t="shared" ca="1" si="63"/>
        <v>0</v>
      </c>
      <c r="D95" s="25">
        <f t="shared" ca="1" si="63"/>
        <v>0</v>
      </c>
      <c r="E95" s="25">
        <f t="shared" ca="1" si="63"/>
        <v>0</v>
      </c>
      <c r="F95" s="25">
        <f t="shared" ca="1" si="63"/>
        <v>0</v>
      </c>
      <c r="G95" s="25">
        <f t="shared" ca="1" si="63"/>
        <v>0</v>
      </c>
      <c r="H95" s="25">
        <f t="shared" ca="1" si="63"/>
        <v>0</v>
      </c>
      <c r="I95" s="25">
        <f t="shared" ca="1" si="63"/>
        <v>0</v>
      </c>
      <c r="J95" s="25">
        <f t="shared" ca="1" si="63"/>
        <v>0</v>
      </c>
      <c r="K95" s="25">
        <f t="shared" ca="1" si="63"/>
        <v>0</v>
      </c>
      <c r="L95" s="25">
        <f ca="1">TotalEmissions!C48</f>
        <v>0</v>
      </c>
      <c r="M95" s="25">
        <f t="shared" ref="M95:U98" ca="1" si="72">L95+(($V95-$L95)/($V$75-$L$75))</f>
        <v>0</v>
      </c>
      <c r="N95" s="25">
        <f t="shared" ca="1" si="72"/>
        <v>0</v>
      </c>
      <c r="O95" s="25">
        <f t="shared" ca="1" si="72"/>
        <v>0</v>
      </c>
      <c r="P95" s="25">
        <f t="shared" ca="1" si="72"/>
        <v>0</v>
      </c>
      <c r="Q95" s="25">
        <f t="shared" ca="1" si="72"/>
        <v>0</v>
      </c>
      <c r="R95" s="25">
        <f t="shared" ca="1" si="72"/>
        <v>0</v>
      </c>
      <c r="S95" s="25">
        <f t="shared" ca="1" si="72"/>
        <v>0</v>
      </c>
      <c r="T95" s="25">
        <f t="shared" ca="1" si="72"/>
        <v>0</v>
      </c>
      <c r="U95" s="25">
        <f t="shared" ca="1" si="72"/>
        <v>0</v>
      </c>
      <c r="V95" s="25">
        <f ca="1">TotalEmissions!D48</f>
        <v>0</v>
      </c>
      <c r="W95" s="25">
        <f t="shared" ref="W95:AE98" ca="1" si="73">V95+(($AF95-$V95)/($AF$75-$V$75))</f>
        <v>0</v>
      </c>
      <c r="X95" s="25">
        <f t="shared" ca="1" si="73"/>
        <v>0</v>
      </c>
      <c r="Y95" s="25">
        <f t="shared" ca="1" si="73"/>
        <v>0</v>
      </c>
      <c r="Z95" s="25">
        <f t="shared" ca="1" si="73"/>
        <v>0</v>
      </c>
      <c r="AA95" s="25">
        <f t="shared" ca="1" si="73"/>
        <v>0</v>
      </c>
      <c r="AB95" s="25">
        <f t="shared" ca="1" si="73"/>
        <v>0</v>
      </c>
      <c r="AC95" s="25">
        <f t="shared" ca="1" si="73"/>
        <v>0</v>
      </c>
      <c r="AD95" s="25">
        <f t="shared" ca="1" si="73"/>
        <v>0</v>
      </c>
      <c r="AE95" s="25">
        <f t="shared" ca="1" si="73"/>
        <v>0</v>
      </c>
      <c r="AF95" s="25">
        <f ca="1">TotalEmissions!E48</f>
        <v>0</v>
      </c>
      <c r="AG95" s="25">
        <f t="shared" ref="AG95:AO98" ca="1" si="74">AF95+(($AP95-$AF95)/($AP$75-$AF$75))</f>
        <v>0</v>
      </c>
      <c r="AH95" s="25">
        <f t="shared" ca="1" si="74"/>
        <v>0</v>
      </c>
      <c r="AI95" s="25">
        <f t="shared" ca="1" si="74"/>
        <v>0</v>
      </c>
      <c r="AJ95" s="25">
        <f t="shared" ca="1" si="74"/>
        <v>0</v>
      </c>
      <c r="AK95" s="25">
        <f t="shared" ca="1" si="74"/>
        <v>0</v>
      </c>
      <c r="AL95" s="25">
        <f t="shared" ca="1" si="74"/>
        <v>0</v>
      </c>
      <c r="AM95" s="25">
        <f t="shared" ca="1" si="74"/>
        <v>0</v>
      </c>
      <c r="AN95" s="25">
        <f t="shared" ca="1" si="74"/>
        <v>0</v>
      </c>
      <c r="AO95" s="25">
        <f t="shared" ca="1" si="74"/>
        <v>0</v>
      </c>
      <c r="AP95" s="25">
        <f ca="1">TotalEmissions!F48</f>
        <v>0</v>
      </c>
      <c r="AQ95" s="25">
        <f t="shared" ref="AQ95:AY98" ca="1" si="75">AP95+(($AZ95-$AP95)/($AZ$75-$AP$75))</f>
        <v>0</v>
      </c>
      <c r="AR95" s="25">
        <f t="shared" ca="1" si="75"/>
        <v>0</v>
      </c>
      <c r="AS95" s="25">
        <f t="shared" ca="1" si="75"/>
        <v>0</v>
      </c>
      <c r="AT95" s="25">
        <f t="shared" ca="1" si="75"/>
        <v>0</v>
      </c>
      <c r="AU95" s="25">
        <f t="shared" ca="1" si="75"/>
        <v>0</v>
      </c>
      <c r="AV95" s="25">
        <f t="shared" ca="1" si="75"/>
        <v>0</v>
      </c>
      <c r="AW95" s="25">
        <f t="shared" ca="1" si="75"/>
        <v>0</v>
      </c>
      <c r="AX95" s="25">
        <f t="shared" ca="1" si="75"/>
        <v>0</v>
      </c>
      <c r="AY95" s="25">
        <f t="shared" ca="1" si="75"/>
        <v>0</v>
      </c>
      <c r="AZ95" s="25">
        <f ca="1">TotalEmissions!G48</f>
        <v>0</v>
      </c>
      <c r="BA95" s="25">
        <f t="shared" ref="BA95:BI98" ca="1" si="76">AZ95+(($BJ95-$AZ95)/($BJ$75-$AZ$75))</f>
        <v>0</v>
      </c>
      <c r="BB95" s="25">
        <f t="shared" ca="1" si="76"/>
        <v>0</v>
      </c>
      <c r="BC95" s="25">
        <f t="shared" ca="1" si="76"/>
        <v>0</v>
      </c>
      <c r="BD95" s="25">
        <f t="shared" ca="1" si="76"/>
        <v>0</v>
      </c>
      <c r="BE95" s="25">
        <f t="shared" ca="1" si="76"/>
        <v>0</v>
      </c>
      <c r="BF95" s="25">
        <f t="shared" ca="1" si="76"/>
        <v>0</v>
      </c>
      <c r="BG95" s="25">
        <f t="shared" ca="1" si="76"/>
        <v>0</v>
      </c>
      <c r="BH95" s="25">
        <f t="shared" ca="1" si="76"/>
        <v>0</v>
      </c>
      <c r="BI95" s="25">
        <f t="shared" ca="1" si="76"/>
        <v>0</v>
      </c>
      <c r="BJ95" s="25">
        <f ca="1">TotalEmissions!H48</f>
        <v>0</v>
      </c>
      <c r="BK95" s="25">
        <f t="shared" ref="BK95:BS98" ca="1" si="77">BJ95+(($BT95-$BJ95)/($BT$75-$BJ$75))</f>
        <v>0</v>
      </c>
      <c r="BL95" s="25">
        <f t="shared" ca="1" si="77"/>
        <v>0</v>
      </c>
      <c r="BM95" s="25">
        <f t="shared" ca="1" si="77"/>
        <v>0</v>
      </c>
      <c r="BN95" s="25">
        <f t="shared" ca="1" si="77"/>
        <v>0</v>
      </c>
      <c r="BO95" s="25">
        <f t="shared" ca="1" si="77"/>
        <v>0</v>
      </c>
      <c r="BP95" s="25">
        <f t="shared" ca="1" si="77"/>
        <v>0</v>
      </c>
      <c r="BQ95" s="25">
        <f t="shared" ca="1" si="77"/>
        <v>0</v>
      </c>
      <c r="BR95" s="25">
        <f t="shared" ca="1" si="77"/>
        <v>0</v>
      </c>
      <c r="BS95" s="25">
        <f t="shared" ca="1" si="77"/>
        <v>0</v>
      </c>
      <c r="BT95" s="25">
        <f ca="1">TotalEmissions!I48</f>
        <v>0</v>
      </c>
      <c r="BU95" s="25">
        <f t="shared" ref="BU95:CC98" ca="1" si="78">BT95+(($CD95-$BT95)/($CD$75-$BT$75))</f>
        <v>0</v>
      </c>
      <c r="BV95" s="25">
        <f t="shared" ca="1" si="78"/>
        <v>0</v>
      </c>
      <c r="BW95" s="25">
        <f t="shared" ca="1" si="78"/>
        <v>0</v>
      </c>
      <c r="BX95" s="25">
        <f t="shared" ca="1" si="78"/>
        <v>0</v>
      </c>
      <c r="BY95" s="25">
        <f t="shared" ca="1" si="78"/>
        <v>0</v>
      </c>
      <c r="BZ95" s="25">
        <f t="shared" ca="1" si="78"/>
        <v>0</v>
      </c>
      <c r="CA95" s="25">
        <f t="shared" ca="1" si="78"/>
        <v>0</v>
      </c>
      <c r="CB95" s="25">
        <f t="shared" ca="1" si="78"/>
        <v>0</v>
      </c>
      <c r="CC95" s="25">
        <f t="shared" ca="1" si="78"/>
        <v>0</v>
      </c>
      <c r="CD95" s="25">
        <f ca="1">TotalEmissions!J48</f>
        <v>0</v>
      </c>
      <c r="CE95" s="25">
        <f t="shared" ref="CE95:CM98" ca="1" si="79">CD95+(($CN95-$CD95)/($CN$75-$CD$75))</f>
        <v>0</v>
      </c>
      <c r="CF95" s="25">
        <f t="shared" ca="1" si="79"/>
        <v>0</v>
      </c>
      <c r="CG95" s="25">
        <f t="shared" ca="1" si="79"/>
        <v>0</v>
      </c>
      <c r="CH95" s="25">
        <f t="shared" ca="1" si="79"/>
        <v>0</v>
      </c>
      <c r="CI95" s="25">
        <f t="shared" ca="1" si="79"/>
        <v>0</v>
      </c>
      <c r="CJ95" s="25">
        <f t="shared" ca="1" si="79"/>
        <v>0</v>
      </c>
      <c r="CK95" s="25">
        <f t="shared" ca="1" si="79"/>
        <v>0</v>
      </c>
      <c r="CL95" s="25">
        <f t="shared" ca="1" si="79"/>
        <v>0</v>
      </c>
      <c r="CM95" s="25">
        <f t="shared" ca="1" si="79"/>
        <v>0</v>
      </c>
      <c r="CN95" s="25">
        <f ca="1">TotalEmissions!K48</f>
        <v>0</v>
      </c>
    </row>
    <row r="96" spans="1:167" x14ac:dyDescent="0.2">
      <c r="A96" s="25" t="str">
        <f>TotalEmissions!A50</f>
        <v>Biomass Energy CCS</v>
      </c>
      <c r="B96" s="25">
        <f ca="1">TotalEmissions!B50</f>
        <v>0</v>
      </c>
      <c r="C96" s="25">
        <f t="shared" ca="1" si="63"/>
        <v>0</v>
      </c>
      <c r="D96" s="25">
        <f t="shared" ca="1" si="63"/>
        <v>0</v>
      </c>
      <c r="E96" s="25">
        <f t="shared" ca="1" si="63"/>
        <v>0</v>
      </c>
      <c r="F96" s="25">
        <f t="shared" ca="1" si="63"/>
        <v>0</v>
      </c>
      <c r="G96" s="25">
        <f t="shared" ca="1" si="63"/>
        <v>0</v>
      </c>
      <c r="H96" s="25">
        <f t="shared" ca="1" si="63"/>
        <v>0</v>
      </c>
      <c r="I96" s="25">
        <f t="shared" ca="1" si="63"/>
        <v>0</v>
      </c>
      <c r="J96" s="25">
        <f t="shared" ca="1" si="63"/>
        <v>0</v>
      </c>
      <c r="K96" s="25">
        <f t="shared" ca="1" si="63"/>
        <v>0</v>
      </c>
      <c r="L96" s="25">
        <f ca="1">TotalEmissions!C50</f>
        <v>0</v>
      </c>
      <c r="M96" s="25">
        <f t="shared" ca="1" si="72"/>
        <v>0</v>
      </c>
      <c r="N96" s="25">
        <f t="shared" ca="1" si="72"/>
        <v>0</v>
      </c>
      <c r="O96" s="25">
        <f t="shared" ca="1" si="72"/>
        <v>0</v>
      </c>
      <c r="P96" s="25">
        <f t="shared" ca="1" si="72"/>
        <v>0</v>
      </c>
      <c r="Q96" s="25">
        <f t="shared" ca="1" si="72"/>
        <v>0</v>
      </c>
      <c r="R96" s="25">
        <f t="shared" ca="1" si="72"/>
        <v>0</v>
      </c>
      <c r="S96" s="25">
        <f t="shared" ca="1" si="72"/>
        <v>0</v>
      </c>
      <c r="T96" s="25">
        <f t="shared" ca="1" si="72"/>
        <v>0</v>
      </c>
      <c r="U96" s="25">
        <f t="shared" ca="1" si="72"/>
        <v>0</v>
      </c>
      <c r="V96" s="25">
        <f ca="1">TotalEmissions!D50</f>
        <v>0</v>
      </c>
      <c r="W96" s="25">
        <f t="shared" ca="1" si="73"/>
        <v>0</v>
      </c>
      <c r="X96" s="25">
        <f t="shared" ca="1" si="73"/>
        <v>0</v>
      </c>
      <c r="Y96" s="25">
        <f t="shared" ca="1" si="73"/>
        <v>0</v>
      </c>
      <c r="Z96" s="25">
        <f t="shared" ca="1" si="73"/>
        <v>0</v>
      </c>
      <c r="AA96" s="25">
        <f t="shared" ca="1" si="73"/>
        <v>0</v>
      </c>
      <c r="AB96" s="25">
        <f t="shared" ca="1" si="73"/>
        <v>0</v>
      </c>
      <c r="AC96" s="25">
        <f t="shared" ca="1" si="73"/>
        <v>0</v>
      </c>
      <c r="AD96" s="25">
        <f t="shared" ca="1" si="73"/>
        <v>0</v>
      </c>
      <c r="AE96" s="25">
        <f t="shared" ca="1" si="73"/>
        <v>0</v>
      </c>
      <c r="AF96" s="25">
        <f ca="1">TotalEmissions!E50</f>
        <v>0</v>
      </c>
      <c r="AG96" s="25">
        <f t="shared" ca="1" si="74"/>
        <v>0</v>
      </c>
      <c r="AH96" s="25">
        <f t="shared" ca="1" si="74"/>
        <v>0</v>
      </c>
      <c r="AI96" s="25">
        <f t="shared" ca="1" si="74"/>
        <v>0</v>
      </c>
      <c r="AJ96" s="25">
        <f t="shared" ca="1" si="74"/>
        <v>0</v>
      </c>
      <c r="AK96" s="25">
        <f t="shared" ca="1" si="74"/>
        <v>0</v>
      </c>
      <c r="AL96" s="25">
        <f t="shared" ca="1" si="74"/>
        <v>0</v>
      </c>
      <c r="AM96" s="25">
        <f t="shared" ca="1" si="74"/>
        <v>0</v>
      </c>
      <c r="AN96" s="25">
        <f t="shared" ca="1" si="74"/>
        <v>0</v>
      </c>
      <c r="AO96" s="25">
        <f t="shared" ca="1" si="74"/>
        <v>0</v>
      </c>
      <c r="AP96" s="25">
        <f ca="1">TotalEmissions!F50</f>
        <v>0</v>
      </c>
      <c r="AQ96" s="25">
        <f t="shared" ca="1" si="75"/>
        <v>0</v>
      </c>
      <c r="AR96" s="25">
        <f t="shared" ca="1" si="75"/>
        <v>0</v>
      </c>
      <c r="AS96" s="25">
        <f t="shared" ca="1" si="75"/>
        <v>0</v>
      </c>
      <c r="AT96" s="25">
        <f t="shared" ca="1" si="75"/>
        <v>0</v>
      </c>
      <c r="AU96" s="25">
        <f t="shared" ca="1" si="75"/>
        <v>0</v>
      </c>
      <c r="AV96" s="25">
        <f t="shared" ca="1" si="75"/>
        <v>0</v>
      </c>
      <c r="AW96" s="25">
        <f t="shared" ca="1" si="75"/>
        <v>0</v>
      </c>
      <c r="AX96" s="25">
        <f t="shared" ca="1" si="75"/>
        <v>0</v>
      </c>
      <c r="AY96" s="25">
        <f t="shared" ca="1" si="75"/>
        <v>0</v>
      </c>
      <c r="AZ96" s="25">
        <f ca="1">TotalEmissions!G50</f>
        <v>0</v>
      </c>
      <c r="BA96" s="25">
        <f t="shared" ca="1" si="76"/>
        <v>0</v>
      </c>
      <c r="BB96" s="25">
        <f t="shared" ca="1" si="76"/>
        <v>0</v>
      </c>
      <c r="BC96" s="25">
        <f t="shared" ca="1" si="76"/>
        <v>0</v>
      </c>
      <c r="BD96" s="25">
        <f t="shared" ca="1" si="76"/>
        <v>0</v>
      </c>
      <c r="BE96" s="25">
        <f t="shared" ca="1" si="76"/>
        <v>0</v>
      </c>
      <c r="BF96" s="25">
        <f t="shared" ca="1" si="76"/>
        <v>0</v>
      </c>
      <c r="BG96" s="25">
        <f t="shared" ca="1" si="76"/>
        <v>0</v>
      </c>
      <c r="BH96" s="25">
        <f t="shared" ca="1" si="76"/>
        <v>0</v>
      </c>
      <c r="BI96" s="25">
        <f t="shared" ca="1" si="76"/>
        <v>0</v>
      </c>
      <c r="BJ96" s="25">
        <f ca="1">TotalEmissions!H50</f>
        <v>0</v>
      </c>
      <c r="BK96" s="25">
        <f t="shared" ca="1" si="77"/>
        <v>0</v>
      </c>
      <c r="BL96" s="25">
        <f t="shared" ca="1" si="77"/>
        <v>0</v>
      </c>
      <c r="BM96" s="25">
        <f t="shared" ca="1" si="77"/>
        <v>0</v>
      </c>
      <c r="BN96" s="25">
        <f t="shared" ca="1" si="77"/>
        <v>0</v>
      </c>
      <c r="BO96" s="25">
        <f t="shared" ca="1" si="77"/>
        <v>0</v>
      </c>
      <c r="BP96" s="25">
        <f t="shared" ca="1" si="77"/>
        <v>0</v>
      </c>
      <c r="BQ96" s="25">
        <f t="shared" ca="1" si="77"/>
        <v>0</v>
      </c>
      <c r="BR96" s="25">
        <f t="shared" ca="1" si="77"/>
        <v>0</v>
      </c>
      <c r="BS96" s="25">
        <f t="shared" ca="1" si="77"/>
        <v>0</v>
      </c>
      <c r="BT96" s="25">
        <f ca="1">TotalEmissions!I50</f>
        <v>0</v>
      </c>
      <c r="BU96" s="25">
        <f t="shared" ca="1" si="78"/>
        <v>0</v>
      </c>
      <c r="BV96" s="25">
        <f t="shared" ca="1" si="78"/>
        <v>0</v>
      </c>
      <c r="BW96" s="25">
        <f t="shared" ca="1" si="78"/>
        <v>0</v>
      </c>
      <c r="BX96" s="25">
        <f t="shared" ca="1" si="78"/>
        <v>0</v>
      </c>
      <c r="BY96" s="25">
        <f t="shared" ca="1" si="78"/>
        <v>0</v>
      </c>
      <c r="BZ96" s="25">
        <f t="shared" ca="1" si="78"/>
        <v>0</v>
      </c>
      <c r="CA96" s="25">
        <f t="shared" ca="1" si="78"/>
        <v>0</v>
      </c>
      <c r="CB96" s="25">
        <f t="shared" ca="1" si="78"/>
        <v>0</v>
      </c>
      <c r="CC96" s="25">
        <f t="shared" ca="1" si="78"/>
        <v>0</v>
      </c>
      <c r="CD96" s="25">
        <f ca="1">TotalEmissions!J50</f>
        <v>0</v>
      </c>
      <c r="CE96" s="25">
        <f t="shared" ca="1" si="79"/>
        <v>0</v>
      </c>
      <c r="CF96" s="25">
        <f t="shared" ca="1" si="79"/>
        <v>0</v>
      </c>
      <c r="CG96" s="25">
        <f t="shared" ca="1" si="79"/>
        <v>0</v>
      </c>
      <c r="CH96" s="25">
        <f t="shared" ca="1" si="79"/>
        <v>0</v>
      </c>
      <c r="CI96" s="25">
        <f t="shared" ca="1" si="79"/>
        <v>0</v>
      </c>
      <c r="CJ96" s="25">
        <f t="shared" ca="1" si="79"/>
        <v>0</v>
      </c>
      <c r="CK96" s="25">
        <f t="shared" ca="1" si="79"/>
        <v>0</v>
      </c>
      <c r="CL96" s="25">
        <f t="shared" ca="1" si="79"/>
        <v>0</v>
      </c>
      <c r="CM96" s="25">
        <f t="shared" ca="1" si="79"/>
        <v>0</v>
      </c>
      <c r="CN96" s="25">
        <f ca="1">TotalEmissions!K50</f>
        <v>0</v>
      </c>
    </row>
    <row r="97" spans="1:92" x14ac:dyDescent="0.2">
      <c r="A97" s="25" t="str">
        <f>TotalEmissions!A51</f>
        <v>Biomass Industry CCS</v>
      </c>
      <c r="B97" s="25">
        <f ca="1">TotalEmissions!B51</f>
        <v>0</v>
      </c>
      <c r="C97" s="25">
        <f t="shared" ca="1" si="63"/>
        <v>0</v>
      </c>
      <c r="D97" s="25">
        <f t="shared" ca="1" si="63"/>
        <v>0</v>
      </c>
      <c r="E97" s="25">
        <f t="shared" ca="1" si="63"/>
        <v>0</v>
      </c>
      <c r="F97" s="25">
        <f t="shared" ca="1" si="63"/>
        <v>0</v>
      </c>
      <c r="G97" s="25">
        <f t="shared" ca="1" si="63"/>
        <v>0</v>
      </c>
      <c r="H97" s="25">
        <f t="shared" ca="1" si="63"/>
        <v>0</v>
      </c>
      <c r="I97" s="25">
        <f t="shared" ca="1" si="63"/>
        <v>0</v>
      </c>
      <c r="J97" s="25">
        <f t="shared" ca="1" si="63"/>
        <v>0</v>
      </c>
      <c r="K97" s="25">
        <f t="shared" ca="1" si="63"/>
        <v>0</v>
      </c>
      <c r="L97" s="25">
        <f ca="1">TotalEmissions!C51</f>
        <v>0</v>
      </c>
      <c r="M97" s="25">
        <f t="shared" ca="1" si="72"/>
        <v>0</v>
      </c>
      <c r="N97" s="25">
        <f t="shared" ca="1" si="72"/>
        <v>0</v>
      </c>
      <c r="O97" s="25">
        <f t="shared" ca="1" si="72"/>
        <v>0</v>
      </c>
      <c r="P97" s="25">
        <f t="shared" ca="1" si="72"/>
        <v>0</v>
      </c>
      <c r="Q97" s="25">
        <f t="shared" ca="1" si="72"/>
        <v>0</v>
      </c>
      <c r="R97" s="25">
        <f t="shared" ca="1" si="72"/>
        <v>0</v>
      </c>
      <c r="S97" s="25">
        <f t="shared" ca="1" si="72"/>
        <v>0</v>
      </c>
      <c r="T97" s="25">
        <f t="shared" ca="1" si="72"/>
        <v>0</v>
      </c>
      <c r="U97" s="25">
        <f t="shared" ca="1" si="72"/>
        <v>0</v>
      </c>
      <c r="V97" s="25">
        <f ca="1">TotalEmissions!D51</f>
        <v>0</v>
      </c>
      <c r="W97" s="25">
        <f t="shared" ca="1" si="73"/>
        <v>0</v>
      </c>
      <c r="X97" s="25">
        <f t="shared" ca="1" si="73"/>
        <v>0</v>
      </c>
      <c r="Y97" s="25">
        <f t="shared" ca="1" si="73"/>
        <v>0</v>
      </c>
      <c r="Z97" s="25">
        <f t="shared" ca="1" si="73"/>
        <v>0</v>
      </c>
      <c r="AA97" s="25">
        <f t="shared" ca="1" si="73"/>
        <v>0</v>
      </c>
      <c r="AB97" s="25">
        <f t="shared" ca="1" si="73"/>
        <v>0</v>
      </c>
      <c r="AC97" s="25">
        <f t="shared" ca="1" si="73"/>
        <v>0</v>
      </c>
      <c r="AD97" s="25">
        <f t="shared" ca="1" si="73"/>
        <v>0</v>
      </c>
      <c r="AE97" s="25">
        <f t="shared" ca="1" si="73"/>
        <v>0</v>
      </c>
      <c r="AF97" s="25">
        <f ca="1">TotalEmissions!E51</f>
        <v>0</v>
      </c>
      <c r="AG97" s="25">
        <f t="shared" ca="1" si="74"/>
        <v>0</v>
      </c>
      <c r="AH97" s="25">
        <f t="shared" ca="1" si="74"/>
        <v>0</v>
      </c>
      <c r="AI97" s="25">
        <f t="shared" ca="1" si="74"/>
        <v>0</v>
      </c>
      <c r="AJ97" s="25">
        <f t="shared" ca="1" si="74"/>
        <v>0</v>
      </c>
      <c r="AK97" s="25">
        <f t="shared" ca="1" si="74"/>
        <v>0</v>
      </c>
      <c r="AL97" s="25">
        <f t="shared" ca="1" si="74"/>
        <v>0</v>
      </c>
      <c r="AM97" s="25">
        <f t="shared" ca="1" si="74"/>
        <v>0</v>
      </c>
      <c r="AN97" s="25">
        <f t="shared" ca="1" si="74"/>
        <v>0</v>
      </c>
      <c r="AO97" s="25">
        <f t="shared" ca="1" si="74"/>
        <v>0</v>
      </c>
      <c r="AP97" s="25">
        <f ca="1">TotalEmissions!F51</f>
        <v>0</v>
      </c>
      <c r="AQ97" s="25">
        <f t="shared" ca="1" si="75"/>
        <v>0</v>
      </c>
      <c r="AR97" s="25">
        <f t="shared" ca="1" si="75"/>
        <v>0</v>
      </c>
      <c r="AS97" s="25">
        <f t="shared" ca="1" si="75"/>
        <v>0</v>
      </c>
      <c r="AT97" s="25">
        <f t="shared" ca="1" si="75"/>
        <v>0</v>
      </c>
      <c r="AU97" s="25">
        <f t="shared" ca="1" si="75"/>
        <v>0</v>
      </c>
      <c r="AV97" s="25">
        <f t="shared" ca="1" si="75"/>
        <v>0</v>
      </c>
      <c r="AW97" s="25">
        <f t="shared" ca="1" si="75"/>
        <v>0</v>
      </c>
      <c r="AX97" s="25">
        <f t="shared" ca="1" si="75"/>
        <v>0</v>
      </c>
      <c r="AY97" s="25">
        <f t="shared" ca="1" si="75"/>
        <v>0</v>
      </c>
      <c r="AZ97" s="25">
        <f ca="1">TotalEmissions!G51</f>
        <v>0</v>
      </c>
      <c r="BA97" s="25">
        <f t="shared" ca="1" si="76"/>
        <v>0</v>
      </c>
      <c r="BB97" s="25">
        <f t="shared" ca="1" si="76"/>
        <v>0</v>
      </c>
      <c r="BC97" s="25">
        <f t="shared" ca="1" si="76"/>
        <v>0</v>
      </c>
      <c r="BD97" s="25">
        <f t="shared" ca="1" si="76"/>
        <v>0</v>
      </c>
      <c r="BE97" s="25">
        <f t="shared" ca="1" si="76"/>
        <v>0</v>
      </c>
      <c r="BF97" s="25">
        <f t="shared" ca="1" si="76"/>
        <v>0</v>
      </c>
      <c r="BG97" s="25">
        <f t="shared" ca="1" si="76"/>
        <v>0</v>
      </c>
      <c r="BH97" s="25">
        <f t="shared" ca="1" si="76"/>
        <v>0</v>
      </c>
      <c r="BI97" s="25">
        <f t="shared" ca="1" si="76"/>
        <v>0</v>
      </c>
      <c r="BJ97" s="25">
        <f ca="1">TotalEmissions!H51</f>
        <v>0</v>
      </c>
      <c r="BK97" s="25">
        <f t="shared" ca="1" si="77"/>
        <v>0</v>
      </c>
      <c r="BL97" s="25">
        <f t="shared" ca="1" si="77"/>
        <v>0</v>
      </c>
      <c r="BM97" s="25">
        <f t="shared" ca="1" si="77"/>
        <v>0</v>
      </c>
      <c r="BN97" s="25">
        <f t="shared" ca="1" si="77"/>
        <v>0</v>
      </c>
      <c r="BO97" s="25">
        <f t="shared" ca="1" si="77"/>
        <v>0</v>
      </c>
      <c r="BP97" s="25">
        <f t="shared" ca="1" si="77"/>
        <v>0</v>
      </c>
      <c r="BQ97" s="25">
        <f t="shared" ca="1" si="77"/>
        <v>0</v>
      </c>
      <c r="BR97" s="25">
        <f t="shared" ca="1" si="77"/>
        <v>0</v>
      </c>
      <c r="BS97" s="25">
        <f t="shared" ca="1" si="77"/>
        <v>0</v>
      </c>
      <c r="BT97" s="25">
        <f ca="1">TotalEmissions!I51</f>
        <v>0</v>
      </c>
      <c r="BU97" s="25">
        <f t="shared" ca="1" si="78"/>
        <v>0</v>
      </c>
      <c r="BV97" s="25">
        <f t="shared" ca="1" si="78"/>
        <v>0</v>
      </c>
      <c r="BW97" s="25">
        <f t="shared" ca="1" si="78"/>
        <v>0</v>
      </c>
      <c r="BX97" s="25">
        <f t="shared" ca="1" si="78"/>
        <v>0</v>
      </c>
      <c r="BY97" s="25">
        <f t="shared" ca="1" si="78"/>
        <v>0</v>
      </c>
      <c r="BZ97" s="25">
        <f t="shared" ca="1" si="78"/>
        <v>0</v>
      </c>
      <c r="CA97" s="25">
        <f t="shared" ca="1" si="78"/>
        <v>0</v>
      </c>
      <c r="CB97" s="25">
        <f t="shared" ca="1" si="78"/>
        <v>0</v>
      </c>
      <c r="CC97" s="25">
        <f t="shared" ca="1" si="78"/>
        <v>0</v>
      </c>
      <c r="CD97" s="25">
        <f ca="1">TotalEmissions!J51</f>
        <v>0</v>
      </c>
      <c r="CE97" s="25">
        <f t="shared" ca="1" si="79"/>
        <v>0</v>
      </c>
      <c r="CF97" s="25">
        <f t="shared" ca="1" si="79"/>
        <v>0</v>
      </c>
      <c r="CG97" s="25">
        <f t="shared" ca="1" si="79"/>
        <v>0</v>
      </c>
      <c r="CH97" s="25">
        <f t="shared" ca="1" si="79"/>
        <v>0</v>
      </c>
      <c r="CI97" s="25">
        <f t="shared" ca="1" si="79"/>
        <v>0</v>
      </c>
      <c r="CJ97" s="25">
        <f t="shared" ca="1" si="79"/>
        <v>0</v>
      </c>
      <c r="CK97" s="25">
        <f t="shared" ca="1" si="79"/>
        <v>0</v>
      </c>
      <c r="CL97" s="25">
        <f t="shared" ca="1" si="79"/>
        <v>0</v>
      </c>
      <c r="CM97" s="25">
        <f t="shared" ca="1" si="79"/>
        <v>0</v>
      </c>
      <c r="CN97" s="25">
        <f ca="1">TotalEmissions!K51</f>
        <v>0</v>
      </c>
    </row>
    <row r="98" spans="1:92" x14ac:dyDescent="0.2">
      <c r="A98" s="25" t="str">
        <f>TotalEmissions!A58</f>
        <v>Net emissions (CO2 + other gases)</v>
      </c>
      <c r="B98" s="25">
        <f ca="1">TotalEmissions!B58</f>
        <v>48.947477967900774</v>
      </c>
      <c r="C98" s="25">
        <f t="shared" ca="1" si="63"/>
        <v>49.994506011459578</v>
      </c>
      <c r="D98" s="25">
        <f t="shared" ca="1" si="63"/>
        <v>51.041534055018381</v>
      </c>
      <c r="E98" s="25">
        <f t="shared" ca="1" si="63"/>
        <v>52.088562098577185</v>
      </c>
      <c r="F98" s="25">
        <f t="shared" ca="1" si="63"/>
        <v>53.135590142135989</v>
      </c>
      <c r="G98" s="25">
        <f t="shared" ca="1" si="63"/>
        <v>54.182618185694793</v>
      </c>
      <c r="H98" s="25">
        <f t="shared" ca="1" si="63"/>
        <v>55.229646229253596</v>
      </c>
      <c r="I98" s="25">
        <f t="shared" ca="1" si="63"/>
        <v>56.2766742728124</v>
      </c>
      <c r="J98" s="25">
        <f t="shared" ca="1" si="63"/>
        <v>57.323702316371204</v>
      </c>
      <c r="K98" s="25">
        <f t="shared" ca="1" si="63"/>
        <v>58.370730359930008</v>
      </c>
      <c r="L98" s="25">
        <f ca="1">TotalEmissions!C58</f>
        <v>59.417758403488818</v>
      </c>
      <c r="M98" s="25">
        <f t="shared" ca="1" si="72"/>
        <v>60.199844777399129</v>
      </c>
      <c r="N98" s="25">
        <f t="shared" ca="1" si="72"/>
        <v>60.981931151309439</v>
      </c>
      <c r="O98" s="25">
        <f t="shared" ca="1" si="72"/>
        <v>61.764017525219749</v>
      </c>
      <c r="P98" s="25">
        <f t="shared" ca="1" si="72"/>
        <v>62.54610389913006</v>
      </c>
      <c r="Q98" s="25">
        <f t="shared" ca="1" si="72"/>
        <v>63.32819027304037</v>
      </c>
      <c r="R98" s="25">
        <f t="shared" ca="1" si="72"/>
        <v>64.11027664695068</v>
      </c>
      <c r="S98" s="25">
        <f t="shared" ca="1" si="72"/>
        <v>64.892363020860998</v>
      </c>
      <c r="T98" s="25">
        <f t="shared" ca="1" si="72"/>
        <v>65.674449394771315</v>
      </c>
      <c r="U98" s="25">
        <f t="shared" ca="1" si="72"/>
        <v>66.456535768681633</v>
      </c>
      <c r="V98" s="25">
        <f ca="1">TotalEmissions!D58</f>
        <v>67.23862214259195</v>
      </c>
      <c r="W98" s="25">
        <f t="shared" ca="1" si="73"/>
        <v>67.709609851405375</v>
      </c>
      <c r="X98" s="25">
        <f t="shared" ca="1" si="73"/>
        <v>68.1805975602188</v>
      </c>
      <c r="Y98" s="25">
        <f t="shared" ca="1" si="73"/>
        <v>68.651585269032225</v>
      </c>
      <c r="Z98" s="25">
        <f t="shared" ca="1" si="73"/>
        <v>69.12257297784565</v>
      </c>
      <c r="AA98" s="25">
        <f t="shared" ca="1" si="73"/>
        <v>69.593560686659075</v>
      </c>
      <c r="AB98" s="25">
        <f t="shared" ca="1" si="73"/>
        <v>70.064548395472499</v>
      </c>
      <c r="AC98" s="25">
        <f t="shared" ca="1" si="73"/>
        <v>70.535536104285924</v>
      </c>
      <c r="AD98" s="25">
        <f t="shared" ca="1" si="73"/>
        <v>71.006523813099349</v>
      </c>
      <c r="AE98" s="25">
        <f t="shared" ca="1" si="73"/>
        <v>71.477511521912774</v>
      </c>
      <c r="AF98" s="25">
        <f ca="1">TotalEmissions!E58</f>
        <v>71.948499230726156</v>
      </c>
      <c r="AG98" s="25">
        <f t="shared" ca="1" si="74"/>
        <v>72.353564568223419</v>
      </c>
      <c r="AH98" s="25">
        <f t="shared" ca="1" si="74"/>
        <v>72.758629905720682</v>
      </c>
      <c r="AI98" s="25">
        <f t="shared" ca="1" si="74"/>
        <v>73.163695243217944</v>
      </c>
      <c r="AJ98" s="25">
        <f t="shared" ca="1" si="74"/>
        <v>73.568760580715207</v>
      </c>
      <c r="AK98" s="25">
        <f t="shared" ca="1" si="74"/>
        <v>73.973825918212469</v>
      </c>
      <c r="AL98" s="25">
        <f t="shared" ca="1" si="74"/>
        <v>74.378891255709732</v>
      </c>
      <c r="AM98" s="25">
        <f t="shared" ca="1" si="74"/>
        <v>74.783956593206995</v>
      </c>
      <c r="AN98" s="25">
        <f t="shared" ca="1" si="74"/>
        <v>75.189021930704257</v>
      </c>
      <c r="AO98" s="25">
        <f t="shared" ca="1" si="74"/>
        <v>75.59408726820152</v>
      </c>
      <c r="AP98" s="25">
        <f ca="1">TotalEmissions!F58</f>
        <v>75.999152605698796</v>
      </c>
      <c r="AQ98" s="25">
        <f t="shared" ca="1" si="75"/>
        <v>76.187375167662779</v>
      </c>
      <c r="AR98" s="25">
        <f t="shared" ca="1" si="75"/>
        <v>76.375597729626762</v>
      </c>
      <c r="AS98" s="25">
        <f t="shared" ca="1" si="75"/>
        <v>76.563820291590744</v>
      </c>
      <c r="AT98" s="25">
        <f t="shared" ca="1" si="75"/>
        <v>76.752042853554727</v>
      </c>
      <c r="AU98" s="25">
        <f t="shared" ca="1" si="75"/>
        <v>76.940265415518709</v>
      </c>
      <c r="AV98" s="25">
        <f t="shared" ca="1" si="75"/>
        <v>77.128487977482692</v>
      </c>
      <c r="AW98" s="25">
        <f t="shared" ca="1" si="75"/>
        <v>77.316710539446674</v>
      </c>
      <c r="AX98" s="25">
        <f t="shared" ca="1" si="75"/>
        <v>77.504933101410657</v>
      </c>
      <c r="AY98" s="25">
        <f t="shared" ca="1" si="75"/>
        <v>77.69315566337464</v>
      </c>
      <c r="AZ98" s="25">
        <f ca="1">TotalEmissions!G58</f>
        <v>77.88137822533858</v>
      </c>
      <c r="BA98" s="25">
        <f t="shared" ca="1" si="76"/>
        <v>78.262383253891741</v>
      </c>
      <c r="BB98" s="25">
        <f t="shared" ca="1" si="76"/>
        <v>78.643388282444903</v>
      </c>
      <c r="BC98" s="25">
        <f t="shared" ca="1" si="76"/>
        <v>79.024393310998065</v>
      </c>
      <c r="BD98" s="25">
        <f t="shared" ca="1" si="76"/>
        <v>79.405398339551226</v>
      </c>
      <c r="BE98" s="25">
        <f t="shared" ca="1" si="76"/>
        <v>79.786403368104388</v>
      </c>
      <c r="BF98" s="25">
        <f t="shared" ca="1" si="76"/>
        <v>80.167408396657549</v>
      </c>
      <c r="BG98" s="25">
        <f t="shared" ca="1" si="76"/>
        <v>80.548413425210711</v>
      </c>
      <c r="BH98" s="25">
        <f t="shared" ca="1" si="76"/>
        <v>80.929418453763873</v>
      </c>
      <c r="BI98" s="25">
        <f t="shared" ca="1" si="76"/>
        <v>81.310423482317034</v>
      </c>
      <c r="BJ98" s="25">
        <f ca="1">TotalEmissions!H58</f>
        <v>81.691428510870224</v>
      </c>
      <c r="BK98" s="25">
        <f t="shared" ca="1" si="77"/>
        <v>82.126263975485614</v>
      </c>
      <c r="BL98" s="25">
        <f t="shared" ca="1" si="77"/>
        <v>82.561099440101003</v>
      </c>
      <c r="BM98" s="25">
        <f t="shared" ca="1" si="77"/>
        <v>82.995934904716393</v>
      </c>
      <c r="BN98" s="25">
        <f t="shared" ca="1" si="77"/>
        <v>83.430770369331782</v>
      </c>
      <c r="BO98" s="25">
        <f t="shared" ca="1" si="77"/>
        <v>83.865605833947171</v>
      </c>
      <c r="BP98" s="25">
        <f t="shared" ca="1" si="77"/>
        <v>84.300441298562561</v>
      </c>
      <c r="BQ98" s="25">
        <f t="shared" ca="1" si="77"/>
        <v>84.73527676317795</v>
      </c>
      <c r="BR98" s="25">
        <f t="shared" ca="1" si="77"/>
        <v>85.170112227793339</v>
      </c>
      <c r="BS98" s="25">
        <f t="shared" ca="1" si="77"/>
        <v>85.604947692408729</v>
      </c>
      <c r="BT98" s="25">
        <f ca="1">TotalEmissions!I58</f>
        <v>86.039783157024061</v>
      </c>
      <c r="BU98" s="25">
        <f t="shared" ca="1" si="78"/>
        <v>86.443073291734876</v>
      </c>
      <c r="BV98" s="25">
        <f t="shared" ca="1" si="78"/>
        <v>86.846363426445691</v>
      </c>
      <c r="BW98" s="25">
        <f t="shared" ca="1" si="78"/>
        <v>87.249653561156506</v>
      </c>
      <c r="BX98" s="25">
        <f t="shared" ca="1" si="78"/>
        <v>87.652943695867322</v>
      </c>
      <c r="BY98" s="25">
        <f t="shared" ca="1" si="78"/>
        <v>88.056233830578137</v>
      </c>
      <c r="BZ98" s="25">
        <f t="shared" ca="1" si="78"/>
        <v>88.459523965288952</v>
      </c>
      <c r="CA98" s="25">
        <f t="shared" ca="1" si="78"/>
        <v>88.862814099999767</v>
      </c>
      <c r="CB98" s="25">
        <f t="shared" ca="1" si="78"/>
        <v>89.266104234710582</v>
      </c>
      <c r="CC98" s="25">
        <f t="shared" ca="1" si="78"/>
        <v>89.669394369421397</v>
      </c>
      <c r="CD98" s="25">
        <f ca="1">TotalEmissions!J58</f>
        <v>90.072684504132255</v>
      </c>
      <c r="CE98" s="25">
        <f t="shared" ca="1" si="79"/>
        <v>90.632661749731028</v>
      </c>
      <c r="CF98" s="25">
        <f t="shared" ca="1" si="79"/>
        <v>91.192638995329801</v>
      </c>
      <c r="CG98" s="25">
        <f t="shared" ca="1" si="79"/>
        <v>91.752616240928575</v>
      </c>
      <c r="CH98" s="25">
        <f t="shared" ca="1" si="79"/>
        <v>92.312593486527348</v>
      </c>
      <c r="CI98" s="25">
        <f t="shared" ca="1" si="79"/>
        <v>92.872570732126121</v>
      </c>
      <c r="CJ98" s="25">
        <f t="shared" ca="1" si="79"/>
        <v>93.432547977724894</v>
      </c>
      <c r="CK98" s="25">
        <f t="shared" ca="1" si="79"/>
        <v>93.992525223323668</v>
      </c>
      <c r="CL98" s="25">
        <f t="shared" ca="1" si="79"/>
        <v>94.552502468922441</v>
      </c>
      <c r="CM98" s="25">
        <f t="shared" ca="1" si="79"/>
        <v>95.112479714521214</v>
      </c>
      <c r="CN98" s="25">
        <f ca="1">TotalEmissions!K58</f>
        <v>95.672456960119973</v>
      </c>
    </row>
    <row r="99" spans="1:92" x14ac:dyDescent="0.2">
      <c r="A99" s="21" t="s">
        <v>279</v>
      </c>
      <c r="B99" s="25">
        <f ca="1">B98+B94+B95+B96+B97</f>
        <v>48.947477967900774</v>
      </c>
      <c r="C99" s="25">
        <f t="shared" ref="C99:BN99" ca="1" si="80">C98+C94+C95+C96+C97</f>
        <v>49.994506011459578</v>
      </c>
      <c r="D99" s="25">
        <f t="shared" ca="1" si="80"/>
        <v>51.041534055018381</v>
      </c>
      <c r="E99" s="25">
        <f t="shared" ca="1" si="80"/>
        <v>52.088562098577185</v>
      </c>
      <c r="F99" s="25">
        <f t="shared" ca="1" si="80"/>
        <v>53.135590142135989</v>
      </c>
      <c r="G99" s="25">
        <f t="shared" ca="1" si="80"/>
        <v>54.182618185694793</v>
      </c>
      <c r="H99" s="25">
        <f t="shared" ca="1" si="80"/>
        <v>55.229646229253596</v>
      </c>
      <c r="I99" s="25">
        <f t="shared" ca="1" si="80"/>
        <v>56.2766742728124</v>
      </c>
      <c r="J99" s="25">
        <f t="shared" ca="1" si="80"/>
        <v>57.323702316371204</v>
      </c>
      <c r="K99" s="25">
        <f t="shared" ca="1" si="80"/>
        <v>58.370730359930008</v>
      </c>
      <c r="L99" s="25">
        <f t="shared" ca="1" si="80"/>
        <v>59.417758403488818</v>
      </c>
      <c r="M99" s="25">
        <f t="shared" ca="1" si="80"/>
        <v>60.199844777399129</v>
      </c>
      <c r="N99" s="25">
        <f t="shared" ca="1" si="80"/>
        <v>60.981931151309439</v>
      </c>
      <c r="O99" s="25">
        <f t="shared" ca="1" si="80"/>
        <v>61.764017525219749</v>
      </c>
      <c r="P99" s="25">
        <f t="shared" ca="1" si="80"/>
        <v>62.54610389913006</v>
      </c>
      <c r="Q99" s="25">
        <f t="shared" ca="1" si="80"/>
        <v>63.32819027304037</v>
      </c>
      <c r="R99" s="25">
        <f t="shared" ca="1" si="80"/>
        <v>64.11027664695068</v>
      </c>
      <c r="S99" s="25">
        <f t="shared" ca="1" si="80"/>
        <v>64.892363020860998</v>
      </c>
      <c r="T99" s="25">
        <f t="shared" ca="1" si="80"/>
        <v>65.674449394771315</v>
      </c>
      <c r="U99" s="25">
        <f t="shared" ca="1" si="80"/>
        <v>66.456535768681633</v>
      </c>
      <c r="V99" s="25">
        <f t="shared" ca="1" si="80"/>
        <v>67.23862214259195</v>
      </c>
      <c r="W99" s="25">
        <f t="shared" ca="1" si="80"/>
        <v>67.709609851405375</v>
      </c>
      <c r="X99" s="25">
        <f t="shared" ca="1" si="80"/>
        <v>68.1805975602188</v>
      </c>
      <c r="Y99" s="25">
        <f t="shared" ca="1" si="80"/>
        <v>68.651585269032225</v>
      </c>
      <c r="Z99" s="25">
        <f t="shared" ca="1" si="80"/>
        <v>69.12257297784565</v>
      </c>
      <c r="AA99" s="25">
        <f t="shared" ca="1" si="80"/>
        <v>69.593560686659075</v>
      </c>
      <c r="AB99" s="25">
        <f t="shared" ca="1" si="80"/>
        <v>70.064548395472499</v>
      </c>
      <c r="AC99" s="25">
        <f t="shared" ca="1" si="80"/>
        <v>70.535536104285924</v>
      </c>
      <c r="AD99" s="25">
        <f t="shared" ca="1" si="80"/>
        <v>71.006523813099349</v>
      </c>
      <c r="AE99" s="25">
        <f t="shared" ca="1" si="80"/>
        <v>71.477511521912774</v>
      </c>
      <c r="AF99" s="25">
        <f t="shared" ca="1" si="80"/>
        <v>71.948499230726156</v>
      </c>
      <c r="AG99" s="25">
        <f t="shared" ca="1" si="80"/>
        <v>72.353564568223419</v>
      </c>
      <c r="AH99" s="25">
        <f t="shared" ca="1" si="80"/>
        <v>72.758629905720682</v>
      </c>
      <c r="AI99" s="25">
        <f t="shared" ca="1" si="80"/>
        <v>73.163695243217944</v>
      </c>
      <c r="AJ99" s="25">
        <f t="shared" ca="1" si="80"/>
        <v>73.568760580715207</v>
      </c>
      <c r="AK99" s="25">
        <f t="shared" ca="1" si="80"/>
        <v>73.973825918212469</v>
      </c>
      <c r="AL99" s="25">
        <f t="shared" ca="1" si="80"/>
        <v>74.378891255709732</v>
      </c>
      <c r="AM99" s="25">
        <f t="shared" ca="1" si="80"/>
        <v>74.783956593206995</v>
      </c>
      <c r="AN99" s="25">
        <f t="shared" ca="1" si="80"/>
        <v>75.189021930704257</v>
      </c>
      <c r="AO99" s="25">
        <f t="shared" ca="1" si="80"/>
        <v>75.59408726820152</v>
      </c>
      <c r="AP99" s="25">
        <f t="shared" ca="1" si="80"/>
        <v>75.999152605698796</v>
      </c>
      <c r="AQ99" s="25">
        <f t="shared" ca="1" si="80"/>
        <v>76.187375167662779</v>
      </c>
      <c r="AR99" s="25">
        <f t="shared" ca="1" si="80"/>
        <v>76.375597729626762</v>
      </c>
      <c r="AS99" s="25">
        <f t="shared" ca="1" si="80"/>
        <v>76.563820291590744</v>
      </c>
      <c r="AT99" s="25">
        <f t="shared" ca="1" si="80"/>
        <v>76.752042853554727</v>
      </c>
      <c r="AU99" s="25">
        <f t="shared" ca="1" si="80"/>
        <v>76.940265415518709</v>
      </c>
      <c r="AV99" s="25">
        <f t="shared" ca="1" si="80"/>
        <v>77.128487977482692</v>
      </c>
      <c r="AW99" s="25">
        <f t="shared" ca="1" si="80"/>
        <v>77.316710539446674</v>
      </c>
      <c r="AX99" s="25">
        <f t="shared" ca="1" si="80"/>
        <v>77.504933101410657</v>
      </c>
      <c r="AY99" s="25">
        <f t="shared" ca="1" si="80"/>
        <v>77.69315566337464</v>
      </c>
      <c r="AZ99" s="25">
        <f t="shared" ca="1" si="80"/>
        <v>77.88137822533858</v>
      </c>
      <c r="BA99" s="25">
        <f t="shared" ca="1" si="80"/>
        <v>78.262383253891741</v>
      </c>
      <c r="BB99" s="25">
        <f t="shared" ca="1" si="80"/>
        <v>78.643388282444903</v>
      </c>
      <c r="BC99" s="25">
        <f t="shared" ca="1" si="80"/>
        <v>79.024393310998065</v>
      </c>
      <c r="BD99" s="25">
        <f t="shared" ca="1" si="80"/>
        <v>79.405398339551226</v>
      </c>
      <c r="BE99" s="25">
        <f t="shared" ca="1" si="80"/>
        <v>79.786403368104388</v>
      </c>
      <c r="BF99" s="25">
        <f t="shared" ca="1" si="80"/>
        <v>80.167408396657549</v>
      </c>
      <c r="BG99" s="25">
        <f t="shared" ca="1" si="80"/>
        <v>80.548413425210711</v>
      </c>
      <c r="BH99" s="25">
        <f t="shared" ca="1" si="80"/>
        <v>80.929418453763873</v>
      </c>
      <c r="BI99" s="25">
        <f t="shared" ca="1" si="80"/>
        <v>81.310423482317034</v>
      </c>
      <c r="BJ99" s="25">
        <f t="shared" ca="1" si="80"/>
        <v>81.691428510870224</v>
      </c>
      <c r="BK99" s="25">
        <f t="shared" ca="1" si="80"/>
        <v>82.126263975485614</v>
      </c>
      <c r="BL99" s="25">
        <f t="shared" ca="1" si="80"/>
        <v>82.561099440101003</v>
      </c>
      <c r="BM99" s="25">
        <f t="shared" ca="1" si="80"/>
        <v>82.995934904716393</v>
      </c>
      <c r="BN99" s="25">
        <f t="shared" ca="1" si="80"/>
        <v>83.430770369331782</v>
      </c>
      <c r="BO99" s="25">
        <f t="shared" ref="BO99:CN99" ca="1" si="81">BO98+BO94+BO95+BO96+BO97</f>
        <v>83.865605833947171</v>
      </c>
      <c r="BP99" s="25">
        <f t="shared" ca="1" si="81"/>
        <v>84.300441298562561</v>
      </c>
      <c r="BQ99" s="25">
        <f t="shared" ca="1" si="81"/>
        <v>84.73527676317795</v>
      </c>
      <c r="BR99" s="25">
        <f t="shared" ca="1" si="81"/>
        <v>85.170112227793339</v>
      </c>
      <c r="BS99" s="25">
        <f t="shared" ca="1" si="81"/>
        <v>85.604947692408729</v>
      </c>
      <c r="BT99" s="25">
        <f t="shared" ca="1" si="81"/>
        <v>86.039783157024061</v>
      </c>
      <c r="BU99" s="25">
        <f t="shared" ca="1" si="81"/>
        <v>86.443073291734876</v>
      </c>
      <c r="BV99" s="25">
        <f t="shared" ca="1" si="81"/>
        <v>86.846363426445691</v>
      </c>
      <c r="BW99" s="25">
        <f t="shared" ca="1" si="81"/>
        <v>87.249653561156506</v>
      </c>
      <c r="BX99" s="25">
        <f t="shared" ca="1" si="81"/>
        <v>87.652943695867322</v>
      </c>
      <c r="BY99" s="25">
        <f t="shared" ca="1" si="81"/>
        <v>88.056233830578137</v>
      </c>
      <c r="BZ99" s="25">
        <f t="shared" ca="1" si="81"/>
        <v>88.459523965288952</v>
      </c>
      <c r="CA99" s="25">
        <f t="shared" ca="1" si="81"/>
        <v>88.862814099999767</v>
      </c>
      <c r="CB99" s="25">
        <f t="shared" ca="1" si="81"/>
        <v>89.266104234710582</v>
      </c>
      <c r="CC99" s="25">
        <f t="shared" ca="1" si="81"/>
        <v>89.669394369421397</v>
      </c>
      <c r="CD99" s="25">
        <f t="shared" ca="1" si="81"/>
        <v>90.072684504132255</v>
      </c>
      <c r="CE99" s="25">
        <f t="shared" ca="1" si="81"/>
        <v>90.632661749731028</v>
      </c>
      <c r="CF99" s="25">
        <f t="shared" ca="1" si="81"/>
        <v>91.192638995329801</v>
      </c>
      <c r="CG99" s="25">
        <f t="shared" ca="1" si="81"/>
        <v>91.752616240928575</v>
      </c>
      <c r="CH99" s="25">
        <f t="shared" ca="1" si="81"/>
        <v>92.312593486527348</v>
      </c>
      <c r="CI99" s="25">
        <f t="shared" ca="1" si="81"/>
        <v>92.872570732126121</v>
      </c>
      <c r="CJ99" s="25">
        <f t="shared" ca="1" si="81"/>
        <v>93.432547977724894</v>
      </c>
      <c r="CK99" s="25">
        <f t="shared" ca="1" si="81"/>
        <v>93.992525223323668</v>
      </c>
      <c r="CL99" s="25">
        <f t="shared" ca="1" si="81"/>
        <v>94.552502468922441</v>
      </c>
      <c r="CM99" s="25">
        <f t="shared" ca="1" si="81"/>
        <v>95.112479714521214</v>
      </c>
      <c r="CN99" s="25">
        <f t="shared" ca="1" si="81"/>
        <v>95.672456960119973</v>
      </c>
    </row>
    <row r="102" spans="1:92" x14ac:dyDescent="0.2">
      <c r="A102" s="211" t="s">
        <v>238</v>
      </c>
      <c r="B102" s="253">
        <f ca="1">((B83-B124)/(LN(B83)-LN(B124)))*LN(B80/B118)</f>
        <v>0</v>
      </c>
      <c r="C102" s="253">
        <f t="shared" ref="C102:K107" ca="1" si="82">B102+(($L102-$B102)/($L$75-$B$75))</f>
        <v>-4.504895779700013E-3</v>
      </c>
      <c r="D102" s="253">
        <f t="shared" ca="1" si="82"/>
        <v>-9.0097915594000259E-3</v>
      </c>
      <c r="E102" s="253">
        <f t="shared" ca="1" si="82"/>
        <v>-1.3514687339100039E-2</v>
      </c>
      <c r="F102" s="253">
        <f t="shared" ca="1" si="82"/>
        <v>-1.8019583118800052E-2</v>
      </c>
      <c r="G102" s="253">
        <f t="shared" ca="1" si="82"/>
        <v>-2.2524478898500067E-2</v>
      </c>
      <c r="H102" s="253">
        <f t="shared" ca="1" si="82"/>
        <v>-2.7029374678200081E-2</v>
      </c>
      <c r="I102" s="253">
        <f t="shared" ca="1" si="82"/>
        <v>-3.1534270457900096E-2</v>
      </c>
      <c r="J102" s="253">
        <f t="shared" ca="1" si="82"/>
        <v>-3.6039166237600111E-2</v>
      </c>
      <c r="K102" s="253">
        <f t="shared" ca="1" si="82"/>
        <v>-4.0544062017300125E-2</v>
      </c>
      <c r="L102">
        <f ca="1">-'MitTable(LMDI I)DEq'!C$6</f>
        <v>-4.5048957797000126E-2</v>
      </c>
      <c r="M102" s="25">
        <f ca="1">L102+(($V102-$L102)/($V$75-$L$75))</f>
        <v>-0.18616908248322178</v>
      </c>
      <c r="N102" s="25">
        <f t="shared" ref="N102:U102" ca="1" si="83">M102+(($V102-$L102)/($V$75-$L$75))</f>
        <v>-0.32728920716944343</v>
      </c>
      <c r="O102" s="25">
        <f t="shared" ca="1" si="83"/>
        <v>-0.46840933185566508</v>
      </c>
      <c r="P102" s="25">
        <f t="shared" ca="1" si="83"/>
        <v>-0.60952945654188673</v>
      </c>
      <c r="Q102" s="25">
        <f t="shared" ca="1" si="83"/>
        <v>-0.75064958122810843</v>
      </c>
      <c r="R102" s="25">
        <f t="shared" ca="1" si="83"/>
        <v>-0.89176970591433014</v>
      </c>
      <c r="S102" s="25">
        <f t="shared" ca="1" si="83"/>
        <v>-1.0328898306005518</v>
      </c>
      <c r="T102" s="25">
        <f t="shared" ca="1" si="83"/>
        <v>-1.1740099552867735</v>
      </c>
      <c r="U102" s="25">
        <f t="shared" ca="1" si="83"/>
        <v>-1.3151300799729952</v>
      </c>
      <c r="V102">
        <f ca="1">-'MitTable(LMDI I)DEq'!D$6</f>
        <v>-1.4562502046592167</v>
      </c>
      <c r="W102" s="25">
        <f ca="1">V102+(($AF102-$V102)/($AF$75-$V$75))</f>
        <v>-1.6421116843277392</v>
      </c>
      <c r="X102" s="25">
        <f t="shared" ref="X102:AE102" ca="1" si="84">W102+(($AF102-$V102)/($AF$75-$V$75))</f>
        <v>-1.8279731639962615</v>
      </c>
      <c r="Y102" s="25">
        <f t="shared" ca="1" si="84"/>
        <v>-2.0138346436647838</v>
      </c>
      <c r="Z102" s="25">
        <f t="shared" ca="1" si="84"/>
        <v>-2.1996961233333061</v>
      </c>
      <c r="AA102" s="25">
        <f t="shared" ca="1" si="84"/>
        <v>-2.3855576030018284</v>
      </c>
      <c r="AB102" s="25">
        <f t="shared" ca="1" si="84"/>
        <v>-2.5714190826703507</v>
      </c>
      <c r="AC102" s="25">
        <f t="shared" ca="1" si="84"/>
        <v>-2.757280562338873</v>
      </c>
      <c r="AD102" s="25">
        <f t="shared" ca="1" si="84"/>
        <v>-2.9431420420073953</v>
      </c>
      <c r="AE102" s="25">
        <f t="shared" ca="1" si="84"/>
        <v>-3.1290035216759176</v>
      </c>
      <c r="AF102">
        <f ca="1">-'MitTable(LMDI I)DEq'!E$6</f>
        <v>-3.3148650013444407</v>
      </c>
      <c r="AG102" s="25">
        <f ca="1">AF102+(($AP102-$AF102)/($AP$75-$AF$75))</f>
        <v>-3.2114458463234619</v>
      </c>
      <c r="AH102" s="25">
        <f t="shared" ref="AH102:AO102" ca="1" si="85">AG102+(($AP102-$AF102)/($AP$75-$AF$75))</f>
        <v>-3.108026691302483</v>
      </c>
      <c r="AI102" s="25">
        <f t="shared" ca="1" si="85"/>
        <v>-3.0046075362815041</v>
      </c>
      <c r="AJ102" s="25">
        <f t="shared" ca="1" si="85"/>
        <v>-2.9011883812605253</v>
      </c>
      <c r="AK102" s="25">
        <f t="shared" ca="1" si="85"/>
        <v>-2.7977692262395464</v>
      </c>
      <c r="AL102" s="25">
        <f t="shared" ca="1" si="85"/>
        <v>-2.6943500712185675</v>
      </c>
      <c r="AM102" s="25">
        <f t="shared" ca="1" si="85"/>
        <v>-2.5909309161975886</v>
      </c>
      <c r="AN102" s="25">
        <f t="shared" ca="1" si="85"/>
        <v>-2.4875117611766098</v>
      </c>
      <c r="AO102" s="25">
        <f t="shared" ca="1" si="85"/>
        <v>-2.3840926061556309</v>
      </c>
      <c r="AP102">
        <f ca="1">-'MitTable(LMDI I)DEq'!F$6</f>
        <v>-2.2806734511346538</v>
      </c>
      <c r="AQ102" s="25">
        <f ca="1">AP102+(($AZ102-$AP102)/($AZ$75-$AP$75))</f>
        <v>-2.2239203649537829</v>
      </c>
      <c r="AR102" s="25">
        <f t="shared" ref="AR102:AY102" ca="1" si="86">AQ102+(($AZ102-$AP102)/($AZ$75-$AP$75))</f>
        <v>-2.1671672787729119</v>
      </c>
      <c r="AS102" s="25">
        <f t="shared" ca="1" si="86"/>
        <v>-2.110414192592041</v>
      </c>
      <c r="AT102" s="25">
        <f t="shared" ca="1" si="86"/>
        <v>-2.0536611064111701</v>
      </c>
      <c r="AU102" s="25">
        <f t="shared" ca="1" si="86"/>
        <v>-1.9969080202302989</v>
      </c>
      <c r="AV102" s="25">
        <f t="shared" ca="1" si="86"/>
        <v>-1.9401549340494277</v>
      </c>
      <c r="AW102" s="25">
        <f t="shared" ca="1" si="86"/>
        <v>-1.8834018478685566</v>
      </c>
      <c r="AX102" s="25">
        <f t="shared" ca="1" si="86"/>
        <v>-1.8266487616876854</v>
      </c>
      <c r="AY102" s="25">
        <f t="shared" ca="1" si="86"/>
        <v>-1.7698956755068143</v>
      </c>
      <c r="AZ102">
        <f ca="1">-'MitTable(LMDI I)DEq'!G$6</f>
        <v>-1.7131425893259427</v>
      </c>
      <c r="BA102" s="25">
        <f ca="1">AZ102+(($BJ102-$AZ102)/($BJ$75-$AZ$75))</f>
        <v>-1.5131701271975064</v>
      </c>
      <c r="BB102" s="25">
        <f t="shared" ref="BB102:BI102" ca="1" si="87">BA102+(($BJ102-$AZ102)/($BJ$75-$AZ$75))</f>
        <v>-1.3131976650690702</v>
      </c>
      <c r="BC102" s="25">
        <f t="shared" ca="1" si="87"/>
        <v>-1.113225202940634</v>
      </c>
      <c r="BD102" s="25">
        <f t="shared" ca="1" si="87"/>
        <v>-0.91325274081219765</v>
      </c>
      <c r="BE102" s="25">
        <f t="shared" ca="1" si="87"/>
        <v>-0.71328027868376132</v>
      </c>
      <c r="BF102" s="25">
        <f t="shared" ca="1" si="87"/>
        <v>-0.51330781655532498</v>
      </c>
      <c r="BG102" s="25">
        <f t="shared" ca="1" si="87"/>
        <v>-0.31333535442688865</v>
      </c>
      <c r="BH102" s="25">
        <f t="shared" ca="1" si="87"/>
        <v>-0.11336289229845231</v>
      </c>
      <c r="BI102" s="25">
        <f t="shared" ca="1" si="87"/>
        <v>8.6609569829984023E-2</v>
      </c>
      <c r="BJ102">
        <f ca="1">-'MitTable(LMDI I)DEq'!H$6</f>
        <v>0.28658203195842075</v>
      </c>
      <c r="BK102" s="25">
        <f ca="1">BJ102+(($BT102-$BJ102)/($BT$75-$BJ$75))</f>
        <v>0.35486502849607887</v>
      </c>
      <c r="BL102" s="25">
        <f t="shared" ref="BL102:BS102" ca="1" si="88">BK102+(($BT102-$BJ102)/($BT$75-$BJ$75))</f>
        <v>0.423148025033737</v>
      </c>
      <c r="BM102" s="25">
        <f t="shared" ca="1" si="88"/>
        <v>0.49143102157139512</v>
      </c>
      <c r="BN102" s="25">
        <f t="shared" ca="1" si="88"/>
        <v>0.55971401810905319</v>
      </c>
      <c r="BO102" s="25">
        <f t="shared" ca="1" si="88"/>
        <v>0.62799701464671132</v>
      </c>
      <c r="BP102" s="25">
        <f t="shared" ca="1" si="88"/>
        <v>0.69628001118436944</v>
      </c>
      <c r="BQ102" s="25">
        <f t="shared" ca="1" si="88"/>
        <v>0.76456300772202757</v>
      </c>
      <c r="BR102" s="25">
        <f t="shared" ca="1" si="88"/>
        <v>0.83284600425968569</v>
      </c>
      <c r="BS102" s="25">
        <f t="shared" ca="1" si="88"/>
        <v>0.90112900079734382</v>
      </c>
      <c r="BT102">
        <f ca="1">-'MitTable(LMDI I)DEq'!I$6</f>
        <v>0.96941199733500205</v>
      </c>
      <c r="BU102" s="25">
        <f ca="1">BT102+(($CD102-$BT102)/($CD$75-$BT$75))</f>
        <v>0.93303785261683525</v>
      </c>
      <c r="BV102" s="25">
        <f t="shared" ref="BV102:CC102" ca="1" si="89">BU102+(($CD102-$BT102)/($CD$75-$BT$75))</f>
        <v>0.89666370789866845</v>
      </c>
      <c r="BW102" s="25">
        <f t="shared" ca="1" si="89"/>
        <v>0.86028956318050165</v>
      </c>
      <c r="BX102" s="25">
        <f t="shared" ca="1" si="89"/>
        <v>0.82391541846233485</v>
      </c>
      <c r="BY102" s="25">
        <f t="shared" ca="1" si="89"/>
        <v>0.78754127374416805</v>
      </c>
      <c r="BZ102" s="25">
        <f t="shared" ca="1" si="89"/>
        <v>0.75116712902600125</v>
      </c>
      <c r="CA102" s="25">
        <f t="shared" ca="1" si="89"/>
        <v>0.71479298430783444</v>
      </c>
      <c r="CB102" s="25">
        <f t="shared" ca="1" si="89"/>
        <v>0.67841883958966764</v>
      </c>
      <c r="CC102" s="25">
        <f t="shared" ca="1" si="89"/>
        <v>0.64204469487150084</v>
      </c>
      <c r="CD102">
        <f ca="1">-'MitTable(LMDI I)DEq'!J$6</f>
        <v>0.6056705501533336</v>
      </c>
      <c r="CE102" s="25">
        <f ca="1">CD102+(($CN102-$CD102)/($CN$75-$CD$75))</f>
        <v>0.62750893906495597</v>
      </c>
      <c r="CF102" s="25">
        <f t="shared" ref="CF102:CM102" ca="1" si="90">CE102+(($CN102-$CD102)/($CN$75-$CD$75))</f>
        <v>0.64934732797657835</v>
      </c>
      <c r="CG102" s="25">
        <f t="shared" ca="1" si="90"/>
        <v>0.67118571688820072</v>
      </c>
      <c r="CH102" s="25">
        <f t="shared" ca="1" si="90"/>
        <v>0.6930241057998231</v>
      </c>
      <c r="CI102" s="25">
        <f t="shared" ca="1" si="90"/>
        <v>0.71486249471144547</v>
      </c>
      <c r="CJ102" s="25">
        <f t="shared" ca="1" si="90"/>
        <v>0.73670088362306785</v>
      </c>
      <c r="CK102" s="25">
        <f t="shared" ca="1" si="90"/>
        <v>0.75853927253469022</v>
      </c>
      <c r="CL102" s="25">
        <f t="shared" ca="1" si="90"/>
        <v>0.7803776614463126</v>
      </c>
      <c r="CM102" s="25">
        <f t="shared" ca="1" si="90"/>
        <v>0.80221605035793497</v>
      </c>
      <c r="CN102">
        <f ca="1">-'MitTable(LMDI I)DEq'!K$6</f>
        <v>0.82405443926955713</v>
      </c>
    </row>
    <row r="103" spans="1:92" x14ac:dyDescent="0.2">
      <c r="A103" s="212" t="s">
        <v>231</v>
      </c>
      <c r="B103">
        <f ca="1">-'MitTable(LMDI I)DEq'!B$3</f>
        <v>-1.930580328775526E-9</v>
      </c>
      <c r="C103" s="25">
        <f t="shared" ca="1" si="82"/>
        <v>-4.0863367014911424E-2</v>
      </c>
      <c r="D103" s="25">
        <f t="shared" ca="1" si="82"/>
        <v>-8.1726732099242527E-2</v>
      </c>
      <c r="E103" s="25">
        <f t="shared" ca="1" si="82"/>
        <v>-0.12259009718357362</v>
      </c>
      <c r="F103" s="25">
        <f t="shared" ca="1" si="82"/>
        <v>-0.16345346226790472</v>
      </c>
      <c r="G103" s="25">
        <f t="shared" ca="1" si="82"/>
        <v>-0.20431682735223583</v>
      </c>
      <c r="H103" s="25">
        <f t="shared" ca="1" si="82"/>
        <v>-0.24518019243656691</v>
      </c>
      <c r="I103" s="25">
        <f t="shared" ca="1" si="82"/>
        <v>-0.286043557520898</v>
      </c>
      <c r="J103" s="25">
        <f t="shared" ca="1" si="82"/>
        <v>-0.32690692260522908</v>
      </c>
      <c r="K103" s="25">
        <f t="shared" ca="1" si="82"/>
        <v>-0.36777028768956016</v>
      </c>
      <c r="L103">
        <f ca="1">-'MitTable(LMDI I)DEq'!C$3</f>
        <v>-0.40863365277389124</v>
      </c>
      <c r="M103" s="25">
        <f t="shared" ref="M103:U107" ca="1" si="91">L103+(($V103-$L103)/($V$75-$L$75))</f>
        <v>-0.46306754157949798</v>
      </c>
      <c r="N103" s="25">
        <f t="shared" ca="1" si="91"/>
        <v>-0.51750143038510465</v>
      </c>
      <c r="O103" s="25">
        <f t="shared" ca="1" si="91"/>
        <v>-0.57193531919071139</v>
      </c>
      <c r="P103" s="25">
        <f t="shared" ca="1" si="91"/>
        <v>-0.62636920799631812</v>
      </c>
      <c r="Q103" s="25">
        <f t="shared" ca="1" si="91"/>
        <v>-0.68080309680192486</v>
      </c>
      <c r="R103" s="25">
        <f t="shared" ca="1" si="91"/>
        <v>-0.73523698560753159</v>
      </c>
      <c r="S103" s="25">
        <f t="shared" ca="1" si="91"/>
        <v>-0.78967087441313832</v>
      </c>
      <c r="T103" s="25">
        <f t="shared" ca="1" si="91"/>
        <v>-0.84410476321874506</v>
      </c>
      <c r="U103" s="25">
        <f t="shared" ca="1" si="91"/>
        <v>-0.89853865202435179</v>
      </c>
      <c r="V103">
        <f ca="1">-'MitTable(LMDI I)DEq'!D$3</f>
        <v>-0.9529725408299583</v>
      </c>
      <c r="W103" s="25">
        <f t="shared" ref="W103:AE107" ca="1" si="92">V103+(($AF103-$V103)/($AF$75-$V$75))</f>
        <v>-0.99085478127797266</v>
      </c>
      <c r="X103" s="25">
        <f t="shared" ca="1" si="92"/>
        <v>-1.028737021725987</v>
      </c>
      <c r="Y103" s="25">
        <f t="shared" ca="1" si="92"/>
        <v>-1.0666192621740014</v>
      </c>
      <c r="Z103" s="25">
        <f t="shared" ca="1" si="92"/>
        <v>-1.1045015026220157</v>
      </c>
      <c r="AA103" s="25">
        <f t="shared" ca="1" si="92"/>
        <v>-1.1423837430700301</v>
      </c>
      <c r="AB103" s="25">
        <f t="shared" ca="1" si="92"/>
        <v>-1.1802659835180445</v>
      </c>
      <c r="AC103" s="25">
        <f t="shared" ca="1" si="92"/>
        <v>-1.2181482239660588</v>
      </c>
      <c r="AD103" s="25">
        <f t="shared" ca="1" si="92"/>
        <v>-1.2560304644140732</v>
      </c>
      <c r="AE103" s="25">
        <f t="shared" ca="1" si="92"/>
        <v>-1.2939127048620875</v>
      </c>
      <c r="AF103">
        <f ca="1">-'MitTable(LMDI I)DEq'!E$3</f>
        <v>-1.3317949453101023</v>
      </c>
      <c r="AG103" s="25">
        <f t="shared" ref="AG103:AO107" ca="1" si="93">AF103+(($AP103-$AF103)/($AP$75-$AF$75))</f>
        <v>-1.3843716300756743</v>
      </c>
      <c r="AH103" s="25">
        <f t="shared" ca="1" si="93"/>
        <v>-1.4369483148412463</v>
      </c>
      <c r="AI103" s="25">
        <f t="shared" ca="1" si="93"/>
        <v>-1.4895249996068183</v>
      </c>
      <c r="AJ103" s="25">
        <f t="shared" ca="1" si="93"/>
        <v>-1.5421016843723903</v>
      </c>
      <c r="AK103" s="25">
        <f t="shared" ca="1" si="93"/>
        <v>-1.5946783691379622</v>
      </c>
      <c r="AL103" s="25">
        <f t="shared" ca="1" si="93"/>
        <v>-1.6472550539035342</v>
      </c>
      <c r="AM103" s="25">
        <f t="shared" ca="1" si="93"/>
        <v>-1.6998317386691062</v>
      </c>
      <c r="AN103" s="25">
        <f t="shared" ca="1" si="93"/>
        <v>-1.7524084234346782</v>
      </c>
      <c r="AO103" s="25">
        <f t="shared" ca="1" si="93"/>
        <v>-1.8049851082002502</v>
      </c>
      <c r="AP103">
        <f ca="1">-'MitTable(LMDI I)DEq'!F$3</f>
        <v>-1.8575617929658228</v>
      </c>
      <c r="AQ103" s="25">
        <f t="shared" ref="AQ103:AY107" ca="1" si="94">AP103+(($AZ103-$AP103)/($AZ$75-$AP$75))</f>
        <v>-1.9382679127929767</v>
      </c>
      <c r="AR103" s="25">
        <f t="shared" ca="1" si="94"/>
        <v>-2.0189740326201306</v>
      </c>
      <c r="AS103" s="25">
        <f t="shared" ca="1" si="94"/>
        <v>-2.0996801524472843</v>
      </c>
      <c r="AT103" s="25">
        <f t="shared" ca="1" si="94"/>
        <v>-2.180386272274438</v>
      </c>
      <c r="AU103" s="25">
        <f t="shared" ca="1" si="94"/>
        <v>-2.2610923921015917</v>
      </c>
      <c r="AV103" s="25">
        <f t="shared" ca="1" si="94"/>
        <v>-2.3417985119287454</v>
      </c>
      <c r="AW103" s="25">
        <f t="shared" ca="1" si="94"/>
        <v>-2.4225046317558991</v>
      </c>
      <c r="AX103" s="25">
        <f t="shared" ca="1" si="94"/>
        <v>-2.5032107515830528</v>
      </c>
      <c r="AY103" s="25">
        <f t="shared" ca="1" si="94"/>
        <v>-2.5839168714102065</v>
      </c>
      <c r="AZ103">
        <f ca="1">-'MitTable(LMDI I)DEq'!G$3</f>
        <v>-2.6646229912373616</v>
      </c>
      <c r="BA103" s="25">
        <f t="shared" ref="BA103:BI107" ca="1" si="95">AZ103+(($BJ103-$AZ103)/($BJ$75-$AZ$75))</f>
        <v>-2.7720299170950704</v>
      </c>
      <c r="BB103" s="25">
        <f t="shared" ca="1" si="95"/>
        <v>-2.8794368429527792</v>
      </c>
      <c r="BC103" s="25">
        <f t="shared" ca="1" si="95"/>
        <v>-2.9868437688104881</v>
      </c>
      <c r="BD103" s="25">
        <f t="shared" ca="1" si="95"/>
        <v>-3.0942506946681969</v>
      </c>
      <c r="BE103" s="25">
        <f t="shared" ca="1" si="95"/>
        <v>-3.2016576205259057</v>
      </c>
      <c r="BF103" s="25">
        <f t="shared" ca="1" si="95"/>
        <v>-3.3090645463836146</v>
      </c>
      <c r="BG103" s="25">
        <f t="shared" ca="1" si="95"/>
        <v>-3.4164714722413234</v>
      </c>
      <c r="BH103" s="25">
        <f t="shared" ca="1" si="95"/>
        <v>-3.5238783980990322</v>
      </c>
      <c r="BI103" s="25">
        <f t="shared" ca="1" si="95"/>
        <v>-3.6312853239567411</v>
      </c>
      <c r="BJ103">
        <f ca="1">-'MitTable(LMDI I)DEq'!H$3</f>
        <v>-3.7386922498144504</v>
      </c>
      <c r="BK103" s="25">
        <f t="shared" ref="BK103:BS107" ca="1" si="96">BJ103+(($BT103-$BJ103)/($BT$75-$BJ$75))</f>
        <v>-3.8407169225304498</v>
      </c>
      <c r="BL103" s="25">
        <f t="shared" ca="1" si="96"/>
        <v>-3.9427415952464493</v>
      </c>
      <c r="BM103" s="25">
        <f t="shared" ca="1" si="96"/>
        <v>-4.0447662679624488</v>
      </c>
      <c r="BN103" s="25">
        <f t="shared" ca="1" si="96"/>
        <v>-4.1467909406784482</v>
      </c>
      <c r="BO103" s="25">
        <f t="shared" ca="1" si="96"/>
        <v>-4.2488156133944477</v>
      </c>
      <c r="BP103" s="25">
        <f t="shared" ca="1" si="96"/>
        <v>-4.3508402861104472</v>
      </c>
      <c r="BQ103" s="25">
        <f t="shared" ca="1" si="96"/>
        <v>-4.4528649588264466</v>
      </c>
      <c r="BR103" s="25">
        <f t="shared" ca="1" si="96"/>
        <v>-4.5548896315424461</v>
      </c>
      <c r="BS103" s="25">
        <f t="shared" ca="1" si="96"/>
        <v>-4.6569143042584455</v>
      </c>
      <c r="BT103">
        <f ca="1">-'MitTable(LMDI I)DEq'!I$3</f>
        <v>-4.758938976974445</v>
      </c>
      <c r="BU103" s="25">
        <f t="shared" ref="BU103:CC107" ca="1" si="97">BT103+(($CD103-$BT103)/($CD$75-$BT$75))</f>
        <v>-4.8812305426863789</v>
      </c>
      <c r="BV103" s="25">
        <f t="shared" ca="1" si="97"/>
        <v>-5.0035221083983128</v>
      </c>
      <c r="BW103" s="25">
        <f t="shared" ca="1" si="97"/>
        <v>-5.1258136741102467</v>
      </c>
      <c r="BX103" s="25">
        <f t="shared" ca="1" si="97"/>
        <v>-5.2481052398221806</v>
      </c>
      <c r="BY103" s="25">
        <f t="shared" ca="1" si="97"/>
        <v>-5.3703968055341145</v>
      </c>
      <c r="BZ103" s="25">
        <f t="shared" ca="1" si="97"/>
        <v>-5.4926883712460484</v>
      </c>
      <c r="CA103" s="25">
        <f t="shared" ca="1" si="97"/>
        <v>-5.6149799369579823</v>
      </c>
      <c r="CB103" s="25">
        <f t="shared" ca="1" si="97"/>
        <v>-5.7372715026699161</v>
      </c>
      <c r="CC103" s="25">
        <f t="shared" ca="1" si="97"/>
        <v>-5.85956306838185</v>
      </c>
      <c r="CD103">
        <f ca="1">-'MitTable(LMDI I)DEq'!J$3</f>
        <v>-5.9818546340937848</v>
      </c>
      <c r="CE103" s="25">
        <f t="shared" ref="CE103:CM107" ca="1" si="98">CD103+(($CN103-$CD103)/($CN$75-$CD$75))</f>
        <v>-6.1695318733043027</v>
      </c>
      <c r="CF103" s="25">
        <f t="shared" ca="1" si="98"/>
        <v>-6.3572091125148207</v>
      </c>
      <c r="CG103" s="25">
        <f t="shared" ca="1" si="98"/>
        <v>-6.5448863517253386</v>
      </c>
      <c r="CH103" s="25">
        <f t="shared" ca="1" si="98"/>
        <v>-6.7325635909358565</v>
      </c>
      <c r="CI103" s="25">
        <f t="shared" ca="1" si="98"/>
        <v>-6.9202408301463745</v>
      </c>
      <c r="CJ103" s="25">
        <f t="shared" ca="1" si="98"/>
        <v>-7.1079180693568924</v>
      </c>
      <c r="CK103" s="25">
        <f t="shared" ca="1" si="98"/>
        <v>-7.2955953085674103</v>
      </c>
      <c r="CL103" s="25">
        <f t="shared" ca="1" si="98"/>
        <v>-7.4832725477779283</v>
      </c>
      <c r="CM103" s="25">
        <f t="shared" ca="1" si="98"/>
        <v>-7.6709497869884462</v>
      </c>
      <c r="CN103">
        <f ca="1">-'MitTable(LMDI I)DEq'!K$3</f>
        <v>-7.858627026198965</v>
      </c>
    </row>
    <row r="104" spans="1:92" x14ac:dyDescent="0.2">
      <c r="A104" s="212" t="s">
        <v>232</v>
      </c>
      <c r="B104">
        <f ca="1">-'MitTable(LMDI I)DEq'!B$4</f>
        <v>0.21416754134207142</v>
      </c>
      <c r="C104" s="25">
        <f t="shared" ca="1" si="82"/>
        <v>0.23960019475821651</v>
      </c>
      <c r="D104" s="25">
        <f t="shared" ca="1" si="82"/>
        <v>0.26503284817436162</v>
      </c>
      <c r="E104" s="25">
        <f t="shared" ca="1" si="82"/>
        <v>0.29046550159050671</v>
      </c>
      <c r="F104" s="25">
        <f t="shared" ca="1" si="82"/>
        <v>0.3158981550066518</v>
      </c>
      <c r="G104" s="25">
        <f t="shared" ca="1" si="82"/>
        <v>0.34133080842279689</v>
      </c>
      <c r="H104" s="25">
        <f t="shared" ca="1" si="82"/>
        <v>0.36676346183894198</v>
      </c>
      <c r="I104" s="25">
        <f t="shared" ca="1" si="82"/>
        <v>0.39219611525508707</v>
      </c>
      <c r="J104" s="25">
        <f t="shared" ca="1" si="82"/>
        <v>0.41762876867123216</v>
      </c>
      <c r="K104" s="25">
        <f t="shared" ca="1" si="82"/>
        <v>0.44306142208737725</v>
      </c>
      <c r="L104">
        <f ca="1">-'MitTable(LMDI I)DEq'!C$4</f>
        <v>0.4684940755035224</v>
      </c>
      <c r="M104" s="25">
        <f t="shared" ca="1" si="91"/>
        <v>0.49158931477466261</v>
      </c>
      <c r="N104" s="25">
        <f t="shared" ca="1" si="91"/>
        <v>0.51468455404580282</v>
      </c>
      <c r="O104" s="25">
        <f t="shared" ca="1" si="91"/>
        <v>0.53777979331694303</v>
      </c>
      <c r="P104" s="25">
        <f t="shared" ca="1" si="91"/>
        <v>0.56087503258808324</v>
      </c>
      <c r="Q104" s="25">
        <f t="shared" ca="1" si="91"/>
        <v>0.58397027185922346</v>
      </c>
      <c r="R104" s="25">
        <f t="shared" ca="1" si="91"/>
        <v>0.60706551113036367</v>
      </c>
      <c r="S104" s="25">
        <f t="shared" ca="1" si="91"/>
        <v>0.63016075040150388</v>
      </c>
      <c r="T104" s="25">
        <f t="shared" ca="1" si="91"/>
        <v>0.65325598967264409</v>
      </c>
      <c r="U104" s="25">
        <f t="shared" ca="1" si="91"/>
        <v>0.6763512289437843</v>
      </c>
      <c r="V104">
        <f ca="1">-'MitTable(LMDI I)DEq'!D$4</f>
        <v>0.69944646821492462</v>
      </c>
      <c r="W104" s="25">
        <f t="shared" ca="1" si="92"/>
        <v>0.71146599803849431</v>
      </c>
      <c r="X104" s="25">
        <f t="shared" ca="1" si="92"/>
        <v>0.72348552786206399</v>
      </c>
      <c r="Y104" s="25">
        <f t="shared" ca="1" si="92"/>
        <v>0.73550505768563368</v>
      </c>
      <c r="Z104" s="25">
        <f t="shared" ca="1" si="92"/>
        <v>0.74752458750920336</v>
      </c>
      <c r="AA104" s="25">
        <f t="shared" ca="1" si="92"/>
        <v>0.75954411733277305</v>
      </c>
      <c r="AB104" s="25">
        <f t="shared" ca="1" si="92"/>
        <v>0.77156364715634274</v>
      </c>
      <c r="AC104" s="25">
        <f t="shared" ca="1" si="92"/>
        <v>0.78358317697991242</v>
      </c>
      <c r="AD104" s="25">
        <f t="shared" ca="1" si="92"/>
        <v>0.79560270680348211</v>
      </c>
      <c r="AE104" s="25">
        <f t="shared" ca="1" si="92"/>
        <v>0.80762223662705179</v>
      </c>
      <c r="AF104">
        <f ca="1">-'MitTable(LMDI I)DEq'!E$4</f>
        <v>0.81964176645062115</v>
      </c>
      <c r="AG104" s="25">
        <f t="shared" ca="1" si="93"/>
        <v>0.83630435301435313</v>
      </c>
      <c r="AH104" s="25">
        <f t="shared" ca="1" si="93"/>
        <v>0.85296693957808511</v>
      </c>
      <c r="AI104" s="25">
        <f t="shared" ca="1" si="93"/>
        <v>0.8696295261418171</v>
      </c>
      <c r="AJ104" s="25">
        <f t="shared" ca="1" si="93"/>
        <v>0.88629211270554908</v>
      </c>
      <c r="AK104" s="25">
        <f t="shared" ca="1" si="93"/>
        <v>0.90295469926928107</v>
      </c>
      <c r="AL104" s="25">
        <f t="shared" ca="1" si="93"/>
        <v>0.91961728583301305</v>
      </c>
      <c r="AM104" s="25">
        <f t="shared" ca="1" si="93"/>
        <v>0.93627987239674504</v>
      </c>
      <c r="AN104" s="25">
        <f t="shared" ca="1" si="93"/>
        <v>0.95294245896047702</v>
      </c>
      <c r="AO104" s="25">
        <f t="shared" ca="1" si="93"/>
        <v>0.96960504552420901</v>
      </c>
      <c r="AP104">
        <f ca="1">-'MitTable(LMDI I)DEq'!F$4</f>
        <v>0.9862676320879411</v>
      </c>
      <c r="AQ104" s="25">
        <f t="shared" ca="1" si="94"/>
        <v>1.0075369920368358</v>
      </c>
      <c r="AR104" s="25">
        <f t="shared" ca="1" si="94"/>
        <v>1.0288063519857304</v>
      </c>
      <c r="AS104" s="25">
        <f t="shared" ca="1" si="94"/>
        <v>1.0500757119346251</v>
      </c>
      <c r="AT104" s="25">
        <f t="shared" ca="1" si="94"/>
        <v>1.0713450718835198</v>
      </c>
      <c r="AU104" s="25">
        <f t="shared" ca="1" si="94"/>
        <v>1.0926144318324145</v>
      </c>
      <c r="AV104" s="25">
        <f t="shared" ca="1" si="94"/>
        <v>1.1138837917813091</v>
      </c>
      <c r="AW104" s="25">
        <f t="shared" ca="1" si="94"/>
        <v>1.1351531517302038</v>
      </c>
      <c r="AX104" s="25">
        <f t="shared" ca="1" si="94"/>
        <v>1.1564225116790985</v>
      </c>
      <c r="AY104" s="25">
        <f t="shared" ca="1" si="94"/>
        <v>1.1776918716279932</v>
      </c>
      <c r="AZ104">
        <f ca="1">-'MitTable(LMDI I)DEq'!G$4</f>
        <v>1.1989612315768883</v>
      </c>
      <c r="BA104" s="25">
        <f t="shared" ca="1" si="95"/>
        <v>1.2173552995402319</v>
      </c>
      <c r="BB104" s="25">
        <f t="shared" ca="1" si="95"/>
        <v>1.2357493675035756</v>
      </c>
      <c r="BC104" s="25">
        <f t="shared" ca="1" si="95"/>
        <v>1.2541434354669192</v>
      </c>
      <c r="BD104" s="25">
        <f t="shared" ca="1" si="95"/>
        <v>1.2725375034302628</v>
      </c>
      <c r="BE104" s="25">
        <f t="shared" ca="1" si="95"/>
        <v>1.2909315713936065</v>
      </c>
      <c r="BF104" s="25">
        <f t="shared" ca="1" si="95"/>
        <v>1.3093256393569501</v>
      </c>
      <c r="BG104" s="25">
        <f t="shared" ca="1" si="95"/>
        <v>1.3277197073202938</v>
      </c>
      <c r="BH104" s="25">
        <f t="shared" ca="1" si="95"/>
        <v>1.3461137752836374</v>
      </c>
      <c r="BI104" s="25">
        <f t="shared" ca="1" si="95"/>
        <v>1.364507843246981</v>
      </c>
      <c r="BJ104">
        <f ca="1">-'MitTable(LMDI I)DEq'!H$4</f>
        <v>1.3829019112103245</v>
      </c>
      <c r="BK104" s="25">
        <f t="shared" ca="1" si="96"/>
        <v>1.3845204324418503</v>
      </c>
      <c r="BL104" s="25">
        <f t="shared" ca="1" si="96"/>
        <v>1.3861389536733761</v>
      </c>
      <c r="BM104" s="25">
        <f t="shared" ca="1" si="96"/>
        <v>1.387757474904902</v>
      </c>
      <c r="BN104" s="25">
        <f t="shared" ca="1" si="96"/>
        <v>1.3893759961364278</v>
      </c>
      <c r="BO104" s="25">
        <f t="shared" ca="1" si="96"/>
        <v>1.3909945173679537</v>
      </c>
      <c r="BP104" s="25">
        <f t="shared" ca="1" si="96"/>
        <v>1.3926130385994795</v>
      </c>
      <c r="BQ104" s="25">
        <f t="shared" ca="1" si="96"/>
        <v>1.3942315598310053</v>
      </c>
      <c r="BR104" s="25">
        <f t="shared" ca="1" si="96"/>
        <v>1.3958500810625312</v>
      </c>
      <c r="BS104" s="25">
        <f t="shared" ca="1" si="96"/>
        <v>1.397468602294057</v>
      </c>
      <c r="BT104">
        <f ca="1">-'MitTable(LMDI I)DEq'!I$4</f>
        <v>1.3990871235255835</v>
      </c>
      <c r="BU104" s="25">
        <f t="shared" ca="1" si="97"/>
        <v>1.3920690659573089</v>
      </c>
      <c r="BV104" s="25">
        <f t="shared" ca="1" si="97"/>
        <v>1.3850510083890344</v>
      </c>
      <c r="BW104" s="25">
        <f t="shared" ca="1" si="97"/>
        <v>1.3780329508207598</v>
      </c>
      <c r="BX104" s="25">
        <f t="shared" ca="1" si="97"/>
        <v>1.3710148932524853</v>
      </c>
      <c r="BY104" s="25">
        <f t="shared" ca="1" si="97"/>
        <v>1.3639968356842107</v>
      </c>
      <c r="BZ104" s="25">
        <f t="shared" ca="1" si="97"/>
        <v>1.3569787781159361</v>
      </c>
      <c r="CA104" s="25">
        <f t="shared" ca="1" si="97"/>
        <v>1.3499607205476616</v>
      </c>
      <c r="CB104" s="25">
        <f t="shared" ca="1" si="97"/>
        <v>1.342942662979387</v>
      </c>
      <c r="CC104" s="25">
        <f t="shared" ca="1" si="97"/>
        <v>1.3359246054111125</v>
      </c>
      <c r="CD104">
        <f ca="1">-'MitTable(LMDI I)DEq'!J$4</f>
        <v>1.3289065478428386</v>
      </c>
      <c r="CE104" s="25">
        <f t="shared" ca="1" si="98"/>
        <v>1.3212476596466567</v>
      </c>
      <c r="CF104" s="25">
        <f t="shared" ca="1" si="98"/>
        <v>1.3135887714504748</v>
      </c>
      <c r="CG104" s="25">
        <f t="shared" ca="1" si="98"/>
        <v>1.3059298832542929</v>
      </c>
      <c r="CH104" s="25">
        <f t="shared" ca="1" si="98"/>
        <v>1.2982709950581111</v>
      </c>
      <c r="CI104" s="25">
        <f t="shared" ca="1" si="98"/>
        <v>1.2906121068619292</v>
      </c>
      <c r="CJ104" s="25">
        <f t="shared" ca="1" si="98"/>
        <v>1.2829532186657473</v>
      </c>
      <c r="CK104" s="25">
        <f t="shared" ca="1" si="98"/>
        <v>1.2752943304695654</v>
      </c>
      <c r="CL104" s="25">
        <f t="shared" ca="1" si="98"/>
        <v>1.2676354422733835</v>
      </c>
      <c r="CM104" s="25">
        <f t="shared" ca="1" si="98"/>
        <v>1.2599765540772017</v>
      </c>
      <c r="CN104">
        <f ca="1">-'MitTable(LMDI I)DEq'!K$4</f>
        <v>1.2523176658810196</v>
      </c>
    </row>
    <row r="105" spans="1:92" x14ac:dyDescent="0.2">
      <c r="A105" s="212" t="s">
        <v>233</v>
      </c>
      <c r="B105">
        <f ca="1">-'MitTable(LMDI I)DEq'!B$5</f>
        <v>-0.22728013802802283</v>
      </c>
      <c r="C105" s="25">
        <f t="shared" ca="1" si="82"/>
        <v>-0.68789938504920134</v>
      </c>
      <c r="D105" s="25">
        <f t="shared" ca="1" si="82"/>
        <v>-1.1485186320703797</v>
      </c>
      <c r="E105" s="25">
        <f t="shared" ca="1" si="82"/>
        <v>-1.6091378790915583</v>
      </c>
      <c r="F105" s="25">
        <f t="shared" ca="1" si="82"/>
        <v>-2.0697571261127368</v>
      </c>
      <c r="G105" s="25">
        <f t="shared" ca="1" si="82"/>
        <v>-2.5303763731339153</v>
      </c>
      <c r="H105" s="25">
        <f t="shared" ca="1" si="82"/>
        <v>-2.9909956201550938</v>
      </c>
      <c r="I105" s="25">
        <f t="shared" ca="1" si="82"/>
        <v>-3.4516148671762723</v>
      </c>
      <c r="J105" s="25">
        <f t="shared" ca="1" si="82"/>
        <v>-3.9122341141974508</v>
      </c>
      <c r="K105" s="25">
        <f t="shared" ca="1" si="82"/>
        <v>-4.3728533612186293</v>
      </c>
      <c r="L105">
        <f ca="1">-'MitTable(LMDI I)DEq'!C$5</f>
        <v>-4.8334726082398083</v>
      </c>
      <c r="M105" s="25">
        <f t="shared" ca="1" si="91"/>
        <v>-5.7017125604414813</v>
      </c>
      <c r="N105" s="25">
        <f t="shared" ca="1" si="91"/>
        <v>-6.5699525126431544</v>
      </c>
      <c r="O105" s="25">
        <f t="shared" ca="1" si="91"/>
        <v>-7.4381924648448274</v>
      </c>
      <c r="P105" s="25">
        <f t="shared" ca="1" si="91"/>
        <v>-8.3064324170465014</v>
      </c>
      <c r="Q105" s="25">
        <f t="shared" ca="1" si="91"/>
        <v>-9.1746723692481744</v>
      </c>
      <c r="R105" s="25">
        <f t="shared" ca="1" si="91"/>
        <v>-10.042912321449847</v>
      </c>
      <c r="S105" s="25">
        <f t="shared" ca="1" si="91"/>
        <v>-10.911152273651521</v>
      </c>
      <c r="T105" s="25">
        <f t="shared" ca="1" si="91"/>
        <v>-11.779392225853194</v>
      </c>
      <c r="U105" s="25">
        <f t="shared" ca="1" si="91"/>
        <v>-12.647632178054867</v>
      </c>
      <c r="V105">
        <f ca="1">-'MitTable(LMDI I)DEq'!D$5</f>
        <v>-13.51587213025654</v>
      </c>
      <c r="W105" s="25">
        <f t="shared" ca="1" si="92"/>
        <v>-13.808956376215297</v>
      </c>
      <c r="X105" s="25">
        <f t="shared" ca="1" si="92"/>
        <v>-14.102040622174055</v>
      </c>
      <c r="Y105" s="25">
        <f t="shared" ca="1" si="92"/>
        <v>-14.395124868132813</v>
      </c>
      <c r="Z105" s="25">
        <f t="shared" ca="1" si="92"/>
        <v>-14.68820911409157</v>
      </c>
      <c r="AA105" s="25">
        <f t="shared" ca="1" si="92"/>
        <v>-14.981293360050328</v>
      </c>
      <c r="AB105" s="25">
        <f t="shared" ca="1" si="92"/>
        <v>-15.274377606009086</v>
      </c>
      <c r="AC105" s="25">
        <f t="shared" ca="1" si="92"/>
        <v>-15.567461851967844</v>
      </c>
      <c r="AD105" s="25">
        <f t="shared" ca="1" si="92"/>
        <v>-15.860546097926601</v>
      </c>
      <c r="AE105" s="25">
        <f t="shared" ca="1" si="92"/>
        <v>-16.153630343885357</v>
      </c>
      <c r="AF105">
        <f ca="1">-'MitTable(LMDI I)DEq'!E$5</f>
        <v>-16.44671458984411</v>
      </c>
      <c r="AG105" s="25">
        <f t="shared" ca="1" si="93"/>
        <v>-16.485549314474589</v>
      </c>
      <c r="AH105" s="25">
        <f t="shared" ca="1" si="93"/>
        <v>-16.524384039105069</v>
      </c>
      <c r="AI105" s="25">
        <f t="shared" ca="1" si="93"/>
        <v>-16.563218763735549</v>
      </c>
      <c r="AJ105" s="25">
        <f t="shared" ca="1" si="93"/>
        <v>-16.602053488366028</v>
      </c>
      <c r="AK105" s="25">
        <f t="shared" ca="1" si="93"/>
        <v>-16.640888212996508</v>
      </c>
      <c r="AL105" s="25">
        <f t="shared" ca="1" si="93"/>
        <v>-16.679722937626988</v>
      </c>
      <c r="AM105" s="25">
        <f t="shared" ca="1" si="93"/>
        <v>-16.718557662257467</v>
      </c>
      <c r="AN105" s="25">
        <f t="shared" ca="1" si="93"/>
        <v>-16.757392386887947</v>
      </c>
      <c r="AO105" s="25">
        <f t="shared" ca="1" si="93"/>
        <v>-16.796227111518427</v>
      </c>
      <c r="AP105">
        <f ca="1">-'MitTable(LMDI I)DEq'!F$5</f>
        <v>-16.835061836148903</v>
      </c>
      <c r="AQ105" s="25">
        <f t="shared" ca="1" si="94"/>
        <v>-16.966509074770158</v>
      </c>
      <c r="AR105" s="25">
        <f t="shared" ca="1" si="94"/>
        <v>-17.097956313391414</v>
      </c>
      <c r="AS105" s="25">
        <f t="shared" ca="1" si="94"/>
        <v>-17.22940355201267</v>
      </c>
      <c r="AT105" s="25">
        <f t="shared" ca="1" si="94"/>
        <v>-17.360850790633926</v>
      </c>
      <c r="AU105" s="25">
        <f t="shared" ca="1" si="94"/>
        <v>-17.492298029255181</v>
      </c>
      <c r="AV105" s="25">
        <f t="shared" ca="1" si="94"/>
        <v>-17.623745267876437</v>
      </c>
      <c r="AW105" s="25">
        <f t="shared" ca="1" si="94"/>
        <v>-17.755192506497693</v>
      </c>
      <c r="AX105" s="25">
        <f t="shared" ca="1" si="94"/>
        <v>-17.886639745118948</v>
      </c>
      <c r="AY105" s="25">
        <f t="shared" ca="1" si="94"/>
        <v>-18.018086983740204</v>
      </c>
      <c r="AZ105">
        <f ca="1">-'MitTable(LMDI I)DEq'!G$5</f>
        <v>-18.149534222361474</v>
      </c>
      <c r="BA105" s="25">
        <f t="shared" ca="1" si="95"/>
        <v>-18.29733138030624</v>
      </c>
      <c r="BB105" s="25">
        <f t="shared" ca="1" si="95"/>
        <v>-18.445128538251005</v>
      </c>
      <c r="BC105" s="25">
        <f t="shared" ca="1" si="95"/>
        <v>-18.592925696195771</v>
      </c>
      <c r="BD105" s="25">
        <f t="shared" ca="1" si="95"/>
        <v>-18.740722854140536</v>
      </c>
      <c r="BE105" s="25">
        <f t="shared" ca="1" si="95"/>
        <v>-18.888520012085301</v>
      </c>
      <c r="BF105" s="25">
        <f t="shared" ca="1" si="95"/>
        <v>-19.036317170030067</v>
      </c>
      <c r="BG105" s="25">
        <f t="shared" ca="1" si="95"/>
        <v>-19.184114327974832</v>
      </c>
      <c r="BH105" s="25">
        <f t="shared" ca="1" si="95"/>
        <v>-19.331911485919598</v>
      </c>
      <c r="BI105" s="25">
        <f t="shared" ca="1" si="95"/>
        <v>-19.479708643864363</v>
      </c>
      <c r="BJ105">
        <f ca="1">-'MitTable(LMDI I)DEq'!H$5</f>
        <v>-19.627505801809118</v>
      </c>
      <c r="BK105" s="25">
        <f t="shared" ca="1" si="96"/>
        <v>-19.593608646321258</v>
      </c>
      <c r="BL105" s="25">
        <f t="shared" ca="1" si="96"/>
        <v>-19.559711490833397</v>
      </c>
      <c r="BM105" s="25">
        <f t="shared" ca="1" si="96"/>
        <v>-19.525814335345537</v>
      </c>
      <c r="BN105" s="25">
        <f t="shared" ca="1" si="96"/>
        <v>-19.491917179857676</v>
      </c>
      <c r="BO105" s="25">
        <f t="shared" ca="1" si="96"/>
        <v>-19.458020024369816</v>
      </c>
      <c r="BP105" s="25">
        <f t="shared" ca="1" si="96"/>
        <v>-19.424122868881955</v>
      </c>
      <c r="BQ105" s="25">
        <f t="shared" ca="1" si="96"/>
        <v>-19.390225713394095</v>
      </c>
      <c r="BR105" s="25">
        <f t="shared" ca="1" si="96"/>
        <v>-19.356328557906235</v>
      </c>
      <c r="BS105" s="25">
        <f t="shared" ca="1" si="96"/>
        <v>-19.322431402418374</v>
      </c>
      <c r="BT105">
        <f ca="1">-'MitTable(LMDI I)DEq'!I$5</f>
        <v>-19.288534246930521</v>
      </c>
      <c r="BU105" s="25">
        <f t="shared" ca="1" si="97"/>
        <v>-19.239920089533889</v>
      </c>
      <c r="BV105" s="25">
        <f t="shared" ca="1" si="97"/>
        <v>-19.191305932137254</v>
      </c>
      <c r="BW105" s="25">
        <f t="shared" ca="1" si="97"/>
        <v>-19.142691774740619</v>
      </c>
      <c r="BX105" s="25">
        <f t="shared" ca="1" si="97"/>
        <v>-19.094077617343984</v>
      </c>
      <c r="BY105" s="25">
        <f t="shared" ca="1" si="97"/>
        <v>-19.045463459947349</v>
      </c>
      <c r="BZ105" s="25">
        <f t="shared" ca="1" si="97"/>
        <v>-18.996849302550714</v>
      </c>
      <c r="CA105" s="25">
        <f t="shared" ca="1" si="97"/>
        <v>-18.948235145154079</v>
      </c>
      <c r="CB105" s="25">
        <f t="shared" ca="1" si="97"/>
        <v>-18.899620987757444</v>
      </c>
      <c r="CC105" s="25">
        <f t="shared" ca="1" si="97"/>
        <v>-18.851006830360809</v>
      </c>
      <c r="CD105">
        <f ca="1">-'MitTable(LMDI I)DEq'!J$5</f>
        <v>-18.802392672964189</v>
      </c>
      <c r="CE105" s="25">
        <f t="shared" ca="1" si="98"/>
        <v>-18.825230525306395</v>
      </c>
      <c r="CF105" s="25">
        <f t="shared" ca="1" si="98"/>
        <v>-18.848068377648602</v>
      </c>
      <c r="CG105" s="25">
        <f t="shared" ca="1" si="98"/>
        <v>-18.870906229990808</v>
      </c>
      <c r="CH105" s="25">
        <f t="shared" ca="1" si="98"/>
        <v>-18.893744082333015</v>
      </c>
      <c r="CI105" s="25">
        <f t="shared" ca="1" si="98"/>
        <v>-18.916581934675222</v>
      </c>
      <c r="CJ105" s="25">
        <f t="shared" ca="1" si="98"/>
        <v>-18.939419787017428</v>
      </c>
      <c r="CK105" s="25">
        <f t="shared" ca="1" si="98"/>
        <v>-18.962257639359635</v>
      </c>
      <c r="CL105" s="25">
        <f t="shared" ca="1" si="98"/>
        <v>-18.985095491701841</v>
      </c>
      <c r="CM105" s="25">
        <f t="shared" ca="1" si="98"/>
        <v>-19.007933344044048</v>
      </c>
      <c r="CN105">
        <f ca="1">-'MitTable(LMDI I)DEq'!K$5</f>
        <v>-19.030771196386244</v>
      </c>
    </row>
    <row r="106" spans="1:92" x14ac:dyDescent="0.2">
      <c r="A106" s="212" t="s">
        <v>270</v>
      </c>
      <c r="B106">
        <f ca="1">-'MitTable(LMDI I)DEq'!B$7</f>
        <v>0.11462076505914047</v>
      </c>
      <c r="C106" s="25">
        <f t="shared" ca="1" si="82"/>
        <v>-7.0271455405077468E-2</v>
      </c>
      <c r="D106" s="25">
        <f t="shared" ca="1" si="82"/>
        <v>-0.25516367586929539</v>
      </c>
      <c r="E106" s="25">
        <f t="shared" ca="1" si="82"/>
        <v>-0.44005589633351333</v>
      </c>
      <c r="F106" s="25">
        <f t="shared" ca="1" si="82"/>
        <v>-0.62494811679773132</v>
      </c>
      <c r="G106" s="25">
        <f t="shared" ca="1" si="82"/>
        <v>-0.80984033726194926</v>
      </c>
      <c r="H106" s="25">
        <f t="shared" ca="1" si="82"/>
        <v>-0.9947325577261672</v>
      </c>
      <c r="I106" s="25">
        <f t="shared" ca="1" si="82"/>
        <v>-1.179624778190385</v>
      </c>
      <c r="J106" s="25">
        <f t="shared" ca="1" si="82"/>
        <v>-1.3645169986546031</v>
      </c>
      <c r="K106" s="25">
        <f t="shared" ca="1" si="82"/>
        <v>-1.5494092191188211</v>
      </c>
      <c r="L106">
        <f ca="1">-'MitTable(LMDI I)DEq'!C$7</f>
        <v>-1.734301439583039</v>
      </c>
      <c r="M106" s="25">
        <f t="shared" ca="1" si="91"/>
        <v>-1.9332111001453203</v>
      </c>
      <c r="N106" s="25">
        <f t="shared" ca="1" si="91"/>
        <v>-2.1321207607076014</v>
      </c>
      <c r="O106" s="25">
        <f t="shared" ca="1" si="91"/>
        <v>-2.3310304212698827</v>
      </c>
      <c r="P106" s="25">
        <f t="shared" ca="1" si="91"/>
        <v>-2.529940081832164</v>
      </c>
      <c r="Q106" s="25">
        <f t="shared" ca="1" si="91"/>
        <v>-2.7288497423944453</v>
      </c>
      <c r="R106" s="25">
        <f t="shared" ca="1" si="91"/>
        <v>-2.9277594029567267</v>
      </c>
      <c r="S106" s="25">
        <f t="shared" ca="1" si="91"/>
        <v>-3.126669063519008</v>
      </c>
      <c r="T106" s="25">
        <f t="shared" ca="1" si="91"/>
        <v>-3.3255787240812893</v>
      </c>
      <c r="U106" s="25">
        <f t="shared" ca="1" si="91"/>
        <v>-3.5244883846435706</v>
      </c>
      <c r="V106">
        <f ca="1">-'MitTable(LMDI I)DEq'!D$7</f>
        <v>-3.7233980452058515</v>
      </c>
      <c r="W106" s="25">
        <f t="shared" ca="1" si="92"/>
        <v>-4.19959933051401</v>
      </c>
      <c r="X106" s="25">
        <f t="shared" ca="1" si="92"/>
        <v>-4.6758006158221681</v>
      </c>
      <c r="Y106" s="25">
        <f t="shared" ca="1" si="92"/>
        <v>-5.1520019011303262</v>
      </c>
      <c r="Z106" s="25">
        <f t="shared" ca="1" si="92"/>
        <v>-5.6282031864384843</v>
      </c>
      <c r="AA106" s="25">
        <f t="shared" ca="1" si="92"/>
        <v>-6.1044044717466424</v>
      </c>
      <c r="AB106" s="25">
        <f t="shared" ca="1" si="92"/>
        <v>-6.5806057570548004</v>
      </c>
      <c r="AC106" s="25">
        <f t="shared" ca="1" si="92"/>
        <v>-7.0568070423629585</v>
      </c>
      <c r="AD106" s="25">
        <f t="shared" ca="1" si="92"/>
        <v>-7.5330083276711166</v>
      </c>
      <c r="AE106" s="25">
        <f t="shared" ca="1" si="92"/>
        <v>-8.0092096129792747</v>
      </c>
      <c r="AF106">
        <f ca="1">-'MitTable(LMDI I)DEq'!E$7</f>
        <v>-8.4854108982874337</v>
      </c>
      <c r="AG106" s="25">
        <f t="shared" ca="1" si="93"/>
        <v>-9.0256246295828806</v>
      </c>
      <c r="AH106" s="25">
        <f t="shared" ca="1" si="93"/>
        <v>-9.5658383608783275</v>
      </c>
      <c r="AI106" s="25">
        <f t="shared" ca="1" si="93"/>
        <v>-10.106052092173774</v>
      </c>
      <c r="AJ106" s="25">
        <f t="shared" ca="1" si="93"/>
        <v>-10.646265823469221</v>
      </c>
      <c r="AK106" s="25">
        <f t="shared" ca="1" si="93"/>
        <v>-11.186479554764668</v>
      </c>
      <c r="AL106" s="25">
        <f t="shared" ca="1" si="93"/>
        <v>-11.726693286060115</v>
      </c>
      <c r="AM106" s="25">
        <f t="shared" ca="1" si="93"/>
        <v>-12.266907017355562</v>
      </c>
      <c r="AN106" s="25">
        <f t="shared" ca="1" si="93"/>
        <v>-12.807120748651009</v>
      </c>
      <c r="AO106" s="25">
        <f t="shared" ca="1" si="93"/>
        <v>-13.347334479946456</v>
      </c>
      <c r="AP106">
        <f ca="1">-'MitTable(LMDI I)DEq'!F$7</f>
        <v>-13.887548211241905</v>
      </c>
      <c r="AQ106" s="25">
        <f t="shared" ca="1" si="94"/>
        <v>-14.191568616814791</v>
      </c>
      <c r="AR106" s="25">
        <f t="shared" ca="1" si="94"/>
        <v>-14.495589022387676</v>
      </c>
      <c r="AS106" s="25">
        <f t="shared" ca="1" si="94"/>
        <v>-14.799609427960561</v>
      </c>
      <c r="AT106" s="25">
        <f t="shared" ca="1" si="94"/>
        <v>-15.103629833533446</v>
      </c>
      <c r="AU106" s="25">
        <f t="shared" ca="1" si="94"/>
        <v>-15.407650239106331</v>
      </c>
      <c r="AV106" s="25">
        <f t="shared" ca="1" si="94"/>
        <v>-15.711670644679216</v>
      </c>
      <c r="AW106" s="25">
        <f t="shared" ca="1" si="94"/>
        <v>-16.015691050252101</v>
      </c>
      <c r="AX106" s="25">
        <f t="shared" ca="1" si="94"/>
        <v>-16.319711455824987</v>
      </c>
      <c r="AY106" s="25">
        <f t="shared" ca="1" si="94"/>
        <v>-16.623731861397872</v>
      </c>
      <c r="AZ106">
        <f ca="1">-'MitTable(LMDI I)DEq'!G$7</f>
        <v>-16.927752266970764</v>
      </c>
      <c r="BA106" s="25">
        <f t="shared" ca="1" si="95"/>
        <v>-17.079182528830273</v>
      </c>
      <c r="BB106" s="25">
        <f t="shared" ca="1" si="95"/>
        <v>-17.230612790689783</v>
      </c>
      <c r="BC106" s="25">
        <f t="shared" ca="1" si="95"/>
        <v>-17.382043052549292</v>
      </c>
      <c r="BD106" s="25">
        <f t="shared" ca="1" si="95"/>
        <v>-17.533473314408802</v>
      </c>
      <c r="BE106" s="25">
        <f t="shared" ca="1" si="95"/>
        <v>-17.684903576268312</v>
      </c>
      <c r="BF106" s="25">
        <f t="shared" ca="1" si="95"/>
        <v>-17.836333838127821</v>
      </c>
      <c r="BG106" s="25">
        <f t="shared" ca="1" si="95"/>
        <v>-17.987764099987331</v>
      </c>
      <c r="BH106" s="25">
        <f t="shared" ca="1" si="95"/>
        <v>-18.13919436184684</v>
      </c>
      <c r="BI106" s="25">
        <f t="shared" ca="1" si="95"/>
        <v>-18.29062462370635</v>
      </c>
      <c r="BJ106">
        <f ca="1">-'MitTable(LMDI I)DEq'!H$7</f>
        <v>-18.442054885565867</v>
      </c>
      <c r="BK106" s="25">
        <f t="shared" ca="1" si="96"/>
        <v>-18.727130794031073</v>
      </c>
      <c r="BL106" s="25">
        <f t="shared" ca="1" si="96"/>
        <v>-19.012206702496279</v>
      </c>
      <c r="BM106" s="25">
        <f t="shared" ca="1" si="96"/>
        <v>-19.297282610961485</v>
      </c>
      <c r="BN106" s="25">
        <f t="shared" ca="1" si="96"/>
        <v>-19.582358519426691</v>
      </c>
      <c r="BO106" s="25">
        <f t="shared" ca="1" si="96"/>
        <v>-19.867434427891897</v>
      </c>
      <c r="BP106" s="25">
        <f t="shared" ca="1" si="96"/>
        <v>-20.152510336357103</v>
      </c>
      <c r="BQ106" s="25">
        <f t="shared" ca="1" si="96"/>
        <v>-20.43758624482231</v>
      </c>
      <c r="BR106" s="25">
        <f t="shared" ca="1" si="96"/>
        <v>-20.722662153287516</v>
      </c>
      <c r="BS106" s="25">
        <f t="shared" ca="1" si="96"/>
        <v>-21.007738061752722</v>
      </c>
      <c r="BT106">
        <f ca="1">-'MitTable(LMDI I)DEq'!I$7</f>
        <v>-21.292813970217924</v>
      </c>
      <c r="BU106" s="25">
        <f t="shared" ca="1" si="97"/>
        <v>-21.617635562671012</v>
      </c>
      <c r="BV106" s="25">
        <f t="shared" ca="1" si="97"/>
        <v>-21.942457155124099</v>
      </c>
      <c r="BW106" s="25">
        <f t="shared" ca="1" si="97"/>
        <v>-22.267278747577187</v>
      </c>
      <c r="BX106" s="25">
        <f t="shared" ca="1" si="97"/>
        <v>-22.592100340030274</v>
      </c>
      <c r="BY106" s="25">
        <f t="shared" ca="1" si="97"/>
        <v>-22.916921932483362</v>
      </c>
      <c r="BZ106" s="25">
        <f t="shared" ca="1" si="97"/>
        <v>-23.241743524936449</v>
      </c>
      <c r="CA106" s="25">
        <f t="shared" ca="1" si="97"/>
        <v>-23.566565117389537</v>
      </c>
      <c r="CB106" s="25">
        <f t="shared" ca="1" si="97"/>
        <v>-23.891386709842624</v>
      </c>
      <c r="CC106" s="25">
        <f t="shared" ca="1" si="97"/>
        <v>-24.216208302295712</v>
      </c>
      <c r="CD106">
        <f ca="1">-'MitTable(LMDI I)DEq'!J$7</f>
        <v>-24.541029894748814</v>
      </c>
      <c r="CE106" s="25">
        <f t="shared" ca="1" si="98"/>
        <v>-24.774085614439059</v>
      </c>
      <c r="CF106" s="25">
        <f t="shared" ca="1" si="98"/>
        <v>-25.007141334129305</v>
      </c>
      <c r="CG106" s="25">
        <f t="shared" ca="1" si="98"/>
        <v>-25.24019705381955</v>
      </c>
      <c r="CH106" s="25">
        <f t="shared" ca="1" si="98"/>
        <v>-25.473252773509795</v>
      </c>
      <c r="CI106" s="25">
        <f t="shared" ca="1" si="98"/>
        <v>-25.706308493200041</v>
      </c>
      <c r="CJ106" s="25">
        <f t="shared" ca="1" si="98"/>
        <v>-25.939364212890286</v>
      </c>
      <c r="CK106" s="25">
        <f t="shared" ca="1" si="98"/>
        <v>-26.172419932580532</v>
      </c>
      <c r="CL106" s="25">
        <f t="shared" ca="1" si="98"/>
        <v>-26.405475652270777</v>
      </c>
      <c r="CM106" s="25">
        <f t="shared" ca="1" si="98"/>
        <v>-26.638531371961022</v>
      </c>
      <c r="CN106">
        <f ca="1">-'MitTable(LMDI I)DEq'!K$7</f>
        <v>-26.871587091651264</v>
      </c>
    </row>
    <row r="107" spans="1:92" x14ac:dyDescent="0.2">
      <c r="A107" s="212" t="s">
        <v>271</v>
      </c>
      <c r="B107">
        <f ca="1">-'MitTable(LMDI I)DEq'!B$8</f>
        <v>-3.4435258669839666E-2</v>
      </c>
      <c r="C107" s="25">
        <f t="shared" ca="1" si="82"/>
        <v>-0.10143270447672076</v>
      </c>
      <c r="D107" s="25">
        <f t="shared" ca="1" si="82"/>
        <v>-0.16843015028360186</v>
      </c>
      <c r="E107" s="25">
        <f t="shared" ca="1" si="82"/>
        <v>-0.23542759609048297</v>
      </c>
      <c r="F107" s="25">
        <f t="shared" ca="1" si="82"/>
        <v>-0.30242504189736408</v>
      </c>
      <c r="G107" s="25">
        <f t="shared" ca="1" si="82"/>
        <v>-0.36942248770424518</v>
      </c>
      <c r="H107" s="25">
        <f t="shared" ca="1" si="82"/>
        <v>-0.43641993351112629</v>
      </c>
      <c r="I107" s="25">
        <f t="shared" ca="1" si="82"/>
        <v>-0.50341737931800734</v>
      </c>
      <c r="J107" s="25">
        <f t="shared" ca="1" si="82"/>
        <v>-0.57041482512488839</v>
      </c>
      <c r="K107" s="25">
        <f t="shared" ca="1" si="82"/>
        <v>-0.63741227093176944</v>
      </c>
      <c r="L107">
        <f ca="1">-'MitTable(LMDI I)DEq'!C$8</f>
        <v>-0.7044097167386506</v>
      </c>
      <c r="M107" s="25">
        <f t="shared" ca="1" si="91"/>
        <v>-0.84782866046536653</v>
      </c>
      <c r="N107" s="25">
        <f t="shared" ca="1" si="91"/>
        <v>-0.99124760419208247</v>
      </c>
      <c r="O107" s="25">
        <f t="shared" ca="1" si="91"/>
        <v>-1.1346665479187985</v>
      </c>
      <c r="P107" s="25">
        <f t="shared" ca="1" si="91"/>
        <v>-1.2780854916455144</v>
      </c>
      <c r="Q107" s="25">
        <f t="shared" ca="1" si="91"/>
        <v>-1.4215044353722304</v>
      </c>
      <c r="R107" s="25">
        <f t="shared" ca="1" si="91"/>
        <v>-1.5649233790989463</v>
      </c>
      <c r="S107" s="25">
        <f t="shared" ca="1" si="91"/>
        <v>-1.7083423228256622</v>
      </c>
      <c r="T107" s="25">
        <f t="shared" ca="1" si="91"/>
        <v>-1.8517612665523782</v>
      </c>
      <c r="U107" s="25">
        <f t="shared" ca="1" si="91"/>
        <v>-1.9951802102790941</v>
      </c>
      <c r="V107">
        <f ca="1">-'MitTable(LMDI I)DEq'!D$8</f>
        <v>-2.13859915400581</v>
      </c>
      <c r="W107" s="25">
        <f t="shared" ca="1" si="92"/>
        <v>-2.3533489604305697</v>
      </c>
      <c r="X107" s="25">
        <f t="shared" ca="1" si="92"/>
        <v>-2.5680987668553295</v>
      </c>
      <c r="Y107" s="25">
        <f t="shared" ca="1" si="92"/>
        <v>-2.7828485732800892</v>
      </c>
      <c r="Z107" s="25">
        <f t="shared" ca="1" si="92"/>
        <v>-2.9975983797048489</v>
      </c>
      <c r="AA107" s="25">
        <f t="shared" ca="1" si="92"/>
        <v>-3.2123481861296086</v>
      </c>
      <c r="AB107" s="25">
        <f t="shared" ca="1" si="92"/>
        <v>-3.4270979925543683</v>
      </c>
      <c r="AC107" s="25">
        <f t="shared" ca="1" si="92"/>
        <v>-3.641847798979128</v>
      </c>
      <c r="AD107" s="25">
        <f t="shared" ca="1" si="92"/>
        <v>-3.8565976054038877</v>
      </c>
      <c r="AE107" s="25">
        <f t="shared" ca="1" si="92"/>
        <v>-4.071347411828647</v>
      </c>
      <c r="AF107">
        <f ca="1">-'MitTable(LMDI I)DEq'!E$8</f>
        <v>-4.2860972182534063</v>
      </c>
      <c r="AG107" s="25">
        <f t="shared" ca="1" si="93"/>
        <v>-4.4691767955446648</v>
      </c>
      <c r="AH107" s="25">
        <f t="shared" ca="1" si="93"/>
        <v>-4.6522563728359234</v>
      </c>
      <c r="AI107" s="25">
        <f t="shared" ca="1" si="93"/>
        <v>-4.835335950127182</v>
      </c>
      <c r="AJ107" s="25">
        <f t="shared" ca="1" si="93"/>
        <v>-5.0184155274184405</v>
      </c>
      <c r="AK107" s="25">
        <f t="shared" ca="1" si="93"/>
        <v>-5.2014951047096991</v>
      </c>
      <c r="AL107" s="25">
        <f t="shared" ca="1" si="93"/>
        <v>-5.3845746820009577</v>
      </c>
      <c r="AM107" s="25">
        <f t="shared" ca="1" si="93"/>
        <v>-5.5676542592922162</v>
      </c>
      <c r="AN107" s="25">
        <f t="shared" ca="1" si="93"/>
        <v>-5.7507338365834748</v>
      </c>
      <c r="AO107" s="25">
        <f t="shared" ca="1" si="93"/>
        <v>-5.9338134138747334</v>
      </c>
      <c r="AP107">
        <f ca="1">-'MitTable(LMDI I)DEq'!F$8</f>
        <v>-6.1168929911659919</v>
      </c>
      <c r="AQ107" s="25">
        <f t="shared" ca="1" si="94"/>
        <v>-6.1766504351827844</v>
      </c>
      <c r="AR107" s="25">
        <f t="shared" ca="1" si="94"/>
        <v>-6.236407879199577</v>
      </c>
      <c r="AS107" s="25">
        <f t="shared" ca="1" si="94"/>
        <v>-6.2961653232163695</v>
      </c>
      <c r="AT107" s="25">
        <f t="shared" ca="1" si="94"/>
        <v>-6.355922767233162</v>
      </c>
      <c r="AU107" s="25">
        <f t="shared" ca="1" si="94"/>
        <v>-6.4156802112499545</v>
      </c>
      <c r="AV107" s="25">
        <f t="shared" ca="1" si="94"/>
        <v>-6.475437655266747</v>
      </c>
      <c r="AW107" s="25">
        <f t="shared" ca="1" si="94"/>
        <v>-6.5351950992835395</v>
      </c>
      <c r="AX107" s="25">
        <f t="shared" ca="1" si="94"/>
        <v>-6.594952543300332</v>
      </c>
      <c r="AY107" s="25">
        <f t="shared" ca="1" si="94"/>
        <v>-6.6547099873171245</v>
      </c>
      <c r="AZ107">
        <f ca="1">-'MitTable(LMDI I)DEq'!G$8</f>
        <v>-6.7144674313339143</v>
      </c>
      <c r="BA107" s="25">
        <f t="shared" ca="1" si="95"/>
        <v>-6.7947963124087112</v>
      </c>
      <c r="BB107" s="25">
        <f t="shared" ca="1" si="95"/>
        <v>-6.875125193483508</v>
      </c>
      <c r="BC107" s="25">
        <f t="shared" ca="1" si="95"/>
        <v>-6.9554540745583049</v>
      </c>
      <c r="BD107" s="25">
        <f t="shared" ca="1" si="95"/>
        <v>-7.0357829556331017</v>
      </c>
      <c r="BE107" s="25">
        <f t="shared" ca="1" si="95"/>
        <v>-7.1161118367078986</v>
      </c>
      <c r="BF107" s="25">
        <f t="shared" ca="1" si="95"/>
        <v>-7.1964407177826955</v>
      </c>
      <c r="BG107" s="25">
        <f t="shared" ca="1" si="95"/>
        <v>-7.2767695988574923</v>
      </c>
      <c r="BH107" s="25">
        <f t="shared" ca="1" si="95"/>
        <v>-7.3570984799322892</v>
      </c>
      <c r="BI107" s="25">
        <f t="shared" ca="1" si="95"/>
        <v>-7.437427361007086</v>
      </c>
      <c r="BJ107">
        <f ca="1">-'MitTable(LMDI I)DEq'!H$8</f>
        <v>-7.5177562420818846</v>
      </c>
      <c r="BK107" s="25">
        <f t="shared" ca="1" si="96"/>
        <v>-7.6041143900750834</v>
      </c>
      <c r="BL107" s="25">
        <f t="shared" ca="1" si="96"/>
        <v>-7.6904725380682821</v>
      </c>
      <c r="BM107" s="25">
        <f t="shared" ca="1" si="96"/>
        <v>-7.7768306860614809</v>
      </c>
      <c r="BN107" s="25">
        <f t="shared" ca="1" si="96"/>
        <v>-7.8631888340546796</v>
      </c>
      <c r="BO107" s="25">
        <f t="shared" ca="1" si="96"/>
        <v>-7.9495469820478784</v>
      </c>
      <c r="BP107" s="25">
        <f t="shared" ca="1" si="96"/>
        <v>-8.0359051300410762</v>
      </c>
      <c r="BQ107" s="25">
        <f t="shared" ca="1" si="96"/>
        <v>-8.1222632780342749</v>
      </c>
      <c r="BR107" s="25">
        <f t="shared" ca="1" si="96"/>
        <v>-8.2086214260274737</v>
      </c>
      <c r="BS107" s="25">
        <f t="shared" ca="1" si="96"/>
        <v>-8.2949795740206724</v>
      </c>
      <c r="BT107">
        <f ca="1">-'MitTable(LMDI I)DEq'!I$8</f>
        <v>-8.3813377220138694</v>
      </c>
      <c r="BU107" s="25">
        <f t="shared" ca="1" si="97"/>
        <v>-8.4202100914294231</v>
      </c>
      <c r="BV107" s="25">
        <f t="shared" ca="1" si="97"/>
        <v>-8.4590824608449768</v>
      </c>
      <c r="BW107" s="25">
        <f t="shared" ca="1" si="97"/>
        <v>-8.4979548302605306</v>
      </c>
      <c r="BX107" s="25">
        <f t="shared" ca="1" si="97"/>
        <v>-8.5368271996760843</v>
      </c>
      <c r="BY107" s="25">
        <f t="shared" ca="1" si="97"/>
        <v>-8.575699569091638</v>
      </c>
      <c r="BZ107" s="25">
        <f t="shared" ca="1" si="97"/>
        <v>-8.6145719385071917</v>
      </c>
      <c r="CA107" s="25">
        <f t="shared" ca="1" si="97"/>
        <v>-8.6534443079227454</v>
      </c>
      <c r="CB107" s="25">
        <f t="shared" ca="1" si="97"/>
        <v>-8.6923166773382992</v>
      </c>
      <c r="CC107" s="25">
        <f t="shared" ca="1" si="97"/>
        <v>-8.7311890467538529</v>
      </c>
      <c r="CD107">
        <f ca="1">-'MitTable(LMDI I)DEq'!J$8</f>
        <v>-8.7700614161694102</v>
      </c>
      <c r="CE107" s="25">
        <f t="shared" ca="1" si="98"/>
        <v>-8.7816919502043262</v>
      </c>
      <c r="CF107" s="25">
        <f t="shared" ca="1" si="98"/>
        <v>-8.7933224842392441</v>
      </c>
      <c r="CG107" s="25">
        <f t="shared" ca="1" si="98"/>
        <v>-8.804953018274162</v>
      </c>
      <c r="CH107" s="25">
        <f t="shared" ca="1" si="98"/>
        <v>-8.8165835523090799</v>
      </c>
      <c r="CI107" s="25">
        <f t="shared" ca="1" si="98"/>
        <v>-8.8282140863439977</v>
      </c>
      <c r="CJ107" s="25">
        <f t="shared" ca="1" si="98"/>
        <v>-8.8398446203789156</v>
      </c>
      <c r="CK107" s="25">
        <f t="shared" ca="1" si="98"/>
        <v>-8.8514751544138335</v>
      </c>
      <c r="CL107" s="25">
        <f t="shared" ca="1" si="98"/>
        <v>-8.8631056884487514</v>
      </c>
      <c r="CM107" s="25">
        <f t="shared" ca="1" si="98"/>
        <v>-8.8747362224836692</v>
      </c>
      <c r="CN107">
        <f ca="1">-'MitTable(LMDI I)DEq'!K$8</f>
        <v>-8.88636675651858</v>
      </c>
    </row>
    <row r="108" spans="1:92" x14ac:dyDescent="0.2">
      <c r="A108" s="210" t="s">
        <v>336</v>
      </c>
      <c r="B108" s="25">
        <f t="shared" ref="B108:BM108" ca="1" si="99">B126-B85</f>
        <v>-5.2692492802930424E-4</v>
      </c>
      <c r="C108" s="25">
        <f t="shared" ca="1" si="99"/>
        <v>-2.3681250495913853E-2</v>
      </c>
      <c r="D108" s="25">
        <f t="shared" ca="1" si="99"/>
        <v>-4.6835576063798401E-2</v>
      </c>
      <c r="E108" s="25">
        <f t="shared" ca="1" si="99"/>
        <v>-6.9989901631682949E-2</v>
      </c>
      <c r="F108" s="25">
        <f t="shared" ca="1" si="99"/>
        <v>-9.3144227199567498E-2</v>
      </c>
      <c r="G108" s="25">
        <f t="shared" ca="1" si="99"/>
        <v>-0.11629855276745205</v>
      </c>
      <c r="H108" s="25">
        <f t="shared" ca="1" si="99"/>
        <v>-0.13945287833533659</v>
      </c>
      <c r="I108" s="25">
        <f t="shared" ca="1" si="99"/>
        <v>-0.16260720390322114</v>
      </c>
      <c r="J108" s="25">
        <f t="shared" ca="1" si="99"/>
        <v>-0.18576152947110547</v>
      </c>
      <c r="K108" s="25">
        <f t="shared" ca="1" si="99"/>
        <v>-0.20891585503899002</v>
      </c>
      <c r="L108" s="25">
        <f t="shared" ca="1" si="99"/>
        <v>-0.23207018060687301</v>
      </c>
      <c r="M108" s="25">
        <f t="shared" ca="1" si="99"/>
        <v>-0.23468346066656531</v>
      </c>
      <c r="N108" s="25">
        <f t="shared" ca="1" si="99"/>
        <v>-0.23729674072625762</v>
      </c>
      <c r="O108" s="25">
        <f t="shared" ca="1" si="99"/>
        <v>-0.23991002078594992</v>
      </c>
      <c r="P108" s="25">
        <f t="shared" ca="1" si="99"/>
        <v>-0.24252330084564244</v>
      </c>
      <c r="Q108" s="25">
        <f t="shared" ca="1" si="99"/>
        <v>-0.24513658090533474</v>
      </c>
      <c r="R108" s="25">
        <f t="shared" ca="1" si="99"/>
        <v>-0.24774986096502705</v>
      </c>
      <c r="S108" s="25">
        <f t="shared" ca="1" si="99"/>
        <v>-0.25036314102471935</v>
      </c>
      <c r="T108" s="25">
        <f t="shared" ca="1" si="99"/>
        <v>-0.25297642108441165</v>
      </c>
      <c r="U108" s="25">
        <f t="shared" ca="1" si="99"/>
        <v>-0.25558970114410395</v>
      </c>
      <c r="V108" s="25">
        <f t="shared" ca="1" si="99"/>
        <v>-0.25820298120379492</v>
      </c>
      <c r="W108" s="25">
        <f t="shared" ca="1" si="99"/>
        <v>-0.26235378533601805</v>
      </c>
      <c r="X108" s="25">
        <f t="shared" ca="1" si="99"/>
        <v>-0.26650458946824096</v>
      </c>
      <c r="Y108" s="25">
        <f t="shared" ca="1" si="99"/>
        <v>-0.27065539360046387</v>
      </c>
      <c r="Z108" s="25">
        <f t="shared" ca="1" si="99"/>
        <v>-0.274806197732687</v>
      </c>
      <c r="AA108" s="25">
        <f t="shared" ca="1" si="99"/>
        <v>-0.27895700186491013</v>
      </c>
      <c r="AB108" s="25">
        <f t="shared" ca="1" si="99"/>
        <v>-0.28310780599713303</v>
      </c>
      <c r="AC108" s="25">
        <f t="shared" ca="1" si="99"/>
        <v>-0.28725861012935594</v>
      </c>
      <c r="AD108" s="25">
        <f t="shared" ca="1" si="99"/>
        <v>-0.29140941426157907</v>
      </c>
      <c r="AE108" s="25">
        <f t="shared" ca="1" si="99"/>
        <v>-0.2955602183938022</v>
      </c>
      <c r="AF108" s="25">
        <f t="shared" ca="1" si="99"/>
        <v>-0.29971102252602577</v>
      </c>
      <c r="AG108" s="25">
        <f t="shared" ca="1" si="99"/>
        <v>-0.33173839036996156</v>
      </c>
      <c r="AH108" s="25">
        <f t="shared" ca="1" si="99"/>
        <v>-0.36376575821389734</v>
      </c>
      <c r="AI108" s="25">
        <f t="shared" ca="1" si="99"/>
        <v>-0.3957931260578329</v>
      </c>
      <c r="AJ108" s="25">
        <f t="shared" ca="1" si="99"/>
        <v>-0.42782049390176868</v>
      </c>
      <c r="AK108" s="25">
        <f t="shared" ca="1" si="99"/>
        <v>-0.45984786174570447</v>
      </c>
      <c r="AL108" s="25">
        <f t="shared" ca="1" si="99"/>
        <v>-0.49187522958964003</v>
      </c>
      <c r="AM108" s="25">
        <f t="shared" ca="1" si="99"/>
        <v>-0.52390259743357581</v>
      </c>
      <c r="AN108" s="25">
        <f t="shared" ca="1" si="99"/>
        <v>-0.5559299652775116</v>
      </c>
      <c r="AO108" s="25">
        <f t="shared" ca="1" si="99"/>
        <v>-0.58795733312144738</v>
      </c>
      <c r="AP108" s="25">
        <f t="shared" ca="1" si="99"/>
        <v>-0.61998470096538449</v>
      </c>
      <c r="AQ108" s="25">
        <f t="shared" ca="1" si="99"/>
        <v>-0.66305968478651889</v>
      </c>
      <c r="AR108" s="25">
        <f t="shared" ca="1" si="99"/>
        <v>-0.70613466860765262</v>
      </c>
      <c r="AS108" s="25">
        <f t="shared" ca="1" si="99"/>
        <v>-0.74920965242878634</v>
      </c>
      <c r="AT108" s="25">
        <f t="shared" ca="1" si="99"/>
        <v>-0.79228463624992029</v>
      </c>
      <c r="AU108" s="25">
        <f t="shared" ca="1" si="99"/>
        <v>-0.83535962007105402</v>
      </c>
      <c r="AV108" s="25">
        <f t="shared" ca="1" si="99"/>
        <v>-0.87843460389218775</v>
      </c>
      <c r="AW108" s="25">
        <f t="shared" ca="1" si="99"/>
        <v>-0.92150958771332148</v>
      </c>
      <c r="AX108" s="25">
        <f t="shared" ca="1" si="99"/>
        <v>-0.9645845715344552</v>
      </c>
      <c r="AY108" s="25">
        <f t="shared" ca="1" si="99"/>
        <v>-1.0076595553555892</v>
      </c>
      <c r="AZ108" s="25">
        <f t="shared" ca="1" si="99"/>
        <v>-1.0507345391767253</v>
      </c>
      <c r="BA108" s="25">
        <f t="shared" ca="1" si="99"/>
        <v>-1.0390204004309145</v>
      </c>
      <c r="BB108" s="25">
        <f t="shared" ca="1" si="99"/>
        <v>-1.0273062616851039</v>
      </c>
      <c r="BC108" s="25">
        <f t="shared" ca="1" si="99"/>
        <v>-1.0155921229392932</v>
      </c>
      <c r="BD108" s="25">
        <f t="shared" ca="1" si="99"/>
        <v>-1.0038779841934828</v>
      </c>
      <c r="BE108" s="25">
        <f t="shared" ca="1" si="99"/>
        <v>-0.99216384544767222</v>
      </c>
      <c r="BF108" s="25">
        <f t="shared" ca="1" si="99"/>
        <v>-0.9804497067018616</v>
      </c>
      <c r="BG108" s="25">
        <f t="shared" ca="1" si="99"/>
        <v>-0.9687355679560512</v>
      </c>
      <c r="BH108" s="25">
        <f t="shared" ca="1" si="99"/>
        <v>-0.95702142921024058</v>
      </c>
      <c r="BI108" s="25">
        <f t="shared" ca="1" si="99"/>
        <v>-0.94530729046442996</v>
      </c>
      <c r="BJ108" s="25">
        <f t="shared" ca="1" si="99"/>
        <v>-0.93359315171862045</v>
      </c>
      <c r="BK108" s="25">
        <f t="shared" ca="1" si="99"/>
        <v>-0.93015359949361787</v>
      </c>
      <c r="BL108" s="25">
        <f t="shared" ca="1" si="99"/>
        <v>-0.92671404726861528</v>
      </c>
      <c r="BM108" s="25">
        <f t="shared" ca="1" si="99"/>
        <v>-0.92327449504361248</v>
      </c>
      <c r="BN108" s="25">
        <f t="shared" ref="BN108:CN108" ca="1" si="100">BN126-BN85</f>
        <v>-0.91983494281860989</v>
      </c>
      <c r="BO108" s="25">
        <f t="shared" ca="1" si="100"/>
        <v>-0.91639539059360731</v>
      </c>
      <c r="BP108" s="25">
        <f t="shared" ca="1" si="100"/>
        <v>-0.9129558383686045</v>
      </c>
      <c r="BQ108" s="25">
        <f t="shared" ca="1" si="100"/>
        <v>-0.90951628614360192</v>
      </c>
      <c r="BR108" s="25">
        <f t="shared" ca="1" si="100"/>
        <v>-0.90607673391859933</v>
      </c>
      <c r="BS108" s="25">
        <f t="shared" ca="1" si="100"/>
        <v>-0.90263718169359675</v>
      </c>
      <c r="BT108" s="25">
        <f t="shared" ca="1" si="100"/>
        <v>-0.89919762946859305</v>
      </c>
      <c r="BU108" s="25">
        <f t="shared" ca="1" si="100"/>
        <v>-0.95890614651046513</v>
      </c>
      <c r="BV108" s="25">
        <f t="shared" ca="1" si="100"/>
        <v>-1.0186146635523372</v>
      </c>
      <c r="BW108" s="25">
        <f t="shared" ca="1" si="100"/>
        <v>-1.0783231805942095</v>
      </c>
      <c r="BX108" s="25">
        <f t="shared" ca="1" si="100"/>
        <v>-1.1380316976360816</v>
      </c>
      <c r="BY108" s="25">
        <f t="shared" ca="1" si="100"/>
        <v>-1.1977402146779537</v>
      </c>
      <c r="BZ108" s="25">
        <f t="shared" ca="1" si="100"/>
        <v>-1.2574487317198257</v>
      </c>
      <c r="CA108" s="25">
        <f t="shared" ca="1" si="100"/>
        <v>-1.3171572487616978</v>
      </c>
      <c r="CB108" s="25">
        <f t="shared" ca="1" si="100"/>
        <v>-1.3768657658035701</v>
      </c>
      <c r="CC108" s="25">
        <f t="shared" ca="1" si="100"/>
        <v>-1.4365742828454422</v>
      </c>
      <c r="CD108" s="25">
        <f t="shared" ca="1" si="100"/>
        <v>-1.4962827998873158</v>
      </c>
      <c r="CE108" s="25">
        <f t="shared" ca="1" si="100"/>
        <v>-1.5768130832623382</v>
      </c>
      <c r="CF108" s="25">
        <f t="shared" ca="1" si="100"/>
        <v>-1.6573433666373605</v>
      </c>
      <c r="CG108" s="25">
        <f t="shared" ca="1" si="100"/>
        <v>-1.7378736500123828</v>
      </c>
      <c r="CH108" s="25">
        <f t="shared" ca="1" si="100"/>
        <v>-1.8184039333874051</v>
      </c>
      <c r="CI108" s="25">
        <f t="shared" ca="1" si="100"/>
        <v>-1.8989342167624277</v>
      </c>
      <c r="CJ108" s="25">
        <f t="shared" ca="1" si="100"/>
        <v>-1.97946450013745</v>
      </c>
      <c r="CK108" s="25">
        <f t="shared" ca="1" si="100"/>
        <v>-2.0599947835124723</v>
      </c>
      <c r="CL108" s="25">
        <f t="shared" ca="1" si="100"/>
        <v>-2.1405250668874949</v>
      </c>
      <c r="CM108" s="25">
        <f t="shared" ca="1" si="100"/>
        <v>-2.2210553502625174</v>
      </c>
      <c r="CN108" s="25">
        <f t="shared" ca="1" si="100"/>
        <v>-2.3015856336375387</v>
      </c>
    </row>
    <row r="109" spans="1:92" x14ac:dyDescent="0.2">
      <c r="A109" s="210" t="s">
        <v>272</v>
      </c>
      <c r="B109" s="25">
        <f ca="1">-TotalEmissions!B74</f>
        <v>0.1090670132115088</v>
      </c>
      <c r="C109" s="25">
        <f t="shared" ref="C109:K110" ca="1" si="101">B109+(($L109-$B109)/($L$75-$B$75))</f>
        <v>-7.6805837200775162E-2</v>
      </c>
      <c r="D109" s="25">
        <f t="shared" ca="1" si="101"/>
        <v>-0.26267868761305913</v>
      </c>
      <c r="E109" s="25">
        <f t="shared" ca="1" si="101"/>
        <v>-0.44855153802534309</v>
      </c>
      <c r="F109" s="25">
        <f t="shared" ca="1" si="101"/>
        <v>-0.63442438843762705</v>
      </c>
      <c r="G109" s="25">
        <f t="shared" ca="1" si="101"/>
        <v>-0.82029723884991101</v>
      </c>
      <c r="H109" s="25">
        <f t="shared" ca="1" si="101"/>
        <v>-1.006170089262195</v>
      </c>
      <c r="I109" s="25">
        <f t="shared" ca="1" si="101"/>
        <v>-1.1920429396744789</v>
      </c>
      <c r="J109" s="25">
        <f t="shared" ca="1" si="101"/>
        <v>-1.3779157900867629</v>
      </c>
      <c r="K109" s="25">
        <f t="shared" ca="1" si="101"/>
        <v>-1.5637886404990469</v>
      </c>
      <c r="L109" s="25">
        <f ca="1">-TotalEmissions!C74</f>
        <v>-1.7496614909113308</v>
      </c>
      <c r="M109" s="25">
        <f t="shared" ref="M109:U110" ca="1" si="102">L109+(($V109-$L109)/($V$75-$L$75))</f>
        <v>-2.3606293386381116</v>
      </c>
      <c r="N109" s="25">
        <f t="shared" ca="1" si="102"/>
        <v>-2.9715971863648925</v>
      </c>
      <c r="O109" s="25">
        <f t="shared" ca="1" si="102"/>
        <v>-3.5825650340916733</v>
      </c>
      <c r="P109" s="25">
        <f t="shared" ca="1" si="102"/>
        <v>-4.1935328818184541</v>
      </c>
      <c r="Q109" s="25">
        <f t="shared" ca="1" si="102"/>
        <v>-4.8045007295452349</v>
      </c>
      <c r="R109" s="25">
        <f t="shared" ca="1" si="102"/>
        <v>-5.4154685772720157</v>
      </c>
      <c r="S109" s="25">
        <f t="shared" ca="1" si="102"/>
        <v>-6.0264364249987965</v>
      </c>
      <c r="T109" s="25">
        <f t="shared" ca="1" si="102"/>
        <v>-6.6374042727255773</v>
      </c>
      <c r="U109" s="25">
        <f t="shared" ca="1" si="102"/>
        <v>-7.2483721204523581</v>
      </c>
      <c r="V109" s="25">
        <f ca="1">-TotalEmissions!D74</f>
        <v>-7.8593399681791407</v>
      </c>
      <c r="W109" s="25">
        <f t="shared" ref="W109:AE110" ca="1" si="103">V109+(($AF109-$V109)/($AF$75-$V$75))</f>
        <v>-8.1519878992084731</v>
      </c>
      <c r="X109" s="25">
        <f t="shared" ca="1" si="103"/>
        <v>-8.4446358302378055</v>
      </c>
      <c r="Y109" s="25">
        <f t="shared" ca="1" si="103"/>
        <v>-8.7372837612671379</v>
      </c>
      <c r="Z109" s="25">
        <f t="shared" ca="1" si="103"/>
        <v>-9.0299316922964703</v>
      </c>
      <c r="AA109" s="25">
        <f t="shared" ca="1" si="103"/>
        <v>-9.3225796233258027</v>
      </c>
      <c r="AB109" s="25">
        <f t="shared" ca="1" si="103"/>
        <v>-9.6152275543551351</v>
      </c>
      <c r="AC109" s="25">
        <f t="shared" ca="1" si="103"/>
        <v>-9.9078754853844675</v>
      </c>
      <c r="AD109" s="25">
        <f t="shared" ca="1" si="103"/>
        <v>-10.2005234164138</v>
      </c>
      <c r="AE109" s="25">
        <f t="shared" ca="1" si="103"/>
        <v>-10.493171347443132</v>
      </c>
      <c r="AF109" s="25">
        <f ca="1">-TotalEmissions!E74</f>
        <v>-10.785819278472463</v>
      </c>
      <c r="AG109" s="25">
        <f t="shared" ref="AG109:AO110" ca="1" si="104">AF109+(($AP109-$AF109)/($AP$75-$AF$75))</f>
        <v>-11.030041174870741</v>
      </c>
      <c r="AH109" s="25">
        <f t="shared" ca="1" si="104"/>
        <v>-11.274263071269019</v>
      </c>
      <c r="AI109" s="25">
        <f t="shared" ca="1" si="104"/>
        <v>-11.518484967667296</v>
      </c>
      <c r="AJ109" s="25">
        <f t="shared" ca="1" si="104"/>
        <v>-11.762706864065574</v>
      </c>
      <c r="AK109" s="25">
        <f t="shared" ca="1" si="104"/>
        <v>-12.006928760463852</v>
      </c>
      <c r="AL109" s="25">
        <f t="shared" ca="1" si="104"/>
        <v>-12.25115065686213</v>
      </c>
      <c r="AM109" s="25">
        <f t="shared" ca="1" si="104"/>
        <v>-12.495372553260408</v>
      </c>
      <c r="AN109" s="25">
        <f t="shared" ca="1" si="104"/>
        <v>-12.739594449658686</v>
      </c>
      <c r="AO109" s="25">
        <f t="shared" ca="1" si="104"/>
        <v>-12.983816346056964</v>
      </c>
      <c r="AP109" s="25">
        <f ca="1">-TotalEmissions!F74</f>
        <v>-13.228038242455245</v>
      </c>
      <c r="AQ109" s="25">
        <f t="shared" ref="AQ109:AY110" ca="1" si="105">AP109+(($AZ109-$AP109)/($AZ$75-$AP$75))</f>
        <v>-12.838760457514638</v>
      </c>
      <c r="AR109" s="25">
        <f t="shared" ca="1" si="105"/>
        <v>-12.449482672574032</v>
      </c>
      <c r="AS109" s="25">
        <f t="shared" ca="1" si="105"/>
        <v>-12.060204887633425</v>
      </c>
      <c r="AT109" s="25">
        <f t="shared" ca="1" si="105"/>
        <v>-11.670927102692819</v>
      </c>
      <c r="AU109" s="25">
        <f t="shared" ca="1" si="105"/>
        <v>-11.281649317752212</v>
      </c>
      <c r="AV109" s="25">
        <f t="shared" ca="1" si="105"/>
        <v>-10.892371532811605</v>
      </c>
      <c r="AW109" s="25">
        <f t="shared" ca="1" si="105"/>
        <v>-10.503093747870999</v>
      </c>
      <c r="AX109" s="25">
        <f t="shared" ca="1" si="105"/>
        <v>-10.113815962930392</v>
      </c>
      <c r="AY109" s="25">
        <f t="shared" ca="1" si="105"/>
        <v>-9.7245381779897855</v>
      </c>
      <c r="AZ109" s="25">
        <f ca="1">-TotalEmissions!G74</f>
        <v>-9.3352603930491806</v>
      </c>
      <c r="BA109" s="25">
        <f t="shared" ref="BA109:BI110" ca="1" si="106">AZ109+(($BJ109-$AZ109)/($BJ$75-$AZ$75))</f>
        <v>-9.2270918311902204</v>
      </c>
      <c r="BB109" s="25">
        <f t="shared" ca="1" si="106"/>
        <v>-9.1189232693312601</v>
      </c>
      <c r="BC109" s="25">
        <f t="shared" ca="1" si="106"/>
        <v>-9.0107547074722998</v>
      </c>
      <c r="BD109" s="25">
        <f t="shared" ca="1" si="106"/>
        <v>-8.9025861456133395</v>
      </c>
      <c r="BE109" s="25">
        <f t="shared" ca="1" si="106"/>
        <v>-8.7944175837543792</v>
      </c>
      <c r="BF109" s="25">
        <f t="shared" ca="1" si="106"/>
        <v>-8.6862490218954189</v>
      </c>
      <c r="BG109" s="25">
        <f t="shared" ca="1" si="106"/>
        <v>-8.5780804600364586</v>
      </c>
      <c r="BH109" s="25">
        <f t="shared" ca="1" si="106"/>
        <v>-8.4699118981774983</v>
      </c>
      <c r="BI109" s="25">
        <f t="shared" ca="1" si="106"/>
        <v>-8.3617433363185381</v>
      </c>
      <c r="BJ109" s="25">
        <f ca="1">-TotalEmissions!H74</f>
        <v>-8.2535747744595707</v>
      </c>
      <c r="BK109" s="25">
        <f t="shared" ref="BK109:BS110" ca="1" si="107">BJ109+(($BT109-$BJ109)/($BT$75-$BJ$75))</f>
        <v>-8.0629135525689648</v>
      </c>
      <c r="BL109" s="25">
        <f t="shared" ca="1" si="107"/>
        <v>-7.8722523306783581</v>
      </c>
      <c r="BM109" s="25">
        <f t="shared" ca="1" si="107"/>
        <v>-7.6815911087877513</v>
      </c>
      <c r="BN109" s="25">
        <f t="shared" ca="1" si="107"/>
        <v>-7.4909298868971446</v>
      </c>
      <c r="BO109" s="25">
        <f t="shared" ca="1" si="107"/>
        <v>-7.3002686650065378</v>
      </c>
      <c r="BP109" s="25">
        <f t="shared" ca="1" si="107"/>
        <v>-7.1096074431159311</v>
      </c>
      <c r="BQ109" s="25">
        <f t="shared" ca="1" si="107"/>
        <v>-6.9189462212253243</v>
      </c>
      <c r="BR109" s="25">
        <f t="shared" ca="1" si="107"/>
        <v>-6.7282849993347176</v>
      </c>
      <c r="BS109" s="25">
        <f t="shared" ca="1" si="107"/>
        <v>-6.5376237774441108</v>
      </c>
      <c r="BT109" s="25">
        <f ca="1">-TotalEmissions!I74</f>
        <v>-6.3469625555535067</v>
      </c>
      <c r="BU109" s="25">
        <f t="shared" ref="BU109:CC110" ca="1" si="108">BT109+(($CD109-$BT109)/($CD$75-$BT$75))</f>
        <v>-6.0295366122397889</v>
      </c>
      <c r="BV109" s="25">
        <f t="shared" ca="1" si="108"/>
        <v>-5.712110668926071</v>
      </c>
      <c r="BW109" s="25">
        <f t="shared" ca="1" si="108"/>
        <v>-5.3946847256123531</v>
      </c>
      <c r="BX109" s="25">
        <f t="shared" ca="1" si="108"/>
        <v>-5.0772587822986353</v>
      </c>
      <c r="BY109" s="25">
        <f t="shared" ca="1" si="108"/>
        <v>-4.7598328389849174</v>
      </c>
      <c r="BZ109" s="25">
        <f t="shared" ca="1" si="108"/>
        <v>-4.4424068956711995</v>
      </c>
      <c r="CA109" s="25">
        <f t="shared" ca="1" si="108"/>
        <v>-4.1249809523574816</v>
      </c>
      <c r="CB109" s="25">
        <f t="shared" ca="1" si="108"/>
        <v>-3.8075550090437633</v>
      </c>
      <c r="CC109" s="25">
        <f t="shared" ca="1" si="108"/>
        <v>-3.490129065730045</v>
      </c>
      <c r="CD109" s="25">
        <f ca="1">-TotalEmissions!J74</f>
        <v>-3.1727031224163249</v>
      </c>
      <c r="CE109" s="25">
        <f t="shared" ref="CE109:CM110" ca="1" si="109">CD109+(($CN109-$CD109)/($CN$75-$CD$75))</f>
        <v>-2.9812316783275477</v>
      </c>
      <c r="CF109" s="25">
        <f t="shared" ca="1" si="109"/>
        <v>-2.7897602342387704</v>
      </c>
      <c r="CG109" s="25">
        <f t="shared" ca="1" si="109"/>
        <v>-2.5982887901499931</v>
      </c>
      <c r="CH109" s="25">
        <f t="shared" ca="1" si="109"/>
        <v>-2.4068173460612159</v>
      </c>
      <c r="CI109" s="25">
        <f t="shared" ca="1" si="109"/>
        <v>-2.2153459019724386</v>
      </c>
      <c r="CJ109" s="25">
        <f t="shared" ca="1" si="109"/>
        <v>-2.0238744578836614</v>
      </c>
      <c r="CK109" s="25">
        <f t="shared" ca="1" si="109"/>
        <v>-1.8324030137948841</v>
      </c>
      <c r="CL109" s="25">
        <f t="shared" ca="1" si="109"/>
        <v>-1.6409315697061069</v>
      </c>
      <c r="CM109" s="25">
        <f t="shared" ca="1" si="109"/>
        <v>-1.4494601256173296</v>
      </c>
      <c r="CN109" s="25">
        <f ca="1">-TotalEmissions!K74</f>
        <v>-1.2579886815285519</v>
      </c>
    </row>
    <row r="110" spans="1:92" x14ac:dyDescent="0.2">
      <c r="A110" s="210" t="s">
        <v>273</v>
      </c>
      <c r="B110" s="25">
        <f ca="1">-TotalEmissions!B71</f>
        <v>4.0720318020291302E-2</v>
      </c>
      <c r="C110" s="25">
        <f t="shared" ca="1" si="101"/>
        <v>-0.34337402996580002</v>
      </c>
      <c r="D110" s="25">
        <f t="shared" ca="1" si="101"/>
        <v>-0.72746837795189134</v>
      </c>
      <c r="E110" s="25">
        <f t="shared" ca="1" si="101"/>
        <v>-1.1115627259379828</v>
      </c>
      <c r="F110" s="25">
        <f t="shared" ca="1" si="101"/>
        <v>-1.495657073924074</v>
      </c>
      <c r="G110" s="25">
        <f t="shared" ca="1" si="101"/>
        <v>-1.8797514219101652</v>
      </c>
      <c r="H110" s="25">
        <f t="shared" ca="1" si="101"/>
        <v>-2.2638457698962564</v>
      </c>
      <c r="I110" s="25">
        <f t="shared" ca="1" si="101"/>
        <v>-2.6479401178823476</v>
      </c>
      <c r="J110" s="25">
        <f t="shared" ca="1" si="101"/>
        <v>-3.0320344658684388</v>
      </c>
      <c r="K110" s="25">
        <f t="shared" ca="1" si="101"/>
        <v>-3.41612881385453</v>
      </c>
      <c r="L110" s="25">
        <f ca="1">-TotalEmissions!C71</f>
        <v>-3.8002231618406217</v>
      </c>
      <c r="M110" s="25">
        <f t="shared" ca="1" si="102"/>
        <v>-4.4089355087733226</v>
      </c>
      <c r="N110" s="25">
        <f t="shared" ca="1" si="102"/>
        <v>-5.0176478557060236</v>
      </c>
      <c r="O110" s="25">
        <f t="shared" ca="1" si="102"/>
        <v>-5.6263602026387245</v>
      </c>
      <c r="P110" s="25">
        <f t="shared" ca="1" si="102"/>
        <v>-6.2350725495714254</v>
      </c>
      <c r="Q110" s="25">
        <f t="shared" ca="1" si="102"/>
        <v>-6.8437848965041264</v>
      </c>
      <c r="R110" s="25">
        <f t="shared" ca="1" si="102"/>
        <v>-7.4524972434368273</v>
      </c>
      <c r="S110" s="25">
        <f t="shared" ca="1" si="102"/>
        <v>-8.0612095903695291</v>
      </c>
      <c r="T110" s="25">
        <f t="shared" ca="1" si="102"/>
        <v>-8.6699219373022309</v>
      </c>
      <c r="U110" s="25">
        <f t="shared" ca="1" si="102"/>
        <v>-9.2786342842349327</v>
      </c>
      <c r="V110" s="25">
        <f ca="1">-TotalEmissions!D71</f>
        <v>-9.8873466311676346</v>
      </c>
      <c r="W110" s="25">
        <f t="shared" ca="1" si="103"/>
        <v>-10.233329898006293</v>
      </c>
      <c r="X110" s="25">
        <f t="shared" ca="1" si="103"/>
        <v>-10.579313164844951</v>
      </c>
      <c r="Y110" s="25">
        <f t="shared" ca="1" si="103"/>
        <v>-10.925296431683609</v>
      </c>
      <c r="Z110" s="25">
        <f t="shared" ca="1" si="103"/>
        <v>-11.271279698522267</v>
      </c>
      <c r="AA110" s="25">
        <f t="shared" ca="1" si="103"/>
        <v>-11.617262965360926</v>
      </c>
      <c r="AB110" s="25">
        <f t="shared" ca="1" si="103"/>
        <v>-11.963246232199584</v>
      </c>
      <c r="AC110" s="25">
        <f t="shared" ca="1" si="103"/>
        <v>-12.309229499038242</v>
      </c>
      <c r="AD110" s="25">
        <f t="shared" ca="1" si="103"/>
        <v>-12.6552127658769</v>
      </c>
      <c r="AE110" s="25">
        <f t="shared" ca="1" si="103"/>
        <v>-13.001196032715558</v>
      </c>
      <c r="AF110" s="25">
        <f ca="1">-TotalEmissions!E71</f>
        <v>-13.347179299554213</v>
      </c>
      <c r="AG110" s="25">
        <f t="shared" ca="1" si="104"/>
        <v>-13.566786749307266</v>
      </c>
      <c r="AH110" s="25">
        <f t="shared" ca="1" si="104"/>
        <v>-13.786394199060318</v>
      </c>
      <c r="AI110" s="25">
        <f t="shared" ca="1" si="104"/>
        <v>-14.006001648813371</v>
      </c>
      <c r="AJ110" s="25">
        <f t="shared" ca="1" si="104"/>
        <v>-14.225609098566423</v>
      </c>
      <c r="AK110" s="25">
        <f t="shared" ca="1" si="104"/>
        <v>-14.445216548319475</v>
      </c>
      <c r="AL110" s="25">
        <f t="shared" ca="1" si="104"/>
        <v>-14.664823998072528</v>
      </c>
      <c r="AM110" s="25">
        <f t="shared" ca="1" si="104"/>
        <v>-14.88443144782558</v>
      </c>
      <c r="AN110" s="25">
        <f t="shared" ca="1" si="104"/>
        <v>-15.104038897578633</v>
      </c>
      <c r="AO110" s="25">
        <f t="shared" ca="1" si="104"/>
        <v>-15.323646347331685</v>
      </c>
      <c r="AP110" s="25">
        <f ca="1">-TotalEmissions!F71</f>
        <v>-15.543253797084741</v>
      </c>
      <c r="AQ110" s="25">
        <f t="shared" ca="1" si="105"/>
        <v>-15.637666357645495</v>
      </c>
      <c r="AR110" s="25">
        <f t="shared" ca="1" si="105"/>
        <v>-15.732078918206248</v>
      </c>
      <c r="AS110" s="25">
        <f t="shared" ca="1" si="105"/>
        <v>-15.826491478767002</v>
      </c>
      <c r="AT110" s="25">
        <f t="shared" ca="1" si="105"/>
        <v>-15.920904039327755</v>
      </c>
      <c r="AU110" s="25">
        <f t="shared" ca="1" si="105"/>
        <v>-16.015316599888507</v>
      </c>
      <c r="AV110" s="25">
        <f t="shared" ca="1" si="105"/>
        <v>-16.109729160449259</v>
      </c>
      <c r="AW110" s="25">
        <f t="shared" ca="1" si="105"/>
        <v>-16.204141721010011</v>
      </c>
      <c r="AX110" s="25">
        <f t="shared" ca="1" si="105"/>
        <v>-16.298554281570762</v>
      </c>
      <c r="AY110" s="25">
        <f t="shared" ca="1" si="105"/>
        <v>-16.392966842131514</v>
      </c>
      <c r="AZ110" s="25">
        <f ca="1">-TotalEmissions!G71</f>
        <v>-16.48737940269227</v>
      </c>
      <c r="BA110" s="25">
        <f t="shared" ca="1" si="106"/>
        <v>-16.603213465477104</v>
      </c>
      <c r="BB110" s="25">
        <f t="shared" ca="1" si="106"/>
        <v>-16.719047528261939</v>
      </c>
      <c r="BC110" s="25">
        <f t="shared" ca="1" si="106"/>
        <v>-16.834881591046774</v>
      </c>
      <c r="BD110" s="25">
        <f t="shared" ca="1" si="106"/>
        <v>-16.950715653831608</v>
      </c>
      <c r="BE110" s="25">
        <f t="shared" ca="1" si="106"/>
        <v>-17.066549716616443</v>
      </c>
      <c r="BF110" s="25">
        <f t="shared" ca="1" si="106"/>
        <v>-17.182383779401277</v>
      </c>
      <c r="BG110" s="25">
        <f t="shared" ca="1" si="106"/>
        <v>-17.298217842186112</v>
      </c>
      <c r="BH110" s="25">
        <f t="shared" ca="1" si="106"/>
        <v>-17.414051904970947</v>
      </c>
      <c r="BI110" s="25">
        <f t="shared" ca="1" si="106"/>
        <v>-17.529885967755781</v>
      </c>
      <c r="BJ110" s="25">
        <f ca="1">-TotalEmissions!H71</f>
        <v>-17.645720030540616</v>
      </c>
      <c r="BK110" s="25">
        <f t="shared" ca="1" si="107"/>
        <v>-17.769917636380839</v>
      </c>
      <c r="BL110" s="25">
        <f t="shared" ca="1" si="107"/>
        <v>-17.894115242221062</v>
      </c>
      <c r="BM110" s="25">
        <f t="shared" ca="1" si="107"/>
        <v>-18.018312848061285</v>
      </c>
      <c r="BN110" s="25">
        <f t="shared" ca="1" si="107"/>
        <v>-18.142510453901508</v>
      </c>
      <c r="BO110" s="25">
        <f t="shared" ca="1" si="107"/>
        <v>-18.266708059741731</v>
      </c>
      <c r="BP110" s="25">
        <f t="shared" ca="1" si="107"/>
        <v>-18.390905665581954</v>
      </c>
      <c r="BQ110" s="25">
        <f t="shared" ca="1" si="107"/>
        <v>-18.515103271422177</v>
      </c>
      <c r="BR110" s="25">
        <f t="shared" ca="1" si="107"/>
        <v>-18.6393008772624</v>
      </c>
      <c r="BS110" s="25">
        <f t="shared" ca="1" si="107"/>
        <v>-18.763498483102623</v>
      </c>
      <c r="BT110" s="25">
        <f ca="1">-TotalEmissions!I71</f>
        <v>-18.887696088942835</v>
      </c>
      <c r="BU110" s="25">
        <f t="shared" ca="1" si="108"/>
        <v>-18.991731035142443</v>
      </c>
      <c r="BV110" s="25">
        <f t="shared" ca="1" si="108"/>
        <v>-19.095765981342055</v>
      </c>
      <c r="BW110" s="25">
        <f t="shared" ca="1" si="108"/>
        <v>-19.199800927541666</v>
      </c>
      <c r="BX110" s="25">
        <f t="shared" ca="1" si="108"/>
        <v>-19.303835873741278</v>
      </c>
      <c r="BY110" s="25">
        <f t="shared" ca="1" si="108"/>
        <v>-19.407870819940889</v>
      </c>
      <c r="BZ110" s="25">
        <f t="shared" ca="1" si="108"/>
        <v>-19.511905766140501</v>
      </c>
      <c r="CA110" s="25">
        <f t="shared" ca="1" si="108"/>
        <v>-19.615940712340112</v>
      </c>
      <c r="CB110" s="25">
        <f t="shared" ca="1" si="108"/>
        <v>-19.719975658539724</v>
      </c>
      <c r="CC110" s="25">
        <f t="shared" ca="1" si="108"/>
        <v>-19.824010604739335</v>
      </c>
      <c r="CD110" s="25">
        <f ca="1">-TotalEmissions!J71</f>
        <v>-19.928045550938933</v>
      </c>
      <c r="CE110" s="25">
        <f t="shared" ca="1" si="109"/>
        <v>-20.057847554701674</v>
      </c>
      <c r="CF110" s="25">
        <f t="shared" ca="1" si="109"/>
        <v>-20.187649558464415</v>
      </c>
      <c r="CG110" s="25">
        <f t="shared" ca="1" si="109"/>
        <v>-20.317451562227156</v>
      </c>
      <c r="CH110" s="25">
        <f t="shared" ca="1" si="109"/>
        <v>-20.447253565989897</v>
      </c>
      <c r="CI110" s="25">
        <f t="shared" ca="1" si="109"/>
        <v>-20.577055569752638</v>
      </c>
      <c r="CJ110" s="25">
        <f t="shared" ca="1" si="109"/>
        <v>-20.706857573515379</v>
      </c>
      <c r="CK110" s="25">
        <f t="shared" ca="1" si="109"/>
        <v>-20.83665957727812</v>
      </c>
      <c r="CL110" s="25">
        <f t="shared" ca="1" si="109"/>
        <v>-20.966461581040861</v>
      </c>
      <c r="CM110" s="25">
        <f t="shared" ca="1" si="109"/>
        <v>-21.096263584803602</v>
      </c>
      <c r="CN110" s="25">
        <f ca="1">-TotalEmissions!K71</f>
        <v>-21.22606558856636</v>
      </c>
    </row>
    <row r="111" spans="1:92" x14ac:dyDescent="0.2">
      <c r="B111" s="25"/>
      <c r="C111" s="25"/>
      <c r="D111" s="25"/>
      <c r="E111" s="25"/>
      <c r="F111" s="25"/>
      <c r="G111" s="25"/>
      <c r="H111" s="25"/>
      <c r="I111" s="25"/>
      <c r="J111" s="25"/>
      <c r="K111" s="25"/>
      <c r="L111" s="25"/>
      <c r="M111" s="25"/>
      <c r="N111" s="25"/>
      <c r="O111" s="25"/>
      <c r="P111" s="25"/>
      <c r="Q111" s="25"/>
      <c r="R111" s="25"/>
      <c r="S111" s="25"/>
      <c r="T111" s="25"/>
      <c r="U111" s="25"/>
      <c r="V111" s="25"/>
      <c r="W111" s="25"/>
      <c r="X111" s="25"/>
      <c r="Y111" s="25"/>
      <c r="Z111" s="25"/>
      <c r="AA111" s="25"/>
      <c r="AB111" s="25"/>
      <c r="AC111" s="25"/>
      <c r="AD111" s="25"/>
      <c r="AE111" s="25"/>
      <c r="AF111" s="25"/>
      <c r="AG111" s="25"/>
      <c r="AH111" s="25"/>
      <c r="AI111" s="25"/>
      <c r="AJ111" s="25"/>
      <c r="AK111" s="25"/>
      <c r="AL111" s="25"/>
      <c r="AM111" s="25"/>
      <c r="AN111" s="25"/>
      <c r="AO111" s="25"/>
      <c r="AP111" s="25"/>
      <c r="AQ111" s="25"/>
      <c r="AR111" s="25"/>
      <c r="AS111" s="25"/>
      <c r="AT111" s="25"/>
      <c r="AU111" s="25"/>
      <c r="AV111" s="25"/>
      <c r="AW111" s="25"/>
      <c r="AX111" s="25"/>
      <c r="AY111" s="25"/>
      <c r="AZ111" s="25"/>
      <c r="BA111" s="25"/>
      <c r="BB111" s="25"/>
      <c r="BC111" s="25"/>
      <c r="BD111" s="25"/>
      <c r="BE111" s="25"/>
      <c r="BF111" s="25"/>
      <c r="BG111" s="25"/>
      <c r="BH111" s="25"/>
      <c r="BI111" s="25"/>
      <c r="BJ111" s="25"/>
      <c r="BK111" s="25"/>
      <c r="BL111" s="25"/>
      <c r="BM111" s="25"/>
      <c r="BN111" s="25"/>
      <c r="BO111" s="25"/>
      <c r="BP111" s="25"/>
      <c r="BQ111" s="25"/>
      <c r="BR111" s="25"/>
      <c r="BS111" s="25"/>
      <c r="BT111" s="25"/>
      <c r="BU111" s="25"/>
      <c r="BV111" s="25"/>
      <c r="BW111" s="25"/>
      <c r="BX111" s="25"/>
      <c r="BY111" s="25"/>
      <c r="BZ111" s="25"/>
      <c r="CA111" s="25"/>
      <c r="CB111" s="25"/>
      <c r="CC111" s="25"/>
      <c r="CD111" s="25"/>
      <c r="CE111" s="25"/>
      <c r="CF111" s="25"/>
      <c r="CG111" s="25"/>
      <c r="CH111" s="25"/>
      <c r="CI111" s="25"/>
      <c r="CJ111" s="25"/>
      <c r="CK111" s="25"/>
      <c r="CL111" s="25"/>
      <c r="CM111" s="25"/>
      <c r="CN111" s="25"/>
    </row>
    <row r="112" spans="1:92" x14ac:dyDescent="0.2">
      <c r="A112" s="25">
        <f ca="1">SUM(B112:K112)</f>
        <v>-32.068489749320662</v>
      </c>
      <c r="B112" s="25">
        <f ca="1">B124-B83</f>
        <v>0.10721556345621508</v>
      </c>
      <c r="C112" s="25">
        <f t="shared" ref="C112:L112" ca="1" si="110">C124-C83</f>
        <v>-0.62924322285229195</v>
      </c>
      <c r="D112" s="25">
        <f t="shared" ca="1" si="110"/>
        <v>-1.365702009160799</v>
      </c>
      <c r="E112" s="25">
        <f t="shared" ca="1" si="110"/>
        <v>-2.102160795469306</v>
      </c>
      <c r="F112" s="25">
        <f t="shared" ca="1" si="110"/>
        <v>-2.838619581777813</v>
      </c>
      <c r="G112" s="25">
        <f t="shared" ca="1" si="110"/>
        <v>-3.5750783680863201</v>
      </c>
      <c r="H112" s="25">
        <f t="shared" ca="1" si="110"/>
        <v>-4.3115371543948271</v>
      </c>
      <c r="I112" s="25">
        <f t="shared" ca="1" si="110"/>
        <v>-5.0479959407033341</v>
      </c>
      <c r="J112" s="25">
        <f t="shared" ca="1" si="110"/>
        <v>-5.7844547270118412</v>
      </c>
      <c r="K112" s="25">
        <f t="shared" ca="1" si="110"/>
        <v>-6.5209135133203446</v>
      </c>
      <c r="L112" s="25">
        <f t="shared" ca="1" si="110"/>
        <v>-7.2573722996288517</v>
      </c>
      <c r="M112" s="25"/>
      <c r="N112" s="25"/>
      <c r="O112" s="25"/>
      <c r="P112" s="25"/>
      <c r="Q112" s="25"/>
      <c r="R112" s="25"/>
      <c r="S112" s="25"/>
      <c r="T112" s="25"/>
      <c r="U112" s="25"/>
      <c r="W112" s="25"/>
      <c r="X112" s="25"/>
      <c r="Y112" s="25"/>
      <c r="Z112" s="25"/>
      <c r="AA112" s="25"/>
      <c r="AB112" s="25"/>
      <c r="AC112" s="25"/>
      <c r="AD112" s="25"/>
      <c r="AE112" s="25"/>
      <c r="AG112" s="25"/>
      <c r="AH112" s="25"/>
      <c r="AI112" s="25"/>
      <c r="AJ112" s="25"/>
      <c r="AK112" s="25"/>
      <c r="AL112" s="25"/>
      <c r="AM112" s="25"/>
      <c r="AN112" s="25"/>
      <c r="AO112" s="25"/>
      <c r="AQ112" s="25"/>
      <c r="AR112" s="25"/>
      <c r="AS112" s="25"/>
      <c r="AT112" s="25"/>
      <c r="AU112" s="25"/>
      <c r="AV112" s="25"/>
      <c r="AW112" s="25"/>
      <c r="AX112" s="25"/>
      <c r="AY112" s="25"/>
      <c r="BA112" s="25"/>
      <c r="BB112" s="25"/>
      <c r="BC112" s="25"/>
      <c r="BD112" s="25"/>
      <c r="BE112" s="25"/>
      <c r="BF112" s="25"/>
      <c r="BG112" s="25"/>
      <c r="BH112" s="25"/>
      <c r="BI112" s="25"/>
      <c r="BK112" s="25"/>
      <c r="BL112" s="25"/>
      <c r="BM112" s="25"/>
      <c r="BN112" s="25"/>
      <c r="BO112" s="25"/>
      <c r="BP112" s="25"/>
      <c r="BQ112" s="25"/>
      <c r="BR112" s="25"/>
      <c r="BS112" s="25"/>
      <c r="BU112" s="25"/>
      <c r="BV112" s="25"/>
      <c r="BW112" s="25"/>
      <c r="BX112" s="25"/>
      <c r="BY112" s="25"/>
      <c r="BZ112" s="25"/>
      <c r="CA112" s="25"/>
      <c r="CB112" s="25"/>
      <c r="CC112" s="25"/>
      <c r="CE112" s="25"/>
      <c r="CF112" s="25"/>
      <c r="CG112" s="25"/>
      <c r="CH112" s="25"/>
      <c r="CI112" s="25"/>
      <c r="CJ112" s="25"/>
      <c r="CK112" s="25"/>
      <c r="CL112" s="25"/>
      <c r="CM112" s="25"/>
    </row>
    <row r="113" spans="1:92" ht="18" customHeight="1" x14ac:dyDescent="0.2">
      <c r="A113" s="21" t="s">
        <v>375</v>
      </c>
      <c r="B113" s="238">
        <v>2010</v>
      </c>
      <c r="C113" s="238">
        <v>2011</v>
      </c>
      <c r="D113" s="238">
        <v>2012</v>
      </c>
      <c r="E113" s="238">
        <v>2013</v>
      </c>
      <c r="F113" s="238">
        <v>2014</v>
      </c>
      <c r="G113" s="238">
        <v>2015</v>
      </c>
      <c r="H113" s="238">
        <v>2016</v>
      </c>
      <c r="I113" s="238">
        <v>2017</v>
      </c>
      <c r="J113" s="238">
        <v>2018</v>
      </c>
      <c r="K113" s="238">
        <v>2019</v>
      </c>
      <c r="L113" s="238">
        <v>2020</v>
      </c>
      <c r="M113" s="238">
        <v>2021</v>
      </c>
      <c r="N113" s="238">
        <v>2022</v>
      </c>
      <c r="O113" s="238">
        <v>2023</v>
      </c>
      <c r="P113" s="238">
        <v>2024</v>
      </c>
      <c r="Q113" s="238">
        <v>2025</v>
      </c>
      <c r="R113" s="238">
        <v>2026</v>
      </c>
      <c r="S113" s="238">
        <v>2027</v>
      </c>
      <c r="T113" s="238">
        <v>2028</v>
      </c>
      <c r="U113" s="238">
        <v>2029</v>
      </c>
      <c r="V113" s="238">
        <v>2030</v>
      </c>
      <c r="W113" s="238">
        <v>2031</v>
      </c>
      <c r="X113" s="238">
        <v>2032</v>
      </c>
      <c r="Y113" s="238">
        <v>2033</v>
      </c>
      <c r="Z113" s="238">
        <v>2034</v>
      </c>
      <c r="AA113" s="238">
        <v>2035</v>
      </c>
      <c r="AB113" s="238">
        <v>2036</v>
      </c>
      <c r="AC113" s="238">
        <v>2037</v>
      </c>
      <c r="AD113" s="238">
        <v>2038</v>
      </c>
      <c r="AE113" s="238">
        <v>2039</v>
      </c>
      <c r="AF113" s="238">
        <v>2040</v>
      </c>
      <c r="AG113" s="238">
        <v>2041</v>
      </c>
      <c r="AH113" s="238">
        <v>2042</v>
      </c>
      <c r="AI113" s="238">
        <v>2043</v>
      </c>
      <c r="AJ113" s="238">
        <v>2044</v>
      </c>
      <c r="AK113" s="238">
        <v>2045</v>
      </c>
      <c r="AL113" s="238">
        <v>2046</v>
      </c>
      <c r="AM113" s="238">
        <v>2047</v>
      </c>
      <c r="AN113" s="238">
        <v>2048</v>
      </c>
      <c r="AO113" s="238">
        <v>2049</v>
      </c>
      <c r="AP113" s="238">
        <v>2050</v>
      </c>
      <c r="AQ113" s="238">
        <v>2051</v>
      </c>
      <c r="AR113" s="238">
        <v>2052</v>
      </c>
      <c r="AS113" s="238">
        <v>2053</v>
      </c>
      <c r="AT113" s="238">
        <v>2054</v>
      </c>
      <c r="AU113" s="238">
        <v>2055</v>
      </c>
      <c r="AV113" s="238">
        <v>2056</v>
      </c>
      <c r="AW113" s="238">
        <v>2057</v>
      </c>
      <c r="AX113" s="238">
        <v>2058</v>
      </c>
      <c r="AY113" s="238">
        <v>2059</v>
      </c>
      <c r="AZ113" s="238">
        <v>2060</v>
      </c>
      <c r="BA113" s="238">
        <v>2061</v>
      </c>
      <c r="BB113" s="238">
        <v>2062</v>
      </c>
      <c r="BC113" s="238">
        <v>2063</v>
      </c>
      <c r="BD113" s="238">
        <v>2064</v>
      </c>
      <c r="BE113" s="238">
        <v>2065</v>
      </c>
      <c r="BF113" s="238">
        <v>2066</v>
      </c>
      <c r="BG113" s="238">
        <v>2067</v>
      </c>
      <c r="BH113" s="238">
        <v>2068</v>
      </c>
      <c r="BI113" s="238">
        <v>2069</v>
      </c>
      <c r="BJ113" s="238">
        <v>2070</v>
      </c>
      <c r="BK113" s="238">
        <v>2071</v>
      </c>
      <c r="BL113" s="238">
        <v>2072</v>
      </c>
      <c r="BM113" s="238">
        <v>2073</v>
      </c>
      <c r="BN113" s="238">
        <v>2074</v>
      </c>
      <c r="BO113" s="238">
        <v>2075</v>
      </c>
      <c r="BP113" s="238">
        <v>2076</v>
      </c>
      <c r="BQ113" s="238">
        <v>2077</v>
      </c>
      <c r="BR113" s="238">
        <v>2078</v>
      </c>
      <c r="BS113" s="238">
        <v>2079</v>
      </c>
      <c r="BT113" s="238">
        <v>2080</v>
      </c>
      <c r="BU113" s="238">
        <v>2081</v>
      </c>
      <c r="BV113" s="238">
        <v>2082</v>
      </c>
      <c r="BW113" s="238">
        <v>2083</v>
      </c>
      <c r="BX113" s="238">
        <v>2084</v>
      </c>
      <c r="BY113" s="238">
        <v>2085</v>
      </c>
      <c r="BZ113" s="238">
        <v>2086</v>
      </c>
      <c r="CA113" s="238">
        <v>2087</v>
      </c>
      <c r="CB113" s="238">
        <v>2088</v>
      </c>
      <c r="CC113" s="238">
        <v>2089</v>
      </c>
      <c r="CD113" s="238">
        <v>2090</v>
      </c>
      <c r="CE113" s="238">
        <v>2091</v>
      </c>
      <c r="CF113" s="238">
        <v>2092</v>
      </c>
      <c r="CG113" s="238">
        <v>2093</v>
      </c>
      <c r="CH113" s="238">
        <v>2094</v>
      </c>
      <c r="CI113" s="238">
        <v>2095</v>
      </c>
      <c r="CJ113" s="238">
        <v>2096</v>
      </c>
      <c r="CK113" s="238">
        <v>2097</v>
      </c>
      <c r="CL113" s="238">
        <v>2098</v>
      </c>
      <c r="CM113" s="238">
        <v>2099</v>
      </c>
      <c r="CN113" s="238">
        <v>2100</v>
      </c>
    </row>
    <row r="114" spans="1:92" ht="18" customHeight="1" x14ac:dyDescent="0.2">
      <c r="A114" s="238" t="str">
        <f>ExpKayaRatiosInt!A2</f>
        <v>P</v>
      </c>
      <c r="B114" s="238">
        <f ca="1">ExpKayaRatiosRef!E2</f>
        <v>6.9217978520000001</v>
      </c>
      <c r="C114">
        <f t="shared" ref="C114:K118" ca="1" si="111">B114+($L114-$B114)/($L$75-$B$75)</f>
        <v>6.9967682620999998</v>
      </c>
      <c r="D114">
        <f t="shared" ca="1" si="111"/>
        <v>7.0717386721999995</v>
      </c>
      <c r="E114">
        <f t="shared" ca="1" si="111"/>
        <v>7.1467090822999992</v>
      </c>
      <c r="F114">
        <f t="shared" ca="1" si="111"/>
        <v>7.221679492399999</v>
      </c>
      <c r="G114">
        <f t="shared" ca="1" si="111"/>
        <v>7.2966499024999987</v>
      </c>
      <c r="H114">
        <f t="shared" ca="1" si="111"/>
        <v>7.3716203125999984</v>
      </c>
      <c r="I114">
        <f t="shared" ca="1" si="111"/>
        <v>7.4465907226999981</v>
      </c>
      <c r="J114">
        <f t="shared" ca="1" si="111"/>
        <v>7.5215611327999978</v>
      </c>
      <c r="K114">
        <f t="shared" ca="1" si="111"/>
        <v>7.5965315428999975</v>
      </c>
      <c r="L114" s="238">
        <f ca="1">ExpKayaRatiosRef!F2</f>
        <v>7.6715019529999999</v>
      </c>
      <c r="M114">
        <f t="shared" ref="M114:U118" ca="1" si="112">L114+($V114-$L114)/($V$75-$L$75)</f>
        <v>6.9043517576999998</v>
      </c>
      <c r="N114">
        <f t="shared" ca="1" si="112"/>
        <v>6.1372015623999996</v>
      </c>
      <c r="O114">
        <f t="shared" ca="1" si="112"/>
        <v>5.3700513670999994</v>
      </c>
      <c r="P114">
        <f t="shared" ca="1" si="112"/>
        <v>4.6029011717999992</v>
      </c>
      <c r="Q114">
        <f t="shared" ca="1" si="112"/>
        <v>3.8357509764999991</v>
      </c>
      <c r="R114">
        <f t="shared" ca="1" si="112"/>
        <v>3.0686007811999989</v>
      </c>
      <c r="S114">
        <f t="shared" ca="1" si="112"/>
        <v>2.3014505858999987</v>
      </c>
      <c r="T114">
        <f t="shared" ca="1" si="112"/>
        <v>1.5343003905999988</v>
      </c>
      <c r="U114">
        <f t="shared" ca="1" si="112"/>
        <v>0.76715019529999884</v>
      </c>
      <c r="V114" s="238">
        <f>ExpKayaRatiosRef!G36</f>
        <v>0</v>
      </c>
      <c r="X114" s="238"/>
      <c r="Y114" s="238"/>
      <c r="Z114" s="238"/>
      <c r="AA114" s="238"/>
      <c r="AB114" s="238"/>
      <c r="AC114" s="238"/>
      <c r="AD114" s="238"/>
      <c r="AE114" s="238"/>
      <c r="AF114" s="238">
        <f>ExpKayaRatiosRef!H36</f>
        <v>0</v>
      </c>
      <c r="AH114" s="238"/>
      <c r="AI114" s="238"/>
      <c r="AJ114" s="238"/>
      <c r="AK114" s="238"/>
      <c r="AL114" s="238"/>
      <c r="AM114" s="238"/>
      <c r="AN114" s="238"/>
      <c r="AO114" s="238"/>
      <c r="AP114" s="238">
        <f>ExpKayaRatiosRef!I36</f>
        <v>0</v>
      </c>
      <c r="AR114" s="238"/>
      <c r="AS114" s="238"/>
      <c r="AT114" s="238"/>
      <c r="AU114" s="238"/>
      <c r="AV114" s="238"/>
      <c r="AW114" s="238"/>
      <c r="AX114" s="238"/>
      <c r="AY114" s="238"/>
      <c r="AZ114" s="238">
        <f>ExpKayaRatiosRef!J36</f>
        <v>0</v>
      </c>
      <c r="BB114" s="238"/>
      <c r="BC114" s="238"/>
      <c r="BD114" s="238"/>
      <c r="BE114" s="238"/>
      <c r="BF114" s="238"/>
      <c r="BG114" s="238"/>
      <c r="BH114" s="238"/>
      <c r="BI114" s="238"/>
      <c r="BJ114" s="238">
        <f>ExpKayaRatiosRef!K36</f>
        <v>0</v>
      </c>
      <c r="BL114" s="238"/>
      <c r="BM114" s="238"/>
      <c r="BN114" s="238"/>
      <c r="BO114" s="238"/>
      <c r="BP114" s="238"/>
      <c r="BQ114" s="238"/>
      <c r="BR114" s="238"/>
      <c r="BS114" s="238"/>
      <c r="BT114" s="238">
        <f>ExpKayaRatiosRef!L36</f>
        <v>0</v>
      </c>
      <c r="BV114" s="238"/>
      <c r="BW114" s="238"/>
      <c r="BX114" s="238"/>
      <c r="BY114" s="238"/>
      <c r="BZ114" s="238"/>
      <c r="CA114" s="238"/>
      <c r="CB114" s="238"/>
      <c r="CC114" s="238"/>
      <c r="CD114" s="238">
        <f>ExpKayaRatiosRef!M36</f>
        <v>0</v>
      </c>
      <c r="CF114" s="238"/>
      <c r="CG114" s="238"/>
      <c r="CH114" s="238"/>
      <c r="CI114" s="238"/>
      <c r="CJ114" s="238"/>
      <c r="CK114" s="238"/>
      <c r="CL114" s="238"/>
      <c r="CM114" s="238"/>
      <c r="CN114" s="238">
        <f>ExpKayaRatiosRef!N36</f>
        <v>0</v>
      </c>
    </row>
    <row r="115" spans="1:92" ht="18" customHeight="1" x14ac:dyDescent="0.2">
      <c r="A115" s="238" t="str">
        <f>ExpKayaRatiosInt!A3</f>
        <v>GNP/P</v>
      </c>
      <c r="B115" s="238">
        <f ca="1">ExpKayaRatiosRef!E3</f>
        <v>10879.842592952973</v>
      </c>
      <c r="C115">
        <f t="shared" ca="1" si="111"/>
        <v>11248.710252417788</v>
      </c>
      <c r="D115">
        <f t="shared" ca="1" si="111"/>
        <v>11617.577911882603</v>
      </c>
      <c r="E115">
        <f t="shared" ca="1" si="111"/>
        <v>11986.445571347418</v>
      </c>
      <c r="F115">
        <f t="shared" ca="1" si="111"/>
        <v>12355.313230812233</v>
      </c>
      <c r="G115">
        <f t="shared" ca="1" si="111"/>
        <v>12724.180890277048</v>
      </c>
      <c r="H115">
        <f t="shared" ca="1" si="111"/>
        <v>13093.048549741863</v>
      </c>
      <c r="I115">
        <f t="shared" ca="1" si="111"/>
        <v>13461.916209206678</v>
      </c>
      <c r="J115">
        <f t="shared" ca="1" si="111"/>
        <v>13830.783868671493</v>
      </c>
      <c r="K115">
        <f t="shared" ca="1" si="111"/>
        <v>14199.651528136308</v>
      </c>
      <c r="L115" s="238">
        <f ca="1">ExpKayaRatiosRef!F3</f>
        <v>14568.519187601125</v>
      </c>
      <c r="M115">
        <f t="shared" ca="1" si="112"/>
        <v>13111.665677704768</v>
      </c>
      <c r="N115">
        <f t="shared" ca="1" si="112"/>
        <v>11654.812167808412</v>
      </c>
      <c r="O115">
        <f t="shared" ca="1" si="112"/>
        <v>10197.958657912055</v>
      </c>
      <c r="P115">
        <f t="shared" ca="1" si="112"/>
        <v>8741.1051480156984</v>
      </c>
      <c r="Q115">
        <f t="shared" ca="1" si="112"/>
        <v>7284.2516381193418</v>
      </c>
      <c r="R115">
        <f t="shared" ca="1" si="112"/>
        <v>5827.3981282229852</v>
      </c>
      <c r="S115">
        <f t="shared" ca="1" si="112"/>
        <v>4370.5446183266286</v>
      </c>
      <c r="T115">
        <f t="shared" ca="1" si="112"/>
        <v>2913.6911084302724</v>
      </c>
      <c r="U115">
        <f t="shared" ca="1" si="112"/>
        <v>1456.8375985339162</v>
      </c>
      <c r="V115" s="238">
        <f ca="1">ExpKayaRatiosRef!G37</f>
        <v>-1.5911362435476719E-2</v>
      </c>
      <c r="X115" s="238"/>
      <c r="Y115" s="238"/>
      <c r="Z115" s="238"/>
      <c r="AA115" s="238"/>
      <c r="AB115" s="238"/>
      <c r="AC115" s="238"/>
      <c r="AD115" s="238"/>
      <c r="AE115" s="238"/>
      <c r="AF115" s="238">
        <f ca="1">ExpKayaRatiosRef!H37</f>
        <v>-8.9783946942350642E-3</v>
      </c>
      <c r="AH115" s="238"/>
      <c r="AI115" s="238"/>
      <c r="AJ115" s="238"/>
      <c r="AK115" s="238"/>
      <c r="AL115" s="238"/>
      <c r="AM115" s="238"/>
      <c r="AN115" s="238"/>
      <c r="AO115" s="238"/>
      <c r="AP115" s="238">
        <f ca="1">ExpKayaRatiosRef!I37</f>
        <v>-6.1527684155266611E-3</v>
      </c>
      <c r="AR115" s="238"/>
      <c r="AS115" s="238"/>
      <c r="AT115" s="238"/>
      <c r="AU115" s="238"/>
      <c r="AV115" s="238"/>
      <c r="AW115" s="238"/>
      <c r="AX115" s="238"/>
      <c r="AY115" s="238"/>
      <c r="AZ115" s="238">
        <f ca="1">ExpKayaRatiosRef!J37</f>
        <v>-4.6032044000007648E-3</v>
      </c>
      <c r="BB115" s="238"/>
      <c r="BC115" s="238"/>
      <c r="BD115" s="238"/>
      <c r="BE115" s="238"/>
      <c r="BF115" s="238"/>
      <c r="BG115" s="238"/>
      <c r="BH115" s="238"/>
      <c r="BI115" s="238"/>
      <c r="BJ115" s="238">
        <f ca="1">ExpKayaRatiosRef!K37</f>
        <v>-4.47210727809076E-3</v>
      </c>
      <c r="BL115" s="238"/>
      <c r="BM115" s="238"/>
      <c r="BN115" s="238"/>
      <c r="BO115" s="238"/>
      <c r="BP115" s="238"/>
      <c r="BQ115" s="238"/>
      <c r="BR115" s="238"/>
      <c r="BS115" s="238"/>
      <c r="BT115" s="238">
        <f ca="1">ExpKayaRatiosRef!L37</f>
        <v>-3.8675189702364649E-3</v>
      </c>
      <c r="BV115" s="238"/>
      <c r="BW115" s="238"/>
      <c r="BX115" s="238"/>
      <c r="BY115" s="238"/>
      <c r="BZ115" s="238"/>
      <c r="CA115" s="238"/>
      <c r="CB115" s="238"/>
      <c r="CC115" s="238"/>
      <c r="CD115" s="238">
        <f ca="1">ExpKayaRatiosRef!M37</f>
        <v>-3.3261878154643466E-3</v>
      </c>
      <c r="CF115" s="238"/>
      <c r="CG115" s="238"/>
      <c r="CH115" s="238"/>
      <c r="CI115" s="238"/>
      <c r="CJ115" s="238"/>
      <c r="CK115" s="238"/>
      <c r="CL115" s="238"/>
      <c r="CM115" s="238"/>
      <c r="CN115" s="238">
        <f ca="1">ExpKayaRatiosRef!N37</f>
        <v>-2.8463482862456195E-3</v>
      </c>
    </row>
    <row r="116" spans="1:92" ht="18" customHeight="1" x14ac:dyDescent="0.2">
      <c r="A116" s="238" t="str">
        <f>ExpKayaRatiosInt!A4</f>
        <v>FE/GNP</v>
      </c>
      <c r="B116" s="238">
        <f ca="1">ExpKayaRatiosRef!E4</f>
        <v>4.8881986641254178</v>
      </c>
      <c r="C116">
        <f t="shared" ca="1" si="111"/>
        <v>4.7778878649205225</v>
      </c>
      <c r="D116">
        <f t="shared" ca="1" si="111"/>
        <v>4.6675770657156272</v>
      </c>
      <c r="E116">
        <f t="shared" ca="1" si="111"/>
        <v>4.557266266510732</v>
      </c>
      <c r="F116">
        <f t="shared" ca="1" si="111"/>
        <v>4.4469554673058367</v>
      </c>
      <c r="G116">
        <f t="shared" ca="1" si="111"/>
        <v>4.3366446681009414</v>
      </c>
      <c r="H116">
        <f t="shared" ca="1" si="111"/>
        <v>4.2263338688960461</v>
      </c>
      <c r="I116">
        <f t="shared" ca="1" si="111"/>
        <v>4.1160230696911508</v>
      </c>
      <c r="J116">
        <f t="shared" ca="1" si="111"/>
        <v>4.0057122704862556</v>
      </c>
      <c r="K116">
        <f t="shared" ca="1" si="111"/>
        <v>3.8954014712813598</v>
      </c>
      <c r="L116" s="238">
        <f ca="1">ExpKayaRatiosRef!F4</f>
        <v>3.785090672076461</v>
      </c>
      <c r="M116">
        <f t="shared" ca="1" si="112"/>
        <v>3.4065110070635454</v>
      </c>
      <c r="N116">
        <f t="shared" ca="1" si="112"/>
        <v>3.0279313420506297</v>
      </c>
      <c r="O116">
        <f t="shared" ca="1" si="112"/>
        <v>2.6493516770377141</v>
      </c>
      <c r="P116">
        <f t="shared" ca="1" si="112"/>
        <v>2.2707720120247985</v>
      </c>
      <c r="Q116">
        <f t="shared" ca="1" si="112"/>
        <v>1.8921923470118829</v>
      </c>
      <c r="R116">
        <f t="shared" ca="1" si="112"/>
        <v>1.5136126819989673</v>
      </c>
      <c r="S116">
        <f t="shared" ca="1" si="112"/>
        <v>1.1350330169860516</v>
      </c>
      <c r="T116">
        <f t="shared" ca="1" si="112"/>
        <v>0.7564533519731359</v>
      </c>
      <c r="U116">
        <f t="shared" ca="1" si="112"/>
        <v>0.37787368696022017</v>
      </c>
      <c r="V116" s="238">
        <f ca="1">ExpKayaRatiosRef!G38</f>
        <v>-7.0597805269659525E-4</v>
      </c>
      <c r="X116" s="238"/>
      <c r="Y116" s="238"/>
      <c r="Z116" s="238"/>
      <c r="AA116" s="238"/>
      <c r="AB116" s="238"/>
      <c r="AC116" s="238"/>
      <c r="AD116" s="238"/>
      <c r="AE116" s="238"/>
      <c r="AF116" s="238">
        <f ca="1">ExpKayaRatiosRef!H38</f>
        <v>-2.9578367543422377E-3</v>
      </c>
      <c r="AH116" s="238"/>
      <c r="AI116" s="238"/>
      <c r="AJ116" s="238"/>
      <c r="AK116" s="238"/>
      <c r="AL116" s="238"/>
      <c r="AM116" s="238"/>
      <c r="AN116" s="238"/>
      <c r="AO116" s="238"/>
      <c r="AP116" s="238">
        <f ca="1">ExpKayaRatiosRef!I38</f>
        <v>-1.032965633481511E-3</v>
      </c>
      <c r="AR116" s="238"/>
      <c r="AS116" s="238"/>
      <c r="AT116" s="238"/>
      <c r="AU116" s="238"/>
      <c r="AV116" s="238"/>
      <c r="AW116" s="238"/>
      <c r="AX116" s="238"/>
      <c r="AY116" s="238"/>
      <c r="AZ116" s="238">
        <f ca="1">ExpKayaRatiosRef!J38</f>
        <v>8.1960400776304166E-4</v>
      </c>
      <c r="BB116" s="238"/>
      <c r="BC116" s="238"/>
      <c r="BD116" s="238"/>
      <c r="BE116" s="238"/>
      <c r="BF116" s="238"/>
      <c r="BG116" s="238"/>
      <c r="BH116" s="238"/>
      <c r="BI116" s="238"/>
      <c r="BJ116" s="238">
        <f ca="1">ExpKayaRatiosRef!K38</f>
        <v>-1.372691711801307E-4</v>
      </c>
      <c r="BL116" s="238"/>
      <c r="BM116" s="238"/>
      <c r="BN116" s="238"/>
      <c r="BO116" s="238"/>
      <c r="BP116" s="238"/>
      <c r="BQ116" s="238"/>
      <c r="BR116" s="238"/>
      <c r="BS116" s="238"/>
      <c r="BT116" s="238">
        <f ca="1">ExpKayaRatiosRef!L38</f>
        <v>-7.1492121305671776E-4</v>
      </c>
      <c r="BV116" s="238"/>
      <c r="BW116" s="238"/>
      <c r="BX116" s="238"/>
      <c r="BY116" s="238"/>
      <c r="BZ116" s="238"/>
      <c r="CA116" s="238"/>
      <c r="CB116" s="238"/>
      <c r="CC116" s="238"/>
      <c r="CD116" s="238">
        <f ca="1">ExpKayaRatiosRef!M38</f>
        <v>9.3771600018909961E-4</v>
      </c>
      <c r="CF116" s="238"/>
      <c r="CG116" s="238"/>
      <c r="CH116" s="238"/>
      <c r="CI116" s="238"/>
      <c r="CJ116" s="238"/>
      <c r="CK116" s="238"/>
      <c r="CL116" s="238"/>
      <c r="CM116" s="238"/>
      <c r="CN116" s="238">
        <f ca="1">ExpKayaRatiosRef!N38</f>
        <v>1.9360781322397872E-3</v>
      </c>
    </row>
    <row r="117" spans="1:92" ht="18" customHeight="1" x14ac:dyDescent="0.2">
      <c r="A117" s="238" t="str">
        <f>ExpKayaRatiosInt!A5</f>
        <v>PEDEq/FE</v>
      </c>
      <c r="B117" s="238">
        <f ca="1">ExpKayaRatiosRef!E5</f>
        <v>1.375178461283006</v>
      </c>
      <c r="C117">
        <f t="shared" ca="1" si="111"/>
        <v>1.3781374227945165</v>
      </c>
      <c r="D117">
        <f t="shared" ca="1" si="111"/>
        <v>1.3810963843060269</v>
      </c>
      <c r="E117">
        <f t="shared" ca="1" si="111"/>
        <v>1.3840553458175373</v>
      </c>
      <c r="F117">
        <f t="shared" ca="1" si="111"/>
        <v>1.3870143073290477</v>
      </c>
      <c r="G117">
        <f t="shared" ca="1" si="111"/>
        <v>1.3899732688405582</v>
      </c>
      <c r="H117">
        <f t="shared" ca="1" si="111"/>
        <v>1.3929322303520686</v>
      </c>
      <c r="I117">
        <f t="shared" ca="1" si="111"/>
        <v>1.395891191863579</v>
      </c>
      <c r="J117">
        <f t="shared" ca="1" si="111"/>
        <v>1.3988501533750894</v>
      </c>
      <c r="K117">
        <f t="shared" ca="1" si="111"/>
        <v>1.4018091148865999</v>
      </c>
      <c r="L117" s="238">
        <f ca="1">ExpKayaRatiosRef!F5</f>
        <v>1.4047680763981099</v>
      </c>
      <c r="M117">
        <f t="shared" ca="1" si="112"/>
        <v>1.2642912687582988</v>
      </c>
      <c r="N117">
        <f t="shared" ca="1" si="112"/>
        <v>1.1238144611184877</v>
      </c>
      <c r="O117">
        <f t="shared" ca="1" si="112"/>
        <v>0.98333765347867674</v>
      </c>
      <c r="P117">
        <f t="shared" ca="1" si="112"/>
        <v>0.84286084583886578</v>
      </c>
      <c r="Q117">
        <f t="shared" ca="1" si="112"/>
        <v>0.70238403819905482</v>
      </c>
      <c r="R117">
        <f t="shared" ca="1" si="112"/>
        <v>0.56190723055924385</v>
      </c>
      <c r="S117">
        <f t="shared" ca="1" si="112"/>
        <v>0.42143042291943289</v>
      </c>
      <c r="T117">
        <f t="shared" ca="1" si="112"/>
        <v>0.28095361527962193</v>
      </c>
      <c r="U117">
        <f t="shared" ca="1" si="112"/>
        <v>0.14047680763981094</v>
      </c>
      <c r="V117" s="238">
        <f>ExpKayaRatiosRef!G39</f>
        <v>0</v>
      </c>
      <c r="X117" s="238"/>
      <c r="Y117" s="238"/>
      <c r="Z117" s="238"/>
      <c r="AA117" s="238"/>
      <c r="AB117" s="238"/>
      <c r="AC117" s="238"/>
      <c r="AD117" s="238"/>
      <c r="AE117" s="238"/>
      <c r="AF117" s="238">
        <f>ExpKayaRatiosRef!H39</f>
        <v>0</v>
      </c>
      <c r="AH117" s="238"/>
      <c r="AI117" s="238"/>
      <c r="AJ117" s="238"/>
      <c r="AK117" s="238"/>
      <c r="AL117" s="238"/>
      <c r="AM117" s="238"/>
      <c r="AN117" s="238"/>
      <c r="AO117" s="238"/>
      <c r="AP117" s="238">
        <f>ExpKayaRatiosRef!I39</f>
        <v>0</v>
      </c>
      <c r="AR117" s="238"/>
      <c r="AS117" s="238"/>
      <c r="AT117" s="238"/>
      <c r="AU117" s="238"/>
      <c r="AV117" s="238"/>
      <c r="AW117" s="238"/>
      <c r="AX117" s="238"/>
      <c r="AY117" s="238"/>
      <c r="AZ117" s="238">
        <f>ExpKayaRatiosRef!J39</f>
        <v>0</v>
      </c>
      <c r="BB117" s="238"/>
      <c r="BC117" s="238"/>
      <c r="BD117" s="238"/>
      <c r="BE117" s="238"/>
      <c r="BF117" s="238"/>
      <c r="BG117" s="238"/>
      <c r="BH117" s="238"/>
      <c r="BI117" s="238"/>
      <c r="BJ117" s="238">
        <f>ExpKayaRatiosRef!K39</f>
        <v>0</v>
      </c>
      <c r="BL117" s="238"/>
      <c r="BM117" s="238"/>
      <c r="BN117" s="238"/>
      <c r="BO117" s="238"/>
      <c r="BP117" s="238"/>
      <c r="BQ117" s="238"/>
      <c r="BR117" s="238"/>
      <c r="BS117" s="238"/>
      <c r="BT117" s="238">
        <f>ExpKayaRatiosRef!L39</f>
        <v>0</v>
      </c>
      <c r="BV117" s="238"/>
      <c r="BW117" s="238"/>
      <c r="BX117" s="238"/>
      <c r="BY117" s="238"/>
      <c r="BZ117" s="238"/>
      <c r="CA117" s="238"/>
      <c r="CB117" s="238"/>
      <c r="CC117" s="238"/>
      <c r="CD117" s="238">
        <f>ExpKayaRatiosRef!M39</f>
        <v>0</v>
      </c>
      <c r="CF117" s="238"/>
      <c r="CG117" s="238"/>
      <c r="CH117" s="238"/>
      <c r="CI117" s="238"/>
      <c r="CJ117" s="238"/>
      <c r="CK117" s="238"/>
      <c r="CL117" s="238"/>
      <c r="CM117" s="238"/>
      <c r="CN117" s="238">
        <f>ExpKayaRatiosRef!N39</f>
        <v>0</v>
      </c>
    </row>
    <row r="118" spans="1:92" ht="18" customHeight="1" x14ac:dyDescent="0.2">
      <c r="A118" s="238" t="str">
        <f>ExpKayaRatiosInt!A6</f>
        <v>PEFF/PEDEq</v>
      </c>
      <c r="B118" s="238">
        <f ca="1">ExpKayaRatiosRef!E6</f>
        <v>0.85060341362881065</v>
      </c>
      <c r="C118">
        <f t="shared" ca="1" si="111"/>
        <v>0.84987725768235856</v>
      </c>
      <c r="D118">
        <f t="shared" ca="1" si="111"/>
        <v>0.84915110173590647</v>
      </c>
      <c r="E118">
        <f t="shared" ca="1" si="111"/>
        <v>0.84842494578945438</v>
      </c>
      <c r="F118">
        <f t="shared" ca="1" si="111"/>
        <v>0.84769878984300229</v>
      </c>
      <c r="G118">
        <f t="shared" ca="1" si="111"/>
        <v>0.8469726338965502</v>
      </c>
      <c r="H118">
        <f t="shared" ca="1" si="111"/>
        <v>0.84624647795009811</v>
      </c>
      <c r="I118">
        <f t="shared" ca="1" si="111"/>
        <v>0.84552032200364602</v>
      </c>
      <c r="J118">
        <f t="shared" ca="1" si="111"/>
        <v>0.84479416605719393</v>
      </c>
      <c r="K118">
        <f t="shared" ca="1" si="111"/>
        <v>0.84406801011074184</v>
      </c>
      <c r="L118" s="238">
        <f ca="1">ExpKayaRatiosRef!F6</f>
        <v>0.84334185416428931</v>
      </c>
      <c r="M118">
        <f t="shared" ca="1" si="112"/>
        <v>0.75900766874786041</v>
      </c>
      <c r="N118">
        <f t="shared" ca="1" si="112"/>
        <v>0.67467348333143151</v>
      </c>
      <c r="O118">
        <f t="shared" ca="1" si="112"/>
        <v>0.59033929791500261</v>
      </c>
      <c r="P118">
        <f t="shared" ca="1" si="112"/>
        <v>0.50600511249857372</v>
      </c>
      <c r="Q118">
        <f t="shared" ca="1" si="112"/>
        <v>0.42167092708214482</v>
      </c>
      <c r="R118">
        <f t="shared" ca="1" si="112"/>
        <v>0.33733674166571592</v>
      </c>
      <c r="S118">
        <f t="shared" ca="1" si="112"/>
        <v>0.25300255624928703</v>
      </c>
      <c r="T118">
        <f t="shared" ca="1" si="112"/>
        <v>0.1686683708328581</v>
      </c>
      <c r="U118">
        <f t="shared" ca="1" si="112"/>
        <v>8.4334185416429175E-2</v>
      </c>
      <c r="V118" s="238">
        <f>ExpKayaRatiosRef!G40</f>
        <v>0</v>
      </c>
      <c r="X118" s="238"/>
      <c r="Y118" s="238"/>
      <c r="Z118" s="238"/>
      <c r="AA118" s="238"/>
      <c r="AB118" s="238"/>
      <c r="AC118" s="238"/>
      <c r="AD118" s="238"/>
      <c r="AE118" s="238"/>
      <c r="AF118" s="238">
        <f>ExpKayaRatiosRef!H40</f>
        <v>0</v>
      </c>
      <c r="AH118" s="238"/>
      <c r="AI118" s="238"/>
      <c r="AJ118" s="238"/>
      <c r="AK118" s="238"/>
      <c r="AL118" s="238"/>
      <c r="AM118" s="238"/>
      <c r="AN118" s="238"/>
      <c r="AO118" s="238"/>
      <c r="AP118" s="238">
        <f>ExpKayaRatiosRef!I40</f>
        <v>0</v>
      </c>
      <c r="AR118" s="238"/>
      <c r="AS118" s="238"/>
      <c r="AT118" s="238"/>
      <c r="AU118" s="238"/>
      <c r="AV118" s="238"/>
      <c r="AW118" s="238"/>
      <c r="AX118" s="238"/>
      <c r="AY118" s="238"/>
      <c r="AZ118" s="238">
        <f>ExpKayaRatiosRef!J40</f>
        <v>0</v>
      </c>
      <c r="BB118" s="238"/>
      <c r="BC118" s="238"/>
      <c r="BD118" s="238"/>
      <c r="BE118" s="238"/>
      <c r="BF118" s="238"/>
      <c r="BG118" s="238"/>
      <c r="BH118" s="238"/>
      <c r="BI118" s="238"/>
      <c r="BJ118" s="238">
        <f>ExpKayaRatiosRef!K40</f>
        <v>0</v>
      </c>
      <c r="BL118" s="238"/>
      <c r="BM118" s="238"/>
      <c r="BN118" s="238"/>
      <c r="BO118" s="238"/>
      <c r="BP118" s="238"/>
      <c r="BQ118" s="238"/>
      <c r="BR118" s="238"/>
      <c r="BS118" s="238"/>
      <c r="BT118" s="238">
        <f>ExpKayaRatiosRef!L40</f>
        <v>0</v>
      </c>
      <c r="BV118" s="238"/>
      <c r="BW118" s="238"/>
      <c r="BX118" s="238"/>
      <c r="BY118" s="238"/>
      <c r="BZ118" s="238"/>
      <c r="CA118" s="238"/>
      <c r="CB118" s="238"/>
      <c r="CC118" s="238"/>
      <c r="CD118" s="238">
        <f>ExpKayaRatiosRef!M40</f>
        <v>0</v>
      </c>
      <c r="CF118" s="238"/>
      <c r="CG118" s="238"/>
      <c r="CH118" s="238"/>
      <c r="CI118" s="238"/>
      <c r="CJ118" s="238"/>
      <c r="CK118" s="238"/>
      <c r="CL118" s="238"/>
      <c r="CM118" s="238"/>
      <c r="CN118" s="238">
        <f>ExpKayaRatiosRef!N40</f>
        <v>0</v>
      </c>
    </row>
    <row r="119" spans="1:92" ht="18" customHeight="1" x14ac:dyDescent="0.2">
      <c r="A119" s="238"/>
      <c r="B119" s="238"/>
      <c r="C119" s="25"/>
      <c r="D119" s="25"/>
      <c r="E119" s="25"/>
      <c r="F119" s="25"/>
      <c r="G119" s="25"/>
      <c r="H119" s="25"/>
      <c r="I119" s="25"/>
      <c r="J119" s="25"/>
      <c r="K119" s="25"/>
      <c r="L119" s="238"/>
      <c r="M119" s="25"/>
      <c r="N119" s="25"/>
      <c r="O119" s="25"/>
      <c r="P119" s="25"/>
      <c r="Q119" s="25"/>
      <c r="R119" s="25"/>
      <c r="S119" s="25"/>
      <c r="T119" s="25"/>
      <c r="U119" s="25"/>
      <c r="V119" s="238"/>
      <c r="W119" s="25"/>
      <c r="X119" s="25"/>
      <c r="Y119" s="25"/>
      <c r="Z119" s="25"/>
      <c r="AA119" s="25"/>
      <c r="AB119" s="25"/>
      <c r="AC119" s="25"/>
      <c r="AD119" s="25"/>
      <c r="AE119" s="25"/>
      <c r="AF119" s="238"/>
      <c r="AG119" s="25"/>
      <c r="AH119" s="25"/>
      <c r="AI119" s="25"/>
      <c r="AJ119" s="25"/>
      <c r="AK119" s="25"/>
      <c r="AL119" s="25"/>
      <c r="AM119" s="25"/>
      <c r="AN119" s="25"/>
      <c r="AO119" s="25"/>
      <c r="AP119" s="238"/>
      <c r="AQ119" s="25"/>
      <c r="AR119" s="25"/>
      <c r="AS119" s="25"/>
      <c r="AT119" s="25"/>
      <c r="AU119" s="25"/>
      <c r="AV119" s="25"/>
      <c r="AW119" s="25"/>
      <c r="AX119" s="25"/>
      <c r="AY119" s="25"/>
      <c r="AZ119" s="238"/>
      <c r="BA119" s="25"/>
      <c r="BB119" s="25"/>
      <c r="BC119" s="25"/>
      <c r="BD119" s="25"/>
      <c r="BE119" s="25"/>
      <c r="BF119" s="25"/>
      <c r="BG119" s="25"/>
      <c r="BH119" s="25"/>
      <c r="BI119" s="25"/>
      <c r="BJ119" s="238"/>
      <c r="BK119" s="25"/>
      <c r="BL119" s="25"/>
      <c r="BM119" s="25"/>
      <c r="BN119" s="25"/>
      <c r="BO119" s="25"/>
      <c r="BP119" s="25"/>
      <c r="BQ119" s="25"/>
      <c r="BR119" s="25"/>
      <c r="BS119" s="25"/>
      <c r="BT119" s="238"/>
      <c r="BU119" s="25"/>
      <c r="BV119" s="25"/>
      <c r="BW119" s="25"/>
      <c r="BX119" s="25"/>
      <c r="BY119" s="25"/>
      <c r="BZ119" s="25"/>
      <c r="CA119" s="25"/>
      <c r="CB119" s="25"/>
      <c r="CC119" s="25"/>
      <c r="CD119" s="238"/>
      <c r="CE119" s="25"/>
      <c r="CF119" s="25"/>
      <c r="CG119" s="25"/>
      <c r="CH119" s="25"/>
      <c r="CI119" s="25"/>
      <c r="CJ119" s="25"/>
      <c r="CK119" s="25"/>
      <c r="CL119" s="25"/>
      <c r="CM119" s="25"/>
      <c r="CN119" s="238"/>
    </row>
    <row r="120" spans="1:92" ht="18" customHeight="1" x14ac:dyDescent="0.2">
      <c r="A120" s="21"/>
      <c r="B120" s="238"/>
      <c r="C120" s="25"/>
      <c r="D120" s="25"/>
      <c r="E120" s="25"/>
      <c r="F120" s="25"/>
      <c r="G120" s="25"/>
      <c r="H120" s="25"/>
      <c r="I120" s="25"/>
      <c r="J120" s="25"/>
      <c r="K120" s="25"/>
      <c r="L120" s="238"/>
      <c r="M120" s="25"/>
      <c r="N120" s="25"/>
      <c r="O120" s="25"/>
      <c r="P120" s="25"/>
      <c r="Q120" s="25"/>
      <c r="R120" s="25"/>
      <c r="S120" s="25"/>
      <c r="T120" s="25"/>
      <c r="U120" s="25"/>
      <c r="V120" s="238"/>
      <c r="W120" s="25"/>
      <c r="X120" s="25"/>
      <c r="Y120" s="25"/>
      <c r="Z120" s="25"/>
      <c r="AA120" s="25"/>
      <c r="AB120" s="25"/>
      <c r="AC120" s="25"/>
      <c r="AD120" s="25"/>
      <c r="AE120" s="25"/>
      <c r="AF120" s="238"/>
      <c r="AG120" s="25"/>
      <c r="AH120" s="25"/>
      <c r="AI120" s="25"/>
      <c r="AJ120" s="25"/>
      <c r="AK120" s="25"/>
      <c r="AL120" s="25"/>
      <c r="AM120" s="25"/>
      <c r="AN120" s="25"/>
      <c r="AO120" s="25"/>
      <c r="AP120" s="238"/>
      <c r="AQ120" s="25"/>
      <c r="AR120" s="25"/>
      <c r="AS120" s="25"/>
      <c r="AT120" s="25"/>
      <c r="AU120" s="25"/>
      <c r="AV120" s="25"/>
      <c r="AW120" s="25"/>
      <c r="AX120" s="25"/>
      <c r="AY120" s="25"/>
      <c r="AZ120" s="238"/>
      <c r="BA120" s="25"/>
      <c r="BB120" s="25"/>
      <c r="BC120" s="25"/>
      <c r="BD120" s="25"/>
      <c r="BE120" s="25"/>
      <c r="BF120" s="25"/>
      <c r="BG120" s="25"/>
      <c r="BH120" s="25"/>
      <c r="BI120" s="25"/>
      <c r="BJ120" s="238"/>
      <c r="BK120" s="25"/>
      <c r="BL120" s="25"/>
      <c r="BM120" s="25"/>
      <c r="BN120" s="25"/>
      <c r="BO120" s="25"/>
      <c r="BP120" s="25"/>
      <c r="BQ120" s="25"/>
      <c r="BR120" s="25"/>
      <c r="BS120" s="25"/>
      <c r="BT120" s="238"/>
      <c r="BU120" s="25"/>
      <c r="BV120" s="25"/>
      <c r="BW120" s="25"/>
      <c r="BX120" s="25"/>
      <c r="BY120" s="25"/>
      <c r="BZ120" s="25"/>
      <c r="CA120" s="25"/>
      <c r="CB120" s="25"/>
      <c r="CC120" s="25"/>
      <c r="CD120" s="238"/>
      <c r="CE120" s="25"/>
      <c r="CF120" s="25"/>
      <c r="CG120" s="25"/>
      <c r="CH120" s="25"/>
      <c r="CI120" s="25"/>
      <c r="CJ120" s="25"/>
      <c r="CK120" s="25"/>
      <c r="CL120" s="25"/>
      <c r="CM120" s="25"/>
      <c r="CN120" s="238"/>
    </row>
    <row r="121" spans="1:92" ht="18" customHeight="1" x14ac:dyDescent="0.2">
      <c r="A121" s="21"/>
      <c r="B121" s="238"/>
      <c r="C121" s="25"/>
      <c r="D121" s="25"/>
      <c r="E121" s="25"/>
      <c r="F121" s="25"/>
      <c r="G121" s="25"/>
      <c r="H121" s="25"/>
      <c r="I121" s="25"/>
      <c r="J121" s="25"/>
      <c r="K121" s="25"/>
      <c r="L121" s="238"/>
      <c r="M121" s="25"/>
      <c r="N121" s="25"/>
      <c r="O121" s="25"/>
      <c r="P121" s="25"/>
      <c r="Q121" s="25"/>
      <c r="R121" s="25"/>
      <c r="S121" s="25"/>
      <c r="T121" s="25"/>
      <c r="U121" s="25"/>
      <c r="V121" s="238"/>
      <c r="W121" s="25"/>
      <c r="X121" s="25"/>
      <c r="Y121" s="25"/>
      <c r="Z121" s="25"/>
      <c r="AA121" s="25"/>
      <c r="AB121" s="25"/>
      <c r="AC121" s="25"/>
      <c r="AD121" s="25"/>
      <c r="AE121" s="25"/>
      <c r="AF121" s="238"/>
      <c r="AG121" s="25"/>
      <c r="AH121" s="25"/>
      <c r="AI121" s="25"/>
      <c r="AJ121" s="25"/>
      <c r="AK121" s="25"/>
      <c r="AL121" s="25"/>
      <c r="AM121" s="25"/>
      <c r="AN121" s="25"/>
      <c r="AO121" s="25"/>
      <c r="AP121" s="238"/>
      <c r="AQ121" s="25"/>
      <c r="AR121" s="25"/>
      <c r="AS121" s="25"/>
      <c r="AT121" s="25"/>
      <c r="AU121" s="25"/>
      <c r="AV121" s="25"/>
      <c r="AW121" s="25"/>
      <c r="AX121" s="25"/>
      <c r="AY121" s="25"/>
      <c r="AZ121" s="238"/>
      <c r="BA121" s="25"/>
      <c r="BB121" s="25"/>
      <c r="BC121" s="25"/>
      <c r="BD121" s="25"/>
      <c r="BE121" s="25"/>
      <c r="BF121" s="25"/>
      <c r="BG121" s="25"/>
      <c r="BH121" s="25"/>
      <c r="BI121" s="25"/>
      <c r="BJ121" s="238"/>
      <c r="BK121" s="25"/>
      <c r="BL121" s="25"/>
      <c r="BM121" s="25"/>
      <c r="BN121" s="25"/>
      <c r="BO121" s="25"/>
      <c r="BP121" s="25"/>
      <c r="BQ121" s="25"/>
      <c r="BR121" s="25"/>
      <c r="BS121" s="25"/>
      <c r="BT121" s="238"/>
      <c r="BU121" s="25"/>
      <c r="BV121" s="25"/>
      <c r="BW121" s="25"/>
      <c r="BX121" s="25"/>
      <c r="BY121" s="25"/>
      <c r="BZ121" s="25"/>
      <c r="CA121" s="25"/>
      <c r="CB121" s="25"/>
      <c r="CC121" s="25"/>
      <c r="CD121" s="238"/>
      <c r="CE121" s="25"/>
      <c r="CF121" s="25"/>
      <c r="CG121" s="25"/>
      <c r="CH121" s="25"/>
      <c r="CI121" s="25"/>
      <c r="CJ121" s="25"/>
      <c r="CK121" s="25"/>
      <c r="CL121" s="25"/>
      <c r="CM121" s="25"/>
      <c r="CN121" s="238"/>
    </row>
    <row r="122" spans="1:92" ht="18" customHeight="1" x14ac:dyDescent="0.2">
      <c r="A122" s="21"/>
      <c r="B122" s="238"/>
      <c r="C122" s="25"/>
      <c r="D122" s="25"/>
      <c r="E122" s="25"/>
      <c r="F122" s="25"/>
      <c r="G122" s="25"/>
      <c r="H122" s="25"/>
      <c r="I122" s="25"/>
      <c r="J122" s="25"/>
      <c r="K122" s="25"/>
      <c r="L122" s="238"/>
      <c r="M122" s="25"/>
      <c r="N122" s="25"/>
      <c r="O122" s="25"/>
      <c r="P122" s="25"/>
      <c r="Q122" s="25"/>
      <c r="R122" s="25"/>
      <c r="S122" s="25"/>
      <c r="T122" s="25"/>
      <c r="U122" s="25"/>
      <c r="V122" s="238"/>
      <c r="W122" s="25"/>
      <c r="X122" s="25"/>
      <c r="Y122" s="25"/>
      <c r="Z122" s="25"/>
      <c r="AA122" s="25"/>
      <c r="AB122" s="25"/>
      <c r="AC122" s="25"/>
      <c r="AD122" s="25"/>
      <c r="AE122" s="25"/>
      <c r="AF122" s="238"/>
      <c r="AG122" s="25"/>
      <c r="AH122" s="25"/>
      <c r="AI122" s="25"/>
      <c r="AJ122" s="25"/>
      <c r="AK122" s="25"/>
      <c r="AL122" s="25"/>
      <c r="AM122" s="25"/>
      <c r="AN122" s="25"/>
      <c r="AO122" s="25"/>
      <c r="AP122" s="238"/>
      <c r="AQ122" s="25"/>
      <c r="AR122" s="25"/>
      <c r="AS122" s="25"/>
      <c r="AT122" s="25"/>
      <c r="AU122" s="25"/>
      <c r="AV122" s="25"/>
      <c r="AW122" s="25"/>
      <c r="AX122" s="25"/>
      <c r="AY122" s="25"/>
      <c r="AZ122" s="238"/>
      <c r="BA122" s="25"/>
      <c r="BB122" s="25"/>
      <c r="BC122" s="25"/>
      <c r="BD122" s="25"/>
      <c r="BE122" s="25"/>
      <c r="BF122" s="25"/>
      <c r="BG122" s="25"/>
      <c r="BH122" s="25"/>
      <c r="BI122" s="25"/>
      <c r="BJ122" s="238"/>
      <c r="BK122" s="25"/>
      <c r="BL122" s="25"/>
      <c r="BM122" s="25"/>
      <c r="BN122" s="25"/>
      <c r="BO122" s="25"/>
      <c r="BP122" s="25"/>
      <c r="BQ122" s="25"/>
      <c r="BR122" s="25"/>
      <c r="BS122" s="25"/>
      <c r="BT122" s="238"/>
      <c r="BU122" s="25"/>
      <c r="BV122" s="25"/>
      <c r="BW122" s="25"/>
      <c r="BX122" s="25"/>
      <c r="BY122" s="25"/>
      <c r="BZ122" s="25"/>
      <c r="CA122" s="25"/>
      <c r="CB122" s="25"/>
      <c r="CC122" s="25"/>
      <c r="CD122" s="238"/>
      <c r="CE122" s="25"/>
      <c r="CF122" s="25"/>
      <c r="CG122" s="25"/>
      <c r="CH122" s="25"/>
      <c r="CI122" s="25"/>
      <c r="CJ122" s="25"/>
      <c r="CK122" s="25"/>
      <c r="CL122" s="25"/>
      <c r="CM122" s="25"/>
      <c r="CN122" s="238"/>
    </row>
    <row r="123" spans="1:92" ht="18" customHeight="1" x14ac:dyDescent="0.2">
      <c r="A123" s="21"/>
      <c r="B123" s="238"/>
      <c r="C123" s="25"/>
      <c r="D123" s="25"/>
      <c r="E123" s="25"/>
      <c r="F123" s="25"/>
      <c r="G123" s="25"/>
      <c r="H123" s="25"/>
      <c r="I123" s="25"/>
      <c r="J123" s="25"/>
      <c r="K123" s="25"/>
      <c r="L123" s="238"/>
      <c r="M123" s="25"/>
      <c r="N123" s="25"/>
      <c r="O123" s="25"/>
      <c r="P123" s="25"/>
      <c r="Q123" s="25"/>
      <c r="R123" s="25"/>
      <c r="S123" s="25"/>
      <c r="T123" s="25"/>
      <c r="U123" s="25"/>
      <c r="V123" s="238"/>
      <c r="W123" s="25"/>
      <c r="X123" s="25"/>
      <c r="Y123" s="25"/>
      <c r="Z123" s="25"/>
      <c r="AA123" s="25"/>
      <c r="AB123" s="25"/>
      <c r="AC123" s="25"/>
      <c r="AD123" s="25"/>
      <c r="AE123" s="25"/>
      <c r="AF123" s="238"/>
      <c r="AG123" s="25"/>
      <c r="AH123" s="25"/>
      <c r="AI123" s="25"/>
      <c r="AJ123" s="25"/>
      <c r="AK123" s="25"/>
      <c r="AL123" s="25"/>
      <c r="AM123" s="25"/>
      <c r="AN123" s="25"/>
      <c r="AO123" s="25"/>
      <c r="AP123" s="238"/>
      <c r="AQ123" s="25"/>
      <c r="AR123" s="25"/>
      <c r="AS123" s="25"/>
      <c r="AT123" s="25"/>
      <c r="AU123" s="25"/>
      <c r="AV123" s="25"/>
      <c r="AW123" s="25"/>
      <c r="AX123" s="25"/>
      <c r="AY123" s="25"/>
      <c r="AZ123" s="238"/>
      <c r="BA123" s="25"/>
      <c r="BB123" s="25"/>
      <c r="BC123" s="25"/>
      <c r="BD123" s="25"/>
      <c r="BE123" s="25"/>
      <c r="BF123" s="25"/>
      <c r="BG123" s="25"/>
      <c r="BH123" s="25"/>
      <c r="BI123" s="25"/>
      <c r="BJ123" s="238"/>
      <c r="BK123" s="25"/>
      <c r="BL123" s="25"/>
      <c r="BM123" s="25"/>
      <c r="BN123" s="25"/>
      <c r="BO123" s="25"/>
      <c r="BP123" s="25"/>
      <c r="BQ123" s="25"/>
      <c r="BR123" s="25"/>
      <c r="BS123" s="25"/>
      <c r="BT123" s="238"/>
      <c r="BU123" s="25"/>
      <c r="BV123" s="25"/>
      <c r="BW123" s="25"/>
      <c r="BX123" s="25"/>
      <c r="BY123" s="25"/>
      <c r="BZ123" s="25"/>
      <c r="CA123" s="25"/>
      <c r="CB123" s="25"/>
      <c r="CC123" s="25"/>
      <c r="CD123" s="238"/>
      <c r="CE123" s="25"/>
      <c r="CF123" s="25"/>
      <c r="CG123" s="25"/>
      <c r="CH123" s="25"/>
      <c r="CI123" s="25"/>
      <c r="CJ123" s="25"/>
      <c r="CK123" s="25"/>
      <c r="CL123" s="25"/>
      <c r="CM123" s="25"/>
      <c r="CN123" s="238"/>
    </row>
    <row r="124" spans="1:92" x14ac:dyDescent="0.2">
      <c r="A124" s="25" t="s">
        <v>43</v>
      </c>
      <c r="B124" s="25">
        <f ca="1">B125+B135</f>
        <v>30.597844759623207</v>
      </c>
      <c r="C124" s="25">
        <f t="shared" ref="C124:BN124" ca="1" si="113">C125+C135</f>
        <v>30.454240377764162</v>
      </c>
      <c r="D124" s="25">
        <f t="shared" ca="1" si="113"/>
        <v>30.310635995905116</v>
      </c>
      <c r="E124" s="25">
        <f t="shared" ca="1" si="113"/>
        <v>30.167031614046071</v>
      </c>
      <c r="F124" s="25">
        <f t="shared" ca="1" si="113"/>
        <v>30.023427232187025</v>
      </c>
      <c r="G124" s="25">
        <f t="shared" ca="1" si="113"/>
        <v>29.879822850327979</v>
      </c>
      <c r="H124" s="25">
        <f t="shared" ca="1" si="113"/>
        <v>29.736218468468934</v>
      </c>
      <c r="I124" s="25">
        <f t="shared" ca="1" si="113"/>
        <v>29.592614086609888</v>
      </c>
      <c r="J124" s="25">
        <f t="shared" ca="1" si="113"/>
        <v>29.449009704750843</v>
      </c>
      <c r="K124" s="25">
        <f t="shared" ca="1" si="113"/>
        <v>29.305405322891801</v>
      </c>
      <c r="L124" s="25">
        <f t="shared" ca="1" si="113"/>
        <v>29.161800941032769</v>
      </c>
      <c r="M124" s="25">
        <f t="shared" ca="1" si="113"/>
        <v>28.254721053965614</v>
      </c>
      <c r="N124" s="25">
        <f t="shared" ca="1" si="113"/>
        <v>27.347641166898462</v>
      </c>
      <c r="O124" s="25">
        <f t="shared" ca="1" si="113"/>
        <v>26.440561279831311</v>
      </c>
      <c r="P124" s="25">
        <f t="shared" ca="1" si="113"/>
        <v>25.533481392764159</v>
      </c>
      <c r="Q124" s="25">
        <f t="shared" ca="1" si="113"/>
        <v>24.626401505697007</v>
      </c>
      <c r="R124" s="25">
        <f t="shared" ca="1" si="113"/>
        <v>23.719321618629852</v>
      </c>
      <c r="S124" s="25">
        <f t="shared" ca="1" si="113"/>
        <v>22.8122417315627</v>
      </c>
      <c r="T124" s="25">
        <f t="shared" ca="1" si="113"/>
        <v>21.905161844495549</v>
      </c>
      <c r="U124" s="25">
        <f t="shared" ca="1" si="113"/>
        <v>20.998081957428397</v>
      </c>
      <c r="V124" s="25">
        <f t="shared" ca="1" si="113"/>
        <v>20.091002070361235</v>
      </c>
      <c r="W124" s="25">
        <f t="shared" ca="1" si="113"/>
        <v>19.241203572700893</v>
      </c>
      <c r="X124" s="25">
        <f t="shared" ca="1" si="113"/>
        <v>18.391405075040552</v>
      </c>
      <c r="Y124" s="25">
        <f t="shared" ca="1" si="113"/>
        <v>17.541606577380211</v>
      </c>
      <c r="Z124" s="25">
        <f t="shared" ca="1" si="113"/>
        <v>16.691808079719866</v>
      </c>
      <c r="AA124" s="25">
        <f t="shared" ca="1" si="113"/>
        <v>15.842009582059525</v>
      </c>
      <c r="AB124" s="25">
        <f t="shared" ca="1" si="113"/>
        <v>14.992211084399184</v>
      </c>
      <c r="AC124" s="25">
        <f t="shared" ca="1" si="113"/>
        <v>14.142412586738841</v>
      </c>
      <c r="AD124" s="25">
        <f t="shared" ca="1" si="113"/>
        <v>13.292614089078498</v>
      </c>
      <c r="AE124" s="25">
        <f t="shared" ca="1" si="113"/>
        <v>12.442815591418157</v>
      </c>
      <c r="AF124" s="25">
        <f t="shared" ca="1" si="113"/>
        <v>11.593017093757812</v>
      </c>
      <c r="AG124" s="25">
        <f t="shared" ca="1" si="113"/>
        <v>11.299721822743066</v>
      </c>
      <c r="AH124" s="25">
        <f t="shared" ca="1" si="113"/>
        <v>11.006426551728319</v>
      </c>
      <c r="AI124" s="25">
        <f t="shared" ca="1" si="113"/>
        <v>10.713131280713572</v>
      </c>
      <c r="AJ124" s="25">
        <f t="shared" ca="1" si="113"/>
        <v>10.419836009698825</v>
      </c>
      <c r="AK124" s="25">
        <f t="shared" ca="1" si="113"/>
        <v>10.126540738684078</v>
      </c>
      <c r="AL124" s="25">
        <f t="shared" ca="1" si="113"/>
        <v>9.8332454676693324</v>
      </c>
      <c r="AM124" s="25">
        <f t="shared" ca="1" si="113"/>
        <v>9.5399501966545852</v>
      </c>
      <c r="AN124" s="25">
        <f t="shared" ca="1" si="113"/>
        <v>9.246654925639838</v>
      </c>
      <c r="AO124" s="25">
        <f t="shared" ca="1" si="113"/>
        <v>8.9533596546250926</v>
      </c>
      <c r="AP124" s="25">
        <f t="shared" ca="1" si="113"/>
        <v>8.6600643836103437</v>
      </c>
      <c r="AQ124" s="25">
        <f t="shared" ca="1" si="113"/>
        <v>8.6621128335143567</v>
      </c>
      <c r="AR124" s="25">
        <f t="shared" ca="1" si="113"/>
        <v>8.6641612834183697</v>
      </c>
      <c r="AS124" s="25">
        <f t="shared" ca="1" si="113"/>
        <v>8.6662097333223826</v>
      </c>
      <c r="AT124" s="25">
        <f t="shared" ca="1" si="113"/>
        <v>8.6682581832263956</v>
      </c>
      <c r="AU124" s="25">
        <f t="shared" ca="1" si="113"/>
        <v>8.6703066331304086</v>
      </c>
      <c r="AV124" s="25">
        <f t="shared" ca="1" si="113"/>
        <v>8.6723550830344216</v>
      </c>
      <c r="AW124" s="25">
        <f t="shared" ca="1" si="113"/>
        <v>8.6744035329384346</v>
      </c>
      <c r="AX124" s="25">
        <f t="shared" ca="1" si="113"/>
        <v>8.6764519828424476</v>
      </c>
      <c r="AY124" s="25">
        <f t="shared" ca="1" si="113"/>
        <v>8.6785004327464605</v>
      </c>
      <c r="AZ124" s="25">
        <f t="shared" ca="1" si="113"/>
        <v>8.6805488826504753</v>
      </c>
      <c r="BA124" s="25">
        <f t="shared" ca="1" si="113"/>
        <v>8.7973445975553641</v>
      </c>
      <c r="BB124" s="25">
        <f t="shared" ca="1" si="113"/>
        <v>8.914140312460253</v>
      </c>
      <c r="BC124" s="25">
        <f t="shared" ca="1" si="113"/>
        <v>9.0309360273651418</v>
      </c>
      <c r="BD124" s="25">
        <f t="shared" ca="1" si="113"/>
        <v>9.1477317422700306</v>
      </c>
      <c r="BE124" s="25">
        <f t="shared" ca="1" si="113"/>
        <v>9.2645274571749194</v>
      </c>
      <c r="BF124" s="25">
        <f t="shared" ca="1" si="113"/>
        <v>9.3813231720798065</v>
      </c>
      <c r="BG124" s="25">
        <f t="shared" ca="1" si="113"/>
        <v>9.4981188869846953</v>
      </c>
      <c r="BH124" s="25">
        <f t="shared" ca="1" si="113"/>
        <v>9.6149146018895841</v>
      </c>
      <c r="BI124" s="25">
        <f t="shared" ca="1" si="113"/>
        <v>9.731710316794473</v>
      </c>
      <c r="BJ124" s="25">
        <f t="shared" ca="1" si="113"/>
        <v>9.8485060316993565</v>
      </c>
      <c r="BK124" s="25">
        <f t="shared" ca="1" si="113"/>
        <v>9.7927161196723755</v>
      </c>
      <c r="BL124" s="25">
        <f t="shared" ca="1" si="113"/>
        <v>9.7369262076453929</v>
      </c>
      <c r="BM124" s="25">
        <f t="shared" ca="1" si="113"/>
        <v>9.6811362956184119</v>
      </c>
      <c r="BN124" s="25">
        <f t="shared" ca="1" si="113"/>
        <v>9.625346383591431</v>
      </c>
      <c r="BO124" s="25">
        <f t="shared" ref="BO124:CN124" ca="1" si="114">BO125+BO135</f>
        <v>9.5695564715644501</v>
      </c>
      <c r="BP124" s="25">
        <f t="shared" ca="1" si="114"/>
        <v>9.5137665595374692</v>
      </c>
      <c r="BQ124" s="25">
        <f t="shared" ca="1" si="114"/>
        <v>9.4579766475104865</v>
      </c>
      <c r="BR124" s="25">
        <f t="shared" ca="1" si="114"/>
        <v>9.4021867354835056</v>
      </c>
      <c r="BS124" s="25">
        <f t="shared" ca="1" si="114"/>
        <v>9.3463968234565247</v>
      </c>
      <c r="BT124" s="25">
        <f t="shared" ca="1" si="114"/>
        <v>9.2906069114295455</v>
      </c>
      <c r="BU124" s="25">
        <f t="shared" ca="1" si="114"/>
        <v>9.2082966699528157</v>
      </c>
      <c r="BV124" s="25">
        <f t="shared" ca="1" si="114"/>
        <v>9.1259864284760859</v>
      </c>
      <c r="BW124" s="25">
        <f t="shared" ca="1" si="114"/>
        <v>9.043676186999356</v>
      </c>
      <c r="BX124" s="25">
        <f t="shared" ca="1" si="114"/>
        <v>8.9613659455226262</v>
      </c>
      <c r="BY124" s="25">
        <f t="shared" ca="1" si="114"/>
        <v>8.8790557040458982</v>
      </c>
      <c r="BZ124" s="25">
        <f t="shared" ca="1" si="114"/>
        <v>8.7967454625691683</v>
      </c>
      <c r="CA124" s="25">
        <f t="shared" ca="1" si="114"/>
        <v>8.7144352210924385</v>
      </c>
      <c r="CB124" s="25">
        <f t="shared" ca="1" si="114"/>
        <v>8.6321249796157105</v>
      </c>
      <c r="CC124" s="25">
        <f t="shared" ca="1" si="114"/>
        <v>8.5498147381389806</v>
      </c>
      <c r="CD124" s="25">
        <f t="shared" ca="1" si="114"/>
        <v>8.4675044966622472</v>
      </c>
      <c r="CE124" s="25">
        <f t="shared" ca="1" si="114"/>
        <v>8.4941181882936476</v>
      </c>
      <c r="CF124" s="25">
        <f t="shared" ca="1" si="114"/>
        <v>8.520731879925048</v>
      </c>
      <c r="CG124" s="25">
        <f t="shared" ca="1" si="114"/>
        <v>8.5473455715564466</v>
      </c>
      <c r="CH124" s="25">
        <f t="shared" ca="1" si="114"/>
        <v>8.5739592631878452</v>
      </c>
      <c r="CI124" s="25">
        <f t="shared" ca="1" si="114"/>
        <v>8.6005729548192456</v>
      </c>
      <c r="CJ124" s="25">
        <f t="shared" ca="1" si="114"/>
        <v>8.6271866464506459</v>
      </c>
      <c r="CK124" s="25">
        <f t="shared" ca="1" si="114"/>
        <v>8.6538003380820445</v>
      </c>
      <c r="CL124" s="25">
        <f t="shared" ca="1" si="114"/>
        <v>8.6804140297134431</v>
      </c>
      <c r="CM124" s="25">
        <f t="shared" ca="1" si="114"/>
        <v>8.7070277213448435</v>
      </c>
      <c r="CN124" s="25">
        <f t="shared" ca="1" si="114"/>
        <v>8.7336414129762421</v>
      </c>
    </row>
    <row r="125" spans="1:92" x14ac:dyDescent="0.2">
      <c r="A125" s="25" t="str">
        <f>TotalEmissions!A5</f>
        <v>NFC</v>
      </c>
      <c r="B125" s="25">
        <f ca="1">TotalEmissions!B5</f>
        <v>30.597844759623207</v>
      </c>
      <c r="C125" s="25">
        <f t="shared" ref="C125:K125" ca="1" si="115">B125+(($L125-$B125)/($L$75-$B$75))</f>
        <v>30.450957059860226</v>
      </c>
      <c r="D125" s="25">
        <f t="shared" ca="1" si="115"/>
        <v>30.304069360097245</v>
      </c>
      <c r="E125" s="25">
        <f t="shared" ca="1" si="115"/>
        <v>30.157181660334263</v>
      </c>
      <c r="F125" s="25">
        <f t="shared" ca="1" si="115"/>
        <v>30.010293960571282</v>
      </c>
      <c r="G125" s="25">
        <f t="shared" ca="1" si="115"/>
        <v>29.863406260808301</v>
      </c>
      <c r="H125" s="25">
        <f t="shared" ca="1" si="115"/>
        <v>29.716518561045319</v>
      </c>
      <c r="I125" s="25">
        <f t="shared" ca="1" si="115"/>
        <v>29.569630861282338</v>
      </c>
      <c r="J125" s="25">
        <f t="shared" ca="1" si="115"/>
        <v>29.422743161519357</v>
      </c>
      <c r="K125" s="25">
        <f t="shared" ca="1" si="115"/>
        <v>29.275855461756375</v>
      </c>
      <c r="L125" s="25">
        <f ca="1">TotalEmissions!C5</f>
        <v>29.128967761993408</v>
      </c>
      <c r="M125" s="25">
        <f t="shared" ref="M125:U125" ca="1" si="116">L125+(($V125-$L125)/($V$75-$L$75))</f>
        <v>28.100830443900634</v>
      </c>
      <c r="N125" s="25">
        <f t="shared" ca="1" si="116"/>
        <v>27.072693125807859</v>
      </c>
      <c r="O125" s="25">
        <f t="shared" ca="1" si="116"/>
        <v>26.044555807715085</v>
      </c>
      <c r="P125" s="25">
        <f t="shared" ca="1" si="116"/>
        <v>25.016418489622311</v>
      </c>
      <c r="Q125" s="25">
        <f t="shared" ca="1" si="116"/>
        <v>23.988281171529536</v>
      </c>
      <c r="R125" s="25">
        <f t="shared" ca="1" si="116"/>
        <v>22.960143853436762</v>
      </c>
      <c r="S125" s="25">
        <f t="shared" ca="1" si="116"/>
        <v>21.932006535343987</v>
      </c>
      <c r="T125" s="25">
        <f t="shared" ca="1" si="116"/>
        <v>20.903869217251213</v>
      </c>
      <c r="U125" s="25">
        <f t="shared" ca="1" si="116"/>
        <v>19.875731899158438</v>
      </c>
      <c r="V125" s="25">
        <f ca="1">TotalEmissions!D5</f>
        <v>18.847594581065653</v>
      </c>
      <c r="W125" s="25">
        <f t="shared" ref="W125:AE125" ca="1" si="117">V125+(($AF125-$V125)/($AF$75-$V$75))</f>
        <v>17.876604428312881</v>
      </c>
      <c r="X125" s="25">
        <f t="shared" ca="1" si="117"/>
        <v>16.905614275560108</v>
      </c>
      <c r="Y125" s="25">
        <f t="shared" ca="1" si="117"/>
        <v>15.934624122807334</v>
      </c>
      <c r="Z125" s="25">
        <f t="shared" ca="1" si="117"/>
        <v>14.963633970054559</v>
      </c>
      <c r="AA125" s="25">
        <f t="shared" ca="1" si="117"/>
        <v>13.992643817301785</v>
      </c>
      <c r="AB125" s="25">
        <f t="shared" ca="1" si="117"/>
        <v>13.02165366454901</v>
      </c>
      <c r="AC125" s="25">
        <f t="shared" ca="1" si="117"/>
        <v>12.050663511796236</v>
      </c>
      <c r="AD125" s="25">
        <f t="shared" ca="1" si="117"/>
        <v>11.079673359043461</v>
      </c>
      <c r="AE125" s="25">
        <f t="shared" ca="1" si="117"/>
        <v>10.108683206290687</v>
      </c>
      <c r="AF125" s="25">
        <f ca="1">TotalEmissions!E5</f>
        <v>9.1376930535379106</v>
      </c>
      <c r="AG125" s="25">
        <f t="shared" ref="AG125:AO125" ca="1" si="118">AF125+(($AP125-$AF125)/($AP$75-$AF$75))</f>
        <v>8.7858993691254224</v>
      </c>
      <c r="AH125" s="25">
        <f t="shared" ca="1" si="118"/>
        <v>8.4341056847129341</v>
      </c>
      <c r="AI125" s="25">
        <f t="shared" ca="1" si="118"/>
        <v>8.0823120003004458</v>
      </c>
      <c r="AJ125" s="25">
        <f t="shared" ca="1" si="118"/>
        <v>7.7305183158879576</v>
      </c>
      <c r="AK125" s="25">
        <f t="shared" ca="1" si="118"/>
        <v>7.3787246314754693</v>
      </c>
      <c r="AL125" s="25">
        <f t="shared" ca="1" si="118"/>
        <v>7.026930947062981</v>
      </c>
      <c r="AM125" s="25">
        <f t="shared" ca="1" si="118"/>
        <v>6.6751372626504928</v>
      </c>
      <c r="AN125" s="25">
        <f t="shared" ca="1" si="118"/>
        <v>6.3233435782380045</v>
      </c>
      <c r="AO125" s="25">
        <f t="shared" ca="1" si="118"/>
        <v>5.9715498938255163</v>
      </c>
      <c r="AP125" s="25">
        <f ca="1">TotalEmissions!F5</f>
        <v>5.6197562094130271</v>
      </c>
      <c r="AQ125" s="25">
        <f t="shared" ref="AQ125:AY125" ca="1" si="119">AP125+(($AZ125-$AP125)/($AZ$75-$AP$75))</f>
        <v>5.4930873195230872</v>
      </c>
      <c r="AR125" s="25">
        <f t="shared" ca="1" si="119"/>
        <v>5.3664184296331472</v>
      </c>
      <c r="AS125" s="25">
        <f t="shared" ca="1" si="119"/>
        <v>5.2397495397432072</v>
      </c>
      <c r="AT125" s="25">
        <f t="shared" ca="1" si="119"/>
        <v>5.1130806498532673</v>
      </c>
      <c r="AU125" s="25">
        <f t="shared" ca="1" si="119"/>
        <v>4.9864117599633273</v>
      </c>
      <c r="AV125" s="25">
        <f t="shared" ca="1" si="119"/>
        <v>4.8597428700733873</v>
      </c>
      <c r="AW125" s="25">
        <f t="shared" ca="1" si="119"/>
        <v>4.7330739801834474</v>
      </c>
      <c r="AX125" s="25">
        <f t="shared" ca="1" si="119"/>
        <v>4.6064050902935074</v>
      </c>
      <c r="AY125" s="25">
        <f t="shared" ca="1" si="119"/>
        <v>4.4797362004035675</v>
      </c>
      <c r="AZ125" s="25">
        <f ca="1">TotalEmissions!G5</f>
        <v>4.3530673105136266</v>
      </c>
      <c r="BA125" s="25">
        <f t="shared" ref="BA125:BI125" ca="1" si="120">AZ125+(($BJ125-$AZ125)/($BJ$75-$AZ$75))</f>
        <v>4.2805590190040972</v>
      </c>
      <c r="BB125" s="25">
        <f t="shared" ca="1" si="120"/>
        <v>4.2080507274945678</v>
      </c>
      <c r="BC125" s="25">
        <f t="shared" ca="1" si="120"/>
        <v>4.1355424359850383</v>
      </c>
      <c r="BD125" s="25">
        <f t="shared" ca="1" si="120"/>
        <v>4.0630341444755089</v>
      </c>
      <c r="BE125" s="25">
        <f t="shared" ca="1" si="120"/>
        <v>3.9905258529659791</v>
      </c>
      <c r="BF125" s="25">
        <f t="shared" ca="1" si="120"/>
        <v>3.9180175614564492</v>
      </c>
      <c r="BG125" s="25">
        <f t="shared" ca="1" si="120"/>
        <v>3.8455092699469193</v>
      </c>
      <c r="BH125" s="25">
        <f t="shared" ca="1" si="120"/>
        <v>3.7730009784373895</v>
      </c>
      <c r="BI125" s="25">
        <f t="shared" ca="1" si="120"/>
        <v>3.7004926869278596</v>
      </c>
      <c r="BJ125" s="25">
        <f ca="1">TotalEmissions!H5</f>
        <v>3.6279843954183288</v>
      </c>
      <c r="BK125" s="25">
        <f t="shared" ref="BK125:BS125" ca="1" si="121">BJ125+(($BT125-$BJ125)/($BT$75-$BJ$75))</f>
        <v>3.5703725598833524</v>
      </c>
      <c r="BL125" s="25">
        <f t="shared" ca="1" si="121"/>
        <v>3.5127607243483761</v>
      </c>
      <c r="BM125" s="25">
        <f t="shared" ca="1" si="121"/>
        <v>3.4551488888133997</v>
      </c>
      <c r="BN125" s="25">
        <f t="shared" ca="1" si="121"/>
        <v>3.3975370532784233</v>
      </c>
      <c r="BO125" s="25">
        <f t="shared" ca="1" si="121"/>
        <v>3.3399252177434469</v>
      </c>
      <c r="BP125" s="25">
        <f t="shared" ca="1" si="121"/>
        <v>3.2823133822084705</v>
      </c>
      <c r="BQ125" s="25">
        <f t="shared" ca="1" si="121"/>
        <v>3.2247015466734941</v>
      </c>
      <c r="BR125" s="25">
        <f t="shared" ca="1" si="121"/>
        <v>3.1670897111385177</v>
      </c>
      <c r="BS125" s="25">
        <f t="shared" ca="1" si="121"/>
        <v>3.1094778756035413</v>
      </c>
      <c r="BT125" s="25">
        <f ca="1">TotalEmissions!I5</f>
        <v>3.0518660400685649</v>
      </c>
      <c r="BU125" s="25">
        <f t="shared" ref="BU125:CC125" ca="1" si="122">BT125+(($CD125-$BT125)/($CD$75-$BT$75))</f>
        <v>3.0312928608218876</v>
      </c>
      <c r="BV125" s="25">
        <f t="shared" ca="1" si="122"/>
        <v>3.0107196815752104</v>
      </c>
      <c r="BW125" s="25">
        <f t="shared" ca="1" si="122"/>
        <v>2.9901465023285332</v>
      </c>
      <c r="BX125" s="25">
        <f t="shared" ca="1" si="122"/>
        <v>2.969573323081856</v>
      </c>
      <c r="BY125" s="25">
        <f t="shared" ca="1" si="122"/>
        <v>2.9490001438351787</v>
      </c>
      <c r="BZ125" s="25">
        <f t="shared" ca="1" si="122"/>
        <v>2.9284269645885015</v>
      </c>
      <c r="CA125" s="25">
        <f t="shared" ca="1" si="122"/>
        <v>2.9078537853418243</v>
      </c>
      <c r="CB125" s="25">
        <f t="shared" ca="1" si="122"/>
        <v>2.887280606095147</v>
      </c>
      <c r="CC125" s="25">
        <f t="shared" ca="1" si="122"/>
        <v>2.8667074268484698</v>
      </c>
      <c r="CD125" s="25">
        <f ca="1">TotalEmissions!J5</f>
        <v>2.8461342476017908</v>
      </c>
      <c r="CE125" s="25">
        <f t="shared" ref="CE125:CM125" ca="1" si="123">CD125+(($CN125-$CD125)/($CN$75-$CD$75))</f>
        <v>2.8628343902197528</v>
      </c>
      <c r="CF125" s="25">
        <f t="shared" ca="1" si="123"/>
        <v>2.8795345328377149</v>
      </c>
      <c r="CG125" s="25">
        <f t="shared" ca="1" si="123"/>
        <v>2.8962346754556769</v>
      </c>
      <c r="CH125" s="25">
        <f t="shared" ca="1" si="123"/>
        <v>2.912934818073639</v>
      </c>
      <c r="CI125" s="25">
        <f t="shared" ca="1" si="123"/>
        <v>2.929634960691601</v>
      </c>
      <c r="CJ125" s="25">
        <f t="shared" ca="1" si="123"/>
        <v>2.9463351033095631</v>
      </c>
      <c r="CK125" s="25">
        <f t="shared" ca="1" si="123"/>
        <v>2.9630352459275251</v>
      </c>
      <c r="CL125" s="25">
        <f t="shared" ca="1" si="123"/>
        <v>2.9797353885454871</v>
      </c>
      <c r="CM125" s="25">
        <f t="shared" ca="1" si="123"/>
        <v>2.9964355311634492</v>
      </c>
      <c r="CN125" s="25">
        <f ca="1">TotalEmissions!K5</f>
        <v>3.0131356737814112</v>
      </c>
    </row>
    <row r="126" spans="1:92" s="25" customFormat="1" ht="18" customHeight="1" x14ac:dyDescent="0.2">
      <c r="A126" s="179" t="s">
        <v>343</v>
      </c>
      <c r="B126" s="25">
        <f ca="1">B127+B136</f>
        <v>1.6191182434558868</v>
      </c>
      <c r="C126" s="25">
        <f t="shared" ref="C126:BN126" ca="1" si="124">C127+C136</f>
        <v>1.6186383542585341</v>
      </c>
      <c r="D126" s="25">
        <f t="shared" ca="1" si="124"/>
        <v>1.6181584650611813</v>
      </c>
      <c r="E126" s="25">
        <f t="shared" ca="1" si="124"/>
        <v>1.6176785758638286</v>
      </c>
      <c r="F126" s="25">
        <f t="shared" ca="1" si="124"/>
        <v>1.6171986866664758</v>
      </c>
      <c r="G126" s="25">
        <f t="shared" ca="1" si="124"/>
        <v>1.6167187974691231</v>
      </c>
      <c r="H126" s="25">
        <f t="shared" ca="1" si="124"/>
        <v>1.6162389082717703</v>
      </c>
      <c r="I126" s="25">
        <f t="shared" ca="1" si="124"/>
        <v>1.6157590190744175</v>
      </c>
      <c r="J126" s="25">
        <f t="shared" ca="1" si="124"/>
        <v>1.615279129877065</v>
      </c>
      <c r="K126" s="25">
        <f t="shared" ca="1" si="124"/>
        <v>1.6147992406797123</v>
      </c>
      <c r="L126" s="25">
        <f t="shared" ca="1" si="124"/>
        <v>1.6143193514823604</v>
      </c>
      <c r="M126" s="25">
        <f t="shared" ca="1" si="124"/>
        <v>1.6285526109995165</v>
      </c>
      <c r="N126" s="25">
        <f t="shared" ca="1" si="124"/>
        <v>1.6427858705166727</v>
      </c>
      <c r="O126" s="25">
        <f t="shared" ca="1" si="124"/>
        <v>1.6570191300338288</v>
      </c>
      <c r="P126" s="25">
        <f t="shared" ca="1" si="124"/>
        <v>1.6712523895509848</v>
      </c>
      <c r="Q126" s="25">
        <f t="shared" ca="1" si="124"/>
        <v>1.6854856490681409</v>
      </c>
      <c r="R126" s="25">
        <f t="shared" ca="1" si="124"/>
        <v>1.6997189085852971</v>
      </c>
      <c r="S126" s="25">
        <f t="shared" ca="1" si="124"/>
        <v>1.7139521681024532</v>
      </c>
      <c r="T126" s="25">
        <f t="shared" ca="1" si="124"/>
        <v>1.7281854276196094</v>
      </c>
      <c r="U126" s="25">
        <f t="shared" ca="1" si="124"/>
        <v>1.7424186871367655</v>
      </c>
      <c r="V126" s="25">
        <f t="shared" ca="1" si="124"/>
        <v>1.7566519466539221</v>
      </c>
      <c r="W126" s="25">
        <f t="shared" ca="1" si="124"/>
        <v>1.760735442737738</v>
      </c>
      <c r="X126" s="25">
        <f t="shared" ca="1" si="124"/>
        <v>1.7648189388215541</v>
      </c>
      <c r="Y126" s="25">
        <f t="shared" ca="1" si="124"/>
        <v>1.7689024349053701</v>
      </c>
      <c r="Z126" s="25">
        <f t="shared" ca="1" si="124"/>
        <v>1.772985930989186</v>
      </c>
      <c r="AA126" s="25">
        <f t="shared" ca="1" si="124"/>
        <v>1.7770694270730019</v>
      </c>
      <c r="AB126" s="25">
        <f t="shared" ca="1" si="124"/>
        <v>1.7811529231568179</v>
      </c>
      <c r="AC126" s="25">
        <f t="shared" ca="1" si="124"/>
        <v>1.785236419240634</v>
      </c>
      <c r="AD126" s="25">
        <f t="shared" ca="1" si="124"/>
        <v>1.7893199153244499</v>
      </c>
      <c r="AE126" s="25">
        <f t="shared" ca="1" si="124"/>
        <v>1.7934034114082658</v>
      </c>
      <c r="AF126" s="25">
        <f t="shared" ca="1" si="124"/>
        <v>1.7974869074920812</v>
      </c>
      <c r="AG126" s="25">
        <f t="shared" ca="1" si="124"/>
        <v>1.7850165626965462</v>
      </c>
      <c r="AH126" s="25">
        <f t="shared" ca="1" si="124"/>
        <v>1.7725462179010112</v>
      </c>
      <c r="AI126" s="25">
        <f t="shared" ca="1" si="124"/>
        <v>1.7600758731054764</v>
      </c>
      <c r="AJ126" s="25">
        <f t="shared" ca="1" si="124"/>
        <v>1.7476055283099414</v>
      </c>
      <c r="AK126" s="25">
        <f t="shared" ca="1" si="124"/>
        <v>1.7351351835144064</v>
      </c>
      <c r="AL126" s="25">
        <f t="shared" ca="1" si="124"/>
        <v>1.7226648387188717</v>
      </c>
      <c r="AM126" s="25">
        <f t="shared" ca="1" si="124"/>
        <v>1.7101944939233367</v>
      </c>
      <c r="AN126" s="25">
        <f t="shared" ca="1" si="124"/>
        <v>1.6977241491278017</v>
      </c>
      <c r="AO126" s="25">
        <f t="shared" ca="1" si="124"/>
        <v>1.6852538043322667</v>
      </c>
      <c r="AP126" s="25">
        <f t="shared" ca="1" si="124"/>
        <v>1.6727834595367312</v>
      </c>
      <c r="AQ126" s="25">
        <f t="shared" ca="1" si="124"/>
        <v>1.6539510000215765</v>
      </c>
      <c r="AR126" s="25">
        <f t="shared" ca="1" si="124"/>
        <v>1.6351185405064219</v>
      </c>
      <c r="AS126" s="25">
        <f t="shared" ca="1" si="124"/>
        <v>1.6162860809912674</v>
      </c>
      <c r="AT126" s="25">
        <f t="shared" ca="1" si="124"/>
        <v>1.5974536214761126</v>
      </c>
      <c r="AU126" s="25">
        <f t="shared" ca="1" si="124"/>
        <v>1.578621161960958</v>
      </c>
      <c r="AV126" s="25">
        <f t="shared" ca="1" si="124"/>
        <v>1.5597887024458035</v>
      </c>
      <c r="AW126" s="25">
        <f t="shared" ca="1" si="124"/>
        <v>1.5409562429306489</v>
      </c>
      <c r="AX126" s="25">
        <f t="shared" ca="1" si="124"/>
        <v>1.5221237834154944</v>
      </c>
      <c r="AY126" s="25">
        <f t="shared" ca="1" si="124"/>
        <v>1.5032913239003396</v>
      </c>
      <c r="AZ126" s="25">
        <f t="shared" ca="1" si="124"/>
        <v>1.4844588643851844</v>
      </c>
      <c r="BA126" s="25">
        <f t="shared" ca="1" si="124"/>
        <v>1.5061899093924391</v>
      </c>
      <c r="BB126" s="25">
        <f t="shared" ca="1" si="124"/>
        <v>1.5279209543996937</v>
      </c>
      <c r="BC126" s="25">
        <f t="shared" ca="1" si="124"/>
        <v>1.5496519994069482</v>
      </c>
      <c r="BD126" s="25">
        <f t="shared" ca="1" si="124"/>
        <v>1.5713830444142025</v>
      </c>
      <c r="BE126" s="25">
        <f t="shared" ca="1" si="124"/>
        <v>1.593114089421457</v>
      </c>
      <c r="BF126" s="25">
        <f t="shared" ca="1" si="124"/>
        <v>1.6148451344287116</v>
      </c>
      <c r="BG126" s="25">
        <f t="shared" ca="1" si="124"/>
        <v>1.6365761794359659</v>
      </c>
      <c r="BH126" s="25">
        <f t="shared" ca="1" si="124"/>
        <v>1.6583072244432204</v>
      </c>
      <c r="BI126" s="25">
        <f t="shared" ca="1" si="124"/>
        <v>1.680038269450475</v>
      </c>
      <c r="BJ126" s="25">
        <f t="shared" ca="1" si="124"/>
        <v>1.7017693144577302</v>
      </c>
      <c r="BK126" s="25">
        <f t="shared" ca="1" si="124"/>
        <v>1.730184037374541</v>
      </c>
      <c r="BL126" s="25">
        <f t="shared" ca="1" si="124"/>
        <v>1.7585987602913518</v>
      </c>
      <c r="BM126" s="25">
        <f t="shared" ca="1" si="124"/>
        <v>1.7870134832081628</v>
      </c>
      <c r="BN126" s="25">
        <f t="shared" ca="1" si="124"/>
        <v>1.8154282061249736</v>
      </c>
      <c r="BO126" s="25">
        <f t="shared" ref="BO126:CN126" ca="1" si="125">BO127+BO136</f>
        <v>1.8438429290417844</v>
      </c>
      <c r="BP126" s="25">
        <f t="shared" ca="1" si="125"/>
        <v>1.8722576519585954</v>
      </c>
      <c r="BQ126" s="25">
        <f t="shared" ca="1" si="125"/>
        <v>1.9006723748754062</v>
      </c>
      <c r="BR126" s="25">
        <f t="shared" ca="1" si="125"/>
        <v>1.929087097792217</v>
      </c>
      <c r="BS126" s="25">
        <f t="shared" ca="1" si="125"/>
        <v>1.9575018207090278</v>
      </c>
      <c r="BT126" s="25">
        <f t="shared" ca="1" si="125"/>
        <v>1.9859165436258384</v>
      </c>
      <c r="BU126" s="25">
        <f t="shared" ca="1" si="125"/>
        <v>1.970119799550351</v>
      </c>
      <c r="BV126" s="25">
        <f t="shared" ca="1" si="125"/>
        <v>1.9543230554748636</v>
      </c>
      <c r="BW126" s="25">
        <f t="shared" ca="1" si="125"/>
        <v>1.938526311399376</v>
      </c>
      <c r="BX126" s="25">
        <f t="shared" ca="1" si="125"/>
        <v>1.9227295673238887</v>
      </c>
      <c r="BY126" s="25">
        <f t="shared" ca="1" si="125"/>
        <v>1.9069328232484013</v>
      </c>
      <c r="BZ126" s="25">
        <f t="shared" ca="1" si="125"/>
        <v>1.8911360791729139</v>
      </c>
      <c r="CA126" s="25">
        <f t="shared" ca="1" si="125"/>
        <v>1.8753393350974266</v>
      </c>
      <c r="CB126" s="25">
        <f t="shared" ca="1" si="125"/>
        <v>1.859542591021939</v>
      </c>
      <c r="CC126" s="25">
        <f t="shared" ca="1" si="125"/>
        <v>1.8437458469464516</v>
      </c>
      <c r="CD126" s="25">
        <f t="shared" ca="1" si="125"/>
        <v>1.8279491028709645</v>
      </c>
      <c r="CE126" s="25">
        <f t="shared" ca="1" si="125"/>
        <v>1.7864612247833669</v>
      </c>
      <c r="CF126" s="25">
        <f t="shared" ca="1" si="125"/>
        <v>1.7449733466957693</v>
      </c>
      <c r="CG126" s="25">
        <f t="shared" ca="1" si="125"/>
        <v>1.7034854686081717</v>
      </c>
      <c r="CH126" s="25">
        <f t="shared" ca="1" si="125"/>
        <v>1.6619975905205742</v>
      </c>
      <c r="CI126" s="25">
        <f t="shared" ca="1" si="125"/>
        <v>1.6205097124329764</v>
      </c>
      <c r="CJ126" s="25">
        <f t="shared" ca="1" si="125"/>
        <v>1.5790218343453788</v>
      </c>
      <c r="CK126" s="25">
        <f t="shared" ca="1" si="125"/>
        <v>1.5375339562577812</v>
      </c>
      <c r="CL126" s="25">
        <f t="shared" ca="1" si="125"/>
        <v>1.4960460781701834</v>
      </c>
      <c r="CM126" s="25">
        <f t="shared" ca="1" si="125"/>
        <v>1.4545582000825859</v>
      </c>
      <c r="CN126" s="25">
        <f t="shared" ca="1" si="125"/>
        <v>1.4130703219949887</v>
      </c>
    </row>
    <row r="127" spans="1:92" x14ac:dyDescent="0.2">
      <c r="A127" s="25" t="str">
        <f>TotalEmissions!A8</f>
        <v>NIC (Net Industry Carbon)</v>
      </c>
      <c r="B127" s="25">
        <f ca="1">TotalEmissions!B8</f>
        <v>1.6191182434558868</v>
      </c>
      <c r="C127" s="25">
        <f t="shared" ref="C127:K129" ca="1" si="126">B127+(($L127-$B127)/($L$75-$B$75))</f>
        <v>1.6169414162635802</v>
      </c>
      <c r="D127" s="25">
        <f t="shared" ca="1" si="126"/>
        <v>1.6147645890712736</v>
      </c>
      <c r="E127" s="25">
        <f t="shared" ca="1" si="126"/>
        <v>1.612587761878967</v>
      </c>
      <c r="F127" s="25">
        <f t="shared" ca="1" si="126"/>
        <v>1.6104109346866604</v>
      </c>
      <c r="G127" s="25">
        <f t="shared" ca="1" si="126"/>
        <v>1.6082341074943538</v>
      </c>
      <c r="H127" s="25">
        <f t="shared" ca="1" si="126"/>
        <v>1.6060572803020472</v>
      </c>
      <c r="I127" s="25">
        <f t="shared" ca="1" si="126"/>
        <v>1.6038804531097406</v>
      </c>
      <c r="J127" s="25">
        <f t="shared" ca="1" si="126"/>
        <v>1.601703625917434</v>
      </c>
      <c r="K127" s="25">
        <f t="shared" ca="1" si="126"/>
        <v>1.5995267987251274</v>
      </c>
      <c r="L127" s="25">
        <f ca="1">TotalEmissions!C8</f>
        <v>1.5973499715328217</v>
      </c>
      <c r="M127" s="25">
        <f t="shared" ref="M127:U129" ca="1" si="127">L127+(($V127-$L127)/($V$75-$L$75))</f>
        <v>1.5410775254170099</v>
      </c>
      <c r="N127" s="25">
        <f t="shared" ca="1" si="127"/>
        <v>1.4848050793011982</v>
      </c>
      <c r="O127" s="25">
        <f t="shared" ca="1" si="127"/>
        <v>1.4285326331853865</v>
      </c>
      <c r="P127" s="25">
        <f t="shared" ca="1" si="127"/>
        <v>1.3722601870695748</v>
      </c>
      <c r="Q127" s="25">
        <f t="shared" ca="1" si="127"/>
        <v>1.315987740953763</v>
      </c>
      <c r="R127" s="25">
        <f t="shared" ca="1" si="127"/>
        <v>1.2597152948379513</v>
      </c>
      <c r="S127" s="25">
        <f t="shared" ca="1" si="127"/>
        <v>1.2034428487221396</v>
      </c>
      <c r="T127" s="25">
        <f t="shared" ca="1" si="127"/>
        <v>1.1471704026063279</v>
      </c>
      <c r="U127" s="25">
        <f t="shared" ca="1" si="127"/>
        <v>1.0908979564905161</v>
      </c>
      <c r="V127" s="25">
        <f ca="1">TotalEmissions!D8</f>
        <v>1.0346255103747048</v>
      </c>
      <c r="W127" s="25">
        <f t="shared" ref="W127:AE129" ca="1" si="128">V127+(($AF127-$V127)/($AF$75-$V$75))</f>
        <v>0.96915476024150837</v>
      </c>
      <c r="X127" s="25">
        <f t="shared" ca="1" si="128"/>
        <v>0.9036840101083119</v>
      </c>
      <c r="Y127" s="25">
        <f t="shared" ca="1" si="128"/>
        <v>0.83821325997511542</v>
      </c>
      <c r="Z127" s="25">
        <f t="shared" ca="1" si="128"/>
        <v>0.77274250984191895</v>
      </c>
      <c r="AA127" s="25">
        <f t="shared" ca="1" si="128"/>
        <v>0.70727175970872247</v>
      </c>
      <c r="AB127" s="25">
        <f t="shared" ca="1" si="128"/>
        <v>0.64180100957552599</v>
      </c>
      <c r="AC127" s="25">
        <f t="shared" ca="1" si="128"/>
        <v>0.57633025944232952</v>
      </c>
      <c r="AD127" s="25">
        <f t="shared" ca="1" si="128"/>
        <v>0.51085950930913304</v>
      </c>
      <c r="AE127" s="25">
        <f t="shared" ca="1" si="128"/>
        <v>0.44538875917593657</v>
      </c>
      <c r="AF127" s="25">
        <f ca="1">TotalEmissions!E8</f>
        <v>0.37991800904273987</v>
      </c>
      <c r="AG127" s="25">
        <f t="shared" ref="AG127:AO129" ca="1" si="129">AF127+(($AP127-$AF127)/($AP$75-$AF$75))</f>
        <v>0.3710897463063399</v>
      </c>
      <c r="AH127" s="25">
        <f t="shared" ca="1" si="129"/>
        <v>0.36226148356993992</v>
      </c>
      <c r="AI127" s="25">
        <f t="shared" ca="1" si="129"/>
        <v>0.35343322083353995</v>
      </c>
      <c r="AJ127" s="25">
        <f t="shared" ca="1" si="129"/>
        <v>0.34460495809713998</v>
      </c>
      <c r="AK127" s="25">
        <f t="shared" ca="1" si="129"/>
        <v>0.33577669536074001</v>
      </c>
      <c r="AL127" s="25">
        <f t="shared" ca="1" si="129"/>
        <v>0.32694843262434004</v>
      </c>
      <c r="AM127" s="25">
        <f t="shared" ca="1" si="129"/>
        <v>0.31812016988794006</v>
      </c>
      <c r="AN127" s="25">
        <f t="shared" ca="1" si="129"/>
        <v>0.30929190715154009</v>
      </c>
      <c r="AO127" s="25">
        <f t="shared" ca="1" si="129"/>
        <v>0.30046364441514012</v>
      </c>
      <c r="AP127" s="25">
        <f ca="1">TotalEmissions!F8</f>
        <v>0.29163538167874015</v>
      </c>
      <c r="AQ127" s="25">
        <f t="shared" ref="AQ127:AY129" ca="1" si="130">AP127+(($AZ127-$AP127)/($AZ$75-$AP$75))</f>
        <v>0.28774513055880863</v>
      </c>
      <c r="AR127" s="25">
        <f t="shared" ca="1" si="130"/>
        <v>0.28385487943887711</v>
      </c>
      <c r="AS127" s="25">
        <f t="shared" ca="1" si="130"/>
        <v>0.27996462831894559</v>
      </c>
      <c r="AT127" s="25">
        <f t="shared" ca="1" si="130"/>
        <v>0.27607437719901406</v>
      </c>
      <c r="AU127" s="25">
        <f t="shared" ca="1" si="130"/>
        <v>0.27218412607908254</v>
      </c>
      <c r="AV127" s="25">
        <f t="shared" ca="1" si="130"/>
        <v>0.26829387495915102</v>
      </c>
      <c r="AW127" s="25">
        <f t="shared" ca="1" si="130"/>
        <v>0.2644036238392195</v>
      </c>
      <c r="AX127" s="25">
        <f t="shared" ca="1" si="130"/>
        <v>0.26051337271928798</v>
      </c>
      <c r="AY127" s="25">
        <f t="shared" ca="1" si="130"/>
        <v>0.25662312159935646</v>
      </c>
      <c r="AZ127" s="25">
        <f ca="1">TotalEmissions!G8</f>
        <v>0.25273287047942478</v>
      </c>
      <c r="BA127" s="25">
        <f t="shared" ref="BA127:BI129" ca="1" si="131">AZ127+(($BJ127-$AZ127)/($BJ$75-$AZ$75))</f>
        <v>0.25398681685328484</v>
      </c>
      <c r="BB127" s="25">
        <f t="shared" ca="1" si="131"/>
        <v>0.2552407632271449</v>
      </c>
      <c r="BC127" s="25">
        <f t="shared" ca="1" si="131"/>
        <v>0.25649470960100496</v>
      </c>
      <c r="BD127" s="25">
        <f t="shared" ca="1" si="131"/>
        <v>0.25774865597486502</v>
      </c>
      <c r="BE127" s="25">
        <f t="shared" ca="1" si="131"/>
        <v>0.25900260234872508</v>
      </c>
      <c r="BF127" s="25">
        <f t="shared" ca="1" si="131"/>
        <v>0.26025654872258513</v>
      </c>
      <c r="BG127" s="25">
        <f t="shared" ca="1" si="131"/>
        <v>0.26151049509644519</v>
      </c>
      <c r="BH127" s="25">
        <f t="shared" ca="1" si="131"/>
        <v>0.26276444147030525</v>
      </c>
      <c r="BI127" s="25">
        <f t="shared" ca="1" si="131"/>
        <v>0.26401838784416531</v>
      </c>
      <c r="BJ127" s="25">
        <f ca="1">TotalEmissions!H8</f>
        <v>0.26527233421802521</v>
      </c>
      <c r="BK127" s="25">
        <f t="shared" ref="BK127:BS129" ca="1" si="132">BJ127+(($BT127-$BJ127)/($BT$75-$BJ$75))</f>
        <v>0.26743469883998233</v>
      </c>
      <c r="BL127" s="25">
        <f t="shared" ca="1" si="132"/>
        <v>0.26959706346193946</v>
      </c>
      <c r="BM127" s="25">
        <f t="shared" ca="1" si="132"/>
        <v>0.27175942808389658</v>
      </c>
      <c r="BN127" s="25">
        <f t="shared" ca="1" si="132"/>
        <v>0.27392179270585371</v>
      </c>
      <c r="BO127" s="25">
        <f t="shared" ca="1" si="132"/>
        <v>0.27608415732781083</v>
      </c>
      <c r="BP127" s="25">
        <f t="shared" ca="1" si="132"/>
        <v>0.27824652194976796</v>
      </c>
      <c r="BQ127" s="25">
        <f t="shared" ca="1" si="132"/>
        <v>0.28040888657172508</v>
      </c>
      <c r="BR127" s="25">
        <f t="shared" ca="1" si="132"/>
        <v>0.2825712511936822</v>
      </c>
      <c r="BS127" s="25">
        <f t="shared" ca="1" si="132"/>
        <v>0.28473361581563933</v>
      </c>
      <c r="BT127" s="25">
        <f ca="1">TotalEmissions!I8</f>
        <v>0.28689598043759662</v>
      </c>
      <c r="BU127" s="25">
        <f t="shared" ref="BU127:CC129" ca="1" si="133">BT127+(($CD127-$BT127)/($CD$75-$BT$75))</f>
        <v>0.28662810871998468</v>
      </c>
      <c r="BV127" s="25">
        <f t="shared" ca="1" si="133"/>
        <v>0.28636023700237273</v>
      </c>
      <c r="BW127" s="25">
        <f t="shared" ca="1" si="133"/>
        <v>0.28609236528476079</v>
      </c>
      <c r="BX127" s="25">
        <f t="shared" ca="1" si="133"/>
        <v>0.28582449356714884</v>
      </c>
      <c r="BY127" s="25">
        <f t="shared" ca="1" si="133"/>
        <v>0.2855566218495369</v>
      </c>
      <c r="BZ127" s="25">
        <f t="shared" ca="1" si="133"/>
        <v>0.28528875013192495</v>
      </c>
      <c r="CA127" s="25">
        <f t="shared" ca="1" si="133"/>
        <v>0.28502087841431301</v>
      </c>
      <c r="CB127" s="25">
        <f t="shared" ca="1" si="133"/>
        <v>0.28475300669670106</v>
      </c>
      <c r="CC127" s="25">
        <f t="shared" ca="1" si="133"/>
        <v>0.28448513497908912</v>
      </c>
      <c r="CD127" s="25">
        <f ca="1">TotalEmissions!J8</f>
        <v>0.28421726326147712</v>
      </c>
      <c r="CE127" s="25">
        <f t="shared" ref="CE127:CM129" ca="1" si="134">CD127+(($CN127-$CD127)/($CN$75-$CD$75))</f>
        <v>0.28467806577682492</v>
      </c>
      <c r="CF127" s="25">
        <f t="shared" ca="1" si="134"/>
        <v>0.28513886829217272</v>
      </c>
      <c r="CG127" s="25">
        <f t="shared" ca="1" si="134"/>
        <v>0.28559967080752052</v>
      </c>
      <c r="CH127" s="25">
        <f t="shared" ca="1" si="134"/>
        <v>0.28606047332286832</v>
      </c>
      <c r="CI127" s="25">
        <f t="shared" ca="1" si="134"/>
        <v>0.28652127583821613</v>
      </c>
      <c r="CJ127" s="25">
        <f t="shared" ca="1" si="134"/>
        <v>0.28698207835356393</v>
      </c>
      <c r="CK127" s="25">
        <f t="shared" ca="1" si="134"/>
        <v>0.28744288086891173</v>
      </c>
      <c r="CL127" s="25">
        <f t="shared" ca="1" si="134"/>
        <v>0.28790368338425953</v>
      </c>
      <c r="CM127" s="25">
        <f t="shared" ca="1" si="134"/>
        <v>0.28836448589960734</v>
      </c>
      <c r="CN127" s="25">
        <f ca="1">TotalEmissions!K8</f>
        <v>0.28882528841495514</v>
      </c>
    </row>
    <row r="128" spans="1:92" x14ac:dyDescent="0.2">
      <c r="A128" s="25" t="str">
        <f>TotalEmissions!A11</f>
        <v>other gases</v>
      </c>
      <c r="B128" s="25">
        <f ca="1">TotalEmissions!B11</f>
        <v>13.375585601370156</v>
      </c>
      <c r="C128" s="25">
        <f t="shared" ca="1" si="126"/>
        <v>13.251978691722876</v>
      </c>
      <c r="D128" s="25">
        <f t="shared" ca="1" si="126"/>
        <v>13.128371782075595</v>
      </c>
      <c r="E128" s="25">
        <f t="shared" ca="1" si="126"/>
        <v>13.004764872428314</v>
      </c>
      <c r="F128" s="25">
        <f t="shared" ca="1" si="126"/>
        <v>12.881157962781034</v>
      </c>
      <c r="G128" s="25">
        <f t="shared" ca="1" si="126"/>
        <v>12.757551053133753</v>
      </c>
      <c r="H128" s="25">
        <f t="shared" ca="1" si="126"/>
        <v>12.633944143486472</v>
      </c>
      <c r="I128" s="25">
        <f t="shared" ca="1" si="126"/>
        <v>12.510337233839191</v>
      </c>
      <c r="J128" s="25">
        <f t="shared" ca="1" si="126"/>
        <v>12.386730324191911</v>
      </c>
      <c r="K128" s="25">
        <f t="shared" ca="1" si="126"/>
        <v>12.26312341454463</v>
      </c>
      <c r="L128" s="25">
        <f ca="1">TotalEmissions!C11</f>
        <v>12.139516504897342</v>
      </c>
      <c r="M128" s="25">
        <f t="shared" ca="1" si="127"/>
        <v>11.7132506795539</v>
      </c>
      <c r="N128" s="25">
        <f t="shared" ca="1" si="127"/>
        <v>11.286984854210457</v>
      </c>
      <c r="O128" s="25">
        <f t="shared" ca="1" si="127"/>
        <v>10.860719028867015</v>
      </c>
      <c r="P128" s="25">
        <f t="shared" ca="1" si="127"/>
        <v>10.434453203523573</v>
      </c>
      <c r="Q128" s="25">
        <f t="shared" ca="1" si="127"/>
        <v>10.00818737818013</v>
      </c>
      <c r="R128" s="25">
        <f t="shared" ca="1" si="127"/>
        <v>9.5819215528366879</v>
      </c>
      <c r="S128" s="25">
        <f t="shared" ca="1" si="127"/>
        <v>9.1556557274932455</v>
      </c>
      <c r="T128" s="25">
        <f t="shared" ca="1" si="127"/>
        <v>8.7293899021498031</v>
      </c>
      <c r="U128" s="25">
        <f t="shared" ca="1" si="127"/>
        <v>8.3031240768063608</v>
      </c>
      <c r="V128" s="25">
        <f ca="1">TotalEmissions!D11</f>
        <v>7.876858251462914</v>
      </c>
      <c r="W128" s="25">
        <f t="shared" ca="1" si="128"/>
        <v>7.6579269419973377</v>
      </c>
      <c r="X128" s="25">
        <f t="shared" ca="1" si="128"/>
        <v>7.4389956325317614</v>
      </c>
      <c r="Y128" s="25">
        <f t="shared" ca="1" si="128"/>
        <v>7.2200643230661852</v>
      </c>
      <c r="Z128" s="25">
        <f t="shared" ca="1" si="128"/>
        <v>7.0011330136006089</v>
      </c>
      <c r="AA128" s="25">
        <f t="shared" ca="1" si="128"/>
        <v>6.7822017041350326</v>
      </c>
      <c r="AB128" s="25">
        <f t="shared" ca="1" si="128"/>
        <v>6.5632703946694564</v>
      </c>
      <c r="AC128" s="25">
        <f t="shared" ca="1" si="128"/>
        <v>6.3443390852038801</v>
      </c>
      <c r="AD128" s="25">
        <f t="shared" ca="1" si="128"/>
        <v>6.1254077757383039</v>
      </c>
      <c r="AE128" s="25">
        <f t="shared" ca="1" si="128"/>
        <v>5.9064764662727276</v>
      </c>
      <c r="AF128" s="25">
        <f ca="1">TotalEmissions!E11</f>
        <v>5.6875451568071531</v>
      </c>
      <c r="AG128" s="25">
        <f t="shared" ca="1" si="129"/>
        <v>5.5652704178196633</v>
      </c>
      <c r="AH128" s="25">
        <f t="shared" ca="1" si="129"/>
        <v>5.4429956788321725</v>
      </c>
      <c r="AI128" s="25">
        <f t="shared" ca="1" si="129"/>
        <v>5.3207209398446818</v>
      </c>
      <c r="AJ128" s="25">
        <f t="shared" ca="1" si="129"/>
        <v>5.198446200857191</v>
      </c>
      <c r="AK128" s="25">
        <f t="shared" ca="1" si="129"/>
        <v>5.0761714618697003</v>
      </c>
      <c r="AL128" s="25">
        <f t="shared" ca="1" si="129"/>
        <v>4.9538967228822095</v>
      </c>
      <c r="AM128" s="25">
        <f t="shared" ca="1" si="129"/>
        <v>4.8316219838947188</v>
      </c>
      <c r="AN128" s="25">
        <f t="shared" ca="1" si="129"/>
        <v>4.709347244907228</v>
      </c>
      <c r="AO128" s="25">
        <f t="shared" ca="1" si="129"/>
        <v>4.5870725059197373</v>
      </c>
      <c r="AP128" s="25">
        <f ca="1">TotalEmissions!F11</f>
        <v>4.4647977669322501</v>
      </c>
      <c r="AQ128" s="25">
        <f t="shared" ca="1" si="130"/>
        <v>4.3955564470171593</v>
      </c>
      <c r="AR128" s="25">
        <f t="shared" ca="1" si="130"/>
        <v>4.3263151271020686</v>
      </c>
      <c r="AS128" s="25">
        <f t="shared" ca="1" si="130"/>
        <v>4.2570738071869778</v>
      </c>
      <c r="AT128" s="25">
        <f t="shared" ca="1" si="130"/>
        <v>4.1878324872718871</v>
      </c>
      <c r="AU128" s="25">
        <f t="shared" ca="1" si="130"/>
        <v>4.1185911673567963</v>
      </c>
      <c r="AV128" s="25">
        <f t="shared" ca="1" si="130"/>
        <v>4.0493498474417056</v>
      </c>
      <c r="AW128" s="25">
        <f t="shared" ca="1" si="130"/>
        <v>3.9801085275266153</v>
      </c>
      <c r="AX128" s="25">
        <f t="shared" ca="1" si="130"/>
        <v>3.910867207611525</v>
      </c>
      <c r="AY128" s="25">
        <f t="shared" ca="1" si="130"/>
        <v>3.8416258876964346</v>
      </c>
      <c r="AZ128" s="25">
        <f ca="1">TotalEmissions!G11</f>
        <v>3.7723845677813461</v>
      </c>
      <c r="BA128" s="25">
        <f t="shared" ca="1" si="131"/>
        <v>3.713051157818346</v>
      </c>
      <c r="BB128" s="25">
        <f t="shared" ca="1" si="131"/>
        <v>3.653717747855346</v>
      </c>
      <c r="BC128" s="25">
        <f t="shared" ca="1" si="131"/>
        <v>3.5943843378923459</v>
      </c>
      <c r="BD128" s="25">
        <f t="shared" ca="1" si="131"/>
        <v>3.5350509279293458</v>
      </c>
      <c r="BE128" s="25">
        <f t="shared" ca="1" si="131"/>
        <v>3.4757175179663458</v>
      </c>
      <c r="BF128" s="25">
        <f t="shared" ca="1" si="131"/>
        <v>3.4163841080033457</v>
      </c>
      <c r="BG128" s="25">
        <f t="shared" ca="1" si="131"/>
        <v>3.3570506980403456</v>
      </c>
      <c r="BH128" s="25">
        <f t="shared" ca="1" si="131"/>
        <v>3.2977172880773455</v>
      </c>
      <c r="BI128" s="25">
        <f t="shared" ca="1" si="131"/>
        <v>3.2383838781143455</v>
      </c>
      <c r="BJ128" s="25">
        <f ca="1">TotalEmissions!H11</f>
        <v>3.179050468151345</v>
      </c>
      <c r="BK128" s="25">
        <f t="shared" ca="1" si="132"/>
        <v>3.1320480798843171</v>
      </c>
      <c r="BL128" s="25">
        <f t="shared" ca="1" si="132"/>
        <v>3.0850456916172893</v>
      </c>
      <c r="BM128" s="25">
        <f t="shared" ca="1" si="132"/>
        <v>3.0380433033502614</v>
      </c>
      <c r="BN128" s="25">
        <f t="shared" ca="1" si="132"/>
        <v>2.9910409150832336</v>
      </c>
      <c r="BO128" s="25">
        <f t="shared" ca="1" si="132"/>
        <v>2.9440385268162057</v>
      </c>
      <c r="BP128" s="25">
        <f t="shared" ca="1" si="132"/>
        <v>2.8970361385491779</v>
      </c>
      <c r="BQ128" s="25">
        <f t="shared" ca="1" si="132"/>
        <v>2.85003375028215</v>
      </c>
      <c r="BR128" s="25">
        <f t="shared" ca="1" si="132"/>
        <v>2.8030313620151222</v>
      </c>
      <c r="BS128" s="25">
        <f t="shared" ca="1" si="132"/>
        <v>2.7560289737480943</v>
      </c>
      <c r="BT128" s="25">
        <f ca="1">TotalEmissions!I11</f>
        <v>2.7090265854810647</v>
      </c>
      <c r="BU128" s="25">
        <f t="shared" ca="1" si="133"/>
        <v>2.6688832210222353</v>
      </c>
      <c r="BV128" s="25">
        <f t="shared" ca="1" si="133"/>
        <v>2.6287398565634064</v>
      </c>
      <c r="BW128" s="25">
        <f t="shared" ca="1" si="133"/>
        <v>2.5885964921045774</v>
      </c>
      <c r="BX128" s="25">
        <f t="shared" ca="1" si="133"/>
        <v>2.5484531276457485</v>
      </c>
      <c r="BY128" s="25">
        <f t="shared" ca="1" si="133"/>
        <v>2.5083097631869196</v>
      </c>
      <c r="BZ128" s="25">
        <f t="shared" ca="1" si="133"/>
        <v>2.4681663987280906</v>
      </c>
      <c r="CA128" s="25">
        <f t="shared" ca="1" si="133"/>
        <v>2.4280230342692617</v>
      </c>
      <c r="CB128" s="25">
        <f t="shared" ca="1" si="133"/>
        <v>2.3878796698104328</v>
      </c>
      <c r="CC128" s="25">
        <f t="shared" ca="1" si="133"/>
        <v>2.3477363053516038</v>
      </c>
      <c r="CD128" s="25">
        <f ca="1">TotalEmissions!J11</f>
        <v>2.3075929408927731</v>
      </c>
      <c r="CE128" s="25">
        <f t="shared" ca="1" si="134"/>
        <v>2.2722115030675343</v>
      </c>
      <c r="CF128" s="25">
        <f t="shared" ca="1" si="134"/>
        <v>2.2368300652422954</v>
      </c>
      <c r="CG128" s="25">
        <f t="shared" ca="1" si="134"/>
        <v>2.2014486274170566</v>
      </c>
      <c r="CH128" s="25">
        <f t="shared" ca="1" si="134"/>
        <v>2.1660671895918178</v>
      </c>
      <c r="CI128" s="25">
        <f t="shared" ca="1" si="134"/>
        <v>2.1306857517665789</v>
      </c>
      <c r="CJ128" s="25">
        <f t="shared" ca="1" si="134"/>
        <v>2.0953043139413401</v>
      </c>
      <c r="CK128" s="25">
        <f t="shared" ca="1" si="134"/>
        <v>2.0599228761161013</v>
      </c>
      <c r="CL128" s="25">
        <f t="shared" ca="1" si="134"/>
        <v>2.0245414382908624</v>
      </c>
      <c r="CM128" s="25">
        <f t="shared" ca="1" si="134"/>
        <v>1.9891600004656236</v>
      </c>
      <c r="CN128" s="25">
        <f ca="1">TotalEmissions!K11</f>
        <v>1.9537785626403839</v>
      </c>
    </row>
    <row r="129" spans="1:164" x14ac:dyDescent="0.2">
      <c r="A129" s="25" t="str">
        <f>TotalEmissions!A14</f>
        <v>Land use</v>
      </c>
      <c r="B129" s="25">
        <f ca="1">TotalEmissions!B14</f>
        <v>3.6114053332115086</v>
      </c>
      <c r="C129" s="25">
        <f t="shared" ca="1" si="126"/>
        <v>3.5965442471992248</v>
      </c>
      <c r="D129" s="25">
        <f t="shared" ca="1" si="126"/>
        <v>3.5816831611869411</v>
      </c>
      <c r="E129" s="25">
        <f t="shared" ca="1" si="126"/>
        <v>3.5668220751746573</v>
      </c>
      <c r="F129" s="25">
        <f t="shared" ca="1" si="126"/>
        <v>3.5519609891623736</v>
      </c>
      <c r="G129" s="25">
        <f t="shared" ca="1" si="126"/>
        <v>3.5370999031500898</v>
      </c>
      <c r="H129" s="25">
        <f t="shared" ca="1" si="126"/>
        <v>3.5222388171378061</v>
      </c>
      <c r="I129" s="25">
        <f t="shared" ca="1" si="126"/>
        <v>3.5073777311255223</v>
      </c>
      <c r="J129" s="25">
        <f t="shared" ca="1" si="126"/>
        <v>3.4925166451132386</v>
      </c>
      <c r="K129" s="25">
        <f t="shared" ca="1" si="126"/>
        <v>3.4776555591009548</v>
      </c>
      <c r="L129" s="25">
        <f ca="1">TotalEmissions!C14</f>
        <v>3.4627944730886693</v>
      </c>
      <c r="M129" s="25">
        <f t="shared" ca="1" si="127"/>
        <v>2.9586724944618883</v>
      </c>
      <c r="N129" s="25">
        <f t="shared" ca="1" si="127"/>
        <v>2.4545505158351073</v>
      </c>
      <c r="O129" s="25">
        <f t="shared" ca="1" si="127"/>
        <v>1.9504285372083263</v>
      </c>
      <c r="P129" s="25">
        <f t="shared" ca="1" si="127"/>
        <v>1.4463065585815453</v>
      </c>
      <c r="Q129" s="25">
        <f t="shared" ca="1" si="127"/>
        <v>0.94218457995476435</v>
      </c>
      <c r="R129" s="25">
        <f t="shared" ca="1" si="127"/>
        <v>0.43806260132798336</v>
      </c>
      <c r="S129" s="25">
        <f t="shared" ca="1" si="127"/>
        <v>-6.6059377298797628E-2</v>
      </c>
      <c r="T129" s="25">
        <f t="shared" ca="1" si="127"/>
        <v>-0.57018135592557861</v>
      </c>
      <c r="U129" s="25">
        <f t="shared" ca="1" si="127"/>
        <v>-1.0743033345523596</v>
      </c>
      <c r="V129" s="25">
        <f ca="1">TotalEmissions!D14</f>
        <v>-1.5784253131791401</v>
      </c>
      <c r="W129" s="25">
        <f t="shared" ca="1" si="128"/>
        <v>-1.8813328233084725</v>
      </c>
      <c r="X129" s="25">
        <f t="shared" ca="1" si="128"/>
        <v>-2.1842403334378049</v>
      </c>
      <c r="Y129" s="25">
        <f t="shared" ca="1" si="128"/>
        <v>-2.4871478435671373</v>
      </c>
      <c r="Z129" s="25">
        <f t="shared" ca="1" si="128"/>
        <v>-2.7900553536964696</v>
      </c>
      <c r="AA129" s="25">
        <f t="shared" ca="1" si="128"/>
        <v>-3.092962863825802</v>
      </c>
      <c r="AB129" s="25">
        <f t="shared" ca="1" si="128"/>
        <v>-3.3958703739551344</v>
      </c>
      <c r="AC129" s="25">
        <f t="shared" ca="1" si="128"/>
        <v>-3.6987778840844667</v>
      </c>
      <c r="AD129" s="25">
        <f t="shared" ca="1" si="128"/>
        <v>-4.0016853942137987</v>
      </c>
      <c r="AE129" s="25">
        <f t="shared" ca="1" si="128"/>
        <v>-4.3045929043431306</v>
      </c>
      <c r="AF129" s="25">
        <f ca="1">TotalEmissions!E14</f>
        <v>-4.6075004144724625</v>
      </c>
      <c r="AG129" s="25">
        <f t="shared" ca="1" si="129"/>
        <v>-4.9648744125707402</v>
      </c>
      <c r="AH129" s="25">
        <f t="shared" ca="1" si="129"/>
        <v>-5.3222484106690189</v>
      </c>
      <c r="AI129" s="25">
        <f t="shared" ca="1" si="129"/>
        <v>-5.6796224087672975</v>
      </c>
      <c r="AJ129" s="25">
        <f t="shared" ca="1" si="129"/>
        <v>-6.0369964068655761</v>
      </c>
      <c r="AK129" s="25">
        <f t="shared" ca="1" si="129"/>
        <v>-6.3943704049638548</v>
      </c>
      <c r="AL129" s="25">
        <f t="shared" ca="1" si="129"/>
        <v>-6.7517444030621334</v>
      </c>
      <c r="AM129" s="25">
        <f t="shared" ca="1" si="129"/>
        <v>-7.109118401160412</v>
      </c>
      <c r="AN129" s="25">
        <f t="shared" ca="1" si="129"/>
        <v>-7.4664923992586907</v>
      </c>
      <c r="AO129" s="25">
        <f t="shared" ca="1" si="129"/>
        <v>-7.8238663973569693</v>
      </c>
      <c r="AP129" s="25">
        <f ca="1">TotalEmissions!F14</f>
        <v>-8.1812403954552444</v>
      </c>
      <c r="AQ129" s="25">
        <f t="shared" ca="1" si="130"/>
        <v>-8.1531110253146384</v>
      </c>
      <c r="AR129" s="25">
        <f t="shared" ca="1" si="130"/>
        <v>-8.1249816551740324</v>
      </c>
      <c r="AS129" s="25">
        <f t="shared" ca="1" si="130"/>
        <v>-8.0968522850334264</v>
      </c>
      <c r="AT129" s="25">
        <f t="shared" ca="1" si="130"/>
        <v>-8.0687229148928203</v>
      </c>
      <c r="AU129" s="25">
        <f t="shared" ca="1" si="130"/>
        <v>-8.0405935447522143</v>
      </c>
      <c r="AV129" s="25">
        <f t="shared" ca="1" si="130"/>
        <v>-8.0124641746116083</v>
      </c>
      <c r="AW129" s="25">
        <f t="shared" ca="1" si="130"/>
        <v>-7.9843348044710023</v>
      </c>
      <c r="AX129" s="25">
        <f t="shared" ca="1" si="130"/>
        <v>-7.9562054343303963</v>
      </c>
      <c r="AY129" s="25">
        <f t="shared" ca="1" si="130"/>
        <v>-7.9280760641897903</v>
      </c>
      <c r="AZ129" s="25">
        <f ca="1">TotalEmissions!G14</f>
        <v>-7.8999466940491807</v>
      </c>
      <c r="BA129" s="25">
        <f t="shared" ca="1" si="131"/>
        <v>-7.8626830742702198</v>
      </c>
      <c r="BB129" s="25">
        <f t="shared" ca="1" si="131"/>
        <v>-7.825419454491259</v>
      </c>
      <c r="BC129" s="25">
        <f t="shared" ca="1" si="131"/>
        <v>-7.7881558347122981</v>
      </c>
      <c r="BD129" s="25">
        <f t="shared" ca="1" si="131"/>
        <v>-7.7508922149333372</v>
      </c>
      <c r="BE129" s="25">
        <f t="shared" ca="1" si="131"/>
        <v>-7.7136285951543764</v>
      </c>
      <c r="BF129" s="25">
        <f t="shared" ca="1" si="131"/>
        <v>-7.6763649753754155</v>
      </c>
      <c r="BG129" s="25">
        <f t="shared" ca="1" si="131"/>
        <v>-7.6391013555964546</v>
      </c>
      <c r="BH129" s="25">
        <f t="shared" ca="1" si="131"/>
        <v>-7.6018377358174938</v>
      </c>
      <c r="BI129" s="25">
        <f t="shared" ca="1" si="131"/>
        <v>-7.5645741160385329</v>
      </c>
      <c r="BJ129" s="25">
        <f ca="1">TotalEmissions!H14</f>
        <v>-7.5273104962595703</v>
      </c>
      <c r="BK129" s="25">
        <f t="shared" ca="1" si="132"/>
        <v>-7.3178543419089639</v>
      </c>
      <c r="BL129" s="25">
        <f t="shared" ca="1" si="132"/>
        <v>-7.1083981875583575</v>
      </c>
      <c r="BM129" s="25">
        <f t="shared" ca="1" si="132"/>
        <v>-6.8989420332077511</v>
      </c>
      <c r="BN129" s="25">
        <f t="shared" ca="1" si="132"/>
        <v>-6.6894858788571447</v>
      </c>
      <c r="BO129" s="25">
        <f t="shared" ca="1" si="132"/>
        <v>-6.4800297245065384</v>
      </c>
      <c r="BP129" s="25">
        <f t="shared" ca="1" si="132"/>
        <v>-6.270573570155932</v>
      </c>
      <c r="BQ129" s="25">
        <f t="shared" ca="1" si="132"/>
        <v>-6.0611174158053256</v>
      </c>
      <c r="BR129" s="25">
        <f t="shared" ca="1" si="132"/>
        <v>-5.8516612614547192</v>
      </c>
      <c r="BS129" s="25">
        <f t="shared" ca="1" si="132"/>
        <v>-5.6422051071041128</v>
      </c>
      <c r="BT129" s="25">
        <f ca="1">TotalEmissions!I14</f>
        <v>-5.4327489527535064</v>
      </c>
      <c r="BU129" s="25">
        <f t="shared" ca="1" si="133"/>
        <v>-5.2182895604297883</v>
      </c>
      <c r="BV129" s="25">
        <f t="shared" ca="1" si="133"/>
        <v>-5.0038301681060702</v>
      </c>
      <c r="BW129" s="25">
        <f t="shared" ca="1" si="133"/>
        <v>-4.789370775782352</v>
      </c>
      <c r="BX129" s="25">
        <f t="shared" ca="1" si="133"/>
        <v>-4.5749113834586339</v>
      </c>
      <c r="BY129" s="25">
        <f t="shared" ca="1" si="133"/>
        <v>-4.3604519911349158</v>
      </c>
      <c r="BZ129" s="25">
        <f t="shared" ca="1" si="133"/>
        <v>-4.1459925988111976</v>
      </c>
      <c r="CA129" s="25">
        <f t="shared" ca="1" si="133"/>
        <v>-3.9315332064874795</v>
      </c>
      <c r="CB129" s="25">
        <f t="shared" ca="1" si="133"/>
        <v>-3.7170738141637614</v>
      </c>
      <c r="CC129" s="25">
        <f t="shared" ca="1" si="133"/>
        <v>-3.5026144218400432</v>
      </c>
      <c r="CD129" s="25">
        <f ca="1">TotalEmissions!J14</f>
        <v>-3.2881550295163251</v>
      </c>
      <c r="CE129" s="25">
        <f t="shared" ca="1" si="134"/>
        <v>-3.1378048472475477</v>
      </c>
      <c r="CF129" s="25">
        <f t="shared" ca="1" si="134"/>
        <v>-2.9874546649787703</v>
      </c>
      <c r="CG129" s="25">
        <f t="shared" ca="1" si="134"/>
        <v>-2.8371044827099929</v>
      </c>
      <c r="CH129" s="25">
        <f t="shared" ca="1" si="134"/>
        <v>-2.6867543004412155</v>
      </c>
      <c r="CI129" s="25">
        <f t="shared" ca="1" si="134"/>
        <v>-2.5364041181724382</v>
      </c>
      <c r="CJ129" s="25">
        <f t="shared" ca="1" si="134"/>
        <v>-2.3860539359036608</v>
      </c>
      <c r="CK129" s="25">
        <f t="shared" ca="1" si="134"/>
        <v>-2.2357037536348834</v>
      </c>
      <c r="CL129" s="25">
        <f t="shared" ca="1" si="134"/>
        <v>-2.085353571366106</v>
      </c>
      <c r="CM129" s="25">
        <f t="shared" ca="1" si="134"/>
        <v>-1.9350033890973286</v>
      </c>
      <c r="CN129" s="25">
        <f ca="1">TotalEmissions!K14</f>
        <v>-1.7846532068285519</v>
      </c>
    </row>
    <row r="130" spans="1:164" x14ac:dyDescent="0.2">
      <c r="A130" s="25"/>
      <c r="B130" s="25"/>
      <c r="C130" s="25"/>
      <c r="D130" s="25"/>
      <c r="E130" s="25"/>
      <c r="F130" s="25"/>
      <c r="G130" s="25"/>
      <c r="H130" s="25"/>
      <c r="I130" s="25"/>
      <c r="J130" s="25"/>
      <c r="K130" s="25"/>
      <c r="L130" s="25"/>
      <c r="M130" s="25"/>
      <c r="N130" s="25"/>
      <c r="O130" s="25"/>
      <c r="P130" s="25"/>
      <c r="Q130" s="25"/>
      <c r="R130" s="25"/>
      <c r="S130" s="25"/>
      <c r="T130" s="25"/>
      <c r="U130" s="25"/>
      <c r="V130" s="25"/>
      <c r="W130" s="25"/>
      <c r="X130" s="25"/>
      <c r="Y130" s="25"/>
      <c r="Z130" s="25"/>
      <c r="AA130" s="25"/>
      <c r="AB130" s="25"/>
      <c r="AC130" s="25"/>
      <c r="AD130" s="25"/>
      <c r="AE130" s="25"/>
      <c r="AF130" s="25"/>
      <c r="AG130" s="25"/>
      <c r="AH130" s="25"/>
      <c r="AI130" s="25"/>
      <c r="AJ130" s="25"/>
      <c r="AK130" s="25"/>
      <c r="AL130" s="25"/>
      <c r="AM130" s="25"/>
      <c r="AN130" s="25"/>
      <c r="AO130" s="25"/>
      <c r="AP130" s="25"/>
      <c r="AQ130" s="25"/>
      <c r="AR130" s="25"/>
      <c r="AS130" s="25"/>
      <c r="AT130" s="25"/>
      <c r="AU130" s="25"/>
      <c r="AV130" s="25"/>
      <c r="AW130" s="25"/>
      <c r="AX130" s="25"/>
      <c r="AY130" s="25"/>
      <c r="AZ130" s="25"/>
      <c r="BA130" s="25"/>
      <c r="BB130" s="25"/>
      <c r="BC130" s="25"/>
      <c r="BD130" s="25"/>
      <c r="BE130" s="25"/>
      <c r="BF130" s="25"/>
      <c r="BG130" s="25"/>
      <c r="BH130" s="25"/>
      <c r="BI130" s="25"/>
      <c r="BJ130" s="25"/>
      <c r="BK130" s="25"/>
      <c r="BL130" s="25"/>
      <c r="BM130" s="25"/>
      <c r="BN130" s="25"/>
      <c r="BO130" s="25"/>
      <c r="BP130" s="25"/>
      <c r="BQ130" s="25"/>
      <c r="BR130" s="25"/>
      <c r="BS130" s="25"/>
      <c r="BT130" s="25"/>
      <c r="BU130" s="25"/>
      <c r="BV130" s="25"/>
      <c r="BW130" s="25"/>
      <c r="BX130" s="25"/>
      <c r="BY130" s="25"/>
      <c r="BZ130" s="25"/>
      <c r="CA130" s="25"/>
      <c r="CB130" s="25"/>
      <c r="CC130" s="25"/>
      <c r="CD130" s="25"/>
      <c r="CE130" s="25"/>
      <c r="CF130" s="25"/>
      <c r="CG130" s="25"/>
      <c r="CH130" s="25"/>
      <c r="CI130" s="25"/>
      <c r="CJ130" s="25"/>
      <c r="CK130" s="25"/>
      <c r="CL130" s="25"/>
      <c r="CM130" s="25"/>
      <c r="CN130" s="25"/>
    </row>
    <row r="131" spans="1:164" x14ac:dyDescent="0.2">
      <c r="A131" s="26" t="s">
        <v>26</v>
      </c>
      <c r="B131" s="25">
        <f ca="1">OtherGases!H14/1000</f>
        <v>9.7598326080322266</v>
      </c>
      <c r="C131" s="25">
        <f t="shared" ref="C131:K133" ca="1" si="135">B131+(($L131-$B131)/($L$75-$B$75))</f>
        <v>9.6213222372436515</v>
      </c>
      <c r="D131" s="25">
        <f t="shared" ca="1" si="135"/>
        <v>9.4828118664550765</v>
      </c>
      <c r="E131" s="25">
        <f t="shared" ca="1" si="135"/>
        <v>9.3443014956665014</v>
      </c>
      <c r="F131" s="25">
        <f t="shared" ca="1" si="135"/>
        <v>9.2057911248779263</v>
      </c>
      <c r="G131" s="25">
        <f t="shared" ca="1" si="135"/>
        <v>9.0672807540893512</v>
      </c>
      <c r="H131" s="25">
        <f t="shared" ca="1" si="135"/>
        <v>8.9287703833007761</v>
      </c>
      <c r="I131" s="25">
        <f t="shared" ca="1" si="135"/>
        <v>8.790260012512201</v>
      </c>
      <c r="J131" s="25">
        <f t="shared" ca="1" si="135"/>
        <v>8.6517496417236259</v>
      </c>
      <c r="K131" s="25">
        <f t="shared" ca="1" si="135"/>
        <v>8.5132392709350508</v>
      </c>
      <c r="L131" s="25">
        <f ca="1">OtherGases!I14/1000</f>
        <v>8.3747289001464829</v>
      </c>
      <c r="M131" s="25">
        <f t="shared" ref="M131:U133" ca="1" si="136">L131+(($V131-$L131)/($V$75-$L$75))</f>
        <v>8.1008865005493149</v>
      </c>
      <c r="N131" s="25">
        <f t="shared" ca="1" si="136"/>
        <v>7.827044100952147</v>
      </c>
      <c r="O131" s="25">
        <f t="shared" ca="1" si="136"/>
        <v>7.553201701354979</v>
      </c>
      <c r="P131" s="25">
        <f t="shared" ca="1" si="136"/>
        <v>7.2793593017578111</v>
      </c>
      <c r="Q131" s="25">
        <f t="shared" ca="1" si="136"/>
        <v>7.0055169021606432</v>
      </c>
      <c r="R131" s="25">
        <f t="shared" ca="1" si="136"/>
        <v>6.7316745025634752</v>
      </c>
      <c r="S131" s="25">
        <f t="shared" ca="1" si="136"/>
        <v>6.4578321029663073</v>
      </c>
      <c r="T131" s="25">
        <f t="shared" ca="1" si="136"/>
        <v>6.1839897033691393</v>
      </c>
      <c r="U131" s="25">
        <f t="shared" ca="1" si="136"/>
        <v>5.9101473037719714</v>
      </c>
      <c r="V131" s="25">
        <f ca="1">OtherGases!J14/1000</f>
        <v>5.6363049041748043</v>
      </c>
      <c r="W131" s="25">
        <f t="shared" ref="W131:AE133" ca="1" si="137">V131+(($AF131-$V131)/($AF$75-$V$75))</f>
        <v>5.4674764425659177</v>
      </c>
      <c r="X131" s="25">
        <f t="shared" ca="1" si="137"/>
        <v>5.298647980957031</v>
      </c>
      <c r="Y131" s="25">
        <f t="shared" ca="1" si="137"/>
        <v>5.1298195193481444</v>
      </c>
      <c r="Z131" s="25">
        <f t="shared" ca="1" si="137"/>
        <v>4.9609910577392577</v>
      </c>
      <c r="AA131" s="25">
        <f t="shared" ca="1" si="137"/>
        <v>4.7921625961303711</v>
      </c>
      <c r="AB131" s="25">
        <f t="shared" ca="1" si="137"/>
        <v>4.6233341345214845</v>
      </c>
      <c r="AC131" s="25">
        <f t="shared" ca="1" si="137"/>
        <v>4.4545056729125978</v>
      </c>
      <c r="AD131" s="25">
        <f t="shared" ca="1" si="137"/>
        <v>4.2856772113037112</v>
      </c>
      <c r="AE131" s="25">
        <f t="shared" ca="1" si="137"/>
        <v>4.1168487496948245</v>
      </c>
      <c r="AF131" s="25">
        <f ca="1">OtherGases!K14/1000</f>
        <v>3.9480202880859374</v>
      </c>
      <c r="AG131" s="25">
        <f t="shared" ref="AG131:AO133" ca="1" si="138">AF131+(($AP131-$AF131)/($AP$75-$AF$75))</f>
        <v>3.8511244088745116</v>
      </c>
      <c r="AH131" s="25">
        <f t="shared" ca="1" si="138"/>
        <v>3.7542285296630857</v>
      </c>
      <c r="AI131" s="25">
        <f t="shared" ca="1" si="138"/>
        <v>3.6573326504516599</v>
      </c>
      <c r="AJ131" s="25">
        <f t="shared" ca="1" si="138"/>
        <v>3.5604367712402341</v>
      </c>
      <c r="AK131" s="25">
        <f t="shared" ca="1" si="138"/>
        <v>3.4635408920288082</v>
      </c>
      <c r="AL131" s="25">
        <f t="shared" ca="1" si="138"/>
        <v>3.3666450128173824</v>
      </c>
      <c r="AM131" s="25">
        <f t="shared" ca="1" si="138"/>
        <v>3.2697491336059565</v>
      </c>
      <c r="AN131" s="25">
        <f t="shared" ca="1" si="138"/>
        <v>3.1728532543945307</v>
      </c>
      <c r="AO131" s="25">
        <f t="shared" ca="1" si="138"/>
        <v>3.0759573751831049</v>
      </c>
      <c r="AP131" s="25">
        <f ca="1">OtherGases!L14/1000</f>
        <v>2.9790614959716795</v>
      </c>
      <c r="AQ131" s="25">
        <f t="shared" ref="AQ131:AY133" ca="1" si="139">AP131+(($AZ131-$AP131)/($AZ$75-$AP$75))</f>
        <v>2.9207437866210935</v>
      </c>
      <c r="AR131" s="25">
        <f t="shared" ca="1" si="139"/>
        <v>2.8624260772705075</v>
      </c>
      <c r="AS131" s="25">
        <f t="shared" ca="1" si="139"/>
        <v>2.8041083679199215</v>
      </c>
      <c r="AT131" s="25">
        <f t="shared" ca="1" si="139"/>
        <v>2.7457906585693355</v>
      </c>
      <c r="AU131" s="25">
        <f t="shared" ca="1" si="139"/>
        <v>2.6874729492187495</v>
      </c>
      <c r="AV131" s="25">
        <f t="shared" ca="1" si="139"/>
        <v>2.6291552398681635</v>
      </c>
      <c r="AW131" s="25">
        <f t="shared" ca="1" si="139"/>
        <v>2.5708375305175775</v>
      </c>
      <c r="AX131" s="25">
        <f t="shared" ca="1" si="139"/>
        <v>2.5125198211669915</v>
      </c>
      <c r="AY131" s="25">
        <f t="shared" ca="1" si="139"/>
        <v>2.4542021118164055</v>
      </c>
      <c r="AZ131" s="25">
        <f ca="1">OtherGases!M14/1000</f>
        <v>2.3958844024658204</v>
      </c>
      <c r="BA131" s="25">
        <f t="shared" ref="BA131:BI133" ca="1" si="140">AZ131+(($BJ131-$AZ131)/($BJ$75-$AZ$75))</f>
        <v>2.3479846414947509</v>
      </c>
      <c r="BB131" s="25">
        <f t="shared" ca="1" si="140"/>
        <v>2.3000848805236815</v>
      </c>
      <c r="BC131" s="25">
        <f t="shared" ca="1" si="140"/>
        <v>2.2521851195526121</v>
      </c>
      <c r="BD131" s="25">
        <f t="shared" ca="1" si="140"/>
        <v>2.2042853585815427</v>
      </c>
      <c r="BE131" s="25">
        <f t="shared" ca="1" si="140"/>
        <v>2.1563855976104733</v>
      </c>
      <c r="BF131" s="25">
        <f t="shared" ca="1" si="140"/>
        <v>2.1084858366394039</v>
      </c>
      <c r="BG131" s="25">
        <f t="shared" ca="1" si="140"/>
        <v>2.0605860756683345</v>
      </c>
      <c r="BH131" s="25">
        <f t="shared" ca="1" si="140"/>
        <v>2.0126863146972651</v>
      </c>
      <c r="BI131" s="25">
        <f t="shared" ca="1" si="140"/>
        <v>1.9647865537261957</v>
      </c>
      <c r="BJ131" s="25">
        <f ca="1">OtherGases!N14/1000</f>
        <v>1.916886792755127</v>
      </c>
      <c r="BK131" s="25">
        <f t="shared" ref="BK131:BS133" ca="1" si="141">BJ131+(($BT131-$BJ131)/($BT$75-$BJ$75))</f>
        <v>1.8796674686050414</v>
      </c>
      <c r="BL131" s="25">
        <f t="shared" ca="1" si="141"/>
        <v>1.8424481444549559</v>
      </c>
      <c r="BM131" s="25">
        <f t="shared" ca="1" si="141"/>
        <v>1.8052288203048703</v>
      </c>
      <c r="BN131" s="25">
        <f t="shared" ca="1" si="141"/>
        <v>1.7680094961547848</v>
      </c>
      <c r="BO131" s="25">
        <f t="shared" ca="1" si="141"/>
        <v>1.7307901720046992</v>
      </c>
      <c r="BP131" s="25">
        <f t="shared" ca="1" si="141"/>
        <v>1.6935708478546136</v>
      </c>
      <c r="BQ131" s="25">
        <f t="shared" ca="1" si="141"/>
        <v>1.6563515237045281</v>
      </c>
      <c r="BR131" s="25">
        <f t="shared" ca="1" si="141"/>
        <v>1.6191321995544425</v>
      </c>
      <c r="BS131" s="25">
        <f t="shared" ca="1" si="141"/>
        <v>1.581912875404357</v>
      </c>
      <c r="BT131" s="25">
        <f ca="1">OtherGases!O14/1000</f>
        <v>1.5446935512542723</v>
      </c>
      <c r="BU131" s="25">
        <f t="shared" ref="BU131:CC133" ca="1" si="142">BT131+(($CD131-$BT131)/($CD$75-$BT$75))</f>
        <v>1.5125686506271361</v>
      </c>
      <c r="BV131" s="25">
        <f t="shared" ca="1" si="142"/>
        <v>1.4804437499999998</v>
      </c>
      <c r="BW131" s="25">
        <f t="shared" ca="1" si="142"/>
        <v>1.4483188493728636</v>
      </c>
      <c r="BX131" s="25">
        <f t="shared" ca="1" si="142"/>
        <v>1.4161939487457273</v>
      </c>
      <c r="BY131" s="25">
        <f t="shared" ca="1" si="142"/>
        <v>1.3840690481185911</v>
      </c>
      <c r="BZ131" s="25">
        <f t="shared" ca="1" si="142"/>
        <v>1.3519441474914549</v>
      </c>
      <c r="CA131" s="25">
        <f t="shared" ca="1" si="142"/>
        <v>1.3198192468643186</v>
      </c>
      <c r="CB131" s="25">
        <f t="shared" ca="1" si="142"/>
        <v>1.2876943462371824</v>
      </c>
      <c r="CC131" s="25">
        <f t="shared" ca="1" si="142"/>
        <v>1.2555694456100461</v>
      </c>
      <c r="CD131" s="25">
        <f ca="1">OtherGases!P14/1000</f>
        <v>1.2234445449829101</v>
      </c>
      <c r="CE131" s="25">
        <f t="shared" ref="CE131:CM133" ca="1" si="143">CD131+(($CN131-$CD131)/($CN$75-$CD$75))</f>
        <v>1.1946047356796263</v>
      </c>
      <c r="CF131" s="25">
        <f t="shared" ca="1" si="143"/>
        <v>1.1657649263763425</v>
      </c>
      <c r="CG131" s="25">
        <f t="shared" ca="1" si="143"/>
        <v>1.1369251170730588</v>
      </c>
      <c r="CH131" s="25">
        <f t="shared" ca="1" si="143"/>
        <v>1.108085307769775</v>
      </c>
      <c r="CI131" s="25">
        <f t="shared" ca="1" si="143"/>
        <v>1.0792454984664912</v>
      </c>
      <c r="CJ131" s="25">
        <f t="shared" ca="1" si="143"/>
        <v>1.0504056891632074</v>
      </c>
      <c r="CK131" s="25">
        <f t="shared" ca="1" si="143"/>
        <v>1.0215658798599236</v>
      </c>
      <c r="CL131" s="25">
        <f t="shared" ca="1" si="143"/>
        <v>0.99272607055663997</v>
      </c>
      <c r="CM131" s="25">
        <f t="shared" ca="1" si="143"/>
        <v>0.9638862612533563</v>
      </c>
      <c r="CN131" s="25">
        <f ca="1">OtherGases!Q14/1000</f>
        <v>0.93504645195007319</v>
      </c>
      <c r="CO131" s="25"/>
      <c r="CP131" s="25"/>
      <c r="CQ131" s="25"/>
      <c r="CR131" s="25"/>
      <c r="CS131" s="25"/>
      <c r="CT131" s="25"/>
      <c r="CU131" s="25"/>
      <c r="CV131" s="25"/>
      <c r="CW131" s="25"/>
      <c r="CX131" s="25"/>
      <c r="CY131" s="25"/>
      <c r="CZ131" s="25"/>
      <c r="DA131" s="25"/>
      <c r="DB131" s="25"/>
      <c r="DC131" s="25"/>
      <c r="DD131" s="25"/>
      <c r="DE131" s="25"/>
      <c r="DF131" s="25"/>
      <c r="DG131" s="25"/>
      <c r="DH131" s="25"/>
      <c r="DI131" s="25"/>
      <c r="DJ131" s="25"/>
      <c r="DK131" s="25"/>
      <c r="DL131" s="25"/>
      <c r="DM131" s="25"/>
      <c r="DN131" s="25"/>
      <c r="DO131" s="25"/>
      <c r="DP131" s="25"/>
      <c r="DQ131" s="25"/>
      <c r="DR131" s="25"/>
      <c r="DS131" s="25"/>
      <c r="DT131" s="25"/>
      <c r="DU131" s="25"/>
      <c r="DV131" s="25"/>
      <c r="DW131" s="25"/>
      <c r="DX131" s="25"/>
      <c r="DY131" s="25"/>
      <c r="DZ131" s="25"/>
      <c r="EA131" s="25"/>
      <c r="EB131" s="25"/>
      <c r="EC131" s="25"/>
      <c r="ED131" s="25"/>
      <c r="EE131" s="25"/>
      <c r="EF131" s="25"/>
      <c r="EG131" s="25"/>
      <c r="EH131" s="25"/>
      <c r="EI131" s="25"/>
      <c r="EJ131" s="25"/>
      <c r="EK131" s="25"/>
      <c r="EL131" s="25"/>
      <c r="EM131" s="25"/>
      <c r="EN131" s="25"/>
      <c r="EO131" s="25"/>
      <c r="EP131" s="25"/>
      <c r="EQ131" s="25"/>
      <c r="ER131" s="25"/>
      <c r="ES131" s="25"/>
      <c r="ET131" s="25"/>
      <c r="EU131" s="25"/>
      <c r="EV131" s="25"/>
      <c r="EW131" s="25"/>
      <c r="EX131" s="25"/>
      <c r="EY131" s="25"/>
      <c r="EZ131" s="25"/>
      <c r="FA131" s="25"/>
      <c r="FB131" s="25"/>
      <c r="FC131" s="25"/>
      <c r="FD131" s="25"/>
      <c r="FE131" s="25"/>
      <c r="FF131" s="25"/>
      <c r="FG131" s="25"/>
      <c r="FH131" s="25"/>
    </row>
    <row r="132" spans="1:164" x14ac:dyDescent="0.2">
      <c r="A132" s="26" t="s">
        <v>21</v>
      </c>
      <c r="B132" s="25">
        <f ca="1">OtherGases!H15/1000</f>
        <v>2.6832770661627281</v>
      </c>
      <c r="C132" s="25">
        <f t="shared" ca="1" si="135"/>
        <v>2.6599118367257413</v>
      </c>
      <c r="D132" s="25">
        <f t="shared" ca="1" si="135"/>
        <v>2.6365466072887545</v>
      </c>
      <c r="E132" s="25">
        <f t="shared" ca="1" si="135"/>
        <v>2.6131813778517676</v>
      </c>
      <c r="F132" s="25">
        <f t="shared" ca="1" si="135"/>
        <v>2.5898161484147808</v>
      </c>
      <c r="G132" s="25">
        <f t="shared" ca="1" si="135"/>
        <v>2.566450918977794</v>
      </c>
      <c r="H132" s="25">
        <f t="shared" ca="1" si="135"/>
        <v>2.5430856895408072</v>
      </c>
      <c r="I132" s="25">
        <f t="shared" ca="1" si="135"/>
        <v>2.5197204601038203</v>
      </c>
      <c r="J132" s="25">
        <f t="shared" ca="1" si="135"/>
        <v>2.4963552306668335</v>
      </c>
      <c r="K132" s="25">
        <f t="shared" ca="1" si="135"/>
        <v>2.4729900012298467</v>
      </c>
      <c r="L132" s="25">
        <f ca="1">OtherGases!I15/1000</f>
        <v>2.4496247717928576</v>
      </c>
      <c r="M132" s="25">
        <f t="shared" ca="1" si="136"/>
        <v>2.3982094150685986</v>
      </c>
      <c r="N132" s="25">
        <f t="shared" ca="1" si="136"/>
        <v>2.3467940583443396</v>
      </c>
      <c r="O132" s="25">
        <f t="shared" ca="1" si="136"/>
        <v>2.2953787016200806</v>
      </c>
      <c r="P132" s="25">
        <f t="shared" ca="1" si="136"/>
        <v>2.2439633448958216</v>
      </c>
      <c r="Q132" s="25">
        <f t="shared" ca="1" si="136"/>
        <v>2.1925479881715626</v>
      </c>
      <c r="R132" s="25">
        <f t="shared" ca="1" si="136"/>
        <v>2.1411326314473036</v>
      </c>
      <c r="S132" s="25">
        <f t="shared" ca="1" si="136"/>
        <v>2.0897172747230446</v>
      </c>
      <c r="T132" s="25">
        <f t="shared" ca="1" si="136"/>
        <v>2.0383019179987856</v>
      </c>
      <c r="U132" s="25">
        <f t="shared" ca="1" si="136"/>
        <v>1.9868865612745268</v>
      </c>
      <c r="V132" s="25">
        <f ca="1">OtherGases!J15/1000</f>
        <v>1.9354712045502691</v>
      </c>
      <c r="W132" s="25">
        <f t="shared" ca="1" si="137"/>
        <v>1.8975018347852337</v>
      </c>
      <c r="X132" s="25">
        <f t="shared" ca="1" si="137"/>
        <v>1.8595324650201983</v>
      </c>
      <c r="Y132" s="25">
        <f t="shared" ca="1" si="137"/>
        <v>1.8215630952551629</v>
      </c>
      <c r="Z132" s="25">
        <f t="shared" ca="1" si="137"/>
        <v>1.7835937254901275</v>
      </c>
      <c r="AA132" s="25">
        <f t="shared" ca="1" si="137"/>
        <v>1.7456243557250921</v>
      </c>
      <c r="AB132" s="25">
        <f t="shared" ca="1" si="137"/>
        <v>1.7076549859600567</v>
      </c>
      <c r="AC132" s="25">
        <f t="shared" ca="1" si="137"/>
        <v>1.6696856161950213</v>
      </c>
      <c r="AD132" s="25">
        <f t="shared" ca="1" si="137"/>
        <v>1.6317162464299859</v>
      </c>
      <c r="AE132" s="25">
        <f t="shared" ca="1" si="137"/>
        <v>1.5937468766649505</v>
      </c>
      <c r="AF132" s="25">
        <f ca="1">OtherGases!K15/1000</f>
        <v>1.5557775068999158</v>
      </c>
      <c r="AG132" s="25">
        <f t="shared" ca="1" si="138"/>
        <v>1.5309826370580453</v>
      </c>
      <c r="AH132" s="25">
        <f t="shared" ca="1" si="138"/>
        <v>1.5061877672161748</v>
      </c>
      <c r="AI132" s="25">
        <f t="shared" ca="1" si="138"/>
        <v>1.4813928973743042</v>
      </c>
      <c r="AJ132" s="25">
        <f t="shared" ca="1" si="138"/>
        <v>1.4565980275324337</v>
      </c>
      <c r="AK132" s="25">
        <f t="shared" ca="1" si="138"/>
        <v>1.4318031576905632</v>
      </c>
      <c r="AL132" s="25">
        <f t="shared" ca="1" si="138"/>
        <v>1.4070082878486927</v>
      </c>
      <c r="AM132" s="25">
        <f t="shared" ca="1" si="138"/>
        <v>1.3822134180068222</v>
      </c>
      <c r="AN132" s="25">
        <f t="shared" ca="1" si="138"/>
        <v>1.3574185481649517</v>
      </c>
      <c r="AO132" s="25">
        <f t="shared" ca="1" si="138"/>
        <v>1.3326236783230812</v>
      </c>
      <c r="AP132" s="25">
        <f ca="1">OtherGases!L15/1000</f>
        <v>1.30782880848121</v>
      </c>
      <c r="AQ132" s="25">
        <f t="shared" ca="1" si="139"/>
        <v>1.2965761782840834</v>
      </c>
      <c r="AR132" s="25">
        <f t="shared" ca="1" si="139"/>
        <v>1.2853235480869571</v>
      </c>
      <c r="AS132" s="25">
        <f t="shared" ca="1" si="139"/>
        <v>1.2740709178898308</v>
      </c>
      <c r="AT132" s="25">
        <f t="shared" ca="1" si="139"/>
        <v>1.2628182876927045</v>
      </c>
      <c r="AU132" s="25">
        <f t="shared" ca="1" si="139"/>
        <v>1.2515656574955782</v>
      </c>
      <c r="AV132" s="25">
        <f t="shared" ca="1" si="139"/>
        <v>1.2403130272984519</v>
      </c>
      <c r="AW132" s="25">
        <f t="shared" ca="1" si="139"/>
        <v>1.2290603971013256</v>
      </c>
      <c r="AX132" s="25">
        <f t="shared" ca="1" si="139"/>
        <v>1.2178077669041993</v>
      </c>
      <c r="AY132" s="25">
        <f t="shared" ca="1" si="139"/>
        <v>1.206555136707073</v>
      </c>
      <c r="AZ132" s="25">
        <f ca="1">OtherGases!M15/1000</f>
        <v>1.1953025065099459</v>
      </c>
      <c r="BA132" s="25">
        <f t="shared" ca="1" si="140"/>
        <v>1.1830068595894712</v>
      </c>
      <c r="BB132" s="25">
        <f t="shared" ca="1" si="140"/>
        <v>1.1707112126689965</v>
      </c>
      <c r="BC132" s="25">
        <f t="shared" ca="1" si="140"/>
        <v>1.1584155657485218</v>
      </c>
      <c r="BD132" s="25">
        <f t="shared" ca="1" si="140"/>
        <v>1.1461199188280471</v>
      </c>
      <c r="BE132" s="25">
        <f t="shared" ca="1" si="140"/>
        <v>1.1338242719075724</v>
      </c>
      <c r="BF132" s="25">
        <f t="shared" ca="1" si="140"/>
        <v>1.1215286249870977</v>
      </c>
      <c r="BG132" s="25">
        <f t="shared" ca="1" si="140"/>
        <v>1.109232978066623</v>
      </c>
      <c r="BH132" s="25">
        <f t="shared" ca="1" si="140"/>
        <v>1.0969373311461483</v>
      </c>
      <c r="BI132" s="25">
        <f t="shared" ca="1" si="140"/>
        <v>1.0846416842256736</v>
      </c>
      <c r="BJ132" s="25">
        <f ca="1">OtherGases!N15/1000</f>
        <v>1.0723460373051983</v>
      </c>
      <c r="BK132" s="25">
        <f t="shared" ca="1" si="141"/>
        <v>1.0624812158235137</v>
      </c>
      <c r="BL132" s="25">
        <f t="shared" ca="1" si="141"/>
        <v>1.0526163943418292</v>
      </c>
      <c r="BM132" s="25">
        <f t="shared" ca="1" si="141"/>
        <v>1.0427515728601446</v>
      </c>
      <c r="BN132" s="25">
        <f t="shared" ca="1" si="141"/>
        <v>1.0328867513784601</v>
      </c>
      <c r="BO132" s="25">
        <f t="shared" ca="1" si="141"/>
        <v>1.0230219298967755</v>
      </c>
      <c r="BP132" s="25">
        <f t="shared" ca="1" si="141"/>
        <v>1.013157108415091</v>
      </c>
      <c r="BQ132" s="25">
        <f t="shared" ca="1" si="141"/>
        <v>1.0032922869334064</v>
      </c>
      <c r="BR132" s="25">
        <f t="shared" ca="1" si="141"/>
        <v>0.99342746545172189</v>
      </c>
      <c r="BS132" s="25">
        <f t="shared" ca="1" si="141"/>
        <v>0.98356264397003734</v>
      </c>
      <c r="BT132" s="25">
        <f ca="1">OtherGases!O15/1000</f>
        <v>0.97369782248835224</v>
      </c>
      <c r="BU132" s="25">
        <f t="shared" ca="1" si="142"/>
        <v>0.96568200566924933</v>
      </c>
      <c r="BV132" s="25">
        <f t="shared" ca="1" si="142"/>
        <v>0.95766618885014643</v>
      </c>
      <c r="BW132" s="25">
        <f t="shared" ca="1" si="142"/>
        <v>0.94965037203104352</v>
      </c>
      <c r="BX132" s="25">
        <f t="shared" ca="1" si="142"/>
        <v>0.94163455521194062</v>
      </c>
      <c r="BY132" s="25">
        <f t="shared" ca="1" si="142"/>
        <v>0.93361873839283771</v>
      </c>
      <c r="BZ132" s="25">
        <f t="shared" ca="1" si="142"/>
        <v>0.9256029215737348</v>
      </c>
      <c r="CA132" s="25">
        <f t="shared" ca="1" si="142"/>
        <v>0.9175871047546319</v>
      </c>
      <c r="CB132" s="25">
        <f t="shared" ca="1" si="142"/>
        <v>0.90957128793552899</v>
      </c>
      <c r="CC132" s="25">
        <f t="shared" ca="1" si="142"/>
        <v>0.90155547111642609</v>
      </c>
      <c r="CD132" s="25">
        <f ca="1">OtherGases!P15/1000</f>
        <v>0.89353965429732307</v>
      </c>
      <c r="CE132" s="25">
        <f t="shared" ca="1" si="143"/>
        <v>0.88698882115701982</v>
      </c>
      <c r="CF132" s="25">
        <f t="shared" ca="1" si="143"/>
        <v>0.88043798801671658</v>
      </c>
      <c r="CG132" s="25">
        <f t="shared" ca="1" si="143"/>
        <v>0.87388715487641333</v>
      </c>
      <c r="CH132" s="25">
        <f t="shared" ca="1" si="143"/>
        <v>0.86733632173611008</v>
      </c>
      <c r="CI132" s="25">
        <f t="shared" ca="1" si="143"/>
        <v>0.86078548859580684</v>
      </c>
      <c r="CJ132" s="25">
        <f t="shared" ca="1" si="143"/>
        <v>0.85423465545550359</v>
      </c>
      <c r="CK132" s="25">
        <f t="shared" ca="1" si="143"/>
        <v>0.84768382231520034</v>
      </c>
      <c r="CL132" s="25">
        <f t="shared" ca="1" si="143"/>
        <v>0.84113298917489709</v>
      </c>
      <c r="CM132" s="25">
        <f t="shared" ca="1" si="143"/>
        <v>0.83458215603459385</v>
      </c>
      <c r="CN132" s="25">
        <f ca="1">OtherGases!Q15/1000</f>
        <v>0.8280313228942906</v>
      </c>
      <c r="CO132" s="25"/>
      <c r="CP132" s="25"/>
      <c r="CQ132" s="25"/>
      <c r="CR132" s="25"/>
      <c r="CS132" s="25"/>
      <c r="CT132" s="25"/>
      <c r="CU132" s="25"/>
      <c r="CV132" s="25"/>
      <c r="CW132" s="25"/>
      <c r="CX132" s="25"/>
      <c r="CY132" s="25"/>
      <c r="CZ132" s="25"/>
      <c r="DA132" s="25"/>
      <c r="DB132" s="25"/>
      <c r="DC132" s="25"/>
      <c r="DD132" s="25"/>
      <c r="DE132" s="25"/>
      <c r="DF132" s="25"/>
      <c r="DG132" s="25"/>
      <c r="DH132" s="25"/>
      <c r="DI132" s="25"/>
      <c r="DJ132" s="25"/>
      <c r="DK132" s="25"/>
      <c r="DL132" s="25"/>
      <c r="DM132" s="25"/>
      <c r="DN132" s="25"/>
      <c r="DO132" s="25"/>
      <c r="DP132" s="25"/>
      <c r="DQ132" s="25"/>
      <c r="DR132" s="25"/>
      <c r="DS132" s="25"/>
      <c r="DT132" s="25"/>
      <c r="DU132" s="25"/>
      <c r="DV132" s="25"/>
      <c r="DW132" s="25"/>
      <c r="DX132" s="25"/>
      <c r="DY132" s="25"/>
      <c r="DZ132" s="25"/>
      <c r="EA132" s="25"/>
      <c r="EB132" s="25"/>
      <c r="EC132" s="25"/>
      <c r="ED132" s="25"/>
      <c r="EE132" s="25"/>
      <c r="EF132" s="25"/>
      <c r="EG132" s="25"/>
      <c r="EH132" s="25"/>
      <c r="EI132" s="25"/>
      <c r="EJ132" s="25"/>
      <c r="EK132" s="25"/>
      <c r="EL132" s="25"/>
      <c r="EM132" s="25"/>
      <c r="EN132" s="25"/>
      <c r="EO132" s="25"/>
      <c r="EP132" s="25"/>
      <c r="EQ132" s="25"/>
      <c r="ER132" s="25"/>
      <c r="ES132" s="25"/>
      <c r="ET132" s="25"/>
      <c r="EU132" s="25"/>
      <c r="EV132" s="25"/>
      <c r="EW132" s="25"/>
      <c r="EX132" s="25"/>
      <c r="EY132" s="25"/>
      <c r="EZ132" s="25"/>
      <c r="FA132" s="25"/>
      <c r="FB132" s="25"/>
      <c r="FC132" s="25"/>
      <c r="FD132" s="25"/>
      <c r="FE132" s="25"/>
      <c r="FF132" s="25"/>
      <c r="FG132" s="25"/>
      <c r="FH132" s="25"/>
    </row>
    <row r="133" spans="1:164" x14ac:dyDescent="0.2">
      <c r="A133" s="265" t="s">
        <v>23</v>
      </c>
      <c r="B133" s="25">
        <f ca="1">OtherGases!H16/1000</f>
        <v>0.9324759271752</v>
      </c>
      <c r="C133" s="25">
        <f t="shared" ca="1" si="135"/>
        <v>0.97074461775347998</v>
      </c>
      <c r="D133" s="25">
        <f t="shared" ca="1" si="135"/>
        <v>1.0090133083317601</v>
      </c>
      <c r="E133" s="25">
        <f t="shared" ca="1" si="135"/>
        <v>1.0472819989100401</v>
      </c>
      <c r="F133" s="25">
        <f t="shared" ca="1" si="135"/>
        <v>1.0855506894883202</v>
      </c>
      <c r="G133" s="25">
        <f t="shared" ca="1" si="135"/>
        <v>1.1238193800666003</v>
      </c>
      <c r="H133" s="25">
        <f t="shared" ca="1" si="135"/>
        <v>1.1620880706448804</v>
      </c>
      <c r="I133" s="25">
        <f t="shared" ca="1" si="135"/>
        <v>1.2003567612231605</v>
      </c>
      <c r="J133" s="25">
        <f t="shared" ca="1" si="135"/>
        <v>1.2386254518014406</v>
      </c>
      <c r="K133" s="25">
        <f t="shared" ca="1" si="135"/>
        <v>1.2768941423797207</v>
      </c>
      <c r="L133" s="25">
        <f ca="1">OtherGases!I16/1000</f>
        <v>1.3151628329580003</v>
      </c>
      <c r="M133" s="25">
        <f t="shared" ca="1" si="136"/>
        <v>1.2141547639359842</v>
      </c>
      <c r="N133" s="25">
        <f t="shared" ca="1" si="136"/>
        <v>1.1131466949139681</v>
      </c>
      <c r="O133" s="25">
        <f t="shared" ca="1" si="136"/>
        <v>1.012138625891952</v>
      </c>
      <c r="P133" s="25">
        <f t="shared" ca="1" si="136"/>
        <v>0.91113055686993605</v>
      </c>
      <c r="Q133" s="25">
        <f t="shared" ca="1" si="136"/>
        <v>0.81012248784792007</v>
      </c>
      <c r="R133" s="25">
        <f t="shared" ca="1" si="136"/>
        <v>0.70911441882590409</v>
      </c>
      <c r="S133" s="25">
        <f t="shared" ca="1" si="136"/>
        <v>0.60810634980388811</v>
      </c>
      <c r="T133" s="25">
        <f t="shared" ca="1" si="136"/>
        <v>0.50709828078187213</v>
      </c>
      <c r="U133" s="25">
        <f t="shared" ca="1" si="136"/>
        <v>0.4060902117598561</v>
      </c>
      <c r="V133" s="25">
        <f ca="1">OtherGases!J16/1000</f>
        <v>0.30508214273784001</v>
      </c>
      <c r="W133" s="25">
        <f t="shared" ca="1" si="137"/>
        <v>0.29294866464618602</v>
      </c>
      <c r="X133" s="25">
        <f t="shared" ca="1" si="137"/>
        <v>0.28081518655453203</v>
      </c>
      <c r="Y133" s="25">
        <f t="shared" ca="1" si="137"/>
        <v>0.26868170846287803</v>
      </c>
      <c r="Z133" s="25">
        <f t="shared" ca="1" si="137"/>
        <v>0.25654823037122404</v>
      </c>
      <c r="AA133" s="25">
        <f t="shared" ca="1" si="137"/>
        <v>0.24441475227957005</v>
      </c>
      <c r="AB133" s="25">
        <f t="shared" ca="1" si="137"/>
        <v>0.23228127418791605</v>
      </c>
      <c r="AC133" s="25">
        <f t="shared" ca="1" si="137"/>
        <v>0.22014779609626206</v>
      </c>
      <c r="AD133" s="25">
        <f t="shared" ca="1" si="137"/>
        <v>0.20801431800460807</v>
      </c>
      <c r="AE133" s="25">
        <f t="shared" ca="1" si="137"/>
        <v>0.19588083991295407</v>
      </c>
      <c r="AF133" s="25">
        <f ca="1">OtherGases!K16/1000</f>
        <v>0.1837473618213</v>
      </c>
      <c r="AG133" s="25">
        <f t="shared" ca="1" si="138"/>
        <v>0.18316337188710599</v>
      </c>
      <c r="AH133" s="25">
        <f t="shared" ca="1" si="138"/>
        <v>0.18257938195291198</v>
      </c>
      <c r="AI133" s="25">
        <f t="shared" ca="1" si="138"/>
        <v>0.18199539201871798</v>
      </c>
      <c r="AJ133" s="25">
        <f t="shared" ca="1" si="138"/>
        <v>0.18141140208452397</v>
      </c>
      <c r="AK133" s="25">
        <f t="shared" ca="1" si="138"/>
        <v>0.18082741215032996</v>
      </c>
      <c r="AL133" s="25">
        <f t="shared" ca="1" si="138"/>
        <v>0.18024342221613596</v>
      </c>
      <c r="AM133" s="25">
        <f t="shared" ca="1" si="138"/>
        <v>0.17965943228194195</v>
      </c>
      <c r="AN133" s="25">
        <f t="shared" ca="1" si="138"/>
        <v>0.17907544234774794</v>
      </c>
      <c r="AO133" s="25">
        <f t="shared" ca="1" si="138"/>
        <v>0.17849145241355394</v>
      </c>
      <c r="AP133" s="25">
        <f ca="1">OtherGases!L16/1000</f>
        <v>0.17790746247936001</v>
      </c>
      <c r="AQ133" s="25">
        <f t="shared" ca="1" si="139"/>
        <v>0.17823648211198201</v>
      </c>
      <c r="AR133" s="25">
        <f t="shared" ca="1" si="139"/>
        <v>0.178565501744604</v>
      </c>
      <c r="AS133" s="25">
        <f t="shared" ca="1" si="139"/>
        <v>0.178894521377226</v>
      </c>
      <c r="AT133" s="25">
        <f t="shared" ca="1" si="139"/>
        <v>0.179223541009848</v>
      </c>
      <c r="AU133" s="25">
        <f t="shared" ca="1" si="139"/>
        <v>0.17955256064246999</v>
      </c>
      <c r="AV133" s="25">
        <f t="shared" ca="1" si="139"/>
        <v>0.17988158027509199</v>
      </c>
      <c r="AW133" s="25">
        <f t="shared" ca="1" si="139"/>
        <v>0.18021059990771399</v>
      </c>
      <c r="AX133" s="25">
        <f t="shared" ca="1" si="139"/>
        <v>0.18053961954033598</v>
      </c>
      <c r="AY133" s="25">
        <f t="shared" ca="1" si="139"/>
        <v>0.18086863917295798</v>
      </c>
      <c r="AZ133" s="25">
        <f ca="1">OtherGases!M16/1000</f>
        <v>0.18119765880558003</v>
      </c>
      <c r="BA133" s="25">
        <f t="shared" ca="1" si="140"/>
        <v>0.18205965673412403</v>
      </c>
      <c r="BB133" s="25">
        <f t="shared" ca="1" si="140"/>
        <v>0.18292165466266802</v>
      </c>
      <c r="BC133" s="25">
        <f t="shared" ca="1" si="140"/>
        <v>0.18378365259121202</v>
      </c>
      <c r="BD133" s="25">
        <f t="shared" ca="1" si="140"/>
        <v>0.18464565051975601</v>
      </c>
      <c r="BE133" s="25">
        <f t="shared" ca="1" si="140"/>
        <v>0.18550764844830001</v>
      </c>
      <c r="BF133" s="25">
        <f t="shared" ca="1" si="140"/>
        <v>0.186369646376844</v>
      </c>
      <c r="BG133" s="25">
        <f t="shared" ca="1" si="140"/>
        <v>0.187231644305388</v>
      </c>
      <c r="BH133" s="25">
        <f t="shared" ca="1" si="140"/>
        <v>0.18809364223393199</v>
      </c>
      <c r="BI133" s="25">
        <f t="shared" ca="1" si="140"/>
        <v>0.18895564016247599</v>
      </c>
      <c r="BJ133" s="25">
        <f ca="1">OtherGases!N16/1000</f>
        <v>0.18981763809102001</v>
      </c>
      <c r="BK133" s="25">
        <f t="shared" ca="1" si="141"/>
        <v>0.18989939545576201</v>
      </c>
      <c r="BL133" s="25">
        <f t="shared" ca="1" si="141"/>
        <v>0.18998115282050401</v>
      </c>
      <c r="BM133" s="25">
        <f t="shared" ca="1" si="141"/>
        <v>0.19006291018524601</v>
      </c>
      <c r="BN133" s="25">
        <f t="shared" ca="1" si="141"/>
        <v>0.19014466754998802</v>
      </c>
      <c r="BO133" s="25">
        <f t="shared" ca="1" si="141"/>
        <v>0.19022642491473002</v>
      </c>
      <c r="BP133" s="25">
        <f t="shared" ca="1" si="141"/>
        <v>0.19030818227947202</v>
      </c>
      <c r="BQ133" s="25">
        <f t="shared" ca="1" si="141"/>
        <v>0.19038993964421402</v>
      </c>
      <c r="BR133" s="25">
        <f t="shared" ca="1" si="141"/>
        <v>0.19047169700895603</v>
      </c>
      <c r="BS133" s="25">
        <f t="shared" ca="1" si="141"/>
        <v>0.19055345437369803</v>
      </c>
      <c r="BT133" s="25">
        <f ca="1">OtherGases!O16/1000</f>
        <v>0.19063521173843997</v>
      </c>
      <c r="BU133" s="25">
        <f t="shared" ca="1" si="142"/>
        <v>0.19063256472584997</v>
      </c>
      <c r="BV133" s="25">
        <f t="shared" ca="1" si="142"/>
        <v>0.19062991771325996</v>
      </c>
      <c r="BW133" s="25">
        <f t="shared" ca="1" si="142"/>
        <v>0.19062727070066995</v>
      </c>
      <c r="BX133" s="25">
        <f t="shared" ca="1" si="142"/>
        <v>0.19062462368807995</v>
      </c>
      <c r="BY133" s="25">
        <f t="shared" ca="1" si="142"/>
        <v>0.19062197667548994</v>
      </c>
      <c r="BZ133" s="25">
        <f t="shared" ca="1" si="142"/>
        <v>0.19061932966289993</v>
      </c>
      <c r="CA133" s="25">
        <f t="shared" ca="1" si="142"/>
        <v>0.19061668265030993</v>
      </c>
      <c r="CB133" s="25">
        <f t="shared" ca="1" si="142"/>
        <v>0.19061403563771992</v>
      </c>
      <c r="CC133" s="25">
        <f t="shared" ca="1" si="142"/>
        <v>0.19061138862512991</v>
      </c>
      <c r="CD133" s="25">
        <f ca="1">OtherGases!P16/1000</f>
        <v>0.19060874161253999</v>
      </c>
      <c r="CE133" s="25">
        <f t="shared" ca="1" si="143"/>
        <v>0.19061794623088799</v>
      </c>
      <c r="CF133" s="25">
        <f t="shared" ca="1" si="143"/>
        <v>0.19062715084923598</v>
      </c>
      <c r="CG133" s="25">
        <f t="shared" ca="1" si="143"/>
        <v>0.19063635546758398</v>
      </c>
      <c r="CH133" s="25">
        <f t="shared" ca="1" si="143"/>
        <v>0.19064556008593198</v>
      </c>
      <c r="CI133" s="25">
        <f t="shared" ca="1" si="143"/>
        <v>0.19065476470427997</v>
      </c>
      <c r="CJ133" s="25">
        <f t="shared" ca="1" si="143"/>
        <v>0.19066396932262797</v>
      </c>
      <c r="CK133" s="25">
        <f t="shared" ca="1" si="143"/>
        <v>0.19067317394097597</v>
      </c>
      <c r="CL133" s="25">
        <f t="shared" ca="1" si="143"/>
        <v>0.19068237855932396</v>
      </c>
      <c r="CM133" s="25">
        <f t="shared" ca="1" si="143"/>
        <v>0.19069158317767196</v>
      </c>
      <c r="CN133" s="25">
        <f ca="1">OtherGases!Q16/1000</f>
        <v>0.19070078779602001</v>
      </c>
      <c r="CO133" s="25"/>
      <c r="CP133" s="25"/>
      <c r="CQ133" s="25"/>
      <c r="CR133" s="25"/>
      <c r="CS133" s="25"/>
      <c r="CT133" s="25"/>
      <c r="CU133" s="25"/>
      <c r="CV133" s="25"/>
      <c r="CW133" s="25"/>
      <c r="CX133" s="25"/>
      <c r="CY133" s="25"/>
      <c r="CZ133" s="25"/>
      <c r="DA133" s="25"/>
      <c r="DB133" s="25"/>
      <c r="DC133" s="25"/>
      <c r="DD133" s="25"/>
      <c r="DE133" s="25"/>
      <c r="DF133" s="25"/>
      <c r="DG133" s="25"/>
      <c r="DH133" s="25"/>
      <c r="DI133" s="25"/>
      <c r="DJ133" s="25"/>
      <c r="DK133" s="25"/>
      <c r="DL133" s="25"/>
      <c r="DM133" s="25"/>
      <c r="DN133" s="25"/>
      <c r="DO133" s="25"/>
      <c r="DP133" s="25"/>
      <c r="DQ133" s="25"/>
      <c r="DR133" s="25"/>
      <c r="DS133" s="25"/>
      <c r="DT133" s="25"/>
      <c r="DU133" s="25"/>
      <c r="DV133" s="25"/>
      <c r="DW133" s="25"/>
      <c r="DX133" s="25"/>
      <c r="DY133" s="25"/>
      <c r="DZ133" s="25"/>
      <c r="EA133" s="25"/>
      <c r="EB133" s="25"/>
      <c r="EC133" s="25"/>
      <c r="ED133" s="25"/>
      <c r="EE133" s="25"/>
      <c r="EF133" s="25"/>
      <c r="EG133" s="25"/>
      <c r="EH133" s="25"/>
      <c r="EI133" s="25"/>
      <c r="EJ133" s="25"/>
      <c r="EK133" s="25"/>
      <c r="EL133" s="25"/>
      <c r="EM133" s="25"/>
      <c r="EN133" s="25"/>
      <c r="EO133" s="25"/>
      <c r="EP133" s="25"/>
      <c r="EQ133" s="25"/>
      <c r="ER133" s="25"/>
      <c r="ES133" s="25"/>
      <c r="ET133" s="25"/>
      <c r="EU133" s="25"/>
      <c r="EV133" s="25"/>
      <c r="EW133" s="25"/>
      <c r="EX133" s="25"/>
      <c r="EY133" s="25"/>
      <c r="EZ133" s="25"/>
      <c r="FA133" s="25"/>
      <c r="FB133" s="25"/>
      <c r="FC133" s="25"/>
      <c r="FD133" s="25"/>
      <c r="FE133" s="25"/>
      <c r="FF133" s="25"/>
      <c r="FG133" s="25"/>
      <c r="FH133" s="25"/>
    </row>
    <row r="134" spans="1:164" x14ac:dyDescent="0.2">
      <c r="A134" s="25"/>
      <c r="B134" s="25"/>
      <c r="C134" s="25"/>
      <c r="D134" s="25"/>
      <c r="E134" s="25"/>
      <c r="F134" s="25"/>
      <c r="G134" s="25"/>
      <c r="H134" s="25"/>
      <c r="I134" s="25"/>
      <c r="J134" s="25"/>
      <c r="K134" s="25"/>
      <c r="L134" s="25"/>
      <c r="M134" s="25"/>
      <c r="N134" s="25"/>
      <c r="O134" s="25"/>
      <c r="P134" s="25"/>
      <c r="Q134" s="25"/>
      <c r="R134" s="25"/>
      <c r="S134" s="25"/>
      <c r="T134" s="25"/>
      <c r="U134" s="25"/>
      <c r="V134" s="25"/>
      <c r="W134" s="25"/>
      <c r="X134" s="25"/>
      <c r="Y134" s="25"/>
      <c r="Z134" s="25"/>
      <c r="AA134" s="25"/>
      <c r="AB134" s="25"/>
      <c r="AC134" s="25"/>
      <c r="AD134" s="25"/>
      <c r="AE134" s="25"/>
      <c r="AF134" s="25"/>
      <c r="AG134" s="25"/>
      <c r="AH134" s="25"/>
      <c r="AI134" s="25"/>
      <c r="AJ134" s="25"/>
      <c r="AK134" s="25"/>
      <c r="AL134" s="25"/>
      <c r="AM134" s="25"/>
      <c r="AN134" s="25"/>
      <c r="AO134" s="25"/>
      <c r="AP134" s="25"/>
      <c r="AQ134" s="25"/>
      <c r="AR134" s="25"/>
      <c r="AS134" s="25"/>
      <c r="AT134" s="25"/>
      <c r="AU134" s="25"/>
      <c r="AV134" s="25"/>
      <c r="AW134" s="25"/>
      <c r="AX134" s="25"/>
      <c r="AY134" s="25"/>
      <c r="AZ134" s="25"/>
      <c r="BA134" s="25"/>
      <c r="BB134" s="25"/>
      <c r="BC134" s="25"/>
      <c r="BD134" s="25"/>
      <c r="BE134" s="25"/>
      <c r="BF134" s="25"/>
      <c r="BG134" s="25"/>
      <c r="BH134" s="25"/>
      <c r="BI134" s="25"/>
      <c r="BJ134" s="25"/>
      <c r="BK134" s="25"/>
      <c r="BL134" s="25"/>
      <c r="BM134" s="25"/>
      <c r="BN134" s="25"/>
      <c r="BO134" s="25"/>
      <c r="BP134" s="25"/>
      <c r="BQ134" s="25"/>
      <c r="BR134" s="25"/>
      <c r="BS134" s="25"/>
      <c r="BT134" s="25"/>
      <c r="BU134" s="25"/>
      <c r="BV134" s="25"/>
      <c r="BW134" s="25"/>
      <c r="BX134" s="25"/>
      <c r="BY134" s="25"/>
      <c r="BZ134" s="25"/>
      <c r="CA134" s="25"/>
      <c r="CB134" s="25"/>
      <c r="CC134" s="25"/>
      <c r="CD134" s="25"/>
      <c r="CE134" s="25"/>
      <c r="CF134" s="25"/>
      <c r="CG134" s="25"/>
      <c r="CH134" s="25"/>
      <c r="CI134" s="25"/>
      <c r="CJ134" s="25"/>
      <c r="CK134" s="25"/>
      <c r="CL134" s="25"/>
      <c r="CM134" s="25"/>
      <c r="CN134" s="25"/>
    </row>
    <row r="135" spans="1:164" x14ac:dyDescent="0.2">
      <c r="A135" s="25" t="str">
        <f>TotalEmissions!A17</f>
        <v>Fossil Energy CCS</v>
      </c>
      <c r="B135" s="25">
        <f ca="1">TotalEmissions!B17</f>
        <v>0</v>
      </c>
      <c r="C135" s="25">
        <f t="shared" ref="C135:K139" ca="1" si="144">B135+(($L135-$B135)/($L$75-$B$75))</f>
        <v>3.2833179039359777E-3</v>
      </c>
      <c r="D135" s="25">
        <f t="shared" ca="1" si="144"/>
        <v>6.5666358078719555E-3</v>
      </c>
      <c r="E135" s="25">
        <f t="shared" ca="1" si="144"/>
        <v>9.8499537118079336E-3</v>
      </c>
      <c r="F135" s="25">
        <f t="shared" ca="1" si="144"/>
        <v>1.3133271615743911E-2</v>
      </c>
      <c r="G135" s="25">
        <f t="shared" ca="1" si="144"/>
        <v>1.6416589519679888E-2</v>
      </c>
      <c r="H135" s="25">
        <f t="shared" ca="1" si="144"/>
        <v>1.9699907423615867E-2</v>
      </c>
      <c r="I135" s="25">
        <f t="shared" ca="1" si="144"/>
        <v>2.2983225327551846E-2</v>
      </c>
      <c r="J135" s="25">
        <f t="shared" ca="1" si="144"/>
        <v>2.6266543231487825E-2</v>
      </c>
      <c r="K135" s="25">
        <f t="shared" ca="1" si="144"/>
        <v>2.9549861135423804E-2</v>
      </c>
      <c r="L135" s="25">
        <f ca="1">TotalEmissions!C17</f>
        <v>3.2833179039359776E-2</v>
      </c>
      <c r="M135" s="25">
        <f t="shared" ref="M135:U139" ca="1" si="145">L135+(($V135-$L135)/($V$75-$L$75))</f>
        <v>0.15389061006498181</v>
      </c>
      <c r="N135" s="25">
        <f t="shared" ca="1" si="145"/>
        <v>0.27494804109060383</v>
      </c>
      <c r="O135" s="25">
        <f t="shared" ca="1" si="145"/>
        <v>0.39600547211622583</v>
      </c>
      <c r="P135" s="25">
        <f t="shared" ca="1" si="145"/>
        <v>0.51706290314184788</v>
      </c>
      <c r="Q135" s="25">
        <f t="shared" ca="1" si="145"/>
        <v>0.63812033416746994</v>
      </c>
      <c r="R135" s="25">
        <f t="shared" ca="1" si="145"/>
        <v>0.75917776519309199</v>
      </c>
      <c r="S135" s="25">
        <f t="shared" ca="1" si="145"/>
        <v>0.88023519621871404</v>
      </c>
      <c r="T135" s="25">
        <f t="shared" ca="1" si="145"/>
        <v>1.0012926272443361</v>
      </c>
      <c r="U135" s="25">
        <f t="shared" ca="1" si="145"/>
        <v>1.1223500582699582</v>
      </c>
      <c r="V135" s="25">
        <f ca="1">TotalEmissions!D17</f>
        <v>1.24340748929558</v>
      </c>
      <c r="W135" s="25">
        <f t="shared" ref="W135:AE139" ca="1" si="146">V135+(($AF135-$V135)/($AF$75-$V$75))</f>
        <v>1.3645991443880121</v>
      </c>
      <c r="X135" s="25">
        <f t="shared" ca="1" si="146"/>
        <v>1.4857907994804442</v>
      </c>
      <c r="Y135" s="25">
        <f t="shared" ca="1" si="146"/>
        <v>1.6069824545728764</v>
      </c>
      <c r="Z135" s="25">
        <f t="shared" ca="1" si="146"/>
        <v>1.7281741096653085</v>
      </c>
      <c r="AA135" s="25">
        <f t="shared" ca="1" si="146"/>
        <v>1.8493657647577406</v>
      </c>
      <c r="AB135" s="25">
        <f t="shared" ca="1" si="146"/>
        <v>1.9705574198501727</v>
      </c>
      <c r="AC135" s="25">
        <f t="shared" ca="1" si="146"/>
        <v>2.0917490749426051</v>
      </c>
      <c r="AD135" s="25">
        <f t="shared" ca="1" si="146"/>
        <v>2.2129407300350374</v>
      </c>
      <c r="AE135" s="25">
        <f t="shared" ca="1" si="146"/>
        <v>2.3341323851274698</v>
      </c>
      <c r="AF135" s="25">
        <f ca="1">TotalEmissions!E17</f>
        <v>2.4553240402199017</v>
      </c>
      <c r="AG135" s="25">
        <f t="shared" ref="AG135:AO139" ca="1" si="147">AF135+(($AP135-$AF135)/($AP$75-$AF$75))</f>
        <v>2.5138224536176432</v>
      </c>
      <c r="AH135" s="25">
        <f t="shared" ca="1" si="147"/>
        <v>2.5723208670153848</v>
      </c>
      <c r="AI135" s="25">
        <f t="shared" ca="1" si="147"/>
        <v>2.6308192804131263</v>
      </c>
      <c r="AJ135" s="25">
        <f t="shared" ca="1" si="147"/>
        <v>2.6893176938108678</v>
      </c>
      <c r="AK135" s="25">
        <f t="shared" ca="1" si="147"/>
        <v>2.7478161072086094</v>
      </c>
      <c r="AL135" s="25">
        <f t="shared" ca="1" si="147"/>
        <v>2.8063145206063509</v>
      </c>
      <c r="AM135" s="25">
        <f t="shared" ca="1" si="147"/>
        <v>2.8648129340040924</v>
      </c>
      <c r="AN135" s="25">
        <f t="shared" ca="1" si="147"/>
        <v>2.923311347401834</v>
      </c>
      <c r="AO135" s="25">
        <f t="shared" ca="1" si="147"/>
        <v>2.9818097607995755</v>
      </c>
      <c r="AP135" s="25">
        <f ca="1">TotalEmissions!F17</f>
        <v>3.0403081741973175</v>
      </c>
      <c r="AQ135" s="25">
        <f t="shared" ref="AQ135:AY139" ca="1" si="148">AP135+(($AZ135-$AP135)/($AZ$75-$AP$75))</f>
        <v>3.1690255139912704</v>
      </c>
      <c r="AR135" s="25">
        <f t="shared" ca="1" si="148"/>
        <v>3.2977428537852234</v>
      </c>
      <c r="AS135" s="25">
        <f t="shared" ca="1" si="148"/>
        <v>3.4264601935791763</v>
      </c>
      <c r="AT135" s="25">
        <f t="shared" ca="1" si="148"/>
        <v>3.5551775333731293</v>
      </c>
      <c r="AU135" s="25">
        <f t="shared" ca="1" si="148"/>
        <v>3.6838948731670822</v>
      </c>
      <c r="AV135" s="25">
        <f t="shared" ca="1" si="148"/>
        <v>3.8126122129610351</v>
      </c>
      <c r="AW135" s="25">
        <f t="shared" ca="1" si="148"/>
        <v>3.9413295527549881</v>
      </c>
      <c r="AX135" s="25">
        <f t="shared" ca="1" si="148"/>
        <v>4.070046892548941</v>
      </c>
      <c r="AY135" s="25">
        <f t="shared" ca="1" si="148"/>
        <v>4.198764232342894</v>
      </c>
      <c r="AZ135" s="25">
        <f ca="1">TotalEmissions!G17</f>
        <v>4.3274815721368487</v>
      </c>
      <c r="BA135" s="25">
        <f t="shared" ref="BA135:BI139" ca="1" si="149">AZ135+(($BJ135-$AZ135)/($BJ$75-$AZ$75))</f>
        <v>4.5167855785512669</v>
      </c>
      <c r="BB135" s="25">
        <f t="shared" ca="1" si="149"/>
        <v>4.7060895849656852</v>
      </c>
      <c r="BC135" s="25">
        <f t="shared" ca="1" si="149"/>
        <v>4.8953935913801034</v>
      </c>
      <c r="BD135" s="25">
        <f t="shared" ca="1" si="149"/>
        <v>5.0846975977945217</v>
      </c>
      <c r="BE135" s="25">
        <f t="shared" ca="1" si="149"/>
        <v>5.2740016042089399</v>
      </c>
      <c r="BF135" s="25">
        <f t="shared" ca="1" si="149"/>
        <v>5.4633056106233582</v>
      </c>
      <c r="BG135" s="25">
        <f t="shared" ca="1" si="149"/>
        <v>5.6526096170377764</v>
      </c>
      <c r="BH135" s="25">
        <f t="shared" ca="1" si="149"/>
        <v>5.8419136234521947</v>
      </c>
      <c r="BI135" s="25">
        <f t="shared" ca="1" si="149"/>
        <v>6.0312176298666129</v>
      </c>
      <c r="BJ135" s="25">
        <f ca="1">TotalEmissions!H17</f>
        <v>6.2205216362810276</v>
      </c>
      <c r="BK135" s="25">
        <f t="shared" ref="BK135:BS139" ca="1" si="150">BJ135+(($BT135-$BJ135)/($BT$75-$BJ$75))</f>
        <v>6.2223435597890226</v>
      </c>
      <c r="BL135" s="25">
        <f t="shared" ca="1" si="150"/>
        <v>6.2241654832970177</v>
      </c>
      <c r="BM135" s="25">
        <f t="shared" ca="1" si="150"/>
        <v>6.2259874068050127</v>
      </c>
      <c r="BN135" s="25">
        <f t="shared" ca="1" si="150"/>
        <v>6.2278093303130078</v>
      </c>
      <c r="BO135" s="25">
        <f t="shared" ca="1" si="150"/>
        <v>6.2296312538210028</v>
      </c>
      <c r="BP135" s="25">
        <f t="shared" ca="1" si="150"/>
        <v>6.2314531773289978</v>
      </c>
      <c r="BQ135" s="25">
        <f t="shared" ca="1" si="150"/>
        <v>6.2332751008369929</v>
      </c>
      <c r="BR135" s="25">
        <f t="shared" ca="1" si="150"/>
        <v>6.2350970243449879</v>
      </c>
      <c r="BS135" s="25">
        <f t="shared" ca="1" si="150"/>
        <v>6.236918947852983</v>
      </c>
      <c r="BT135" s="25">
        <f ca="1">TotalEmissions!I17</f>
        <v>6.2387408713609798</v>
      </c>
      <c r="BU135" s="25">
        <f t="shared" ref="BU135:CC139" ca="1" si="151">BT135+(($CD135-$BT135)/($CD$75-$BT$75))</f>
        <v>6.1770038091309276</v>
      </c>
      <c r="BV135" s="25">
        <f t="shared" ca="1" si="151"/>
        <v>6.1152667469008755</v>
      </c>
      <c r="BW135" s="25">
        <f t="shared" ca="1" si="151"/>
        <v>6.0535296846708233</v>
      </c>
      <c r="BX135" s="25">
        <f t="shared" ca="1" si="151"/>
        <v>5.9917926224407712</v>
      </c>
      <c r="BY135" s="25">
        <f t="shared" ca="1" si="151"/>
        <v>5.930055560210719</v>
      </c>
      <c r="BZ135" s="25">
        <f t="shared" ca="1" si="151"/>
        <v>5.8683184979806668</v>
      </c>
      <c r="CA135" s="25">
        <f t="shared" ca="1" si="151"/>
        <v>5.8065814357506147</v>
      </c>
      <c r="CB135" s="25">
        <f t="shared" ca="1" si="151"/>
        <v>5.7448443735205625</v>
      </c>
      <c r="CC135" s="25">
        <f t="shared" ca="1" si="151"/>
        <v>5.6831073112905104</v>
      </c>
      <c r="CD135" s="25">
        <f ca="1">TotalEmissions!J17</f>
        <v>5.6213702490604573</v>
      </c>
      <c r="CE135" s="25">
        <f t="shared" ref="CE135:CM139" ca="1" si="152">CD135+(($CN135-$CD135)/($CN$75-$CD$75))</f>
        <v>5.6312837980738948</v>
      </c>
      <c r="CF135" s="25">
        <f t="shared" ca="1" si="152"/>
        <v>5.6411973470873322</v>
      </c>
      <c r="CG135" s="25">
        <f t="shared" ca="1" si="152"/>
        <v>5.6511108961007697</v>
      </c>
      <c r="CH135" s="25">
        <f t="shared" ca="1" si="152"/>
        <v>5.6610244451142071</v>
      </c>
      <c r="CI135" s="25">
        <f t="shared" ca="1" si="152"/>
        <v>5.6709379941276445</v>
      </c>
      <c r="CJ135" s="25">
        <f t="shared" ca="1" si="152"/>
        <v>5.680851543141082</v>
      </c>
      <c r="CK135" s="25">
        <f t="shared" ca="1" si="152"/>
        <v>5.6907650921545194</v>
      </c>
      <c r="CL135" s="25">
        <f t="shared" ca="1" si="152"/>
        <v>5.7006786411679569</v>
      </c>
      <c r="CM135" s="25">
        <f t="shared" ca="1" si="152"/>
        <v>5.7105921901813943</v>
      </c>
      <c r="CN135" s="25">
        <f ca="1">TotalEmissions!K17</f>
        <v>5.7205057391948309</v>
      </c>
    </row>
    <row r="136" spans="1:164" x14ac:dyDescent="0.2">
      <c r="A136" s="25" t="str">
        <f>TotalEmissions!A18</f>
        <v>Fossil Industry CCS</v>
      </c>
      <c r="B136" s="25">
        <f ca="1">TotalEmissions!B18</f>
        <v>0</v>
      </c>
      <c r="C136" s="25">
        <f t="shared" ca="1" si="144"/>
        <v>1.6969379949538655E-3</v>
      </c>
      <c r="D136" s="25">
        <f t="shared" ca="1" si="144"/>
        <v>3.3938759899077311E-3</v>
      </c>
      <c r="E136" s="25">
        <f t="shared" ca="1" si="144"/>
        <v>5.0908139848615964E-3</v>
      </c>
      <c r="F136" s="25">
        <f t="shared" ca="1" si="144"/>
        <v>6.7877519798154621E-3</v>
      </c>
      <c r="G136" s="25">
        <f t="shared" ca="1" si="144"/>
        <v>8.4846899747693279E-3</v>
      </c>
      <c r="H136" s="25">
        <f t="shared" ca="1" si="144"/>
        <v>1.0181627969723193E-2</v>
      </c>
      <c r="I136" s="25">
        <f t="shared" ca="1" si="144"/>
        <v>1.1878565964677058E-2</v>
      </c>
      <c r="J136" s="25">
        <f t="shared" ca="1" si="144"/>
        <v>1.3575503959630923E-2</v>
      </c>
      <c r="K136" s="25">
        <f t="shared" ca="1" si="144"/>
        <v>1.5272441954584787E-2</v>
      </c>
      <c r="L136" s="25">
        <f ca="1">TotalEmissions!C18</f>
        <v>1.6969379949538656E-2</v>
      </c>
      <c r="M136" s="25">
        <f t="shared" ca="1" si="145"/>
        <v>8.7475085582506523E-2</v>
      </c>
      <c r="N136" s="25">
        <f t="shared" ca="1" si="145"/>
        <v>0.1579807912154744</v>
      </c>
      <c r="O136" s="25">
        <f t="shared" ca="1" si="145"/>
        <v>0.22848649684844227</v>
      </c>
      <c r="P136" s="25">
        <f t="shared" ca="1" si="145"/>
        <v>0.29899220248141012</v>
      </c>
      <c r="Q136" s="25">
        <f t="shared" ca="1" si="145"/>
        <v>0.36949790811437799</v>
      </c>
      <c r="R136" s="25">
        <f t="shared" ca="1" si="145"/>
        <v>0.44000361374734587</v>
      </c>
      <c r="S136" s="25">
        <f t="shared" ca="1" si="145"/>
        <v>0.51050931938031374</v>
      </c>
      <c r="T136" s="25">
        <f t="shared" ca="1" si="145"/>
        <v>0.58101502501328162</v>
      </c>
      <c r="U136" s="25">
        <f t="shared" ca="1" si="145"/>
        <v>0.65152073064624949</v>
      </c>
      <c r="V136" s="25">
        <f ca="1">TotalEmissions!D18</f>
        <v>0.72202643627921737</v>
      </c>
      <c r="W136" s="25">
        <f t="shared" ca="1" si="146"/>
        <v>0.7915806824962297</v>
      </c>
      <c r="X136" s="25">
        <f t="shared" ca="1" si="146"/>
        <v>0.86113492871324215</v>
      </c>
      <c r="Y136" s="25">
        <f t="shared" ca="1" si="146"/>
        <v>0.9306891749302546</v>
      </c>
      <c r="Z136" s="25">
        <f t="shared" ca="1" si="146"/>
        <v>1.0002434211472671</v>
      </c>
      <c r="AA136" s="25">
        <f t="shared" ca="1" si="146"/>
        <v>1.0697976673642795</v>
      </c>
      <c r="AB136" s="25">
        <f t="shared" ca="1" si="146"/>
        <v>1.139351913581292</v>
      </c>
      <c r="AC136" s="25">
        <f t="shared" ca="1" si="146"/>
        <v>1.2089061597983044</v>
      </c>
      <c r="AD136" s="25">
        <f t="shared" ca="1" si="146"/>
        <v>1.2784604060153169</v>
      </c>
      <c r="AE136" s="25">
        <f t="shared" ca="1" si="146"/>
        <v>1.3480146522323293</v>
      </c>
      <c r="AF136" s="25">
        <f ca="1">TotalEmissions!E18</f>
        <v>1.4175688984493413</v>
      </c>
      <c r="AG136" s="25">
        <f t="shared" ca="1" si="147"/>
        <v>1.4139268163902063</v>
      </c>
      <c r="AH136" s="25">
        <f t="shared" ca="1" si="147"/>
        <v>1.4102847343310714</v>
      </c>
      <c r="AI136" s="25">
        <f t="shared" ca="1" si="147"/>
        <v>1.4066426522719364</v>
      </c>
      <c r="AJ136" s="25">
        <f t="shared" ca="1" si="147"/>
        <v>1.4030005702128014</v>
      </c>
      <c r="AK136" s="25">
        <f t="shared" ca="1" si="147"/>
        <v>1.3993584881536665</v>
      </c>
      <c r="AL136" s="25">
        <f t="shared" ca="1" si="147"/>
        <v>1.3957164060945315</v>
      </c>
      <c r="AM136" s="25">
        <f t="shared" ca="1" si="147"/>
        <v>1.3920743240353965</v>
      </c>
      <c r="AN136" s="25">
        <f t="shared" ca="1" si="147"/>
        <v>1.3884322419762616</v>
      </c>
      <c r="AO136" s="25">
        <f t="shared" ca="1" si="147"/>
        <v>1.3847901599171266</v>
      </c>
      <c r="AP136" s="25">
        <f ca="1">TotalEmissions!F18</f>
        <v>1.381148077857991</v>
      </c>
      <c r="AQ136" s="25">
        <f t="shared" ca="1" si="148"/>
        <v>1.3662058694627679</v>
      </c>
      <c r="AR136" s="25">
        <f t="shared" ca="1" si="148"/>
        <v>1.3512636610675448</v>
      </c>
      <c r="AS136" s="25">
        <f t="shared" ca="1" si="148"/>
        <v>1.3363214526723217</v>
      </c>
      <c r="AT136" s="25">
        <f t="shared" ca="1" si="148"/>
        <v>1.3213792442770986</v>
      </c>
      <c r="AU136" s="25">
        <f t="shared" ca="1" si="148"/>
        <v>1.3064370358818755</v>
      </c>
      <c r="AV136" s="25">
        <f t="shared" ca="1" si="148"/>
        <v>1.2914948274866525</v>
      </c>
      <c r="AW136" s="25">
        <f t="shared" ca="1" si="148"/>
        <v>1.2765526190914294</v>
      </c>
      <c r="AX136" s="25">
        <f t="shared" ca="1" si="148"/>
        <v>1.2616104106962063</v>
      </c>
      <c r="AY136" s="25">
        <f t="shared" ca="1" si="148"/>
        <v>1.2466682023009832</v>
      </c>
      <c r="AZ136" s="25">
        <f ca="1">TotalEmissions!G18</f>
        <v>1.2317259939057597</v>
      </c>
      <c r="BA136" s="25">
        <f t="shared" ca="1" si="149"/>
        <v>1.2522030925391543</v>
      </c>
      <c r="BB136" s="25">
        <f t="shared" ca="1" si="149"/>
        <v>1.2726801911725487</v>
      </c>
      <c r="BC136" s="25">
        <f t="shared" ca="1" si="149"/>
        <v>1.2931572898059431</v>
      </c>
      <c r="BD136" s="25">
        <f t="shared" ca="1" si="149"/>
        <v>1.3136343884393376</v>
      </c>
      <c r="BE136" s="25">
        <f t="shared" ca="1" si="149"/>
        <v>1.334111487072732</v>
      </c>
      <c r="BF136" s="25">
        <f t="shared" ca="1" si="149"/>
        <v>1.3545885857061264</v>
      </c>
      <c r="BG136" s="25">
        <f t="shared" ca="1" si="149"/>
        <v>1.3750656843395208</v>
      </c>
      <c r="BH136" s="25">
        <f t="shared" ca="1" si="149"/>
        <v>1.3955427829729152</v>
      </c>
      <c r="BI136" s="25">
        <f t="shared" ca="1" si="149"/>
        <v>1.4160198816063096</v>
      </c>
      <c r="BJ136" s="25">
        <f ca="1">TotalEmissions!H18</f>
        <v>1.436496980239705</v>
      </c>
      <c r="BK136" s="25">
        <f t="shared" ca="1" si="150"/>
        <v>1.4627493385345587</v>
      </c>
      <c r="BL136" s="25">
        <f t="shared" ca="1" si="150"/>
        <v>1.4890016968294124</v>
      </c>
      <c r="BM136" s="25">
        <f t="shared" ca="1" si="150"/>
        <v>1.5152540551242661</v>
      </c>
      <c r="BN136" s="25">
        <f t="shared" ca="1" si="150"/>
        <v>1.5415064134191199</v>
      </c>
      <c r="BO136" s="25">
        <f t="shared" ca="1" si="150"/>
        <v>1.5677587717139736</v>
      </c>
      <c r="BP136" s="25">
        <f t="shared" ca="1" si="150"/>
        <v>1.5940111300088273</v>
      </c>
      <c r="BQ136" s="25">
        <f t="shared" ca="1" si="150"/>
        <v>1.6202634883036811</v>
      </c>
      <c r="BR136" s="25">
        <f t="shared" ca="1" si="150"/>
        <v>1.6465158465985348</v>
      </c>
      <c r="BS136" s="25">
        <f t="shared" ca="1" si="150"/>
        <v>1.6727682048933885</v>
      </c>
      <c r="BT136" s="25">
        <f ca="1">TotalEmissions!I18</f>
        <v>1.6990205631882418</v>
      </c>
      <c r="BU136" s="25">
        <f t="shared" ca="1" si="151"/>
        <v>1.6834916908303663</v>
      </c>
      <c r="BV136" s="25">
        <f t="shared" ca="1" si="151"/>
        <v>1.6679628184724908</v>
      </c>
      <c r="BW136" s="25">
        <f t="shared" ca="1" si="151"/>
        <v>1.6524339461146154</v>
      </c>
      <c r="BX136" s="25">
        <f t="shared" ca="1" si="151"/>
        <v>1.6369050737567399</v>
      </c>
      <c r="BY136" s="25">
        <f t="shared" ca="1" si="151"/>
        <v>1.6213762013988644</v>
      </c>
      <c r="BZ136" s="25">
        <f t="shared" ca="1" si="151"/>
        <v>1.6058473290409889</v>
      </c>
      <c r="CA136" s="25">
        <f t="shared" ca="1" si="151"/>
        <v>1.5903184566831134</v>
      </c>
      <c r="CB136" s="25">
        <f t="shared" ca="1" si="151"/>
        <v>1.574789584325238</v>
      </c>
      <c r="CC136" s="25">
        <f t="shared" ca="1" si="151"/>
        <v>1.5592607119673625</v>
      </c>
      <c r="CD136" s="25">
        <f ca="1">TotalEmissions!J18</f>
        <v>1.5437318396094875</v>
      </c>
      <c r="CE136" s="25">
        <f t="shared" ca="1" si="152"/>
        <v>1.501783159006542</v>
      </c>
      <c r="CF136" s="25">
        <f t="shared" ca="1" si="152"/>
        <v>1.4598344784035966</v>
      </c>
      <c r="CG136" s="25">
        <f t="shared" ca="1" si="152"/>
        <v>1.4178857978006512</v>
      </c>
      <c r="CH136" s="25">
        <f t="shared" ca="1" si="152"/>
        <v>1.3759371171977057</v>
      </c>
      <c r="CI136" s="25">
        <f t="shared" ca="1" si="152"/>
        <v>1.3339884365947603</v>
      </c>
      <c r="CJ136" s="25">
        <f t="shared" ca="1" si="152"/>
        <v>1.2920397559918149</v>
      </c>
      <c r="CK136" s="25">
        <f t="shared" ca="1" si="152"/>
        <v>1.2500910753888694</v>
      </c>
      <c r="CL136" s="25">
        <f t="shared" ca="1" si="152"/>
        <v>1.208142394785924</v>
      </c>
      <c r="CM136" s="25">
        <f t="shared" ca="1" si="152"/>
        <v>1.1661937141829786</v>
      </c>
      <c r="CN136" s="25">
        <f ca="1">TotalEmissions!K18</f>
        <v>1.1242450335800336</v>
      </c>
    </row>
    <row r="137" spans="1:164" x14ac:dyDescent="0.2">
      <c r="A137" s="25" t="str">
        <f>TotalEmissions!A20</f>
        <v>Biomass Energy CCS</v>
      </c>
      <c r="B137" s="25">
        <f ca="1">TotalEmissions!B20</f>
        <v>0</v>
      </c>
      <c r="C137" s="25">
        <f t="shared" ca="1" si="144"/>
        <v>4.838606848404196E-19</v>
      </c>
      <c r="D137" s="25">
        <f t="shared" ca="1" si="144"/>
        <v>9.6772136968083921E-19</v>
      </c>
      <c r="E137" s="25">
        <f t="shared" ca="1" si="144"/>
        <v>1.4515820545212588E-18</v>
      </c>
      <c r="F137" s="25">
        <f t="shared" ca="1" si="144"/>
        <v>1.9354427393616784E-18</v>
      </c>
      <c r="G137" s="25">
        <f t="shared" ca="1" si="144"/>
        <v>2.4193034242020978E-18</v>
      </c>
      <c r="H137" s="25">
        <f t="shared" ca="1" si="144"/>
        <v>2.9031641090425172E-18</v>
      </c>
      <c r="I137" s="25">
        <f t="shared" ca="1" si="144"/>
        <v>3.3870247938829366E-18</v>
      </c>
      <c r="J137" s="25">
        <f t="shared" ca="1" si="144"/>
        <v>3.8708854787233561E-18</v>
      </c>
      <c r="K137" s="25">
        <f t="shared" ca="1" si="144"/>
        <v>4.3547461635637755E-18</v>
      </c>
      <c r="L137" s="25">
        <f ca="1">TotalEmissions!C20</f>
        <v>4.8386068484041956E-18</v>
      </c>
      <c r="M137" s="25">
        <f t="shared" ca="1" si="145"/>
        <v>2.0047784098813769E-10</v>
      </c>
      <c r="N137" s="25">
        <f t="shared" ca="1" si="145"/>
        <v>4.0095567713766853E-10</v>
      </c>
      <c r="O137" s="25">
        <f t="shared" ca="1" si="145"/>
        <v>6.014335132871994E-10</v>
      </c>
      <c r="P137" s="25">
        <f t="shared" ca="1" si="145"/>
        <v>8.0191134943673022E-10</v>
      </c>
      <c r="Q137" s="25">
        <f t="shared" ca="1" si="145"/>
        <v>1.002389185586261E-9</v>
      </c>
      <c r="R137" s="25">
        <f t="shared" ca="1" si="145"/>
        <v>1.202867021735792E-9</v>
      </c>
      <c r="S137" s="25">
        <f t="shared" ca="1" si="145"/>
        <v>1.4033448578853229E-9</v>
      </c>
      <c r="T137" s="25">
        <f t="shared" ca="1" si="145"/>
        <v>1.6038226940348538E-9</v>
      </c>
      <c r="U137" s="25">
        <f t="shared" ca="1" si="145"/>
        <v>1.8043005301843847E-9</v>
      </c>
      <c r="V137" s="25">
        <f ca="1">TotalEmissions!D20</f>
        <v>2.004778366333915E-9</v>
      </c>
      <c r="W137" s="25">
        <f t="shared" ca="1" si="146"/>
        <v>6.3793849862093034E-9</v>
      </c>
      <c r="X137" s="25">
        <f t="shared" ca="1" si="146"/>
        <v>1.0753991606084691E-8</v>
      </c>
      <c r="Y137" s="25">
        <f t="shared" ca="1" si="146"/>
        <v>1.5128598225960081E-8</v>
      </c>
      <c r="Z137" s="25">
        <f t="shared" ca="1" si="146"/>
        <v>1.9503204845835469E-8</v>
      </c>
      <c r="AA137" s="25">
        <f t="shared" ca="1" si="146"/>
        <v>2.3877811465710857E-8</v>
      </c>
      <c r="AB137" s="25">
        <f t="shared" ca="1" si="146"/>
        <v>2.8252418085586245E-8</v>
      </c>
      <c r="AC137" s="25">
        <f t="shared" ca="1" si="146"/>
        <v>3.2627024705461633E-8</v>
      </c>
      <c r="AD137" s="25">
        <f t="shared" ca="1" si="146"/>
        <v>3.7001631325337018E-8</v>
      </c>
      <c r="AE137" s="25">
        <f t="shared" ca="1" si="146"/>
        <v>4.1376237945212403E-8</v>
      </c>
      <c r="AF137" s="25">
        <f ca="1">TotalEmissions!E20</f>
        <v>4.5750844565087794E-8</v>
      </c>
      <c r="AG137" s="25">
        <f t="shared" ca="1" si="147"/>
        <v>9.505157529046849E-6</v>
      </c>
      <c r="AH137" s="25">
        <f t="shared" ca="1" si="147"/>
        <v>1.896456421352861E-5</v>
      </c>
      <c r="AI137" s="25">
        <f t="shared" ca="1" si="147"/>
        <v>2.842397089801037E-5</v>
      </c>
      <c r="AJ137" s="25">
        <f t="shared" ca="1" si="147"/>
        <v>3.7883377582492131E-5</v>
      </c>
      <c r="AK137" s="25">
        <f t="shared" ca="1" si="147"/>
        <v>4.7342784266973895E-5</v>
      </c>
      <c r="AL137" s="25">
        <f t="shared" ca="1" si="147"/>
        <v>5.6802190951455659E-5</v>
      </c>
      <c r="AM137" s="25">
        <f t="shared" ca="1" si="147"/>
        <v>6.6261597635937423E-5</v>
      </c>
      <c r="AN137" s="25">
        <f t="shared" ca="1" si="147"/>
        <v>7.5721004320419187E-5</v>
      </c>
      <c r="AO137" s="25">
        <f t="shared" ca="1" si="147"/>
        <v>8.5180411004900952E-5</v>
      </c>
      <c r="AP137" s="25">
        <f ca="1">TotalEmissions!F20</f>
        <v>9.4639817689382689E-5</v>
      </c>
      <c r="AQ137" s="25">
        <f t="shared" ca="1" si="148"/>
        <v>9.4044198582865764E-5</v>
      </c>
      <c r="AR137" s="25">
        <f t="shared" ca="1" si="148"/>
        <v>9.344857947634884E-5</v>
      </c>
      <c r="AS137" s="25">
        <f t="shared" ca="1" si="148"/>
        <v>9.2852960369831916E-5</v>
      </c>
      <c r="AT137" s="25">
        <f t="shared" ca="1" si="148"/>
        <v>9.2257341263314992E-5</v>
      </c>
      <c r="AU137" s="25">
        <f t="shared" ca="1" si="148"/>
        <v>9.1661722156798067E-5</v>
      </c>
      <c r="AV137" s="25">
        <f t="shared" ca="1" si="148"/>
        <v>9.1066103050281143E-5</v>
      </c>
      <c r="AW137" s="25">
        <f t="shared" ca="1" si="148"/>
        <v>9.0470483943764219E-5</v>
      </c>
      <c r="AX137" s="25">
        <f t="shared" ca="1" si="148"/>
        <v>8.9874864837247295E-5</v>
      </c>
      <c r="AY137" s="25">
        <f t="shared" ca="1" si="148"/>
        <v>8.9279245730730371E-5</v>
      </c>
      <c r="AZ137" s="25">
        <f ca="1">TotalEmissions!G20</f>
        <v>8.8683626624213473E-5</v>
      </c>
      <c r="BA137" s="25">
        <f t="shared" ca="1" si="149"/>
        <v>8.6966906777283395E-5</v>
      </c>
      <c r="BB137" s="25">
        <f t="shared" ca="1" si="149"/>
        <v>8.5250186930353316E-5</v>
      </c>
      <c r="BC137" s="25">
        <f t="shared" ca="1" si="149"/>
        <v>8.3533467083423237E-5</v>
      </c>
      <c r="BD137" s="25">
        <f t="shared" ca="1" si="149"/>
        <v>8.1816747236493158E-5</v>
      </c>
      <c r="BE137" s="25">
        <f t="shared" ca="1" si="149"/>
        <v>8.0100027389563079E-5</v>
      </c>
      <c r="BF137" s="25">
        <f t="shared" ca="1" si="149"/>
        <v>7.8383307542633001E-5</v>
      </c>
      <c r="BG137" s="25">
        <f t="shared" ca="1" si="149"/>
        <v>7.6666587695702922E-5</v>
      </c>
      <c r="BH137" s="25">
        <f t="shared" ca="1" si="149"/>
        <v>7.4949867848772843E-5</v>
      </c>
      <c r="BI137" s="25">
        <f t="shared" ca="1" si="149"/>
        <v>7.3233148001842764E-5</v>
      </c>
      <c r="BJ137" s="25">
        <f ca="1">TotalEmissions!H20</f>
        <v>7.1516428154912618E-5</v>
      </c>
      <c r="BK137" s="25">
        <f t="shared" ca="1" si="150"/>
        <v>6.9819150523168599E-5</v>
      </c>
      <c r="BL137" s="25">
        <f t="shared" ca="1" si="150"/>
        <v>6.8121872891424581E-5</v>
      </c>
      <c r="BM137" s="25">
        <f t="shared" ca="1" si="150"/>
        <v>6.6424595259680563E-5</v>
      </c>
      <c r="BN137" s="25">
        <f t="shared" ca="1" si="150"/>
        <v>6.4727317627936545E-5</v>
      </c>
      <c r="BO137" s="25">
        <f t="shared" ca="1" si="150"/>
        <v>6.3030039996192527E-5</v>
      </c>
      <c r="BP137" s="25">
        <f t="shared" ca="1" si="150"/>
        <v>6.1332762364448508E-5</v>
      </c>
      <c r="BQ137" s="25">
        <f t="shared" ca="1" si="150"/>
        <v>5.9635484732704484E-5</v>
      </c>
      <c r="BR137" s="25">
        <f t="shared" ca="1" si="150"/>
        <v>5.7938207100960459E-5</v>
      </c>
      <c r="BS137" s="25">
        <f t="shared" ca="1" si="150"/>
        <v>5.6240929469216434E-5</v>
      </c>
      <c r="BT137" s="25">
        <f ca="1">TotalEmissions!I20</f>
        <v>5.4543651837472375E-5</v>
      </c>
      <c r="BU137" s="25">
        <f t="shared" ca="1" si="151"/>
        <v>5.4275111362282282E-5</v>
      </c>
      <c r="BV137" s="25">
        <f t="shared" ca="1" si="151"/>
        <v>5.4006570887092188E-5</v>
      </c>
      <c r="BW137" s="25">
        <f t="shared" ca="1" si="151"/>
        <v>5.3738030411902095E-5</v>
      </c>
      <c r="BX137" s="25">
        <f t="shared" ca="1" si="151"/>
        <v>5.3469489936712002E-5</v>
      </c>
      <c r="BY137" s="25">
        <f t="shared" ca="1" si="151"/>
        <v>5.3200949461521908E-5</v>
      </c>
      <c r="BZ137" s="25">
        <f t="shared" ca="1" si="151"/>
        <v>5.2932408986331815E-5</v>
      </c>
      <c r="CA137" s="25">
        <f t="shared" ca="1" si="151"/>
        <v>5.2663868511141722E-5</v>
      </c>
      <c r="CB137" s="25">
        <f t="shared" ca="1" si="151"/>
        <v>5.2395328035951629E-5</v>
      </c>
      <c r="CC137" s="25">
        <f t="shared" ca="1" si="151"/>
        <v>5.2126787560761535E-5</v>
      </c>
      <c r="CD137" s="25">
        <f ca="1">TotalEmissions!J20</f>
        <v>5.1858247085571442E-5</v>
      </c>
      <c r="CE137" s="25">
        <f t="shared" ca="1" si="152"/>
        <v>8.0039319103282952E-5</v>
      </c>
      <c r="CF137" s="25">
        <f t="shared" ca="1" si="152"/>
        <v>1.0822039112099446E-4</v>
      </c>
      <c r="CG137" s="25">
        <f t="shared" ca="1" si="152"/>
        <v>1.3640146313870596E-4</v>
      </c>
      <c r="CH137" s="25">
        <f t="shared" ca="1" si="152"/>
        <v>1.6458253515641748E-4</v>
      </c>
      <c r="CI137" s="25">
        <f t="shared" ca="1" si="152"/>
        <v>1.9276360717412899E-4</v>
      </c>
      <c r="CJ137" s="25">
        <f t="shared" ca="1" si="152"/>
        <v>2.2094467919184051E-4</v>
      </c>
      <c r="CK137" s="25">
        <f t="shared" ca="1" si="152"/>
        <v>2.4912575120955203E-4</v>
      </c>
      <c r="CL137" s="25">
        <f t="shared" ca="1" si="152"/>
        <v>2.7730682322726354E-4</v>
      </c>
      <c r="CM137" s="25">
        <f t="shared" ca="1" si="152"/>
        <v>3.0548789524497506E-4</v>
      </c>
      <c r="CN137" s="25">
        <f ca="1">TotalEmissions!K20</f>
        <v>3.3366896726268652E-4</v>
      </c>
    </row>
    <row r="138" spans="1:164" x14ac:dyDescent="0.2">
      <c r="A138" s="25" t="str">
        <f>TotalEmissions!A21</f>
        <v>Biomass Industry CCS</v>
      </c>
      <c r="B138" s="25">
        <f ca="1">TotalEmissions!B21</f>
        <v>0</v>
      </c>
      <c r="C138" s="25">
        <f t="shared" ca="1" si="144"/>
        <v>0</v>
      </c>
      <c r="D138" s="25">
        <f t="shared" ca="1" si="144"/>
        <v>0</v>
      </c>
      <c r="E138" s="25">
        <f t="shared" ca="1" si="144"/>
        <v>0</v>
      </c>
      <c r="F138" s="25">
        <f t="shared" ca="1" si="144"/>
        <v>0</v>
      </c>
      <c r="G138" s="25">
        <f t="shared" ca="1" si="144"/>
        <v>0</v>
      </c>
      <c r="H138" s="25">
        <f t="shared" ca="1" si="144"/>
        <v>0</v>
      </c>
      <c r="I138" s="25">
        <f t="shared" ca="1" si="144"/>
        <v>0</v>
      </c>
      <c r="J138" s="25">
        <f t="shared" ca="1" si="144"/>
        <v>0</v>
      </c>
      <c r="K138" s="25">
        <f t="shared" ca="1" si="144"/>
        <v>0</v>
      </c>
      <c r="L138" s="25">
        <f ca="1">TotalEmissions!C21</f>
        <v>0</v>
      </c>
      <c r="M138" s="25">
        <f t="shared" ca="1" si="145"/>
        <v>0</v>
      </c>
      <c r="N138" s="25">
        <f t="shared" ca="1" si="145"/>
        <v>0</v>
      </c>
      <c r="O138" s="25">
        <f t="shared" ca="1" si="145"/>
        <v>0</v>
      </c>
      <c r="P138" s="25">
        <f t="shared" ca="1" si="145"/>
        <v>0</v>
      </c>
      <c r="Q138" s="25">
        <f t="shared" ca="1" si="145"/>
        <v>0</v>
      </c>
      <c r="R138" s="25">
        <f t="shared" ca="1" si="145"/>
        <v>0</v>
      </c>
      <c r="S138" s="25">
        <f t="shared" ca="1" si="145"/>
        <v>0</v>
      </c>
      <c r="T138" s="25">
        <f t="shared" ca="1" si="145"/>
        <v>0</v>
      </c>
      <c r="U138" s="25">
        <f t="shared" ca="1" si="145"/>
        <v>0</v>
      </c>
      <c r="V138" s="25">
        <f ca="1">TotalEmissions!D21</f>
        <v>0</v>
      </c>
      <c r="W138" s="25">
        <f t="shared" ca="1" si="146"/>
        <v>0</v>
      </c>
      <c r="X138" s="25">
        <f t="shared" ca="1" si="146"/>
        <v>0</v>
      </c>
      <c r="Y138" s="25">
        <f t="shared" ca="1" si="146"/>
        <v>0</v>
      </c>
      <c r="Z138" s="25">
        <f t="shared" ca="1" si="146"/>
        <v>0</v>
      </c>
      <c r="AA138" s="25">
        <f t="shared" ca="1" si="146"/>
        <v>0</v>
      </c>
      <c r="AB138" s="25">
        <f t="shared" ca="1" si="146"/>
        <v>0</v>
      </c>
      <c r="AC138" s="25">
        <f t="shared" ca="1" si="146"/>
        <v>0</v>
      </c>
      <c r="AD138" s="25">
        <f t="shared" ca="1" si="146"/>
        <v>0</v>
      </c>
      <c r="AE138" s="25">
        <f t="shared" ca="1" si="146"/>
        <v>0</v>
      </c>
      <c r="AF138" s="25">
        <f ca="1">TotalEmissions!E21</f>
        <v>0</v>
      </c>
      <c r="AG138" s="25">
        <f t="shared" ca="1" si="147"/>
        <v>0</v>
      </c>
      <c r="AH138" s="25">
        <f t="shared" ca="1" si="147"/>
        <v>0</v>
      </c>
      <c r="AI138" s="25">
        <f t="shared" ca="1" si="147"/>
        <v>0</v>
      </c>
      <c r="AJ138" s="25">
        <f t="shared" ca="1" si="147"/>
        <v>0</v>
      </c>
      <c r="AK138" s="25">
        <f t="shared" ca="1" si="147"/>
        <v>0</v>
      </c>
      <c r="AL138" s="25">
        <f t="shared" ca="1" si="147"/>
        <v>0</v>
      </c>
      <c r="AM138" s="25">
        <f t="shared" ca="1" si="147"/>
        <v>0</v>
      </c>
      <c r="AN138" s="25">
        <f t="shared" ca="1" si="147"/>
        <v>0</v>
      </c>
      <c r="AO138" s="25">
        <f t="shared" ca="1" si="147"/>
        <v>0</v>
      </c>
      <c r="AP138" s="25">
        <f ca="1">TotalEmissions!F21</f>
        <v>0</v>
      </c>
      <c r="AQ138" s="25">
        <f t="shared" ca="1" si="148"/>
        <v>0</v>
      </c>
      <c r="AR138" s="25">
        <f t="shared" ca="1" si="148"/>
        <v>0</v>
      </c>
      <c r="AS138" s="25">
        <f t="shared" ca="1" si="148"/>
        <v>0</v>
      </c>
      <c r="AT138" s="25">
        <f t="shared" ca="1" si="148"/>
        <v>0</v>
      </c>
      <c r="AU138" s="25">
        <f t="shared" ca="1" si="148"/>
        <v>0</v>
      </c>
      <c r="AV138" s="25">
        <f t="shared" ca="1" si="148"/>
        <v>0</v>
      </c>
      <c r="AW138" s="25">
        <f t="shared" ca="1" si="148"/>
        <v>0</v>
      </c>
      <c r="AX138" s="25">
        <f t="shared" ca="1" si="148"/>
        <v>0</v>
      </c>
      <c r="AY138" s="25">
        <f t="shared" ca="1" si="148"/>
        <v>0</v>
      </c>
      <c r="AZ138" s="25">
        <f ca="1">TotalEmissions!G21</f>
        <v>0</v>
      </c>
      <c r="BA138" s="25">
        <f t="shared" ca="1" si="149"/>
        <v>0</v>
      </c>
      <c r="BB138" s="25">
        <f t="shared" ca="1" si="149"/>
        <v>0</v>
      </c>
      <c r="BC138" s="25">
        <f t="shared" ca="1" si="149"/>
        <v>0</v>
      </c>
      <c r="BD138" s="25">
        <f t="shared" ca="1" si="149"/>
        <v>0</v>
      </c>
      <c r="BE138" s="25">
        <f t="shared" ca="1" si="149"/>
        <v>0</v>
      </c>
      <c r="BF138" s="25">
        <f t="shared" ca="1" si="149"/>
        <v>0</v>
      </c>
      <c r="BG138" s="25">
        <f t="shared" ca="1" si="149"/>
        <v>0</v>
      </c>
      <c r="BH138" s="25">
        <f t="shared" ca="1" si="149"/>
        <v>0</v>
      </c>
      <c r="BI138" s="25">
        <f t="shared" ca="1" si="149"/>
        <v>0</v>
      </c>
      <c r="BJ138" s="25">
        <f ca="1">TotalEmissions!H21</f>
        <v>0</v>
      </c>
      <c r="BK138" s="25">
        <f t="shared" ca="1" si="150"/>
        <v>0</v>
      </c>
      <c r="BL138" s="25">
        <f t="shared" ca="1" si="150"/>
        <v>0</v>
      </c>
      <c r="BM138" s="25">
        <f t="shared" ca="1" si="150"/>
        <v>0</v>
      </c>
      <c r="BN138" s="25">
        <f t="shared" ca="1" si="150"/>
        <v>0</v>
      </c>
      <c r="BO138" s="25">
        <f t="shared" ca="1" si="150"/>
        <v>0</v>
      </c>
      <c r="BP138" s="25">
        <f t="shared" ca="1" si="150"/>
        <v>0</v>
      </c>
      <c r="BQ138" s="25">
        <f t="shared" ca="1" si="150"/>
        <v>0</v>
      </c>
      <c r="BR138" s="25">
        <f t="shared" ca="1" si="150"/>
        <v>0</v>
      </c>
      <c r="BS138" s="25">
        <f t="shared" ca="1" si="150"/>
        <v>0</v>
      </c>
      <c r="BT138" s="25">
        <f ca="1">TotalEmissions!I21</f>
        <v>0</v>
      </c>
      <c r="BU138" s="25">
        <f t="shared" ca="1" si="151"/>
        <v>0</v>
      </c>
      <c r="BV138" s="25">
        <f t="shared" ca="1" si="151"/>
        <v>0</v>
      </c>
      <c r="BW138" s="25">
        <f t="shared" ca="1" si="151"/>
        <v>0</v>
      </c>
      <c r="BX138" s="25">
        <f t="shared" ca="1" si="151"/>
        <v>0</v>
      </c>
      <c r="BY138" s="25">
        <f t="shared" ca="1" si="151"/>
        <v>0</v>
      </c>
      <c r="BZ138" s="25">
        <f t="shared" ca="1" si="151"/>
        <v>0</v>
      </c>
      <c r="CA138" s="25">
        <f t="shared" ca="1" si="151"/>
        <v>0</v>
      </c>
      <c r="CB138" s="25">
        <f t="shared" ca="1" si="151"/>
        <v>0</v>
      </c>
      <c r="CC138" s="25">
        <f t="shared" ca="1" si="151"/>
        <v>0</v>
      </c>
      <c r="CD138" s="25">
        <f ca="1">TotalEmissions!J21</f>
        <v>0</v>
      </c>
      <c r="CE138" s="25">
        <f t="shared" ca="1" si="152"/>
        <v>0</v>
      </c>
      <c r="CF138" s="25">
        <f t="shared" ca="1" si="152"/>
        <v>0</v>
      </c>
      <c r="CG138" s="25">
        <f t="shared" ca="1" si="152"/>
        <v>0</v>
      </c>
      <c r="CH138" s="25">
        <f t="shared" ca="1" si="152"/>
        <v>0</v>
      </c>
      <c r="CI138" s="25">
        <f t="shared" ca="1" si="152"/>
        <v>0</v>
      </c>
      <c r="CJ138" s="25">
        <f t="shared" ca="1" si="152"/>
        <v>0</v>
      </c>
      <c r="CK138" s="25">
        <f t="shared" ca="1" si="152"/>
        <v>0</v>
      </c>
      <c r="CL138" s="25">
        <f t="shared" ca="1" si="152"/>
        <v>0</v>
      </c>
      <c r="CM138" s="25">
        <f t="shared" ca="1" si="152"/>
        <v>0</v>
      </c>
      <c r="CN138" s="25">
        <f ca="1">TotalEmissions!K21</f>
        <v>0</v>
      </c>
    </row>
    <row r="139" spans="1:164" x14ac:dyDescent="0.2">
      <c r="A139" s="25" t="str">
        <f>TotalEmissions!A28</f>
        <v>Net emissions (CO2 + other gases)</v>
      </c>
      <c r="B139" s="25">
        <f ca="1">TotalEmissions!B28</f>
        <v>49.203953937660756</v>
      </c>
      <c r="C139" s="25">
        <f t="shared" ca="1" si="144"/>
        <v>48.916421415045903</v>
      </c>
      <c r="D139" s="25">
        <f t="shared" ca="1" si="144"/>
        <v>48.62888889243105</v>
      </c>
      <c r="E139" s="25">
        <f t="shared" ca="1" si="144"/>
        <v>48.341356369816197</v>
      </c>
      <c r="F139" s="25">
        <f t="shared" ca="1" si="144"/>
        <v>48.053823847201343</v>
      </c>
      <c r="G139" s="25">
        <f t="shared" ca="1" si="144"/>
        <v>47.76629132458649</v>
      </c>
      <c r="H139" s="25">
        <f t="shared" ca="1" si="144"/>
        <v>47.478758801971637</v>
      </c>
      <c r="I139" s="25">
        <f t="shared" ca="1" si="144"/>
        <v>47.191226279356783</v>
      </c>
      <c r="J139" s="25">
        <f t="shared" ca="1" si="144"/>
        <v>46.90369375674193</v>
      </c>
      <c r="K139" s="25">
        <f t="shared" ca="1" si="144"/>
        <v>46.616161234127077</v>
      </c>
      <c r="L139" s="25">
        <f ca="1">TotalEmissions!C28</f>
        <v>46.328628711512245</v>
      </c>
      <c r="M139" s="25">
        <f t="shared" ca="1" si="145"/>
        <v>44.313831143132958</v>
      </c>
      <c r="N139" s="25">
        <f t="shared" ca="1" si="145"/>
        <v>42.299033574753672</v>
      </c>
      <c r="O139" s="25">
        <f t="shared" ca="1" si="145"/>
        <v>40.284236006374385</v>
      </c>
      <c r="P139" s="25">
        <f t="shared" ca="1" si="145"/>
        <v>38.269438437995099</v>
      </c>
      <c r="Q139" s="25">
        <f t="shared" ca="1" si="145"/>
        <v>36.254640869615812</v>
      </c>
      <c r="R139" s="25">
        <f t="shared" ca="1" si="145"/>
        <v>34.239843301236526</v>
      </c>
      <c r="S139" s="25">
        <f t="shared" ca="1" si="145"/>
        <v>32.225045732857239</v>
      </c>
      <c r="T139" s="25">
        <f t="shared" ca="1" si="145"/>
        <v>30.210248164477949</v>
      </c>
      <c r="U139" s="25">
        <f t="shared" ca="1" si="145"/>
        <v>28.195450596098659</v>
      </c>
      <c r="V139" s="25">
        <f ca="1">TotalEmissions!D28</f>
        <v>26.180653027719355</v>
      </c>
      <c r="W139" s="25">
        <f t="shared" ca="1" si="146"/>
        <v>24.622353300863871</v>
      </c>
      <c r="X139" s="25">
        <f t="shared" ca="1" si="146"/>
        <v>23.064053574008383</v>
      </c>
      <c r="Y139" s="25">
        <f t="shared" ca="1" si="146"/>
        <v>21.505753847152896</v>
      </c>
      <c r="Z139" s="25">
        <f t="shared" ca="1" si="146"/>
        <v>19.947454120297408</v>
      </c>
      <c r="AA139" s="25">
        <f t="shared" ca="1" si="146"/>
        <v>18.38915439344192</v>
      </c>
      <c r="AB139" s="25">
        <f t="shared" ca="1" si="146"/>
        <v>16.830854666586433</v>
      </c>
      <c r="AC139" s="25">
        <f t="shared" ca="1" si="146"/>
        <v>15.272554939730947</v>
      </c>
      <c r="AD139" s="25">
        <f t="shared" ca="1" si="146"/>
        <v>13.714255212875461</v>
      </c>
      <c r="AE139" s="25">
        <f t="shared" ca="1" si="146"/>
        <v>12.155955486019975</v>
      </c>
      <c r="AF139" s="25">
        <f ca="1">TotalEmissions!E28</f>
        <v>10.597655759164496</v>
      </c>
      <c r="AG139" s="25">
        <f t="shared" ca="1" si="147"/>
        <v>9.7573756155231557</v>
      </c>
      <c r="AH139" s="25">
        <f t="shared" ca="1" si="147"/>
        <v>8.9170954718818152</v>
      </c>
      <c r="AI139" s="25">
        <f t="shared" ca="1" si="147"/>
        <v>8.0768153282404747</v>
      </c>
      <c r="AJ139" s="25">
        <f t="shared" ca="1" si="147"/>
        <v>7.2365351845991333</v>
      </c>
      <c r="AK139" s="25">
        <f t="shared" ca="1" si="147"/>
        <v>6.3962550409577918</v>
      </c>
      <c r="AL139" s="25">
        <f t="shared" ca="1" si="147"/>
        <v>5.5559748973164504</v>
      </c>
      <c r="AM139" s="25">
        <f t="shared" ca="1" si="147"/>
        <v>4.715694753675109</v>
      </c>
      <c r="AN139" s="25">
        <f t="shared" ca="1" si="147"/>
        <v>3.8754146100337676</v>
      </c>
      <c r="AO139" s="25">
        <f t="shared" ca="1" si="147"/>
        <v>3.0351344663924262</v>
      </c>
      <c r="AP139" s="25">
        <f ca="1">TotalEmissions!F28</f>
        <v>2.1948543227510839</v>
      </c>
      <c r="AQ139" s="25">
        <f t="shared" ca="1" si="148"/>
        <v>2.0231838275858349</v>
      </c>
      <c r="AR139" s="25">
        <f t="shared" ca="1" si="148"/>
        <v>1.8515133324205857</v>
      </c>
      <c r="AS139" s="25">
        <f t="shared" ca="1" si="148"/>
        <v>1.6798428372553365</v>
      </c>
      <c r="AT139" s="25">
        <f t="shared" ca="1" si="148"/>
        <v>1.5081723420900872</v>
      </c>
      <c r="AU139" s="25">
        <f t="shared" ca="1" si="148"/>
        <v>1.336501846924838</v>
      </c>
      <c r="AV139" s="25">
        <f t="shared" ca="1" si="148"/>
        <v>1.1648313517595887</v>
      </c>
      <c r="AW139" s="25">
        <f t="shared" ca="1" si="148"/>
        <v>0.99316085659433961</v>
      </c>
      <c r="AX139" s="25">
        <f t="shared" ca="1" si="148"/>
        <v>0.82149036142909049</v>
      </c>
      <c r="AY139" s="25">
        <f t="shared" ca="1" si="148"/>
        <v>0.64981986626384136</v>
      </c>
      <c r="AZ139" s="25">
        <f ca="1">TotalEmissions!G28</f>
        <v>0.47814937109859246</v>
      </c>
      <c r="BA139" s="25">
        <f t="shared" ca="1" si="149"/>
        <v>0.38482695249873056</v>
      </c>
      <c r="BB139" s="25">
        <f t="shared" ca="1" si="149"/>
        <v>0.29150453389886866</v>
      </c>
      <c r="BC139" s="25">
        <f t="shared" ca="1" si="149"/>
        <v>0.19818211529900678</v>
      </c>
      <c r="BD139" s="25">
        <f t="shared" ca="1" si="149"/>
        <v>0.10485969669914491</v>
      </c>
      <c r="BE139" s="25">
        <f t="shared" ca="1" si="149"/>
        <v>1.1537278099283038E-2</v>
      </c>
      <c r="BF139" s="25">
        <f t="shared" ca="1" si="149"/>
        <v>-8.1785140500578835E-2</v>
      </c>
      <c r="BG139" s="25">
        <f t="shared" ca="1" si="149"/>
        <v>-0.17510755910044071</v>
      </c>
      <c r="BH139" s="25">
        <f t="shared" ca="1" si="149"/>
        <v>-0.26842997770030258</v>
      </c>
      <c r="BI139" s="25">
        <f t="shared" ca="1" si="149"/>
        <v>-0.36175239630016442</v>
      </c>
      <c r="BJ139" s="25">
        <f ca="1">TotalEmissions!H28</f>
        <v>-0.45507481490002633</v>
      </c>
      <c r="BK139" s="25">
        <f t="shared" ca="1" si="150"/>
        <v>-0.34806882245183546</v>
      </c>
      <c r="BL139" s="25">
        <f t="shared" ca="1" si="150"/>
        <v>-0.24106283000364456</v>
      </c>
      <c r="BM139" s="25">
        <f t="shared" ca="1" si="150"/>
        <v>-0.13405683755545367</v>
      </c>
      <c r="BN139" s="25">
        <f t="shared" ca="1" si="150"/>
        <v>-2.7050845107262772E-2</v>
      </c>
      <c r="BO139" s="25">
        <f t="shared" ca="1" si="150"/>
        <v>7.9955147340928123E-2</v>
      </c>
      <c r="BP139" s="25">
        <f t="shared" ca="1" si="150"/>
        <v>0.18696113978911902</v>
      </c>
      <c r="BQ139" s="25">
        <f t="shared" ca="1" si="150"/>
        <v>0.29396713223730991</v>
      </c>
      <c r="BR139" s="25">
        <f t="shared" ca="1" si="150"/>
        <v>0.40097312468550084</v>
      </c>
      <c r="BS139" s="25">
        <f t="shared" ca="1" si="150"/>
        <v>0.5079791171336917</v>
      </c>
      <c r="BT139" s="25">
        <f ca="1">TotalEmissions!I28</f>
        <v>0.61498510958188257</v>
      </c>
      <c r="BU139" s="25">
        <f t="shared" ca="1" si="151"/>
        <v>0.7684603550229574</v>
      </c>
      <c r="BV139" s="25">
        <f t="shared" ca="1" si="151"/>
        <v>0.92193560046403222</v>
      </c>
      <c r="BW139" s="25">
        <f t="shared" ca="1" si="151"/>
        <v>1.075410845905107</v>
      </c>
      <c r="BX139" s="25">
        <f t="shared" ca="1" si="151"/>
        <v>1.2288860913461819</v>
      </c>
      <c r="BY139" s="25">
        <f t="shared" ca="1" si="151"/>
        <v>1.3823613367872567</v>
      </c>
      <c r="BZ139" s="25">
        <f t="shared" ca="1" si="151"/>
        <v>1.5358365822283315</v>
      </c>
      <c r="CA139" s="25">
        <f t="shared" ca="1" si="151"/>
        <v>1.6893118276694064</v>
      </c>
      <c r="CB139" s="25">
        <f t="shared" ca="1" si="151"/>
        <v>1.8427870731104812</v>
      </c>
      <c r="CC139" s="25">
        <f t="shared" ca="1" si="151"/>
        <v>1.996262318551556</v>
      </c>
      <c r="CD139" s="25">
        <f ca="1">TotalEmissions!J28</f>
        <v>2.1497375639926304</v>
      </c>
      <c r="CE139" s="25">
        <f t="shared" ca="1" si="152"/>
        <v>2.2818390724974611</v>
      </c>
      <c r="CF139" s="25">
        <f t="shared" ca="1" si="152"/>
        <v>2.4139405810022918</v>
      </c>
      <c r="CG139" s="25">
        <f t="shared" ca="1" si="152"/>
        <v>2.5460420895071225</v>
      </c>
      <c r="CH139" s="25">
        <f t="shared" ca="1" si="152"/>
        <v>2.6781435980119532</v>
      </c>
      <c r="CI139" s="25">
        <f t="shared" ca="1" si="152"/>
        <v>2.8102451065167839</v>
      </c>
      <c r="CJ139" s="25">
        <f t="shared" ca="1" si="152"/>
        <v>2.9423466150216147</v>
      </c>
      <c r="CK139" s="25">
        <f t="shared" ca="1" si="152"/>
        <v>3.0744481235264454</v>
      </c>
      <c r="CL139" s="25">
        <f t="shared" ca="1" si="152"/>
        <v>3.2065496320312761</v>
      </c>
      <c r="CM139" s="25">
        <f t="shared" ca="1" si="152"/>
        <v>3.3386511405361068</v>
      </c>
      <c r="CN139" s="25">
        <f ca="1">TotalEmissions!K28</f>
        <v>3.4707526490409357</v>
      </c>
    </row>
    <row r="140" spans="1:164" x14ac:dyDescent="0.2">
      <c r="A140" s="209" t="s">
        <v>277</v>
      </c>
      <c r="B140" s="25">
        <f ca="1">B139+B135+B136+B137+B138</f>
        <v>49.203953937660756</v>
      </c>
      <c r="C140" s="25">
        <f t="shared" ref="C140:BN140" ca="1" si="153">C139+C135+C136+C137+C138</f>
        <v>48.921401670944796</v>
      </c>
      <c r="D140" s="25">
        <f t="shared" ca="1" si="153"/>
        <v>48.638849404228829</v>
      </c>
      <c r="E140" s="25">
        <f t="shared" ca="1" si="153"/>
        <v>48.356297137512868</v>
      </c>
      <c r="F140" s="25">
        <f t="shared" ca="1" si="153"/>
        <v>48.073744870796901</v>
      </c>
      <c r="G140" s="25">
        <f t="shared" ca="1" si="153"/>
        <v>47.79119260408094</v>
      </c>
      <c r="H140" s="25">
        <f t="shared" ca="1" si="153"/>
        <v>47.508640337364973</v>
      </c>
      <c r="I140" s="25">
        <f t="shared" ca="1" si="153"/>
        <v>47.226088070649013</v>
      </c>
      <c r="J140" s="25">
        <f t="shared" ca="1" si="153"/>
        <v>46.943535803933045</v>
      </c>
      <c r="K140" s="25">
        <f t="shared" ca="1" si="153"/>
        <v>46.660983537217085</v>
      </c>
      <c r="L140" s="25">
        <f t="shared" ca="1" si="153"/>
        <v>46.378431270501139</v>
      </c>
      <c r="M140" s="25">
        <f t="shared" ca="1" si="153"/>
        <v>44.555196838980926</v>
      </c>
      <c r="N140" s="25">
        <f t="shared" ca="1" si="153"/>
        <v>42.731962407460699</v>
      </c>
      <c r="O140" s="25">
        <f t="shared" ca="1" si="153"/>
        <v>40.908727975940486</v>
      </c>
      <c r="P140" s="25">
        <f t="shared" ca="1" si="153"/>
        <v>39.085493544420267</v>
      </c>
      <c r="Q140" s="25">
        <f t="shared" ca="1" si="153"/>
        <v>37.262259112900047</v>
      </c>
      <c r="R140" s="25">
        <f t="shared" ca="1" si="153"/>
        <v>35.439024681379827</v>
      </c>
      <c r="S140" s="25">
        <f t="shared" ca="1" si="153"/>
        <v>33.615790249859607</v>
      </c>
      <c r="T140" s="25">
        <f t="shared" ca="1" si="153"/>
        <v>31.792555818339391</v>
      </c>
      <c r="U140" s="25">
        <f t="shared" ca="1" si="153"/>
        <v>29.969321386819168</v>
      </c>
      <c r="V140" s="25">
        <f t="shared" ca="1" si="153"/>
        <v>28.146086955298934</v>
      </c>
      <c r="W140" s="25">
        <f t="shared" ca="1" si="153"/>
        <v>26.778533134127496</v>
      </c>
      <c r="X140" s="25">
        <f t="shared" ca="1" si="153"/>
        <v>25.410979312956062</v>
      </c>
      <c r="Y140" s="25">
        <f t="shared" ca="1" si="153"/>
        <v>24.043425491784625</v>
      </c>
      <c r="Z140" s="25">
        <f t="shared" ca="1" si="153"/>
        <v>22.675871670613187</v>
      </c>
      <c r="AA140" s="25">
        <f t="shared" ca="1" si="153"/>
        <v>21.308317849441753</v>
      </c>
      <c r="AB140" s="25">
        <f t="shared" ca="1" si="153"/>
        <v>19.940764028270319</v>
      </c>
      <c r="AC140" s="25">
        <f t="shared" ca="1" si="153"/>
        <v>18.573210207098878</v>
      </c>
      <c r="AD140" s="25">
        <f t="shared" ca="1" si="153"/>
        <v>17.205656385927444</v>
      </c>
      <c r="AE140" s="25">
        <f t="shared" ca="1" si="153"/>
        <v>15.838102564756012</v>
      </c>
      <c r="AF140" s="25">
        <f t="shared" ca="1" si="153"/>
        <v>14.470548743584583</v>
      </c>
      <c r="AG140" s="25">
        <f t="shared" ca="1" si="153"/>
        <v>13.685134390688534</v>
      </c>
      <c r="AH140" s="25">
        <f t="shared" ca="1" si="153"/>
        <v>12.899720037792486</v>
      </c>
      <c r="AI140" s="25">
        <f t="shared" ca="1" si="153"/>
        <v>12.114305684896435</v>
      </c>
      <c r="AJ140" s="25">
        <f t="shared" ca="1" si="153"/>
        <v>11.328891332000387</v>
      </c>
      <c r="AK140" s="25">
        <f t="shared" ca="1" si="153"/>
        <v>10.543476979104334</v>
      </c>
      <c r="AL140" s="25">
        <f t="shared" ca="1" si="153"/>
        <v>9.7580626262082824</v>
      </c>
      <c r="AM140" s="25">
        <f t="shared" ca="1" si="153"/>
        <v>8.9726482733122346</v>
      </c>
      <c r="AN140" s="25">
        <f t="shared" ca="1" si="153"/>
        <v>8.1872339204161833</v>
      </c>
      <c r="AO140" s="25">
        <f t="shared" ca="1" si="153"/>
        <v>7.4018195675201328</v>
      </c>
      <c r="AP140" s="25">
        <f t="shared" ca="1" si="153"/>
        <v>6.6164052146240815</v>
      </c>
      <c r="AQ140" s="25">
        <f t="shared" ca="1" si="153"/>
        <v>6.558509255238457</v>
      </c>
      <c r="AR140" s="25">
        <f t="shared" ca="1" si="153"/>
        <v>6.5006132958528307</v>
      </c>
      <c r="AS140" s="25">
        <f t="shared" ca="1" si="153"/>
        <v>6.4427173364672035</v>
      </c>
      <c r="AT140" s="25">
        <f t="shared" ca="1" si="153"/>
        <v>6.384821377081578</v>
      </c>
      <c r="AU140" s="25">
        <f t="shared" ca="1" si="153"/>
        <v>6.3269254176959526</v>
      </c>
      <c r="AV140" s="25">
        <f t="shared" ca="1" si="153"/>
        <v>6.2690294583103272</v>
      </c>
      <c r="AW140" s="25">
        <f t="shared" ca="1" si="153"/>
        <v>6.2111334989247009</v>
      </c>
      <c r="AX140" s="25">
        <f t="shared" ca="1" si="153"/>
        <v>6.1532375395390746</v>
      </c>
      <c r="AY140" s="25">
        <f t="shared" ca="1" si="153"/>
        <v>6.0953415801534492</v>
      </c>
      <c r="AZ140" s="25">
        <f t="shared" ca="1" si="153"/>
        <v>6.0374456207678246</v>
      </c>
      <c r="BA140" s="25">
        <f t="shared" ca="1" si="153"/>
        <v>6.153902590495929</v>
      </c>
      <c r="BB140" s="25">
        <f t="shared" ca="1" si="153"/>
        <v>6.2703595602240325</v>
      </c>
      <c r="BC140" s="25">
        <f t="shared" ca="1" si="153"/>
        <v>6.386816529952136</v>
      </c>
      <c r="BD140" s="25">
        <f t="shared" ca="1" si="153"/>
        <v>6.5032734996802404</v>
      </c>
      <c r="BE140" s="25">
        <f t="shared" ca="1" si="153"/>
        <v>6.6197304694083439</v>
      </c>
      <c r="BF140" s="25">
        <f t="shared" ca="1" si="153"/>
        <v>6.7361874391364474</v>
      </c>
      <c r="BG140" s="25">
        <f t="shared" ca="1" si="153"/>
        <v>6.8526444088645535</v>
      </c>
      <c r="BH140" s="25">
        <f t="shared" ca="1" si="153"/>
        <v>6.969101378592657</v>
      </c>
      <c r="BI140" s="25">
        <f t="shared" ca="1" si="153"/>
        <v>7.0855583483207605</v>
      </c>
      <c r="BJ140" s="25">
        <f t="shared" ca="1" si="153"/>
        <v>7.2020153180488604</v>
      </c>
      <c r="BK140" s="25">
        <f t="shared" ca="1" si="153"/>
        <v>7.3370938950222691</v>
      </c>
      <c r="BL140" s="25">
        <f t="shared" ca="1" si="153"/>
        <v>7.4721724719956768</v>
      </c>
      <c r="BM140" s="25">
        <f t="shared" ca="1" si="153"/>
        <v>7.6072510489690854</v>
      </c>
      <c r="BN140" s="25">
        <f t="shared" ca="1" si="153"/>
        <v>7.7423296259424932</v>
      </c>
      <c r="BO140" s="25">
        <f t="shared" ref="BO140:CN140" ca="1" si="154">BO139+BO135+BO136+BO137+BO138</f>
        <v>7.8774082029159</v>
      </c>
      <c r="BP140" s="25">
        <f t="shared" ca="1" si="154"/>
        <v>8.0124867798893078</v>
      </c>
      <c r="BQ140" s="25">
        <f t="shared" ca="1" si="154"/>
        <v>8.1475653568627173</v>
      </c>
      <c r="BR140" s="25">
        <f t="shared" ca="1" si="154"/>
        <v>8.2826439338361251</v>
      </c>
      <c r="BS140" s="25">
        <f t="shared" ca="1" si="154"/>
        <v>8.4177225108095328</v>
      </c>
      <c r="BT140" s="25">
        <f t="shared" ca="1" si="154"/>
        <v>8.5528010877829406</v>
      </c>
      <c r="BU140" s="25">
        <f t="shared" ca="1" si="154"/>
        <v>8.6290101300956135</v>
      </c>
      <c r="BV140" s="25">
        <f t="shared" ca="1" si="154"/>
        <v>8.7052191724082846</v>
      </c>
      <c r="BW140" s="25">
        <f t="shared" ca="1" si="154"/>
        <v>8.7814282147209557</v>
      </c>
      <c r="BX140" s="25">
        <f t="shared" ca="1" si="154"/>
        <v>8.8576372570336286</v>
      </c>
      <c r="BY140" s="25">
        <f t="shared" ca="1" si="154"/>
        <v>8.9338462993463015</v>
      </c>
      <c r="BZ140" s="25">
        <f t="shared" ca="1" si="154"/>
        <v>9.0100553416589726</v>
      </c>
      <c r="CA140" s="25">
        <f t="shared" ca="1" si="154"/>
        <v>9.0862643839716437</v>
      </c>
      <c r="CB140" s="25">
        <f t="shared" ca="1" si="154"/>
        <v>9.1624734262843166</v>
      </c>
      <c r="CC140" s="25">
        <f t="shared" ca="1" si="154"/>
        <v>9.2386824685969895</v>
      </c>
      <c r="CD140" s="25">
        <f t="shared" ca="1" si="154"/>
        <v>9.3148915109096606</v>
      </c>
      <c r="CE140" s="25">
        <f t="shared" ca="1" si="154"/>
        <v>9.4149860688970008</v>
      </c>
      <c r="CF140" s="25">
        <f t="shared" ca="1" si="154"/>
        <v>9.5150806268843429</v>
      </c>
      <c r="CG140" s="25">
        <f t="shared" ca="1" si="154"/>
        <v>9.6151751848716831</v>
      </c>
      <c r="CH140" s="25">
        <f t="shared" ca="1" si="154"/>
        <v>9.7152697428590233</v>
      </c>
      <c r="CI140" s="25">
        <f t="shared" ca="1" si="154"/>
        <v>9.8153643008463636</v>
      </c>
      <c r="CJ140" s="25">
        <f t="shared" ca="1" si="154"/>
        <v>9.9154588588337056</v>
      </c>
      <c r="CK140" s="25">
        <f t="shared" ca="1" si="154"/>
        <v>10.015553416821044</v>
      </c>
      <c r="CL140" s="25">
        <f t="shared" ca="1" si="154"/>
        <v>10.115647974808384</v>
      </c>
      <c r="CM140" s="25">
        <f t="shared" ca="1" si="154"/>
        <v>10.215742532795726</v>
      </c>
      <c r="CN140" s="25">
        <f t="shared" ca="1" si="154"/>
        <v>10.315837090783063</v>
      </c>
    </row>
    <row r="141" spans="1:164" x14ac:dyDescent="0.2">
      <c r="A141" t="s">
        <v>234</v>
      </c>
      <c r="B141" s="25">
        <f t="shared" ref="B141:AG141" ca="1" si="155">B99+SUM(B102:B107)+SUM(B108:B110)</f>
        <v>49.16381128197731</v>
      </c>
      <c r="C141" s="25">
        <f t="shared" ca="1" si="155"/>
        <v>48.885273280829701</v>
      </c>
      <c r="D141" s="25">
        <f ca="1">D99+SUM(D102:D107)+SUM(D108:D110)</f>
        <v>48.606735279682077</v>
      </c>
      <c r="E141" s="25">
        <f t="shared" ca="1" si="155"/>
        <v>48.328197278534454</v>
      </c>
      <c r="F141" s="25">
        <f t="shared" ca="1" si="155"/>
        <v>48.049659277386837</v>
      </c>
      <c r="G141" s="25">
        <f t="shared" ca="1" si="155"/>
        <v>47.771121276239214</v>
      </c>
      <c r="H141" s="25">
        <f t="shared" ca="1" si="155"/>
        <v>47.492583275091597</v>
      </c>
      <c r="I141" s="25">
        <f t="shared" ca="1" si="155"/>
        <v>47.214045273943974</v>
      </c>
      <c r="J141" s="25">
        <f t="shared" ca="1" si="155"/>
        <v>46.935507272796357</v>
      </c>
      <c r="K141" s="25">
        <f t="shared" ca="1" si="155"/>
        <v>46.656969271648734</v>
      </c>
      <c r="L141" s="25">
        <f t="shared" ca="1" si="155"/>
        <v>46.378431270501125</v>
      </c>
      <c r="M141" s="25">
        <f t="shared" ca="1" si="155"/>
        <v>44.555196838980905</v>
      </c>
      <c r="N141" s="25">
        <f t="shared" ca="1" si="155"/>
        <v>42.731962407460685</v>
      </c>
      <c r="O141" s="25">
        <f t="shared" ca="1" si="155"/>
        <v>40.908727975940465</v>
      </c>
      <c r="P141" s="25">
        <f t="shared" ca="1" si="155"/>
        <v>39.085493544420238</v>
      </c>
      <c r="Q141" s="25">
        <f t="shared" ca="1" si="155"/>
        <v>37.262259112900011</v>
      </c>
      <c r="R141" s="25">
        <f t="shared" ca="1" si="155"/>
        <v>35.439024681379792</v>
      </c>
      <c r="S141" s="25">
        <f t="shared" ca="1" si="155"/>
        <v>33.615790249859572</v>
      </c>
      <c r="T141" s="25">
        <f t="shared" ca="1" si="155"/>
        <v>31.792555818339359</v>
      </c>
      <c r="U141" s="25">
        <f t="shared" ca="1" si="155"/>
        <v>29.969321386819139</v>
      </c>
      <c r="V141" s="25">
        <f t="shared" ca="1" si="155"/>
        <v>28.146086955298927</v>
      </c>
      <c r="W141" s="25">
        <f t="shared" ca="1" si="155"/>
        <v>26.7785331341275</v>
      </c>
      <c r="X141" s="25">
        <f t="shared" ca="1" si="155"/>
        <v>25.410979312956066</v>
      </c>
      <c r="Y141" s="25">
        <f t="shared" ca="1" si="155"/>
        <v>24.043425491784639</v>
      </c>
      <c r="Z141" s="25">
        <f t="shared" ca="1" si="155"/>
        <v>22.675871670613205</v>
      </c>
      <c r="AA141" s="25">
        <f t="shared" ca="1" si="155"/>
        <v>21.308317849441771</v>
      </c>
      <c r="AB141" s="25">
        <f t="shared" ca="1" si="155"/>
        <v>19.940764028270344</v>
      </c>
      <c r="AC141" s="25">
        <f t="shared" ca="1" si="155"/>
        <v>18.573210207098903</v>
      </c>
      <c r="AD141" s="25">
        <f t="shared" ca="1" si="155"/>
        <v>17.205656385927483</v>
      </c>
      <c r="AE141" s="25">
        <f t="shared" ca="1" si="155"/>
        <v>15.838102564756049</v>
      </c>
      <c r="AF141" s="25">
        <f t="shared" ca="1" si="155"/>
        <v>14.470548743584583</v>
      </c>
      <c r="AG141" s="25">
        <f t="shared" ca="1" si="155"/>
        <v>13.685134390688535</v>
      </c>
      <c r="AH141" s="25">
        <f t="shared" ref="AH141:CN141" ca="1" si="156">AH99+SUM(AH102:AH107)+SUM(AH108:AH110)</f>
        <v>12.899720037792481</v>
      </c>
      <c r="AI141" s="25">
        <f t="shared" ca="1" si="156"/>
        <v>12.114305684896433</v>
      </c>
      <c r="AJ141" s="25">
        <f t="shared" ca="1" si="156"/>
        <v>11.328891332000389</v>
      </c>
      <c r="AK141" s="25">
        <f t="shared" ca="1" si="156"/>
        <v>10.543476979104334</v>
      </c>
      <c r="AL141" s="25">
        <f t="shared" ca="1" si="156"/>
        <v>9.7580626262082859</v>
      </c>
      <c r="AM141" s="25">
        <f t="shared" ca="1" si="156"/>
        <v>8.972648273312231</v>
      </c>
      <c r="AN141" s="25">
        <f t="shared" ca="1" si="156"/>
        <v>8.1872339204161904</v>
      </c>
      <c r="AO141" s="25">
        <f t="shared" ca="1" si="156"/>
        <v>7.4018195675201426</v>
      </c>
      <c r="AP141" s="25">
        <f t="shared" ca="1" si="156"/>
        <v>6.6164052146240948</v>
      </c>
      <c r="AQ141" s="25">
        <f t="shared" ca="1" si="156"/>
        <v>6.5585092552384658</v>
      </c>
      <c r="AR141" s="25">
        <f t="shared" ca="1" si="156"/>
        <v>6.5006132958528475</v>
      </c>
      <c r="AS141" s="25">
        <f t="shared" ca="1" si="156"/>
        <v>6.4427173364672292</v>
      </c>
      <c r="AT141" s="25">
        <f t="shared" ca="1" si="156"/>
        <v>6.3848213770816109</v>
      </c>
      <c r="AU141" s="25">
        <f t="shared" ca="1" si="156"/>
        <v>6.326925417695989</v>
      </c>
      <c r="AV141" s="25">
        <f t="shared" ca="1" si="156"/>
        <v>6.2690294583103778</v>
      </c>
      <c r="AW141" s="25">
        <f t="shared" ca="1" si="156"/>
        <v>6.2111334989247524</v>
      </c>
      <c r="AX141" s="25">
        <f t="shared" ca="1" si="156"/>
        <v>6.1532375395391377</v>
      </c>
      <c r="AY141" s="25">
        <f t="shared" ca="1" si="156"/>
        <v>6.0953415801535229</v>
      </c>
      <c r="AZ141" s="25">
        <f t="shared" ca="1" si="156"/>
        <v>6.0374456207678335</v>
      </c>
      <c r="BA141" s="25">
        <f t="shared" ca="1" si="156"/>
        <v>6.1539025904959317</v>
      </c>
      <c r="BB141" s="25">
        <f t="shared" ca="1" si="156"/>
        <v>6.2703595602240334</v>
      </c>
      <c r="BC141" s="25">
        <f t="shared" ca="1" si="156"/>
        <v>6.3868165299521245</v>
      </c>
      <c r="BD141" s="25">
        <f t="shared" ca="1" si="156"/>
        <v>6.5032734996802262</v>
      </c>
      <c r="BE141" s="25">
        <f t="shared" ca="1" si="156"/>
        <v>6.6197304694083172</v>
      </c>
      <c r="BF141" s="25">
        <f t="shared" ca="1" si="156"/>
        <v>6.7361874391364154</v>
      </c>
      <c r="BG141" s="25">
        <f t="shared" ca="1" si="156"/>
        <v>6.8526444088645171</v>
      </c>
      <c r="BH141" s="25">
        <f t="shared" ca="1" si="156"/>
        <v>6.9691013785926188</v>
      </c>
      <c r="BI141" s="25">
        <f t="shared" ca="1" si="156"/>
        <v>7.0855583483207099</v>
      </c>
      <c r="BJ141" s="25">
        <f t="shared" ca="1" si="156"/>
        <v>7.2020153180488364</v>
      </c>
      <c r="BK141" s="25">
        <f t="shared" ca="1" si="156"/>
        <v>7.3370938950222602</v>
      </c>
      <c r="BL141" s="25">
        <f t="shared" ca="1" si="156"/>
        <v>7.4721724719956697</v>
      </c>
      <c r="BM141" s="25">
        <f t="shared" ca="1" si="156"/>
        <v>7.6072510489690899</v>
      </c>
      <c r="BN141" s="25">
        <f t="shared" ca="1" si="156"/>
        <v>7.742329625942503</v>
      </c>
      <c r="BO141" s="25">
        <f t="shared" ca="1" si="156"/>
        <v>7.8774082029159196</v>
      </c>
      <c r="BP141" s="25">
        <f t="shared" ca="1" si="156"/>
        <v>8.0124867798893433</v>
      </c>
      <c r="BQ141" s="25">
        <f t="shared" ca="1" si="156"/>
        <v>8.1475653568627493</v>
      </c>
      <c r="BR141" s="25">
        <f t="shared" ca="1" si="156"/>
        <v>8.2826439338361659</v>
      </c>
      <c r="BS141" s="25">
        <f t="shared" ca="1" si="156"/>
        <v>8.4177225108095861</v>
      </c>
      <c r="BT141" s="25">
        <f t="shared" ca="1" si="156"/>
        <v>8.5528010877829566</v>
      </c>
      <c r="BU141" s="25">
        <f t="shared" ca="1" si="156"/>
        <v>8.6290101300956152</v>
      </c>
      <c r="BV141" s="25">
        <f t="shared" ca="1" si="156"/>
        <v>8.7052191724082917</v>
      </c>
      <c r="BW141" s="25">
        <f t="shared" ca="1" si="156"/>
        <v>8.7814282147209539</v>
      </c>
      <c r="BX141" s="25">
        <f t="shared" ca="1" si="156"/>
        <v>8.8576372570336233</v>
      </c>
      <c r="BY141" s="25">
        <f t="shared" ca="1" si="156"/>
        <v>8.9338462993462926</v>
      </c>
      <c r="BZ141" s="25">
        <f t="shared" ca="1" si="156"/>
        <v>9.0100553416589619</v>
      </c>
      <c r="CA141" s="25">
        <f t="shared" ca="1" si="156"/>
        <v>9.0862643839716242</v>
      </c>
      <c r="CB141" s="25">
        <f t="shared" ca="1" si="156"/>
        <v>9.1624734262843006</v>
      </c>
      <c r="CC141" s="25">
        <f t="shared" ca="1" si="156"/>
        <v>9.2386824685969628</v>
      </c>
      <c r="CD141" s="25">
        <f t="shared" ca="1" si="156"/>
        <v>9.3148915109096535</v>
      </c>
      <c r="CE141" s="25">
        <f t="shared" ca="1" si="156"/>
        <v>9.4149860688969973</v>
      </c>
      <c r="CF141" s="25">
        <f t="shared" ca="1" si="156"/>
        <v>9.5150806268843411</v>
      </c>
      <c r="CG141" s="25">
        <f t="shared" ca="1" si="156"/>
        <v>9.6151751848716742</v>
      </c>
      <c r="CH141" s="25">
        <f t="shared" ca="1" si="156"/>
        <v>9.715269742859018</v>
      </c>
      <c r="CI141" s="25">
        <f t="shared" ca="1" si="156"/>
        <v>9.8153643008463547</v>
      </c>
      <c r="CJ141" s="25">
        <f t="shared" ca="1" si="156"/>
        <v>9.9154588588336949</v>
      </c>
      <c r="CK141" s="25">
        <f t="shared" ca="1" si="156"/>
        <v>10.015553416821039</v>
      </c>
      <c r="CL141" s="25">
        <f t="shared" ca="1" si="156"/>
        <v>10.115647974808368</v>
      </c>
      <c r="CM141" s="25">
        <f t="shared" ca="1" si="156"/>
        <v>10.215742532795723</v>
      </c>
      <c r="CN141" s="25">
        <f t="shared" ca="1" si="156"/>
        <v>10.315837090783042</v>
      </c>
    </row>
    <row r="143" spans="1:164" x14ac:dyDescent="0.2">
      <c r="A143" s="239" t="s">
        <v>275</v>
      </c>
      <c r="B143" s="25">
        <f ca="1">TotalEmissions!B17</f>
        <v>0</v>
      </c>
      <c r="C143" s="25">
        <f t="shared" ref="C143:K146" ca="1" si="157">B143+(($L143-$B143)/($L$75-$B$75))</f>
        <v>3.2833179039359777E-3</v>
      </c>
      <c r="D143" s="25">
        <f t="shared" ca="1" si="157"/>
        <v>6.5666358078719555E-3</v>
      </c>
      <c r="E143" s="25">
        <f t="shared" ca="1" si="157"/>
        <v>9.8499537118079336E-3</v>
      </c>
      <c r="F143" s="25">
        <f t="shared" ca="1" si="157"/>
        <v>1.3133271615743911E-2</v>
      </c>
      <c r="G143" s="25">
        <f t="shared" ca="1" si="157"/>
        <v>1.6416589519679888E-2</v>
      </c>
      <c r="H143" s="25">
        <f t="shared" ca="1" si="157"/>
        <v>1.9699907423615867E-2</v>
      </c>
      <c r="I143" s="25">
        <f t="shared" ca="1" si="157"/>
        <v>2.2983225327551846E-2</v>
      </c>
      <c r="J143" s="25">
        <f t="shared" ca="1" si="157"/>
        <v>2.6266543231487825E-2</v>
      </c>
      <c r="K143" s="25">
        <f t="shared" ca="1" si="157"/>
        <v>2.9549861135423804E-2</v>
      </c>
      <c r="L143" s="25">
        <f ca="1">TotalEmissions!C17</f>
        <v>3.2833179039359776E-2</v>
      </c>
      <c r="M143" s="25">
        <f t="shared" ref="M143:U146" ca="1" si="158">L143+(($V143-$L143)/($V$75-$L$75))</f>
        <v>0.15389061006498181</v>
      </c>
      <c r="N143" s="25">
        <f t="shared" ca="1" si="158"/>
        <v>0.27494804109060383</v>
      </c>
      <c r="O143" s="25">
        <f t="shared" ca="1" si="158"/>
        <v>0.39600547211622583</v>
      </c>
      <c r="P143" s="25">
        <f t="shared" ca="1" si="158"/>
        <v>0.51706290314184788</v>
      </c>
      <c r="Q143" s="25">
        <f t="shared" ca="1" si="158"/>
        <v>0.63812033416746994</v>
      </c>
      <c r="R143" s="25">
        <f t="shared" ca="1" si="158"/>
        <v>0.75917776519309199</v>
      </c>
      <c r="S143" s="25">
        <f t="shared" ca="1" si="158"/>
        <v>0.88023519621871404</v>
      </c>
      <c r="T143" s="25">
        <f t="shared" ca="1" si="158"/>
        <v>1.0012926272443361</v>
      </c>
      <c r="U143" s="25">
        <f t="shared" ca="1" si="158"/>
        <v>1.1223500582699582</v>
      </c>
      <c r="V143" s="25">
        <f ca="1">TotalEmissions!D17</f>
        <v>1.24340748929558</v>
      </c>
      <c r="W143" s="25">
        <f t="shared" ref="W143:AE146" ca="1" si="159">V143+(($AF143-$V143)/($AF$75-$V$75))</f>
        <v>1.3645991443880121</v>
      </c>
      <c r="X143" s="25">
        <f t="shared" ca="1" si="159"/>
        <v>1.4857907994804442</v>
      </c>
      <c r="Y143" s="25">
        <f t="shared" ca="1" si="159"/>
        <v>1.6069824545728764</v>
      </c>
      <c r="Z143" s="25">
        <f t="shared" ca="1" si="159"/>
        <v>1.7281741096653085</v>
      </c>
      <c r="AA143" s="25">
        <f t="shared" ca="1" si="159"/>
        <v>1.8493657647577406</v>
      </c>
      <c r="AB143" s="25">
        <f t="shared" ca="1" si="159"/>
        <v>1.9705574198501727</v>
      </c>
      <c r="AC143" s="25">
        <f t="shared" ca="1" si="159"/>
        <v>2.0917490749426051</v>
      </c>
      <c r="AD143" s="25">
        <f t="shared" ca="1" si="159"/>
        <v>2.2129407300350374</v>
      </c>
      <c r="AE143" s="25">
        <f t="shared" ca="1" si="159"/>
        <v>2.3341323851274698</v>
      </c>
      <c r="AF143" s="25">
        <f ca="1">TotalEmissions!E17</f>
        <v>2.4553240402199017</v>
      </c>
      <c r="AG143" s="25">
        <f t="shared" ref="AG143:AO146" ca="1" si="160">AF143+(($AP143-$AF143)/($AP$75-$AF$75))</f>
        <v>2.5138224536176432</v>
      </c>
      <c r="AH143" s="25">
        <f t="shared" ca="1" si="160"/>
        <v>2.5723208670153848</v>
      </c>
      <c r="AI143" s="25">
        <f t="shared" ca="1" si="160"/>
        <v>2.6308192804131263</v>
      </c>
      <c r="AJ143" s="25">
        <f t="shared" ca="1" si="160"/>
        <v>2.6893176938108678</v>
      </c>
      <c r="AK143" s="25">
        <f t="shared" ca="1" si="160"/>
        <v>2.7478161072086094</v>
      </c>
      <c r="AL143" s="25">
        <f t="shared" ca="1" si="160"/>
        <v>2.8063145206063509</v>
      </c>
      <c r="AM143" s="25">
        <f t="shared" ca="1" si="160"/>
        <v>2.8648129340040924</v>
      </c>
      <c r="AN143" s="25">
        <f t="shared" ca="1" si="160"/>
        <v>2.923311347401834</v>
      </c>
      <c r="AO143" s="25">
        <f t="shared" ca="1" si="160"/>
        <v>2.9818097607995755</v>
      </c>
      <c r="AP143" s="25">
        <f ca="1">TotalEmissions!F17</f>
        <v>3.0403081741973175</v>
      </c>
      <c r="AQ143" s="25">
        <f t="shared" ref="AQ143:AY146" ca="1" si="161">AP143+(($AZ143-$AP143)/($AZ$75-$AP$75))</f>
        <v>3.1690255139912704</v>
      </c>
      <c r="AR143" s="25">
        <f t="shared" ca="1" si="161"/>
        <v>3.2977428537852234</v>
      </c>
      <c r="AS143" s="25">
        <f t="shared" ca="1" si="161"/>
        <v>3.4264601935791763</v>
      </c>
      <c r="AT143" s="25">
        <f t="shared" ca="1" si="161"/>
        <v>3.5551775333731293</v>
      </c>
      <c r="AU143" s="25">
        <f t="shared" ca="1" si="161"/>
        <v>3.6838948731670822</v>
      </c>
      <c r="AV143" s="25">
        <f t="shared" ca="1" si="161"/>
        <v>3.8126122129610351</v>
      </c>
      <c r="AW143" s="25">
        <f t="shared" ca="1" si="161"/>
        <v>3.9413295527549881</v>
      </c>
      <c r="AX143" s="25">
        <f t="shared" ca="1" si="161"/>
        <v>4.070046892548941</v>
      </c>
      <c r="AY143" s="25">
        <f t="shared" ca="1" si="161"/>
        <v>4.198764232342894</v>
      </c>
      <c r="AZ143" s="25">
        <f ca="1">TotalEmissions!G17</f>
        <v>4.3274815721368487</v>
      </c>
      <c r="BA143" s="25">
        <f t="shared" ref="BA143:BI146" ca="1" si="162">AZ143+(($BJ143-$AZ143)/($BJ$75-$AZ$75))</f>
        <v>4.5167855785512669</v>
      </c>
      <c r="BB143" s="25">
        <f t="shared" ca="1" si="162"/>
        <v>4.7060895849656852</v>
      </c>
      <c r="BC143" s="25">
        <f t="shared" ca="1" si="162"/>
        <v>4.8953935913801034</v>
      </c>
      <c r="BD143" s="25">
        <f t="shared" ca="1" si="162"/>
        <v>5.0846975977945217</v>
      </c>
      <c r="BE143" s="25">
        <f t="shared" ca="1" si="162"/>
        <v>5.2740016042089399</v>
      </c>
      <c r="BF143" s="25">
        <f t="shared" ca="1" si="162"/>
        <v>5.4633056106233582</v>
      </c>
      <c r="BG143" s="25">
        <f t="shared" ca="1" si="162"/>
        <v>5.6526096170377764</v>
      </c>
      <c r="BH143" s="25">
        <f t="shared" ca="1" si="162"/>
        <v>5.8419136234521947</v>
      </c>
      <c r="BI143" s="25">
        <f t="shared" ca="1" si="162"/>
        <v>6.0312176298666129</v>
      </c>
      <c r="BJ143" s="25">
        <f ca="1">TotalEmissions!H17</f>
        <v>6.2205216362810276</v>
      </c>
      <c r="BK143" s="25">
        <f t="shared" ref="BK143:BS146" ca="1" si="163">BJ143+(($BT143-$BJ143)/($BT$75-$BJ$75))</f>
        <v>6.2223435597890226</v>
      </c>
      <c r="BL143" s="25">
        <f t="shared" ca="1" si="163"/>
        <v>6.2241654832970177</v>
      </c>
      <c r="BM143" s="25">
        <f t="shared" ca="1" si="163"/>
        <v>6.2259874068050127</v>
      </c>
      <c r="BN143" s="25">
        <f t="shared" ca="1" si="163"/>
        <v>6.2278093303130078</v>
      </c>
      <c r="BO143" s="25">
        <f t="shared" ca="1" si="163"/>
        <v>6.2296312538210028</v>
      </c>
      <c r="BP143" s="25">
        <f t="shared" ca="1" si="163"/>
        <v>6.2314531773289978</v>
      </c>
      <c r="BQ143" s="25">
        <f t="shared" ca="1" si="163"/>
        <v>6.2332751008369929</v>
      </c>
      <c r="BR143" s="25">
        <f t="shared" ca="1" si="163"/>
        <v>6.2350970243449879</v>
      </c>
      <c r="BS143" s="25">
        <f t="shared" ca="1" si="163"/>
        <v>6.236918947852983</v>
      </c>
      <c r="BT143" s="25">
        <f ca="1">TotalEmissions!I17</f>
        <v>6.2387408713609798</v>
      </c>
      <c r="BU143" s="25">
        <f t="shared" ref="BU143:CC146" ca="1" si="164">BT143+(($CD143-$BT143)/($CD$75-$BT$75))</f>
        <v>6.1770038091309276</v>
      </c>
      <c r="BV143" s="25">
        <f t="shared" ca="1" si="164"/>
        <v>6.1152667469008755</v>
      </c>
      <c r="BW143" s="25">
        <f t="shared" ca="1" si="164"/>
        <v>6.0535296846708233</v>
      </c>
      <c r="BX143" s="25">
        <f t="shared" ca="1" si="164"/>
        <v>5.9917926224407712</v>
      </c>
      <c r="BY143" s="25">
        <f t="shared" ca="1" si="164"/>
        <v>5.930055560210719</v>
      </c>
      <c r="BZ143" s="25">
        <f t="shared" ca="1" si="164"/>
        <v>5.8683184979806668</v>
      </c>
      <c r="CA143" s="25">
        <f t="shared" ca="1" si="164"/>
        <v>5.8065814357506147</v>
      </c>
      <c r="CB143" s="25">
        <f t="shared" ca="1" si="164"/>
        <v>5.7448443735205625</v>
      </c>
      <c r="CC143" s="25">
        <f t="shared" ca="1" si="164"/>
        <v>5.6831073112905104</v>
      </c>
      <c r="CD143" s="25">
        <f ca="1">TotalEmissions!J17</f>
        <v>5.6213702490604573</v>
      </c>
      <c r="CE143" s="25">
        <f t="shared" ref="CE143:CM146" ca="1" si="165">CD143+(($CN143-$CD143)/($CN$75-$CD$75))</f>
        <v>5.6312837980738948</v>
      </c>
      <c r="CF143" s="25">
        <f t="shared" ca="1" si="165"/>
        <v>5.6411973470873322</v>
      </c>
      <c r="CG143" s="25">
        <f t="shared" ca="1" si="165"/>
        <v>5.6511108961007697</v>
      </c>
      <c r="CH143" s="25">
        <f t="shared" ca="1" si="165"/>
        <v>5.6610244451142071</v>
      </c>
      <c r="CI143" s="25">
        <f t="shared" ca="1" si="165"/>
        <v>5.6709379941276445</v>
      </c>
      <c r="CJ143" s="25">
        <f t="shared" ca="1" si="165"/>
        <v>5.680851543141082</v>
      </c>
      <c r="CK143" s="25">
        <f t="shared" ca="1" si="165"/>
        <v>5.6907650921545194</v>
      </c>
      <c r="CL143" s="25">
        <f t="shared" ca="1" si="165"/>
        <v>5.7006786411679569</v>
      </c>
      <c r="CM143" s="25">
        <f t="shared" ca="1" si="165"/>
        <v>5.7105921901813943</v>
      </c>
      <c r="CN143" s="25">
        <f ca="1">TotalEmissions!K17</f>
        <v>5.7205057391948309</v>
      </c>
    </row>
    <row r="144" spans="1:164" x14ac:dyDescent="0.2">
      <c r="A144" s="240" t="s">
        <v>340</v>
      </c>
      <c r="B144" s="25">
        <f ca="1">TotalEmissions!B20</f>
        <v>0</v>
      </c>
      <c r="C144" s="25">
        <f t="shared" ca="1" si="157"/>
        <v>4.838606848404196E-19</v>
      </c>
      <c r="D144" s="25">
        <f t="shared" ca="1" si="157"/>
        <v>9.6772136968083921E-19</v>
      </c>
      <c r="E144" s="25">
        <f t="shared" ca="1" si="157"/>
        <v>1.4515820545212588E-18</v>
      </c>
      <c r="F144" s="25">
        <f t="shared" ca="1" si="157"/>
        <v>1.9354427393616784E-18</v>
      </c>
      <c r="G144" s="25">
        <f t="shared" ca="1" si="157"/>
        <v>2.4193034242020978E-18</v>
      </c>
      <c r="H144" s="25">
        <f t="shared" ca="1" si="157"/>
        <v>2.9031641090425172E-18</v>
      </c>
      <c r="I144" s="25">
        <f t="shared" ca="1" si="157"/>
        <v>3.3870247938829366E-18</v>
      </c>
      <c r="J144" s="25">
        <f t="shared" ca="1" si="157"/>
        <v>3.8708854787233561E-18</v>
      </c>
      <c r="K144" s="25">
        <f t="shared" ca="1" si="157"/>
        <v>4.3547461635637755E-18</v>
      </c>
      <c r="L144" s="25">
        <f ca="1">TotalEmissions!C20</f>
        <v>4.8386068484041956E-18</v>
      </c>
      <c r="M144" s="25">
        <f t="shared" ca="1" si="158"/>
        <v>2.0047784098813769E-10</v>
      </c>
      <c r="N144" s="25">
        <f t="shared" ca="1" si="158"/>
        <v>4.0095567713766853E-10</v>
      </c>
      <c r="O144" s="25">
        <f t="shared" ca="1" si="158"/>
        <v>6.014335132871994E-10</v>
      </c>
      <c r="P144" s="25">
        <f t="shared" ca="1" si="158"/>
        <v>8.0191134943673022E-10</v>
      </c>
      <c r="Q144" s="25">
        <f t="shared" ca="1" si="158"/>
        <v>1.002389185586261E-9</v>
      </c>
      <c r="R144" s="25">
        <f t="shared" ca="1" si="158"/>
        <v>1.202867021735792E-9</v>
      </c>
      <c r="S144" s="25">
        <f t="shared" ca="1" si="158"/>
        <v>1.4033448578853229E-9</v>
      </c>
      <c r="T144" s="25">
        <f t="shared" ca="1" si="158"/>
        <v>1.6038226940348538E-9</v>
      </c>
      <c r="U144" s="25">
        <f t="shared" ca="1" si="158"/>
        <v>1.8043005301843847E-9</v>
      </c>
      <c r="V144" s="25">
        <f ca="1">TotalEmissions!D20</f>
        <v>2.004778366333915E-9</v>
      </c>
      <c r="W144" s="25">
        <f t="shared" ca="1" si="159"/>
        <v>6.3793849862093034E-9</v>
      </c>
      <c r="X144" s="25">
        <f t="shared" ca="1" si="159"/>
        <v>1.0753991606084691E-8</v>
      </c>
      <c r="Y144" s="25">
        <f t="shared" ca="1" si="159"/>
        <v>1.5128598225960081E-8</v>
      </c>
      <c r="Z144" s="25">
        <f t="shared" ca="1" si="159"/>
        <v>1.9503204845835469E-8</v>
      </c>
      <c r="AA144" s="25">
        <f t="shared" ca="1" si="159"/>
        <v>2.3877811465710857E-8</v>
      </c>
      <c r="AB144" s="25">
        <f t="shared" ca="1" si="159"/>
        <v>2.8252418085586245E-8</v>
      </c>
      <c r="AC144" s="25">
        <f t="shared" ca="1" si="159"/>
        <v>3.2627024705461633E-8</v>
      </c>
      <c r="AD144" s="25">
        <f t="shared" ca="1" si="159"/>
        <v>3.7001631325337018E-8</v>
      </c>
      <c r="AE144" s="25">
        <f t="shared" ca="1" si="159"/>
        <v>4.1376237945212403E-8</v>
      </c>
      <c r="AF144" s="25">
        <f ca="1">TotalEmissions!E20</f>
        <v>4.5750844565087794E-8</v>
      </c>
      <c r="AG144" s="25">
        <f t="shared" ca="1" si="160"/>
        <v>9.505157529046849E-6</v>
      </c>
      <c r="AH144" s="25">
        <f t="shared" ca="1" si="160"/>
        <v>1.896456421352861E-5</v>
      </c>
      <c r="AI144" s="25">
        <f t="shared" ca="1" si="160"/>
        <v>2.842397089801037E-5</v>
      </c>
      <c r="AJ144" s="25">
        <f t="shared" ca="1" si="160"/>
        <v>3.7883377582492131E-5</v>
      </c>
      <c r="AK144" s="25">
        <f t="shared" ca="1" si="160"/>
        <v>4.7342784266973895E-5</v>
      </c>
      <c r="AL144" s="25">
        <f t="shared" ca="1" si="160"/>
        <v>5.6802190951455659E-5</v>
      </c>
      <c r="AM144" s="25">
        <f t="shared" ca="1" si="160"/>
        <v>6.6261597635937423E-5</v>
      </c>
      <c r="AN144" s="25">
        <f t="shared" ca="1" si="160"/>
        <v>7.5721004320419187E-5</v>
      </c>
      <c r="AO144" s="25">
        <f t="shared" ca="1" si="160"/>
        <v>8.5180411004900952E-5</v>
      </c>
      <c r="AP144" s="25">
        <f ca="1">TotalEmissions!F20</f>
        <v>9.4639817689382689E-5</v>
      </c>
      <c r="AQ144" s="25">
        <f t="shared" ca="1" si="161"/>
        <v>9.4044198582865764E-5</v>
      </c>
      <c r="AR144" s="25">
        <f t="shared" ca="1" si="161"/>
        <v>9.344857947634884E-5</v>
      </c>
      <c r="AS144" s="25">
        <f t="shared" ca="1" si="161"/>
        <v>9.2852960369831916E-5</v>
      </c>
      <c r="AT144" s="25">
        <f t="shared" ca="1" si="161"/>
        <v>9.2257341263314992E-5</v>
      </c>
      <c r="AU144" s="25">
        <f t="shared" ca="1" si="161"/>
        <v>9.1661722156798067E-5</v>
      </c>
      <c r="AV144" s="25">
        <f t="shared" ca="1" si="161"/>
        <v>9.1066103050281143E-5</v>
      </c>
      <c r="AW144" s="25">
        <f t="shared" ca="1" si="161"/>
        <v>9.0470483943764219E-5</v>
      </c>
      <c r="AX144" s="25">
        <f t="shared" ca="1" si="161"/>
        <v>8.9874864837247295E-5</v>
      </c>
      <c r="AY144" s="25">
        <f t="shared" ca="1" si="161"/>
        <v>8.9279245730730371E-5</v>
      </c>
      <c r="AZ144" s="25">
        <f ca="1">TotalEmissions!G20</f>
        <v>8.8683626624213473E-5</v>
      </c>
      <c r="BA144" s="25">
        <f t="shared" ca="1" si="162"/>
        <v>8.6966906777283395E-5</v>
      </c>
      <c r="BB144" s="25">
        <f t="shared" ca="1" si="162"/>
        <v>8.5250186930353316E-5</v>
      </c>
      <c r="BC144" s="25">
        <f t="shared" ca="1" si="162"/>
        <v>8.3533467083423237E-5</v>
      </c>
      <c r="BD144" s="25">
        <f t="shared" ca="1" si="162"/>
        <v>8.1816747236493158E-5</v>
      </c>
      <c r="BE144" s="25">
        <f t="shared" ca="1" si="162"/>
        <v>8.0100027389563079E-5</v>
      </c>
      <c r="BF144" s="25">
        <f t="shared" ca="1" si="162"/>
        <v>7.8383307542633001E-5</v>
      </c>
      <c r="BG144" s="25">
        <f t="shared" ca="1" si="162"/>
        <v>7.6666587695702922E-5</v>
      </c>
      <c r="BH144" s="25">
        <f t="shared" ca="1" si="162"/>
        <v>7.4949867848772843E-5</v>
      </c>
      <c r="BI144" s="25">
        <f t="shared" ca="1" si="162"/>
        <v>7.3233148001842764E-5</v>
      </c>
      <c r="BJ144" s="25">
        <f ca="1">TotalEmissions!H20</f>
        <v>7.1516428154912618E-5</v>
      </c>
      <c r="BK144" s="25">
        <f t="shared" ca="1" si="163"/>
        <v>6.9819150523168599E-5</v>
      </c>
      <c r="BL144" s="25">
        <f t="shared" ca="1" si="163"/>
        <v>6.8121872891424581E-5</v>
      </c>
      <c r="BM144" s="25">
        <f t="shared" ca="1" si="163"/>
        <v>6.6424595259680563E-5</v>
      </c>
      <c r="BN144" s="25">
        <f t="shared" ca="1" si="163"/>
        <v>6.4727317627936545E-5</v>
      </c>
      <c r="BO144" s="25">
        <f t="shared" ca="1" si="163"/>
        <v>6.3030039996192527E-5</v>
      </c>
      <c r="BP144" s="25">
        <f t="shared" ca="1" si="163"/>
        <v>6.1332762364448508E-5</v>
      </c>
      <c r="BQ144" s="25">
        <f t="shared" ca="1" si="163"/>
        <v>5.9635484732704484E-5</v>
      </c>
      <c r="BR144" s="25">
        <f t="shared" ca="1" si="163"/>
        <v>5.7938207100960459E-5</v>
      </c>
      <c r="BS144" s="25">
        <f t="shared" ca="1" si="163"/>
        <v>5.6240929469216434E-5</v>
      </c>
      <c r="BT144" s="25">
        <f ca="1">TotalEmissions!I20</f>
        <v>5.4543651837472375E-5</v>
      </c>
      <c r="BU144" s="25">
        <f t="shared" ca="1" si="164"/>
        <v>5.4275111362282282E-5</v>
      </c>
      <c r="BV144" s="25">
        <f t="shared" ca="1" si="164"/>
        <v>5.4006570887092188E-5</v>
      </c>
      <c r="BW144" s="25">
        <f t="shared" ca="1" si="164"/>
        <v>5.3738030411902095E-5</v>
      </c>
      <c r="BX144" s="25">
        <f t="shared" ca="1" si="164"/>
        <v>5.3469489936712002E-5</v>
      </c>
      <c r="BY144" s="25">
        <f t="shared" ca="1" si="164"/>
        <v>5.3200949461521908E-5</v>
      </c>
      <c r="BZ144" s="25">
        <f t="shared" ca="1" si="164"/>
        <v>5.2932408986331815E-5</v>
      </c>
      <c r="CA144" s="25">
        <f t="shared" ca="1" si="164"/>
        <v>5.2663868511141722E-5</v>
      </c>
      <c r="CB144" s="25">
        <f t="shared" ca="1" si="164"/>
        <v>5.2395328035951629E-5</v>
      </c>
      <c r="CC144" s="25">
        <f t="shared" ca="1" si="164"/>
        <v>5.2126787560761535E-5</v>
      </c>
      <c r="CD144" s="25">
        <f ca="1">TotalEmissions!J20</f>
        <v>5.1858247085571442E-5</v>
      </c>
      <c r="CE144" s="25">
        <f t="shared" ca="1" si="165"/>
        <v>8.0039319103282952E-5</v>
      </c>
      <c r="CF144" s="25">
        <f t="shared" ca="1" si="165"/>
        <v>1.0822039112099446E-4</v>
      </c>
      <c r="CG144" s="25">
        <f t="shared" ca="1" si="165"/>
        <v>1.3640146313870596E-4</v>
      </c>
      <c r="CH144" s="25">
        <f t="shared" ca="1" si="165"/>
        <v>1.6458253515641748E-4</v>
      </c>
      <c r="CI144" s="25">
        <f t="shared" ca="1" si="165"/>
        <v>1.9276360717412899E-4</v>
      </c>
      <c r="CJ144" s="25">
        <f t="shared" ca="1" si="165"/>
        <v>2.2094467919184051E-4</v>
      </c>
      <c r="CK144" s="25">
        <f t="shared" ca="1" si="165"/>
        <v>2.4912575120955203E-4</v>
      </c>
      <c r="CL144" s="25">
        <f t="shared" ca="1" si="165"/>
        <v>2.7730682322726354E-4</v>
      </c>
      <c r="CM144" s="25">
        <f t="shared" ca="1" si="165"/>
        <v>3.0548789524497506E-4</v>
      </c>
      <c r="CN144" s="25">
        <f ca="1">TotalEmissions!K20</f>
        <v>3.3366896726268652E-4</v>
      </c>
    </row>
    <row r="145" spans="1:173" x14ac:dyDescent="0.2">
      <c r="A145" s="25" t="str">
        <f>TotalEmissions!A18</f>
        <v>Fossil Industry CCS</v>
      </c>
      <c r="B145" s="25">
        <f ca="1">TotalEmissions!B18</f>
        <v>0</v>
      </c>
      <c r="C145" s="25">
        <f t="shared" ca="1" si="157"/>
        <v>1.6969379949538655E-3</v>
      </c>
      <c r="D145" s="25">
        <f t="shared" ca="1" si="157"/>
        <v>3.3938759899077311E-3</v>
      </c>
      <c r="E145" s="25">
        <f t="shared" ca="1" si="157"/>
        <v>5.0908139848615964E-3</v>
      </c>
      <c r="F145" s="25">
        <f t="shared" ca="1" si="157"/>
        <v>6.7877519798154621E-3</v>
      </c>
      <c r="G145" s="25">
        <f t="shared" ca="1" si="157"/>
        <v>8.4846899747693279E-3</v>
      </c>
      <c r="H145" s="25">
        <f t="shared" ca="1" si="157"/>
        <v>1.0181627969723193E-2</v>
      </c>
      <c r="I145" s="25">
        <f t="shared" ca="1" si="157"/>
        <v>1.1878565964677058E-2</v>
      </c>
      <c r="J145" s="25">
        <f t="shared" ca="1" si="157"/>
        <v>1.3575503959630923E-2</v>
      </c>
      <c r="K145" s="25">
        <f t="shared" ca="1" si="157"/>
        <v>1.5272441954584787E-2</v>
      </c>
      <c r="L145" s="25">
        <f ca="1">TotalEmissions!C18</f>
        <v>1.6969379949538656E-2</v>
      </c>
      <c r="M145" s="25">
        <f t="shared" ca="1" si="158"/>
        <v>8.7475085582506523E-2</v>
      </c>
      <c r="N145" s="25">
        <f t="shared" ca="1" si="158"/>
        <v>0.1579807912154744</v>
      </c>
      <c r="O145" s="25">
        <f t="shared" ca="1" si="158"/>
        <v>0.22848649684844227</v>
      </c>
      <c r="P145" s="25">
        <f t="shared" ca="1" si="158"/>
        <v>0.29899220248141012</v>
      </c>
      <c r="Q145" s="25">
        <f t="shared" ca="1" si="158"/>
        <v>0.36949790811437799</v>
      </c>
      <c r="R145" s="25">
        <f t="shared" ca="1" si="158"/>
        <v>0.44000361374734587</v>
      </c>
      <c r="S145" s="25">
        <f t="shared" ca="1" si="158"/>
        <v>0.51050931938031374</v>
      </c>
      <c r="T145" s="25">
        <f t="shared" ca="1" si="158"/>
        <v>0.58101502501328162</v>
      </c>
      <c r="U145" s="25">
        <f t="shared" ca="1" si="158"/>
        <v>0.65152073064624949</v>
      </c>
      <c r="V145" s="25">
        <f ca="1">TotalEmissions!D18</f>
        <v>0.72202643627921737</v>
      </c>
      <c r="W145" s="25">
        <f t="shared" ca="1" si="159"/>
        <v>0.7915806824962297</v>
      </c>
      <c r="X145" s="25">
        <f t="shared" ca="1" si="159"/>
        <v>0.86113492871324215</v>
      </c>
      <c r="Y145" s="25">
        <f t="shared" ca="1" si="159"/>
        <v>0.9306891749302546</v>
      </c>
      <c r="Z145" s="25">
        <f t="shared" ca="1" si="159"/>
        <v>1.0002434211472671</v>
      </c>
      <c r="AA145" s="25">
        <f t="shared" ca="1" si="159"/>
        <v>1.0697976673642795</v>
      </c>
      <c r="AB145" s="25">
        <f t="shared" ca="1" si="159"/>
        <v>1.139351913581292</v>
      </c>
      <c r="AC145" s="25">
        <f t="shared" ca="1" si="159"/>
        <v>1.2089061597983044</v>
      </c>
      <c r="AD145" s="25">
        <f t="shared" ca="1" si="159"/>
        <v>1.2784604060153169</v>
      </c>
      <c r="AE145" s="25">
        <f t="shared" ca="1" si="159"/>
        <v>1.3480146522323293</v>
      </c>
      <c r="AF145" s="25">
        <f ca="1">TotalEmissions!E18</f>
        <v>1.4175688984493413</v>
      </c>
      <c r="AG145" s="25">
        <f t="shared" ca="1" si="160"/>
        <v>1.4139268163902063</v>
      </c>
      <c r="AH145" s="25">
        <f t="shared" ca="1" si="160"/>
        <v>1.4102847343310714</v>
      </c>
      <c r="AI145" s="25">
        <f t="shared" ca="1" si="160"/>
        <v>1.4066426522719364</v>
      </c>
      <c r="AJ145" s="25">
        <f t="shared" ca="1" si="160"/>
        <v>1.4030005702128014</v>
      </c>
      <c r="AK145" s="25">
        <f t="shared" ca="1" si="160"/>
        <v>1.3993584881536665</v>
      </c>
      <c r="AL145" s="25">
        <f t="shared" ca="1" si="160"/>
        <v>1.3957164060945315</v>
      </c>
      <c r="AM145" s="25">
        <f t="shared" ca="1" si="160"/>
        <v>1.3920743240353965</v>
      </c>
      <c r="AN145" s="25">
        <f t="shared" ca="1" si="160"/>
        <v>1.3884322419762616</v>
      </c>
      <c r="AO145" s="25">
        <f t="shared" ca="1" si="160"/>
        <v>1.3847901599171266</v>
      </c>
      <c r="AP145" s="25">
        <f ca="1">TotalEmissions!F18</f>
        <v>1.381148077857991</v>
      </c>
      <c r="AQ145" s="25">
        <f t="shared" ca="1" si="161"/>
        <v>1.3662058694627679</v>
      </c>
      <c r="AR145" s="25">
        <f t="shared" ca="1" si="161"/>
        <v>1.3512636610675448</v>
      </c>
      <c r="AS145" s="25">
        <f t="shared" ca="1" si="161"/>
        <v>1.3363214526723217</v>
      </c>
      <c r="AT145" s="25">
        <f t="shared" ca="1" si="161"/>
        <v>1.3213792442770986</v>
      </c>
      <c r="AU145" s="25">
        <f t="shared" ca="1" si="161"/>
        <v>1.3064370358818755</v>
      </c>
      <c r="AV145" s="25">
        <f t="shared" ca="1" si="161"/>
        <v>1.2914948274866525</v>
      </c>
      <c r="AW145" s="25">
        <f t="shared" ca="1" si="161"/>
        <v>1.2765526190914294</v>
      </c>
      <c r="AX145" s="25">
        <f t="shared" ca="1" si="161"/>
        <v>1.2616104106962063</v>
      </c>
      <c r="AY145" s="25">
        <f t="shared" ca="1" si="161"/>
        <v>1.2466682023009832</v>
      </c>
      <c r="AZ145" s="25">
        <f ca="1">TotalEmissions!G18</f>
        <v>1.2317259939057597</v>
      </c>
      <c r="BA145" s="25">
        <f t="shared" ca="1" si="162"/>
        <v>1.2522030925391543</v>
      </c>
      <c r="BB145" s="25">
        <f t="shared" ca="1" si="162"/>
        <v>1.2726801911725487</v>
      </c>
      <c r="BC145" s="25">
        <f t="shared" ca="1" si="162"/>
        <v>1.2931572898059431</v>
      </c>
      <c r="BD145" s="25">
        <f t="shared" ca="1" si="162"/>
        <v>1.3136343884393376</v>
      </c>
      <c r="BE145" s="25">
        <f t="shared" ca="1" si="162"/>
        <v>1.334111487072732</v>
      </c>
      <c r="BF145" s="25">
        <f t="shared" ca="1" si="162"/>
        <v>1.3545885857061264</v>
      </c>
      <c r="BG145" s="25">
        <f t="shared" ca="1" si="162"/>
        <v>1.3750656843395208</v>
      </c>
      <c r="BH145" s="25">
        <f t="shared" ca="1" si="162"/>
        <v>1.3955427829729152</v>
      </c>
      <c r="BI145" s="25">
        <f t="shared" ca="1" si="162"/>
        <v>1.4160198816063096</v>
      </c>
      <c r="BJ145" s="25">
        <f ca="1">TotalEmissions!H18</f>
        <v>1.436496980239705</v>
      </c>
      <c r="BK145" s="25">
        <f t="shared" ca="1" si="163"/>
        <v>1.4627493385345587</v>
      </c>
      <c r="BL145" s="25">
        <f t="shared" ca="1" si="163"/>
        <v>1.4890016968294124</v>
      </c>
      <c r="BM145" s="25">
        <f t="shared" ca="1" si="163"/>
        <v>1.5152540551242661</v>
      </c>
      <c r="BN145" s="25">
        <f t="shared" ca="1" si="163"/>
        <v>1.5415064134191199</v>
      </c>
      <c r="BO145" s="25">
        <f t="shared" ca="1" si="163"/>
        <v>1.5677587717139736</v>
      </c>
      <c r="BP145" s="25">
        <f t="shared" ca="1" si="163"/>
        <v>1.5940111300088273</v>
      </c>
      <c r="BQ145" s="25">
        <f t="shared" ca="1" si="163"/>
        <v>1.6202634883036811</v>
      </c>
      <c r="BR145" s="25">
        <f t="shared" ca="1" si="163"/>
        <v>1.6465158465985348</v>
      </c>
      <c r="BS145" s="25">
        <f t="shared" ca="1" si="163"/>
        <v>1.6727682048933885</v>
      </c>
      <c r="BT145" s="25">
        <f ca="1">TotalEmissions!I18</f>
        <v>1.6990205631882418</v>
      </c>
      <c r="BU145" s="25">
        <f t="shared" ca="1" si="164"/>
        <v>1.6834916908303663</v>
      </c>
      <c r="BV145" s="25">
        <f t="shared" ca="1" si="164"/>
        <v>1.6679628184724908</v>
      </c>
      <c r="BW145" s="25">
        <f t="shared" ca="1" si="164"/>
        <v>1.6524339461146154</v>
      </c>
      <c r="BX145" s="25">
        <f t="shared" ca="1" si="164"/>
        <v>1.6369050737567399</v>
      </c>
      <c r="BY145" s="25">
        <f t="shared" ca="1" si="164"/>
        <v>1.6213762013988644</v>
      </c>
      <c r="BZ145" s="25">
        <f t="shared" ca="1" si="164"/>
        <v>1.6058473290409889</v>
      </c>
      <c r="CA145" s="25">
        <f t="shared" ca="1" si="164"/>
        <v>1.5903184566831134</v>
      </c>
      <c r="CB145" s="25">
        <f t="shared" ca="1" si="164"/>
        <v>1.574789584325238</v>
      </c>
      <c r="CC145" s="25">
        <f t="shared" ca="1" si="164"/>
        <v>1.5592607119673625</v>
      </c>
      <c r="CD145" s="25">
        <f ca="1">TotalEmissions!J18</f>
        <v>1.5437318396094875</v>
      </c>
      <c r="CE145" s="25">
        <f t="shared" ca="1" si="165"/>
        <v>1.501783159006542</v>
      </c>
      <c r="CF145" s="25">
        <f t="shared" ca="1" si="165"/>
        <v>1.4598344784035966</v>
      </c>
      <c r="CG145" s="25">
        <f t="shared" ca="1" si="165"/>
        <v>1.4178857978006512</v>
      </c>
      <c r="CH145" s="25">
        <f t="shared" ca="1" si="165"/>
        <v>1.3759371171977057</v>
      </c>
      <c r="CI145" s="25">
        <f t="shared" ca="1" si="165"/>
        <v>1.3339884365947603</v>
      </c>
      <c r="CJ145" s="25">
        <f t="shared" ca="1" si="165"/>
        <v>1.2920397559918149</v>
      </c>
      <c r="CK145" s="25">
        <f t="shared" ca="1" si="165"/>
        <v>1.2500910753888694</v>
      </c>
      <c r="CL145" s="25">
        <f t="shared" ca="1" si="165"/>
        <v>1.208142394785924</v>
      </c>
      <c r="CM145" s="25">
        <f t="shared" ca="1" si="165"/>
        <v>1.1661937141829786</v>
      </c>
      <c r="CN145" s="25">
        <f ca="1">TotalEmissions!K18</f>
        <v>1.1242450335800336</v>
      </c>
    </row>
    <row r="146" spans="1:173" x14ac:dyDescent="0.2">
      <c r="A146" s="25" t="str">
        <f>TotalEmissions!A21</f>
        <v>Biomass Industry CCS</v>
      </c>
      <c r="B146" s="25">
        <f ca="1">TotalEmissions!B21</f>
        <v>0</v>
      </c>
      <c r="C146" s="25">
        <f t="shared" ca="1" si="157"/>
        <v>0</v>
      </c>
      <c r="D146" s="25">
        <f t="shared" ca="1" si="157"/>
        <v>0</v>
      </c>
      <c r="E146" s="25">
        <f t="shared" ca="1" si="157"/>
        <v>0</v>
      </c>
      <c r="F146" s="25">
        <f t="shared" ca="1" si="157"/>
        <v>0</v>
      </c>
      <c r="G146" s="25">
        <f t="shared" ca="1" si="157"/>
        <v>0</v>
      </c>
      <c r="H146" s="25">
        <f t="shared" ca="1" si="157"/>
        <v>0</v>
      </c>
      <c r="I146" s="25">
        <f t="shared" ca="1" si="157"/>
        <v>0</v>
      </c>
      <c r="J146" s="25">
        <f t="shared" ca="1" si="157"/>
        <v>0</v>
      </c>
      <c r="K146" s="25">
        <f t="shared" ca="1" si="157"/>
        <v>0</v>
      </c>
      <c r="L146" s="25">
        <f ca="1">TotalEmissions!C21</f>
        <v>0</v>
      </c>
      <c r="M146" s="25">
        <f t="shared" ca="1" si="158"/>
        <v>0</v>
      </c>
      <c r="N146" s="25">
        <f t="shared" ca="1" si="158"/>
        <v>0</v>
      </c>
      <c r="O146" s="25">
        <f t="shared" ca="1" si="158"/>
        <v>0</v>
      </c>
      <c r="P146" s="25">
        <f t="shared" ca="1" si="158"/>
        <v>0</v>
      </c>
      <c r="Q146" s="25">
        <f t="shared" ca="1" si="158"/>
        <v>0</v>
      </c>
      <c r="R146" s="25">
        <f t="shared" ca="1" si="158"/>
        <v>0</v>
      </c>
      <c r="S146" s="25">
        <f t="shared" ca="1" si="158"/>
        <v>0</v>
      </c>
      <c r="T146" s="25">
        <f t="shared" ca="1" si="158"/>
        <v>0</v>
      </c>
      <c r="U146" s="25">
        <f t="shared" ca="1" si="158"/>
        <v>0</v>
      </c>
      <c r="V146" s="25">
        <f ca="1">TotalEmissions!D21</f>
        <v>0</v>
      </c>
      <c r="W146" s="25">
        <f t="shared" ca="1" si="159"/>
        <v>0</v>
      </c>
      <c r="X146" s="25">
        <f t="shared" ca="1" si="159"/>
        <v>0</v>
      </c>
      <c r="Y146" s="25">
        <f t="shared" ca="1" si="159"/>
        <v>0</v>
      </c>
      <c r="Z146" s="25">
        <f t="shared" ca="1" si="159"/>
        <v>0</v>
      </c>
      <c r="AA146" s="25">
        <f t="shared" ca="1" si="159"/>
        <v>0</v>
      </c>
      <c r="AB146" s="25">
        <f t="shared" ca="1" si="159"/>
        <v>0</v>
      </c>
      <c r="AC146" s="25">
        <f t="shared" ca="1" si="159"/>
        <v>0</v>
      </c>
      <c r="AD146" s="25">
        <f t="shared" ca="1" si="159"/>
        <v>0</v>
      </c>
      <c r="AE146" s="25">
        <f t="shared" ca="1" si="159"/>
        <v>0</v>
      </c>
      <c r="AF146" s="25">
        <f ca="1">TotalEmissions!E21</f>
        <v>0</v>
      </c>
      <c r="AG146" s="25">
        <f t="shared" ca="1" si="160"/>
        <v>0</v>
      </c>
      <c r="AH146" s="25">
        <f t="shared" ca="1" si="160"/>
        <v>0</v>
      </c>
      <c r="AI146" s="25">
        <f t="shared" ca="1" si="160"/>
        <v>0</v>
      </c>
      <c r="AJ146" s="25">
        <f t="shared" ca="1" si="160"/>
        <v>0</v>
      </c>
      <c r="AK146" s="25">
        <f t="shared" ca="1" si="160"/>
        <v>0</v>
      </c>
      <c r="AL146" s="25">
        <f t="shared" ca="1" si="160"/>
        <v>0</v>
      </c>
      <c r="AM146" s="25">
        <f t="shared" ca="1" si="160"/>
        <v>0</v>
      </c>
      <c r="AN146" s="25">
        <f t="shared" ca="1" si="160"/>
        <v>0</v>
      </c>
      <c r="AO146" s="25">
        <f t="shared" ca="1" si="160"/>
        <v>0</v>
      </c>
      <c r="AP146" s="25">
        <f ca="1">TotalEmissions!F21</f>
        <v>0</v>
      </c>
      <c r="AQ146" s="25">
        <f t="shared" ca="1" si="161"/>
        <v>0</v>
      </c>
      <c r="AR146" s="25">
        <f t="shared" ca="1" si="161"/>
        <v>0</v>
      </c>
      <c r="AS146" s="25">
        <f t="shared" ca="1" si="161"/>
        <v>0</v>
      </c>
      <c r="AT146" s="25">
        <f t="shared" ca="1" si="161"/>
        <v>0</v>
      </c>
      <c r="AU146" s="25">
        <f t="shared" ca="1" si="161"/>
        <v>0</v>
      </c>
      <c r="AV146" s="25">
        <f t="shared" ca="1" si="161"/>
        <v>0</v>
      </c>
      <c r="AW146" s="25">
        <f t="shared" ca="1" si="161"/>
        <v>0</v>
      </c>
      <c r="AX146" s="25">
        <f t="shared" ca="1" si="161"/>
        <v>0</v>
      </c>
      <c r="AY146" s="25">
        <f t="shared" ca="1" si="161"/>
        <v>0</v>
      </c>
      <c r="AZ146" s="25">
        <f ca="1">TotalEmissions!G21</f>
        <v>0</v>
      </c>
      <c r="BA146" s="25">
        <f t="shared" ca="1" si="162"/>
        <v>0</v>
      </c>
      <c r="BB146" s="25">
        <f t="shared" ca="1" si="162"/>
        <v>0</v>
      </c>
      <c r="BC146" s="25">
        <f t="shared" ca="1" si="162"/>
        <v>0</v>
      </c>
      <c r="BD146" s="25">
        <f t="shared" ca="1" si="162"/>
        <v>0</v>
      </c>
      <c r="BE146" s="25">
        <f t="shared" ca="1" si="162"/>
        <v>0</v>
      </c>
      <c r="BF146" s="25">
        <f t="shared" ca="1" si="162"/>
        <v>0</v>
      </c>
      <c r="BG146" s="25">
        <f t="shared" ca="1" si="162"/>
        <v>0</v>
      </c>
      <c r="BH146" s="25">
        <f t="shared" ca="1" si="162"/>
        <v>0</v>
      </c>
      <c r="BI146" s="25">
        <f t="shared" ca="1" si="162"/>
        <v>0</v>
      </c>
      <c r="BJ146" s="25">
        <f ca="1">TotalEmissions!H21</f>
        <v>0</v>
      </c>
      <c r="BK146" s="25">
        <f t="shared" ca="1" si="163"/>
        <v>0</v>
      </c>
      <c r="BL146" s="25">
        <f t="shared" ca="1" si="163"/>
        <v>0</v>
      </c>
      <c r="BM146" s="25">
        <f t="shared" ca="1" si="163"/>
        <v>0</v>
      </c>
      <c r="BN146" s="25">
        <f t="shared" ca="1" si="163"/>
        <v>0</v>
      </c>
      <c r="BO146" s="25">
        <f t="shared" ca="1" si="163"/>
        <v>0</v>
      </c>
      <c r="BP146" s="25">
        <f t="shared" ca="1" si="163"/>
        <v>0</v>
      </c>
      <c r="BQ146" s="25">
        <f t="shared" ca="1" si="163"/>
        <v>0</v>
      </c>
      <c r="BR146" s="25">
        <f t="shared" ca="1" si="163"/>
        <v>0</v>
      </c>
      <c r="BS146" s="25">
        <f t="shared" ca="1" si="163"/>
        <v>0</v>
      </c>
      <c r="BT146" s="25">
        <f ca="1">TotalEmissions!I21</f>
        <v>0</v>
      </c>
      <c r="BU146" s="25">
        <f t="shared" ca="1" si="164"/>
        <v>0</v>
      </c>
      <c r="BV146" s="25">
        <f t="shared" ca="1" si="164"/>
        <v>0</v>
      </c>
      <c r="BW146" s="25">
        <f t="shared" ca="1" si="164"/>
        <v>0</v>
      </c>
      <c r="BX146" s="25">
        <f t="shared" ca="1" si="164"/>
        <v>0</v>
      </c>
      <c r="BY146" s="25">
        <f t="shared" ca="1" si="164"/>
        <v>0</v>
      </c>
      <c r="BZ146" s="25">
        <f t="shared" ca="1" si="164"/>
        <v>0</v>
      </c>
      <c r="CA146" s="25">
        <f t="shared" ca="1" si="164"/>
        <v>0</v>
      </c>
      <c r="CB146" s="25">
        <f t="shared" ca="1" si="164"/>
        <v>0</v>
      </c>
      <c r="CC146" s="25">
        <f t="shared" ca="1" si="164"/>
        <v>0</v>
      </c>
      <c r="CD146" s="25">
        <f ca="1">TotalEmissions!J21</f>
        <v>0</v>
      </c>
      <c r="CE146" s="25">
        <f t="shared" ca="1" si="165"/>
        <v>0</v>
      </c>
      <c r="CF146" s="25">
        <f t="shared" ca="1" si="165"/>
        <v>0</v>
      </c>
      <c r="CG146" s="25">
        <f t="shared" ca="1" si="165"/>
        <v>0</v>
      </c>
      <c r="CH146" s="25">
        <f t="shared" ca="1" si="165"/>
        <v>0</v>
      </c>
      <c r="CI146" s="25">
        <f t="shared" ca="1" si="165"/>
        <v>0</v>
      </c>
      <c r="CJ146" s="25">
        <f t="shared" ca="1" si="165"/>
        <v>0</v>
      </c>
      <c r="CK146" s="25">
        <f t="shared" ca="1" si="165"/>
        <v>0</v>
      </c>
      <c r="CL146" s="25">
        <f t="shared" ca="1" si="165"/>
        <v>0</v>
      </c>
      <c r="CM146" s="25">
        <f t="shared" ca="1" si="165"/>
        <v>0</v>
      </c>
      <c r="CN146" s="25">
        <f ca="1">TotalEmissions!K21</f>
        <v>0</v>
      </c>
    </row>
    <row r="147" spans="1:173" x14ac:dyDescent="0.2">
      <c r="A147" s="241" t="s">
        <v>278</v>
      </c>
      <c r="B147" s="25">
        <f ca="1">B140-B143-B144-B145-B146</f>
        <v>49.203953937660756</v>
      </c>
      <c r="C147" s="25">
        <f t="shared" ref="C147:BN147" ca="1" si="166">C140-C143-C144-C145-C146</f>
        <v>48.916421415045903</v>
      </c>
      <c r="D147" s="25">
        <f t="shared" ca="1" si="166"/>
        <v>48.62888889243105</v>
      </c>
      <c r="E147" s="25">
        <f t="shared" ca="1" si="166"/>
        <v>48.341356369816197</v>
      </c>
      <c r="F147" s="25">
        <f t="shared" ca="1" si="166"/>
        <v>48.053823847201343</v>
      </c>
      <c r="G147" s="25">
        <f t="shared" ca="1" si="166"/>
        <v>47.76629132458649</v>
      </c>
      <c r="H147" s="25">
        <f t="shared" ca="1" si="166"/>
        <v>47.478758801971637</v>
      </c>
      <c r="I147" s="25">
        <f t="shared" ca="1" si="166"/>
        <v>47.191226279356783</v>
      </c>
      <c r="J147" s="25">
        <f t="shared" ca="1" si="166"/>
        <v>46.90369375674193</v>
      </c>
      <c r="K147" s="25">
        <f t="shared" ca="1" si="166"/>
        <v>46.616161234127077</v>
      </c>
      <c r="L147" s="25">
        <f t="shared" ca="1" si="166"/>
        <v>46.328628711512245</v>
      </c>
      <c r="M147" s="25">
        <f t="shared" ca="1" si="166"/>
        <v>44.313831143132958</v>
      </c>
      <c r="N147" s="25">
        <f t="shared" ca="1" si="166"/>
        <v>42.299033574753672</v>
      </c>
      <c r="O147" s="25">
        <f t="shared" ca="1" si="166"/>
        <v>40.284236006374393</v>
      </c>
      <c r="P147" s="25">
        <f t="shared" ca="1" si="166"/>
        <v>38.269438437995099</v>
      </c>
      <c r="Q147" s="25">
        <f t="shared" ca="1" si="166"/>
        <v>36.254640869615812</v>
      </c>
      <c r="R147" s="25">
        <f t="shared" ca="1" si="166"/>
        <v>34.239843301236526</v>
      </c>
      <c r="S147" s="25">
        <f t="shared" ca="1" si="166"/>
        <v>32.225045732857239</v>
      </c>
      <c r="T147" s="25">
        <f t="shared" ca="1" si="166"/>
        <v>30.210248164477949</v>
      </c>
      <c r="U147" s="25">
        <f t="shared" ca="1" si="166"/>
        <v>28.195450596098659</v>
      </c>
      <c r="V147" s="25">
        <f t="shared" ca="1" si="166"/>
        <v>26.180653027719355</v>
      </c>
      <c r="W147" s="25">
        <f t="shared" ca="1" si="166"/>
        <v>24.622353300863871</v>
      </c>
      <c r="X147" s="25">
        <f t="shared" ca="1" si="166"/>
        <v>23.064053574008383</v>
      </c>
      <c r="Y147" s="25">
        <f t="shared" ca="1" si="166"/>
        <v>21.505753847152896</v>
      </c>
      <c r="Z147" s="25">
        <f t="shared" ca="1" si="166"/>
        <v>19.947454120297408</v>
      </c>
      <c r="AA147" s="25">
        <f t="shared" ca="1" si="166"/>
        <v>18.38915439344192</v>
      </c>
      <c r="AB147" s="25">
        <f t="shared" ca="1" si="166"/>
        <v>16.830854666586433</v>
      </c>
      <c r="AC147" s="25">
        <f t="shared" ca="1" si="166"/>
        <v>15.272554939730943</v>
      </c>
      <c r="AD147" s="25">
        <f t="shared" ca="1" si="166"/>
        <v>13.714255212875459</v>
      </c>
      <c r="AE147" s="25">
        <f t="shared" ca="1" si="166"/>
        <v>12.155955486019975</v>
      </c>
      <c r="AF147" s="25">
        <f t="shared" ca="1" si="166"/>
        <v>10.597655759164496</v>
      </c>
      <c r="AG147" s="25">
        <f t="shared" ca="1" si="166"/>
        <v>9.7573756155231539</v>
      </c>
      <c r="AH147" s="25">
        <f t="shared" ca="1" si="166"/>
        <v>8.9170954718818152</v>
      </c>
      <c r="AI147" s="25">
        <f t="shared" ca="1" si="166"/>
        <v>8.0768153282404747</v>
      </c>
      <c r="AJ147" s="25">
        <f t="shared" ca="1" si="166"/>
        <v>7.2365351845991341</v>
      </c>
      <c r="AK147" s="25">
        <f t="shared" ca="1" si="166"/>
        <v>6.396255040957791</v>
      </c>
      <c r="AL147" s="25">
        <f t="shared" ca="1" si="166"/>
        <v>5.5559748973164478</v>
      </c>
      <c r="AM147" s="25">
        <f t="shared" ca="1" si="166"/>
        <v>4.715694753675109</v>
      </c>
      <c r="AN147" s="25">
        <f t="shared" ca="1" si="166"/>
        <v>3.8754146100337681</v>
      </c>
      <c r="AO147" s="25">
        <f t="shared" ca="1" si="166"/>
        <v>3.0351344663924262</v>
      </c>
      <c r="AP147" s="25">
        <f t="shared" ca="1" si="166"/>
        <v>2.1948543227510839</v>
      </c>
      <c r="AQ147" s="25">
        <f t="shared" ca="1" si="166"/>
        <v>2.0231838275858358</v>
      </c>
      <c r="AR147" s="25">
        <f t="shared" ca="1" si="166"/>
        <v>1.8515133324205861</v>
      </c>
      <c r="AS147" s="25">
        <f t="shared" ca="1" si="166"/>
        <v>1.6798428372553356</v>
      </c>
      <c r="AT147" s="25">
        <f t="shared" ca="1" si="166"/>
        <v>1.5081723420900868</v>
      </c>
      <c r="AU147" s="25">
        <f t="shared" ca="1" si="166"/>
        <v>1.336501846924838</v>
      </c>
      <c r="AV147" s="25">
        <f t="shared" ca="1" si="166"/>
        <v>1.1648313517595892</v>
      </c>
      <c r="AW147" s="25">
        <f t="shared" ca="1" si="166"/>
        <v>0.9931608565943395</v>
      </c>
      <c r="AX147" s="25">
        <f t="shared" ca="1" si="166"/>
        <v>0.82149036142908982</v>
      </c>
      <c r="AY147" s="25">
        <f t="shared" ca="1" si="166"/>
        <v>0.64981986626384125</v>
      </c>
      <c r="AZ147" s="25">
        <f t="shared" ca="1" si="166"/>
        <v>0.47814937109859201</v>
      </c>
      <c r="BA147" s="25">
        <f t="shared" ca="1" si="166"/>
        <v>0.38482695249873045</v>
      </c>
      <c r="BB147" s="25">
        <f t="shared" ca="1" si="166"/>
        <v>0.29150453389886821</v>
      </c>
      <c r="BC147" s="25">
        <f t="shared" ca="1" si="166"/>
        <v>0.19818211529900598</v>
      </c>
      <c r="BD147" s="25">
        <f t="shared" ca="1" si="166"/>
        <v>0.10485969669914463</v>
      </c>
      <c r="BE147" s="25">
        <f t="shared" ca="1" si="166"/>
        <v>1.15372780992824E-2</v>
      </c>
      <c r="BF147" s="25">
        <f t="shared" ca="1" si="166"/>
        <v>-8.1785140500579834E-2</v>
      </c>
      <c r="BG147" s="25">
        <f t="shared" ca="1" si="166"/>
        <v>-0.1751075591004394</v>
      </c>
      <c r="BH147" s="25">
        <f t="shared" ca="1" si="166"/>
        <v>-0.26842997770030164</v>
      </c>
      <c r="BI147" s="25">
        <f t="shared" ca="1" si="166"/>
        <v>-0.36175239630016387</v>
      </c>
      <c r="BJ147" s="25">
        <f t="shared" ca="1" si="166"/>
        <v>-0.4550748149000271</v>
      </c>
      <c r="BK147" s="25">
        <f t="shared" ca="1" si="166"/>
        <v>-0.34806882245183535</v>
      </c>
      <c r="BL147" s="25">
        <f t="shared" ca="1" si="166"/>
        <v>-0.24106283000364481</v>
      </c>
      <c r="BM147" s="25">
        <f t="shared" ca="1" si="166"/>
        <v>-0.13405683755545317</v>
      </c>
      <c r="BN147" s="25">
        <f t="shared" ca="1" si="166"/>
        <v>-2.7050845107262411E-2</v>
      </c>
      <c r="BO147" s="25">
        <f t="shared" ref="BO147:CN147" ca="1" si="167">BO140-BO143-BO144-BO145-BO146</f>
        <v>7.9955147340927457E-2</v>
      </c>
      <c r="BP147" s="25">
        <f t="shared" ca="1" si="167"/>
        <v>0.18696113978911821</v>
      </c>
      <c r="BQ147" s="25">
        <f t="shared" ca="1" si="167"/>
        <v>0.29396713223731075</v>
      </c>
      <c r="BR147" s="25">
        <f t="shared" ca="1" si="167"/>
        <v>0.4009731246855015</v>
      </c>
      <c r="BS147" s="25">
        <f t="shared" ca="1" si="167"/>
        <v>0.50797911713369226</v>
      </c>
      <c r="BT147" s="25">
        <f t="shared" ca="1" si="167"/>
        <v>0.61498510958188168</v>
      </c>
      <c r="BU147" s="25">
        <f t="shared" ca="1" si="167"/>
        <v>0.7684603550229574</v>
      </c>
      <c r="BV147" s="25">
        <f t="shared" ca="1" si="167"/>
        <v>0.92193560046403134</v>
      </c>
      <c r="BW147" s="25">
        <f t="shared" ca="1" si="167"/>
        <v>1.0754108459051053</v>
      </c>
      <c r="BX147" s="25">
        <f t="shared" ca="1" si="167"/>
        <v>1.228886091346181</v>
      </c>
      <c r="BY147" s="25">
        <f t="shared" ca="1" si="167"/>
        <v>1.3823613367872567</v>
      </c>
      <c r="BZ147" s="25">
        <f t="shared" ca="1" si="167"/>
        <v>1.5358365822283306</v>
      </c>
      <c r="CA147" s="25">
        <f t="shared" ca="1" si="167"/>
        <v>1.6893118276694046</v>
      </c>
      <c r="CB147" s="25">
        <f t="shared" ca="1" si="167"/>
        <v>1.8427870731104803</v>
      </c>
      <c r="CC147" s="25">
        <f t="shared" ca="1" si="167"/>
        <v>1.996262318551556</v>
      </c>
      <c r="CD147" s="25">
        <f t="shared" ca="1" si="167"/>
        <v>2.1497375639926304</v>
      </c>
      <c r="CE147" s="25">
        <f t="shared" ca="1" si="167"/>
        <v>2.2818390724974611</v>
      </c>
      <c r="CF147" s="25">
        <f t="shared" ca="1" si="167"/>
        <v>2.4139405810022931</v>
      </c>
      <c r="CG147" s="25">
        <f t="shared" ca="1" si="167"/>
        <v>2.5460420895071234</v>
      </c>
      <c r="CH147" s="25">
        <f t="shared" ca="1" si="167"/>
        <v>2.6781435980119537</v>
      </c>
      <c r="CI147" s="25">
        <f t="shared" ca="1" si="167"/>
        <v>2.8102451065167848</v>
      </c>
      <c r="CJ147" s="25">
        <f t="shared" ca="1" si="167"/>
        <v>2.9423466150216173</v>
      </c>
      <c r="CK147" s="25">
        <f t="shared" ca="1" si="167"/>
        <v>3.0744481235264454</v>
      </c>
      <c r="CL147" s="25">
        <f t="shared" ca="1" si="167"/>
        <v>3.2065496320312765</v>
      </c>
      <c r="CM147" s="25">
        <f t="shared" ca="1" si="167"/>
        <v>3.3386511405361086</v>
      </c>
      <c r="CN147" s="25">
        <f t="shared" ca="1" si="167"/>
        <v>3.4707526490409362</v>
      </c>
    </row>
    <row r="148" spans="1:173" x14ac:dyDescent="0.2">
      <c r="A148" t="s">
        <v>234</v>
      </c>
      <c r="B148" s="25">
        <f ca="1">TotalEmissions!B28</f>
        <v>49.203953937660756</v>
      </c>
      <c r="C148" s="25"/>
      <c r="D148" s="25"/>
      <c r="E148" s="25"/>
      <c r="F148" s="25"/>
      <c r="G148" s="25"/>
      <c r="H148" s="25"/>
      <c r="I148" s="25"/>
      <c r="J148" s="25"/>
      <c r="K148" s="25"/>
      <c r="L148" s="25">
        <f ca="1">TotalEmissions!C28</f>
        <v>46.328628711512245</v>
      </c>
      <c r="M148" s="25"/>
      <c r="N148" s="25"/>
      <c r="O148" s="25"/>
      <c r="P148" s="25"/>
      <c r="Q148" s="25"/>
      <c r="R148" s="25"/>
      <c r="S148" s="25"/>
      <c r="T148" s="25"/>
      <c r="U148" s="25"/>
      <c r="V148" s="25">
        <f ca="1">TotalEmissions!D28</f>
        <v>26.180653027719355</v>
      </c>
      <c r="W148" s="25"/>
      <c r="X148" s="25"/>
      <c r="Y148" s="25"/>
      <c r="Z148" s="25"/>
      <c r="AA148" s="25"/>
      <c r="AB148" s="25"/>
      <c r="AC148" s="25"/>
      <c r="AD148" s="25"/>
      <c r="AE148" s="25"/>
      <c r="AF148" s="25">
        <f ca="1">TotalEmissions!E28</f>
        <v>10.597655759164496</v>
      </c>
      <c r="AG148" s="25"/>
      <c r="AH148" s="25"/>
      <c r="AI148" s="25"/>
      <c r="AJ148" s="25"/>
      <c r="AK148" s="25"/>
      <c r="AL148" s="25"/>
      <c r="AM148" s="25"/>
      <c r="AN148" s="25"/>
      <c r="AO148" s="25"/>
      <c r="AP148" s="25">
        <f ca="1">TotalEmissions!F28</f>
        <v>2.1948543227510839</v>
      </c>
      <c r="AQ148" s="25"/>
      <c r="AR148" s="25"/>
      <c r="AS148" s="25"/>
      <c r="AT148" s="25"/>
      <c r="AU148" s="25"/>
      <c r="AV148" s="25"/>
      <c r="AW148" s="25"/>
      <c r="AX148" s="25"/>
      <c r="AY148" s="25"/>
      <c r="AZ148" s="25">
        <f ca="1">TotalEmissions!G28</f>
        <v>0.47814937109859246</v>
      </c>
      <c r="BA148" s="25"/>
      <c r="BB148" s="25"/>
      <c r="BC148" s="25"/>
      <c r="BD148" s="25"/>
      <c r="BE148" s="25"/>
      <c r="BF148" s="25"/>
      <c r="BG148" s="25"/>
      <c r="BH148" s="25"/>
      <c r="BI148" s="25"/>
      <c r="BJ148" s="25">
        <f ca="1">TotalEmissions!H28</f>
        <v>-0.45507481490002633</v>
      </c>
      <c r="BK148" s="25"/>
      <c r="BL148" s="25"/>
      <c r="BM148" s="25"/>
      <c r="BN148" s="25"/>
      <c r="BO148" s="25"/>
      <c r="BP148" s="25"/>
      <c r="BQ148" s="25"/>
      <c r="BR148" s="25"/>
      <c r="BS148" s="25"/>
      <c r="BT148" s="25">
        <f ca="1">TotalEmissions!I28</f>
        <v>0.61498510958188257</v>
      </c>
      <c r="BU148" s="25"/>
      <c r="BV148" s="25"/>
      <c r="BW148" s="25"/>
      <c r="BX148" s="25"/>
      <c r="BY148" s="25"/>
      <c r="BZ148" s="25"/>
      <c r="CA148" s="25"/>
      <c r="CB148" s="25"/>
      <c r="CC148" s="25"/>
      <c r="CD148" s="25">
        <f ca="1">TotalEmissions!J28</f>
        <v>2.1497375639926304</v>
      </c>
      <c r="CE148" s="25"/>
      <c r="CF148" s="25"/>
      <c r="CG148" s="25"/>
      <c r="CH148" s="25"/>
      <c r="CI148" s="25"/>
      <c r="CJ148" s="25"/>
      <c r="CK148" s="25"/>
      <c r="CL148" s="25"/>
      <c r="CM148" s="25"/>
      <c r="CN148" s="25">
        <f ca="1">TotalEmissions!K28</f>
        <v>3.4707526490409357</v>
      </c>
      <c r="CO148" s="25"/>
      <c r="CP148" s="25"/>
      <c r="CQ148" s="25"/>
      <c r="CR148" s="25"/>
      <c r="CS148" s="25"/>
      <c r="CT148" s="25"/>
      <c r="CU148" s="25"/>
      <c r="CV148" s="25"/>
      <c r="CW148" s="25"/>
      <c r="CX148" s="25"/>
      <c r="CY148" s="25"/>
      <c r="CZ148" s="25"/>
      <c r="DA148" s="25"/>
      <c r="DB148" s="25"/>
      <c r="DC148" s="25"/>
      <c r="DD148" s="25"/>
      <c r="DE148" s="25"/>
      <c r="DF148" s="25"/>
      <c r="DG148" s="25"/>
      <c r="DH148" s="25"/>
      <c r="DI148" s="25"/>
      <c r="DJ148" s="25"/>
      <c r="DK148" s="25"/>
      <c r="DL148" s="25"/>
      <c r="DM148" s="25"/>
      <c r="DN148" s="25"/>
      <c r="DO148" s="25"/>
      <c r="DP148" s="25"/>
      <c r="DQ148" s="25"/>
      <c r="DR148" s="25"/>
      <c r="DS148" s="25"/>
      <c r="DT148" s="25"/>
      <c r="DU148" s="25"/>
      <c r="DV148" s="25"/>
      <c r="DW148" s="25"/>
      <c r="DX148" s="25"/>
      <c r="DY148" s="25"/>
      <c r="DZ148" s="25"/>
      <c r="EA148" s="25"/>
      <c r="EB148" s="25"/>
      <c r="EC148" s="25"/>
      <c r="ED148" s="25"/>
      <c r="EE148" s="25"/>
      <c r="EF148" s="25"/>
      <c r="EG148" s="25"/>
      <c r="EH148" s="25"/>
      <c r="EI148" s="25"/>
      <c r="EJ148" s="25"/>
      <c r="EK148" s="25"/>
      <c r="EL148" s="25"/>
      <c r="EM148" s="25"/>
      <c r="EN148" s="25"/>
      <c r="EO148" s="25"/>
      <c r="EP148" s="25"/>
      <c r="EQ148" s="25"/>
      <c r="ER148" s="25"/>
      <c r="ES148" s="25"/>
      <c r="ET148" s="25"/>
      <c r="EU148" s="25"/>
      <c r="EV148" s="25"/>
      <c r="EW148" s="25"/>
      <c r="EX148" s="25"/>
      <c r="EY148" s="25"/>
      <c r="EZ148" s="25"/>
      <c r="FA148" s="25"/>
      <c r="FB148" s="25"/>
      <c r="FC148" s="25"/>
      <c r="FD148" s="25"/>
      <c r="FE148" s="25"/>
      <c r="FF148" s="25"/>
      <c r="FG148" s="25"/>
      <c r="FH148" s="25"/>
      <c r="FI148" s="25"/>
      <c r="FJ148" s="25"/>
      <c r="FK148" s="25"/>
      <c r="FL148" s="25"/>
      <c r="FM148" s="25"/>
      <c r="FN148" s="25"/>
      <c r="FO148" s="25"/>
      <c r="FP148" s="25"/>
      <c r="FQ148" s="25"/>
    </row>
    <row r="149" spans="1:173" x14ac:dyDescent="0.2">
      <c r="B149" s="25"/>
      <c r="C149" s="25"/>
      <c r="D149" s="25"/>
      <c r="E149" s="25"/>
      <c r="F149" s="25"/>
      <c r="G149" s="25"/>
      <c r="H149" s="25"/>
      <c r="I149" s="25"/>
      <c r="J149" s="25"/>
      <c r="K149" s="25"/>
    </row>
  </sheetData>
  <pageMargins left="0.7" right="0.7" top="0.75" bottom="0.75" header="0.3" footer="0.3"/>
  <pageSetup orientation="portrait" horizontalDpi="0" verticalDpi="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D03C3B-925D-5E49-A8A5-660798B73827}">
  <sheetPr codeName="Sheet17">
    <tabColor rgb="FFFF0000"/>
  </sheetPr>
  <dimension ref="A1:Q71"/>
  <sheetViews>
    <sheetView workbookViewId="0">
      <selection activeCell="L15" sqref="L15"/>
    </sheetView>
  </sheetViews>
  <sheetFormatPr baseColWidth="10" defaultRowHeight="13" x14ac:dyDescent="0.15"/>
  <cols>
    <col min="1" max="1" width="14.1640625" style="1" customWidth="1"/>
    <col min="2" max="12" width="10.83203125" style="46"/>
    <col min="13" max="17" width="11.5" style="46" customWidth="1"/>
    <col min="18" max="16384" width="10.83203125" style="1"/>
  </cols>
  <sheetData>
    <row r="1" spans="1:17" x14ac:dyDescent="0.15">
      <c r="B1" s="186">
        <f>'Ref Data'!G13</f>
        <v>2005</v>
      </c>
      <c r="C1" s="186">
        <f>'Ref Data'!H13</f>
        <v>2010</v>
      </c>
      <c r="D1" s="186">
        <f>'Ref Data'!I13</f>
        <v>2020</v>
      </c>
      <c r="E1" s="186">
        <f>'Ref Data'!J13</f>
        <v>2030</v>
      </c>
      <c r="F1" s="186">
        <f>'Ref Data'!K13</f>
        <v>2040</v>
      </c>
      <c r="G1" s="186">
        <f>'Ref Data'!L13</f>
        <v>2050</v>
      </c>
      <c r="H1" s="186">
        <f>'Ref Data'!M13</f>
        <v>2060</v>
      </c>
      <c r="I1" s="186">
        <f>'Ref Data'!N13</f>
        <v>2070</v>
      </c>
      <c r="J1" s="186">
        <f>'Ref Data'!O13</f>
        <v>2080</v>
      </c>
      <c r="K1" s="186">
        <f>'Ref Data'!P13</f>
        <v>2090</v>
      </c>
      <c r="L1" s="186">
        <f>'Ref Data'!Q13</f>
        <v>2100</v>
      </c>
      <c r="M1" s="186"/>
      <c r="N1" s="186"/>
      <c r="O1" s="186"/>
      <c r="P1" s="186"/>
      <c r="Q1" s="186"/>
    </row>
    <row r="2" spans="1:17" x14ac:dyDescent="0.15">
      <c r="N2" s="46" t="s">
        <v>285</v>
      </c>
    </row>
    <row r="3" spans="1:17" x14ac:dyDescent="0.15">
      <c r="A3" s="38" t="s">
        <v>49</v>
      </c>
      <c r="B3" s="46" t="s">
        <v>91</v>
      </c>
      <c r="N3" s="46">
        <f>1*10^-300</f>
        <v>1E-300</v>
      </c>
    </row>
    <row r="5" spans="1:17" x14ac:dyDescent="0.15">
      <c r="B5" s="46">
        <f ca="1">((ExpKayaFactorsRef!D7-ExpKayaFactorsInt!D7)/(LN(ExpKayaFactorsRef!D7)-LN(ExpKayaFactorsInt!D7)))*LN(ExpKayaFactorsRef!D2/ExpKayaFactorsInt!D2)</f>
        <v>1.9690407193486221E-9</v>
      </c>
      <c r="C5" s="46">
        <f ca="1">((ExpKayaFactorsRef!E7-ExpKayaFactorsInt!E7)/(LN(ExpKayaFactorsRef!E7)-LN(ExpKayaFactorsInt!E7)))*LN(ExpKayaFactorsRef!E2/ExpKayaFactorsInt!E2)</f>
        <v>1.930580328775526E-9</v>
      </c>
      <c r="D5" s="46">
        <f ca="1">((ExpKayaFactorsRef!F7-ExpKayaFactorsInt!F7)/(LN(ExpKayaFactorsRef!F7)-LN(ExpKayaFactorsInt!F7)))*LN(ExpKayaFactorsRef!F2/ExpKayaFactorsInt!F2)</f>
        <v>0.40863365277389124</v>
      </c>
      <c r="E5" s="46">
        <f ca="1">((ExpKayaFactorsRef!G7-ExpKayaFactorsInt!G7)/(LN(ExpKayaFactorsRef!G7)-LN(ExpKayaFactorsInt!G7)))*LN(ExpKayaFactorsRef!G2/ExpKayaFactorsInt!G2)</f>
        <v>0.9529725408299583</v>
      </c>
      <c r="F5" s="46">
        <f ca="1">((ExpKayaFactorsRef!H7-ExpKayaFactorsInt!H7)/(LN(ExpKayaFactorsRef!H7)-LN(ExpKayaFactorsInt!H7)))*LN(ExpKayaFactorsRef!H2/ExpKayaFactorsInt!H2)</f>
        <v>1.3317949453101023</v>
      </c>
      <c r="G5" s="46">
        <f ca="1">IF(ExpKayaFactorsInt!I7=0,((ExpKayaFactorsRef!I7-$N$3)/(LN(ExpKayaFactorsRef!I7)-LN($N$3)))*LN(ExpKayaRatiosRef!I2/ExpKayaRatiosInt!I2),((ExpKayaFactorsRef!I7-ExpKayaFactorsInt!I7)/(LN(ExpKayaFactorsRef!I7)-LN(ExpKayaFactorsInt!I7)))*LN(ExpKayaRatiosRef!I2/ExpKayaRatiosInt!I2))</f>
        <v>1.8575617929658228</v>
      </c>
      <c r="H5" s="46">
        <f ca="1">((ExpKayaFactorsRef!J7-ExpKayaFactorsInt!J7)/(LN(ExpKayaFactorsRef!J7)-LN(ExpKayaFactorsInt!J7)))*LN(ExpKayaFactorsRef!J2/ExpKayaFactorsInt!J2)</f>
        <v>2.6646229912373616</v>
      </c>
      <c r="I5" s="46">
        <f ca="1">((ExpKayaFactorsRef!K7-ExpKayaFactorsInt!K7)/(LN(ExpKayaFactorsRef!K7)-LN(ExpKayaFactorsInt!K7)))*LN(ExpKayaFactorsRef!K2/ExpKayaFactorsInt!K2)</f>
        <v>3.7386922498144504</v>
      </c>
      <c r="J5" s="46">
        <f ca="1">((ExpKayaFactorsRef!L7-ExpKayaFactorsInt!L7)/(LN(ExpKayaFactorsRef!L7)-LN(ExpKayaFactorsInt!L7)))*LN(ExpKayaFactorsRef!L2/ExpKayaFactorsInt!L2)</f>
        <v>4.758938976974445</v>
      </c>
      <c r="K5" s="46">
        <f ca="1">((ExpKayaFactorsRef!M7-ExpKayaFactorsInt!M7)/(LN(ExpKayaFactorsRef!M7)-LN(ExpKayaFactorsInt!M7)))*LN(ExpKayaFactorsRef!M2/ExpKayaFactorsInt!M2)</f>
        <v>5.9818546340937848</v>
      </c>
      <c r="L5" s="46">
        <f ca="1">((ExpKayaFactorsRef!N7-ExpKayaFactorsInt!N7)/(LN(ExpKayaFactorsRef!N7)-LN(ExpKayaFactorsInt!N7)))*LN(ExpKayaFactorsRef!N2/ExpKayaFactorsInt!N2)</f>
        <v>7.858627026198965</v>
      </c>
    </row>
    <row r="6" spans="1:17" x14ac:dyDescent="0.15">
      <c r="B6" s="46">
        <f ca="1">B5</f>
        <v>1.9690407193486221E-9</v>
      </c>
      <c r="C6" s="46">
        <f t="shared" ref="C6:J6" ca="1" si="0">C5</f>
        <v>1.930580328775526E-9</v>
      </c>
      <c r="D6" s="46">
        <f t="shared" ca="1" si="0"/>
        <v>0.40863365277389124</v>
      </c>
      <c r="E6" s="46">
        <f t="shared" ca="1" si="0"/>
        <v>0.9529725408299583</v>
      </c>
      <c r="F6" s="46">
        <f t="shared" ca="1" si="0"/>
        <v>1.3317949453101023</v>
      </c>
      <c r="G6" s="46">
        <f t="shared" ca="1" si="0"/>
        <v>1.8575617929658228</v>
      </c>
      <c r="H6" s="46">
        <f t="shared" ca="1" si="0"/>
        <v>2.6646229912373616</v>
      </c>
      <c r="I6" s="46">
        <f t="shared" ca="1" si="0"/>
        <v>3.7386922498144504</v>
      </c>
      <c r="J6" s="46">
        <f t="shared" ca="1" si="0"/>
        <v>4.758938976974445</v>
      </c>
      <c r="K6" s="46">
        <f ca="1">K5</f>
        <v>5.9818546340937848</v>
      </c>
      <c r="L6" s="46">
        <f ca="1">L5</f>
        <v>7.858627026198965</v>
      </c>
    </row>
    <row r="8" spans="1:17" x14ac:dyDescent="0.15">
      <c r="A8" s="1" t="s">
        <v>82</v>
      </c>
      <c r="B8" s="46">
        <f t="shared" ref="B8:J8" ca="1" si="1">IF(B6&lt;0,0,B6)</f>
        <v>1.9690407193486221E-9</v>
      </c>
      <c r="C8" s="46">
        <f t="shared" ca="1" si="1"/>
        <v>1.930580328775526E-9</v>
      </c>
      <c r="D8" s="46">
        <f t="shared" ca="1" si="1"/>
        <v>0.40863365277389124</v>
      </c>
      <c r="E8" s="46">
        <f t="shared" ca="1" si="1"/>
        <v>0.9529725408299583</v>
      </c>
      <c r="F8" s="46">
        <f t="shared" ca="1" si="1"/>
        <v>1.3317949453101023</v>
      </c>
      <c r="G8" s="46">
        <f t="shared" ca="1" si="1"/>
        <v>1.8575617929658228</v>
      </c>
      <c r="H8" s="46">
        <f t="shared" ca="1" si="1"/>
        <v>2.6646229912373616</v>
      </c>
      <c r="I8" s="46">
        <f t="shared" ca="1" si="1"/>
        <v>3.7386922498144504</v>
      </c>
      <c r="J8" s="46">
        <f t="shared" ca="1" si="1"/>
        <v>4.758938976974445</v>
      </c>
      <c r="K8" s="46">
        <f ca="1">IF(K6&lt;0,0,K6)</f>
        <v>5.9818546340937848</v>
      </c>
      <c r="L8" s="46">
        <f ca="1">IF(L6&lt;0,0,L6)</f>
        <v>7.858627026198965</v>
      </c>
    </row>
    <row r="10" spans="1:17" x14ac:dyDescent="0.15">
      <c r="A10" s="1" t="s">
        <v>85</v>
      </c>
      <c r="B10" s="46" t="e">
        <f t="shared" ref="B10:J10" ca="1" si="2">(B8/B$67)</f>
        <v>#DIV/0!</v>
      </c>
      <c r="C10" s="46">
        <f t="shared" ca="1" si="2"/>
        <v>7.3766401934811996E-9</v>
      </c>
      <c r="D10" s="46">
        <f t="shared" ca="1" si="2"/>
        <v>5.2891628321346543E-2</v>
      </c>
      <c r="E10" s="46">
        <f t="shared" ca="1" si="2"/>
        <v>4.3740235619847988E-2</v>
      </c>
      <c r="F10" s="46">
        <f t="shared" ca="1" si="2"/>
        <v>3.9326725533199783E-2</v>
      </c>
      <c r="G10" s="46">
        <f ca="1">IF($G$67=0,0,(G8/G$67))</f>
        <v>4.5330998508328745E-2</v>
      </c>
      <c r="H10" s="46">
        <f t="shared" ca="1" si="2"/>
        <v>5.7713899127029136E-2</v>
      </c>
      <c r="I10" s="46">
        <f t="shared" ca="1" si="2"/>
        <v>7.579555516495326E-2</v>
      </c>
      <c r="J10" s="46">
        <f t="shared" ca="1" si="2"/>
        <v>8.8585164436174146E-2</v>
      </c>
      <c r="K10" s="46">
        <f ca="1">(K8/K$67)</f>
        <v>0.1029661720956532</v>
      </c>
      <c r="L10" s="46">
        <f ca="1">(L8/L$67)</f>
        <v>0.12544228553065243</v>
      </c>
    </row>
    <row r="12" spans="1:17" x14ac:dyDescent="0.15">
      <c r="A12" s="1" t="s">
        <v>84</v>
      </c>
      <c r="B12" s="46" t="e">
        <f t="shared" ref="B12:J12" ca="1" si="3">B8-(B10*B$68)</f>
        <v>#DIV/0!</v>
      </c>
      <c r="C12" s="46">
        <f t="shared" ca="1" si="3"/>
        <v>-7.9089063475779943E-10</v>
      </c>
      <c r="D12" s="46">
        <f t="shared" ca="1" si="3"/>
        <v>0.38385423826160608</v>
      </c>
      <c r="E12" s="46">
        <f t="shared" ca="1" si="3"/>
        <v>0.92237858750676704</v>
      </c>
      <c r="F12" s="46">
        <f t="shared" ca="1" si="3"/>
        <v>1.2995611185253519</v>
      </c>
      <c r="G12" s="46">
        <f t="shared" ca="1" si="3"/>
        <v>1.8128532964068313</v>
      </c>
      <c r="H12" s="46">
        <f t="shared" ca="1" si="3"/>
        <v>2.5954262636609142</v>
      </c>
      <c r="I12" s="46">
        <f t="shared" ca="1" si="3"/>
        <v>3.6121527875029997</v>
      </c>
      <c r="J12" s="46">
        <f t="shared" ca="1" si="3"/>
        <v>4.5491250928860758</v>
      </c>
      <c r="K12" s="46">
        <f ca="1">K8-(K10*K$68)</f>
        <v>5.7826586356892022</v>
      </c>
      <c r="L12" s="46">
        <f ca="1">L8-(L10*L$68)</f>
        <v>7.5981621637167853</v>
      </c>
    </row>
    <row r="13" spans="1:17" x14ac:dyDescent="0.15">
      <c r="A13" s="37" t="s">
        <v>59</v>
      </c>
    </row>
    <row r="14" spans="1:17" x14ac:dyDescent="0.15">
      <c r="A14" s="1" t="s">
        <v>86</v>
      </c>
    </row>
    <row r="15" spans="1:17" x14ac:dyDescent="0.15">
      <c r="B15" s="46" t="e">
        <f ca="1">((ExpKayaFactorsRef!D7-ExpKayaFactorsInt!D7)/(LN(ExpKayaFactorsRef!D7)-LN(ExpKayaFactorsInt!D7)))*LN(ExpKayaRatiosRef!D3/ExpKayaRatiosInt!D3)</f>
        <v>#DIV/0!</v>
      </c>
      <c r="C15" s="46">
        <f ca="1">((ExpKayaFactorsRef!E7-ExpKayaFactorsInt!E7)/(LN(ExpKayaFactorsRef!E7)-LN(ExpKayaFactorsInt!E7)))*LN(ExpKayaRatiosRef!E3/ExpKayaRatiosInt!E3)</f>
        <v>-0.21416754134207142</v>
      </c>
      <c r="D15" s="46">
        <f ca="1">((ExpKayaFactorsRef!F7-ExpKayaFactorsInt!F7)/(LN(ExpKayaFactorsRef!F7)-LN(ExpKayaFactorsInt!F7)))*LN(ExpKayaRatiosRef!F3/ExpKayaRatiosInt!F3)</f>
        <v>-0.4684940755035224</v>
      </c>
      <c r="E15" s="46">
        <f ca="1">((ExpKayaFactorsRef!G7-ExpKayaFactorsInt!G7)/(LN(ExpKayaFactorsRef!G7)-LN(ExpKayaFactorsInt!G7)))*LN(ExpKayaRatiosRef!G3/ExpKayaRatiosInt!G3)</f>
        <v>-0.69944646821492462</v>
      </c>
      <c r="F15" s="46">
        <f ca="1">((ExpKayaFactorsRef!H7-ExpKayaFactorsInt!H7)/(LN(ExpKayaFactorsRef!H7)-LN(ExpKayaFactorsInt!H7)))*LN(ExpKayaRatiosRef!H3/ExpKayaRatiosInt!H3)</f>
        <v>-0.81964176645062115</v>
      </c>
      <c r="G15" s="46">
        <f ca="1">IF(ExpKayaFactorsInt!I7=0,((ExpKayaFactorsRef!I7-$N$3)/(LN(ExpKayaFactorsRef!I7)-LN($N$3)))*LN(ExpKayaRatiosRef!I3/ExpKayaRatiosInt!I3),((ExpKayaFactorsRef!I7-ExpKayaFactorsInt!I7)/(LN(ExpKayaFactorsRef!I7)-LN(ExpKayaFactorsInt!I7)))*LN(ExpKayaRatiosRef!I3/ExpKayaRatiosInt!I3))</f>
        <v>-0.9862676320879411</v>
      </c>
      <c r="H15" s="46">
        <f ca="1">((ExpKayaFactorsRef!J7-ExpKayaFactorsInt!J7)/(LN(ExpKayaFactorsRef!J7)-LN(ExpKayaFactorsInt!J7)))*LN(ExpKayaRatiosRef!J3/ExpKayaRatiosInt!J3)</f>
        <v>-1.1989612315768883</v>
      </c>
      <c r="I15" s="46">
        <f ca="1">((ExpKayaFactorsRef!K7-ExpKayaFactorsInt!K7)/(LN(ExpKayaFactorsRef!K7)-LN(ExpKayaFactorsInt!K7)))*LN(ExpKayaRatiosRef!K3/ExpKayaRatiosInt!K3)</f>
        <v>-1.3829019112103245</v>
      </c>
      <c r="J15" s="46">
        <f ca="1">((ExpKayaFactorsRef!L7-ExpKayaFactorsInt!L7)/(LN(ExpKayaFactorsRef!L7)-LN(ExpKayaFactorsInt!L7)))*LN(ExpKayaRatiosRef!L3/ExpKayaRatiosInt!L3)</f>
        <v>-1.3990871235255835</v>
      </c>
      <c r="K15" s="46">
        <f ca="1">((ExpKayaFactorsRef!M7-ExpKayaFactorsInt!M7)/(LN(ExpKayaFactorsRef!M7)-LN(ExpKayaFactorsInt!M7)))*LN(ExpKayaRatiosRef!M3/ExpKayaRatiosInt!M3)</f>
        <v>-1.3289065478428386</v>
      </c>
      <c r="L15" s="46">
        <f ca="1">((ExpKayaFactorsRef!N7-ExpKayaFactorsInt!N7)/(LN(ExpKayaFactorsRef!N7)-LN(ExpKayaFactorsInt!N7)))*LN(ExpKayaRatiosRef!N3/ExpKayaRatiosInt!N3)</f>
        <v>-1.2523176658810196</v>
      </c>
      <c r="N15" s="46">
        <f ca="1">LN(ExpKayaRatiosRef!E3/ExpKayaRatiosInt!E3)</f>
        <v>-7.0117240577864523E-3</v>
      </c>
    </row>
    <row r="16" spans="1:17" x14ac:dyDescent="0.15">
      <c r="B16" s="46" t="e">
        <f ca="1">B15</f>
        <v>#DIV/0!</v>
      </c>
      <c r="C16" s="46">
        <f t="shared" ref="C16:J16" ca="1" si="4">C15</f>
        <v>-0.21416754134207142</v>
      </c>
      <c r="D16" s="46">
        <f t="shared" ca="1" si="4"/>
        <v>-0.4684940755035224</v>
      </c>
      <c r="E16" s="46">
        <f t="shared" ca="1" si="4"/>
        <v>-0.69944646821492462</v>
      </c>
      <c r="F16" s="46">
        <f t="shared" ca="1" si="4"/>
        <v>-0.81964176645062115</v>
      </c>
      <c r="G16" s="46">
        <f t="shared" ca="1" si="4"/>
        <v>-0.9862676320879411</v>
      </c>
      <c r="H16" s="46">
        <f t="shared" ca="1" si="4"/>
        <v>-1.1989612315768883</v>
      </c>
      <c r="I16" s="46">
        <f t="shared" ca="1" si="4"/>
        <v>-1.3829019112103245</v>
      </c>
      <c r="J16" s="46">
        <f t="shared" ca="1" si="4"/>
        <v>-1.3990871235255835</v>
      </c>
      <c r="K16" s="46">
        <f ca="1">K15</f>
        <v>-1.3289065478428386</v>
      </c>
      <c r="L16" s="46">
        <f ca="1">L15</f>
        <v>-1.2523176658810196</v>
      </c>
    </row>
    <row r="18" spans="1:12" x14ac:dyDescent="0.15">
      <c r="A18" s="1" t="s">
        <v>82</v>
      </c>
      <c r="B18" s="46" t="e">
        <f t="shared" ref="B18:J18" ca="1" si="5">IF(B16&lt;0,0,B16)</f>
        <v>#DIV/0!</v>
      </c>
      <c r="C18" s="46">
        <f t="shared" ca="1" si="5"/>
        <v>0</v>
      </c>
      <c r="D18" s="46">
        <f t="shared" ca="1" si="5"/>
        <v>0</v>
      </c>
      <c r="E18" s="46">
        <f t="shared" ca="1" si="5"/>
        <v>0</v>
      </c>
      <c r="F18" s="46">
        <f t="shared" ca="1" si="5"/>
        <v>0</v>
      </c>
      <c r="G18" s="46">
        <f t="shared" ca="1" si="5"/>
        <v>0</v>
      </c>
      <c r="H18" s="46">
        <f t="shared" ca="1" si="5"/>
        <v>0</v>
      </c>
      <c r="I18" s="46">
        <f t="shared" ca="1" si="5"/>
        <v>0</v>
      </c>
      <c r="J18" s="46">
        <f t="shared" ca="1" si="5"/>
        <v>0</v>
      </c>
      <c r="K18" s="46">
        <f ca="1">IF(K16&lt;0,0,K16)</f>
        <v>0</v>
      </c>
      <c r="L18" s="46">
        <f ca="1">IF(L16&lt;0,0,L16)</f>
        <v>0</v>
      </c>
    </row>
    <row r="20" spans="1:12" x14ac:dyDescent="0.15">
      <c r="A20" s="1" t="s">
        <v>85</v>
      </c>
      <c r="B20" s="46" t="e">
        <f t="shared" ref="B20:J20" ca="1" si="6">(B18/B$67)</f>
        <v>#DIV/0!</v>
      </c>
      <c r="C20" s="46">
        <f t="shared" ca="1" si="6"/>
        <v>0</v>
      </c>
      <c r="D20" s="46">
        <f t="shared" ca="1" si="6"/>
        <v>0</v>
      </c>
      <c r="E20" s="46">
        <f t="shared" ca="1" si="6"/>
        <v>0</v>
      </c>
      <c r="F20" s="46">
        <f t="shared" ca="1" si="6"/>
        <v>0</v>
      </c>
      <c r="G20" s="46">
        <f ca="1">IF($G$67=0,0,(G18/G$67))</f>
        <v>0</v>
      </c>
      <c r="H20" s="46">
        <f t="shared" ca="1" si="6"/>
        <v>0</v>
      </c>
      <c r="I20" s="46">
        <f t="shared" ca="1" si="6"/>
        <v>0</v>
      </c>
      <c r="J20" s="46">
        <f t="shared" ca="1" si="6"/>
        <v>0</v>
      </c>
      <c r="K20" s="46">
        <f ca="1">(K18/K$67)</f>
        <v>0</v>
      </c>
      <c r="L20" s="46">
        <f ca="1">(L18/L$67)</f>
        <v>0</v>
      </c>
    </row>
    <row r="22" spans="1:12" x14ac:dyDescent="0.15">
      <c r="A22" s="1" t="s">
        <v>84</v>
      </c>
      <c r="B22" s="46" t="e">
        <f t="shared" ref="B22:J22" ca="1" si="7">B18-(B20*B$68)</f>
        <v>#DIV/0!</v>
      </c>
      <c r="C22" s="46">
        <f t="shared" ca="1" si="7"/>
        <v>0</v>
      </c>
      <c r="D22" s="46">
        <f t="shared" ca="1" si="7"/>
        <v>0</v>
      </c>
      <c r="E22" s="46">
        <f t="shared" ca="1" si="7"/>
        <v>0</v>
      </c>
      <c r="F22" s="46">
        <f t="shared" ca="1" si="7"/>
        <v>0</v>
      </c>
      <c r="G22" s="46">
        <f t="shared" ca="1" si="7"/>
        <v>0</v>
      </c>
      <c r="H22" s="46">
        <f t="shared" ca="1" si="7"/>
        <v>0</v>
      </c>
      <c r="I22" s="46">
        <f t="shared" ca="1" si="7"/>
        <v>0</v>
      </c>
      <c r="J22" s="46">
        <f t="shared" ca="1" si="7"/>
        <v>0</v>
      </c>
      <c r="K22" s="46">
        <f ca="1">K18-(K20*K$68)</f>
        <v>0</v>
      </c>
      <c r="L22" s="46">
        <f ca="1">L18-(L20*L$68)</f>
        <v>0</v>
      </c>
    </row>
    <row r="23" spans="1:12" x14ac:dyDescent="0.15">
      <c r="A23" s="37" t="s">
        <v>90</v>
      </c>
    </row>
    <row r="24" spans="1:12" x14ac:dyDescent="0.15">
      <c r="A24" s="1" t="s">
        <v>86</v>
      </c>
    </row>
    <row r="25" spans="1:12" x14ac:dyDescent="0.15">
      <c r="B25" s="46" t="e">
        <f ca="1">((ExpKayaFactorsRef!D7-ExpKayaFactorsInt!D7)/(LN(ExpKayaFactorsRef!D7)-LN(ExpKayaFactorsInt!D7)))*LN(ExpKayaRatiosRef!D4/ExpKayaRatiosInt!D4)</f>
        <v>#DIV/0!</v>
      </c>
      <c r="C25" s="46">
        <f ca="1">((ExpKayaFactorsRef!E7-ExpKayaFactorsInt!E7)/(LN(ExpKayaFactorsRef!E7)-LN(ExpKayaFactorsInt!E7)))*LN(ExpKayaRatiosRef!E4/ExpKayaRatiosInt!E4)</f>
        <v>0.22728013802802283</v>
      </c>
      <c r="D25" s="46">
        <f ca="1">((ExpKayaFactorsRef!F7-ExpKayaFactorsInt!F7)/(LN(ExpKayaFactorsRef!F7)-LN(ExpKayaFactorsInt!F7)))*LN(ExpKayaRatiosRef!F4/ExpKayaRatiosInt!F4)</f>
        <v>4.8334726082398083</v>
      </c>
      <c r="E25" s="46">
        <f ca="1">((ExpKayaFactorsRef!G7-ExpKayaFactorsInt!G7)/(LN(ExpKayaFactorsRef!G7)-LN(ExpKayaFactorsInt!G7)))*LN(ExpKayaRatiosRef!G4/ExpKayaRatiosInt!G4)</f>
        <v>13.51587213025654</v>
      </c>
      <c r="F25" s="46">
        <f ca="1">((ExpKayaFactorsRef!H7-ExpKayaFactorsInt!H7)/(LN(ExpKayaFactorsRef!H7)-LN(ExpKayaFactorsInt!H7)))*LN(ExpKayaRatiosRef!H4/ExpKayaRatiosInt!H4)</f>
        <v>16.44671458984411</v>
      </c>
      <c r="G25" s="46">
        <f ca="1">IF(ExpKayaFactorsInt!I7=0,((ExpKayaFactorsRef!I7-$N$3)/(LN(ExpKayaFactorsRef!I7)-LN($N$3)))*LN(ExpKayaRatiosRef!I4/ExpKayaRatiosInt!I4),((ExpKayaFactorsRef!I7-ExpKayaFactorsInt!I7)/(LN(ExpKayaFactorsRef!I7)-LN(ExpKayaFactorsInt!I7)))*LN(ExpKayaRatiosRef!I4/ExpKayaRatiosInt!I4))</f>
        <v>16.835061836148903</v>
      </c>
      <c r="H25" s="46">
        <f ca="1">((ExpKayaFactorsRef!J7-ExpKayaFactorsInt!J7)/(LN(ExpKayaFactorsRef!J7)-LN(ExpKayaFactorsInt!J7)))*LN(ExpKayaRatiosRef!J4/ExpKayaRatiosInt!J4)</f>
        <v>18.149534222361474</v>
      </c>
      <c r="I25" s="46">
        <f ca="1">((ExpKayaFactorsRef!K7-ExpKayaFactorsInt!K7)/(LN(ExpKayaFactorsRef!K7)-LN(ExpKayaFactorsInt!K7)))*LN(ExpKayaRatiosRef!K4/ExpKayaRatiosInt!K4)</f>
        <v>19.627505801809118</v>
      </c>
      <c r="J25" s="46">
        <f ca="1">((ExpKayaFactorsRef!L7-ExpKayaFactorsInt!L7)/(LN(ExpKayaFactorsRef!L7)-LN(ExpKayaFactorsInt!L7)))*LN(ExpKayaRatiosRef!L4/ExpKayaRatiosInt!L4)</f>
        <v>19.288534246930521</v>
      </c>
      <c r="K25" s="46">
        <f ca="1">((ExpKayaFactorsRef!M7-ExpKayaFactorsInt!M7)/(LN(ExpKayaFactorsRef!M7)-LN(ExpKayaFactorsInt!M7)))*LN(ExpKayaRatiosRef!M4/ExpKayaRatiosInt!M4)</f>
        <v>18.802392672964189</v>
      </c>
      <c r="L25" s="46">
        <f ca="1">((ExpKayaFactorsRef!N7-ExpKayaFactorsInt!N7)/(LN(ExpKayaFactorsRef!N7)-LN(ExpKayaFactorsInt!N7)))*LN(ExpKayaRatiosRef!N4/ExpKayaRatiosInt!N4)</f>
        <v>19.030771196386244</v>
      </c>
    </row>
    <row r="26" spans="1:12" x14ac:dyDescent="0.15">
      <c r="B26" s="46" t="e">
        <f ca="1">B25</f>
        <v>#DIV/0!</v>
      </c>
      <c r="C26" s="46">
        <f t="shared" ref="C26:J26" ca="1" si="8">C25</f>
        <v>0.22728013802802283</v>
      </c>
      <c r="D26" s="46">
        <f t="shared" ca="1" si="8"/>
        <v>4.8334726082398083</v>
      </c>
      <c r="E26" s="46">
        <f t="shared" ca="1" si="8"/>
        <v>13.51587213025654</v>
      </c>
      <c r="F26" s="46">
        <f t="shared" ca="1" si="8"/>
        <v>16.44671458984411</v>
      </c>
      <c r="G26" s="46">
        <f t="shared" ca="1" si="8"/>
        <v>16.835061836148903</v>
      </c>
      <c r="H26" s="46">
        <f t="shared" ca="1" si="8"/>
        <v>18.149534222361474</v>
      </c>
      <c r="I26" s="46">
        <f t="shared" ca="1" si="8"/>
        <v>19.627505801809118</v>
      </c>
      <c r="J26" s="46">
        <f t="shared" ca="1" si="8"/>
        <v>19.288534246930521</v>
      </c>
      <c r="K26" s="46">
        <f ca="1">K25</f>
        <v>18.802392672964189</v>
      </c>
      <c r="L26" s="46">
        <f ca="1">L25</f>
        <v>19.030771196386244</v>
      </c>
    </row>
    <row r="28" spans="1:12" x14ac:dyDescent="0.15">
      <c r="A28" s="1" t="s">
        <v>82</v>
      </c>
      <c r="B28" s="46" t="e">
        <f t="shared" ref="B28:J28" ca="1" si="9">IF(B26&lt;0,0,B26)</f>
        <v>#DIV/0!</v>
      </c>
      <c r="C28" s="46">
        <f t="shared" ca="1" si="9"/>
        <v>0.22728013802802283</v>
      </c>
      <c r="D28" s="46">
        <f t="shared" ca="1" si="9"/>
        <v>4.8334726082398083</v>
      </c>
      <c r="E28" s="46">
        <f t="shared" ca="1" si="9"/>
        <v>13.51587213025654</v>
      </c>
      <c r="F28" s="46">
        <f t="shared" ca="1" si="9"/>
        <v>16.44671458984411</v>
      </c>
      <c r="G28" s="46">
        <f t="shared" ca="1" si="9"/>
        <v>16.835061836148903</v>
      </c>
      <c r="H28" s="46">
        <f t="shared" ca="1" si="9"/>
        <v>18.149534222361474</v>
      </c>
      <c r="I28" s="46">
        <f t="shared" ca="1" si="9"/>
        <v>19.627505801809118</v>
      </c>
      <c r="J28" s="46">
        <f t="shared" ca="1" si="9"/>
        <v>19.288534246930521</v>
      </c>
      <c r="K28" s="46">
        <f ca="1">IF(K26&lt;0,0,K26)</f>
        <v>18.802392672964189</v>
      </c>
      <c r="L28" s="46">
        <f ca="1">IF(L26&lt;0,0,L26)</f>
        <v>19.030771196386244</v>
      </c>
    </row>
    <row r="30" spans="1:12" x14ac:dyDescent="0.15">
      <c r="A30" s="1" t="s">
        <v>85</v>
      </c>
      <c r="B30" s="46" t="e">
        <f t="shared" ref="B30:J30" ca="1" si="10">(B28/B$67)</f>
        <v>#DIV/0!</v>
      </c>
      <c r="C30" s="46">
        <f t="shared" ca="1" si="10"/>
        <v>0.86842478210727014</v>
      </c>
      <c r="D30" s="46">
        <f t="shared" ca="1" si="10"/>
        <v>0.62562208217806292</v>
      </c>
      <c r="E30" s="46">
        <f t="shared" ca="1" si="10"/>
        <v>0.62036145456015301</v>
      </c>
      <c r="F30" s="46">
        <f t="shared" ca="1" si="10"/>
        <v>0.48565691953956797</v>
      </c>
      <c r="G30" s="46">
        <f ca="1">IF($G$67=0,0,(G28/G$67))</f>
        <v>0.41083433448726692</v>
      </c>
      <c r="H30" s="46">
        <f t="shared" ca="1" si="10"/>
        <v>0.39310641346133496</v>
      </c>
      <c r="I30" s="46">
        <f t="shared" ca="1" si="10"/>
        <v>0.39791392266247533</v>
      </c>
      <c r="J30" s="46">
        <f t="shared" ca="1" si="10"/>
        <v>0.35904599455138003</v>
      </c>
      <c r="K30" s="46">
        <f ca="1">(K28/K$67)</f>
        <v>0.32364718272157972</v>
      </c>
      <c r="L30" s="46">
        <f ca="1">(L28/L$67)</f>
        <v>0.30377614643460987</v>
      </c>
    </row>
    <row r="32" spans="1:12" x14ac:dyDescent="0.15">
      <c r="A32" s="1" t="s">
        <v>84</v>
      </c>
      <c r="B32" s="46" t="e">
        <f t="shared" ref="B32:J32" ca="1" si="11">B28-(B30*B$68)</f>
        <v>#DIV/0!</v>
      </c>
      <c r="C32" s="46">
        <f t="shared" ca="1" si="11"/>
        <v>-9.310865233296578E-2</v>
      </c>
      <c r="D32" s="46">
        <f t="shared" ca="1" si="11"/>
        <v>4.5403723692352083</v>
      </c>
      <c r="E32" s="46">
        <f t="shared" ca="1" si="11"/>
        <v>13.081962501847768</v>
      </c>
      <c r="F32" s="46">
        <f t="shared" ca="1" si="11"/>
        <v>16.048649894423733</v>
      </c>
      <c r="G32" s="46">
        <f t="shared" ca="1" si="11"/>
        <v>16.429869229893718</v>
      </c>
      <c r="H32" s="46">
        <f t="shared" ca="1" si="11"/>
        <v>17.678214872737097</v>
      </c>
      <c r="I32" s="46">
        <f t="shared" ca="1" si="11"/>
        <v>18.963194897160825</v>
      </c>
      <c r="J32" s="46">
        <f t="shared" ca="1" si="11"/>
        <v>18.43813412448706</v>
      </c>
      <c r="K32" s="46">
        <f ca="1">K28-(K30*K$68)</f>
        <v>18.176272245440039</v>
      </c>
      <c r="L32" s="46">
        <f ca="1">L28-(L30*L$68)</f>
        <v>18.400018879719287</v>
      </c>
    </row>
    <row r="33" spans="1:12" ht="15" x14ac:dyDescent="0.15">
      <c r="A33" s="37" t="s">
        <v>89</v>
      </c>
    </row>
    <row r="34" spans="1:12" x14ac:dyDescent="0.15">
      <c r="A34" s="1" t="s">
        <v>86</v>
      </c>
    </row>
    <row r="35" spans="1:12" x14ac:dyDescent="0.15">
      <c r="B35" s="46" t="e">
        <f ca="1">((ExpKayaFactorsRef!D7-ExpKayaFactorsInt!D7)/(LN(ExpKayaFactorsRef!D7)-LN(ExpKayaFactorsInt!D7)))*LN(ExpKayaRatiosRef!D5/ExpKayaRatiosInt!D5)</f>
        <v>#DIV/0!</v>
      </c>
      <c r="C35" s="46">
        <f ca="1">((ExpKayaFactorsRef!E7-ExpKayaFactorsInt!E7)/(LN(ExpKayaFactorsRef!E7)-LN(ExpKayaFactorsInt!E7)))*LN(ExpKayaRatiosRef!E5/ExpKayaRatiosInt!E5)</f>
        <v>-4.0142655683439166E-2</v>
      </c>
      <c r="D35" s="46">
        <f ca="1">((ExpKayaFactorsRef!F7-ExpKayaFactorsInt!F7)/(LN(ExpKayaFactorsRef!F7)-LN(ExpKayaFactorsInt!F7)))*LN(ExpKayaRatiosRef!F5/ExpKayaRatiosInt!F5)</f>
        <v>4.5048957797000126E-2</v>
      </c>
      <c r="E35" s="46">
        <f ca="1">((ExpKayaFactorsRef!G7-ExpKayaFactorsInt!G7)/(LN(ExpKayaFactorsRef!G7)-LN(ExpKayaFactorsInt!G7)))*LN(ExpKayaRatiosRef!G5/ExpKayaRatiosInt!G5)</f>
        <v>1.4562502046592167</v>
      </c>
      <c r="F35" s="46">
        <f ca="1">((ExpKayaFactorsRef!H7-ExpKayaFactorsInt!H7)/(LN(ExpKayaFactorsRef!H7)-LN(ExpKayaFactorsInt!H7)))*LN(ExpKayaRatiosRef!H5/ExpKayaRatiosInt!H5)</f>
        <v>3.3148650013444407</v>
      </c>
      <c r="G35" s="46">
        <f ca="1">IF(ExpKayaFactorsInt!I7=0,((ExpKayaFactorsRef!I7-$N$3)/(LN(ExpKayaFactorsRef!I7)-LN($N$3)))*LN(ExpKayaRatiosRef!I5/ExpKayaRatiosInt!I5),((ExpKayaFactorsRef!I7-ExpKayaFactorsInt!I7)/(LN(ExpKayaFactorsRef!I7)-LN(ExpKayaFactorsInt!I7)))*LN(ExpKayaRatiosRef!I5/ExpKayaRatiosInt!I5))</f>
        <v>2.2806734511346538</v>
      </c>
      <c r="H35" s="46">
        <f ca="1">((ExpKayaFactorsRef!J7-ExpKayaFactorsInt!J7)/(LN(ExpKayaFactorsRef!J7)-LN(ExpKayaFactorsInt!J7)))*LN(ExpKayaRatiosRef!J5/ExpKayaRatiosInt!J5)</f>
        <v>1.7131425893259427</v>
      </c>
      <c r="I35" s="46">
        <f ca="1">((ExpKayaFactorsRef!K7-ExpKayaFactorsInt!K7)/(LN(ExpKayaFactorsRef!K7)-LN(ExpKayaFactorsInt!K7)))*LN(ExpKayaRatiosRef!K5/ExpKayaRatiosInt!K5)</f>
        <v>-0.28658203195842075</v>
      </c>
      <c r="J35" s="46">
        <f ca="1">((ExpKayaFactorsRef!L7-ExpKayaFactorsInt!L7)/(LN(ExpKayaFactorsRef!L7)-LN(ExpKayaFactorsInt!L7)))*LN(ExpKayaRatiosRef!L5/ExpKayaRatiosInt!L5)</f>
        <v>-0.96941199733500205</v>
      </c>
      <c r="K35" s="46">
        <f ca="1">((ExpKayaFactorsRef!M7-ExpKayaFactorsInt!M7)/(LN(ExpKayaFactorsRef!M7)-LN(ExpKayaFactorsInt!M7)))*LN(ExpKayaRatiosRef!M5/ExpKayaRatiosInt!M5)</f>
        <v>-0.6056705501533336</v>
      </c>
      <c r="L35" s="46">
        <f ca="1">((ExpKayaFactorsRef!N7-ExpKayaFactorsInt!N7)/(LN(ExpKayaFactorsRef!N7)-LN(ExpKayaFactorsInt!N7)))*LN(ExpKayaRatiosRef!N5/ExpKayaRatiosInt!N5)</f>
        <v>-0.82405443926955713</v>
      </c>
    </row>
    <row r="36" spans="1:12" x14ac:dyDescent="0.15">
      <c r="B36" s="46" t="e">
        <f ca="1">B35</f>
        <v>#DIV/0!</v>
      </c>
      <c r="C36" s="46">
        <f t="shared" ref="C36:J36" ca="1" si="12">C35</f>
        <v>-4.0142655683439166E-2</v>
      </c>
      <c r="D36" s="46">
        <f t="shared" ca="1" si="12"/>
        <v>4.5048957797000126E-2</v>
      </c>
      <c r="E36" s="46">
        <f t="shared" ca="1" si="12"/>
        <v>1.4562502046592167</v>
      </c>
      <c r="F36" s="46">
        <f t="shared" ca="1" si="12"/>
        <v>3.3148650013444407</v>
      </c>
      <c r="G36" s="46">
        <f t="shared" ca="1" si="12"/>
        <v>2.2806734511346538</v>
      </c>
      <c r="H36" s="46">
        <f t="shared" ca="1" si="12"/>
        <v>1.7131425893259427</v>
      </c>
      <c r="I36" s="46">
        <f t="shared" ca="1" si="12"/>
        <v>-0.28658203195842075</v>
      </c>
      <c r="J36" s="46">
        <f t="shared" ca="1" si="12"/>
        <v>-0.96941199733500205</v>
      </c>
      <c r="K36" s="46">
        <f ca="1">K35</f>
        <v>-0.6056705501533336</v>
      </c>
      <c r="L36" s="46">
        <f ca="1">L35</f>
        <v>-0.82405443926955713</v>
      </c>
    </row>
    <row r="38" spans="1:12" x14ac:dyDescent="0.15">
      <c r="A38" s="1" t="s">
        <v>82</v>
      </c>
      <c r="B38" s="46" t="e">
        <f t="shared" ref="B38:J38" ca="1" si="13">IF(B36&lt;0,0,B36)</f>
        <v>#DIV/0!</v>
      </c>
      <c r="C38" s="46">
        <f t="shared" ca="1" si="13"/>
        <v>0</v>
      </c>
      <c r="D38" s="46">
        <f t="shared" ca="1" si="13"/>
        <v>4.5048957797000126E-2</v>
      </c>
      <c r="E38" s="46">
        <f t="shared" ca="1" si="13"/>
        <v>1.4562502046592167</v>
      </c>
      <c r="F38" s="46">
        <f t="shared" ca="1" si="13"/>
        <v>3.3148650013444407</v>
      </c>
      <c r="G38" s="46">
        <f t="shared" ca="1" si="13"/>
        <v>2.2806734511346538</v>
      </c>
      <c r="H38" s="46">
        <f t="shared" ca="1" si="13"/>
        <v>1.7131425893259427</v>
      </c>
      <c r="I38" s="46">
        <f t="shared" ca="1" si="13"/>
        <v>0</v>
      </c>
      <c r="J38" s="46">
        <f t="shared" ca="1" si="13"/>
        <v>0</v>
      </c>
      <c r="K38" s="46">
        <f ca="1">IF(K36&lt;0,0,K36)</f>
        <v>0</v>
      </c>
      <c r="L38" s="46">
        <f ca="1">IF(L36&lt;0,0,L36)</f>
        <v>0</v>
      </c>
    </row>
    <row r="40" spans="1:12" x14ac:dyDescent="0.15">
      <c r="A40" s="1" t="s">
        <v>85</v>
      </c>
      <c r="B40" s="46" t="e">
        <f t="shared" ref="B40:J40" ca="1" si="14">(B38/B$67)</f>
        <v>#DIV/0!</v>
      </c>
      <c r="C40" s="46">
        <f t="shared" ca="1" si="14"/>
        <v>0</v>
      </c>
      <c r="D40" s="46">
        <f t="shared" ca="1" si="14"/>
        <v>5.8309263465908933E-3</v>
      </c>
      <c r="E40" s="46">
        <f t="shared" ca="1" si="14"/>
        <v>6.684004453871413E-2</v>
      </c>
      <c r="F40" s="46">
        <f t="shared" ca="1" si="14"/>
        <v>9.7885028432157295E-2</v>
      </c>
      <c r="G40" s="46">
        <f ca="1">IF($G$67=0,0,(G8/G$67))</f>
        <v>4.5330998508328745E-2</v>
      </c>
      <c r="H40" s="46">
        <f t="shared" ca="1" si="14"/>
        <v>3.7105488812382445E-2</v>
      </c>
      <c r="I40" s="46">
        <f t="shared" ca="1" si="14"/>
        <v>0</v>
      </c>
      <c r="J40" s="46">
        <f t="shared" ca="1" si="14"/>
        <v>0</v>
      </c>
      <c r="K40" s="46">
        <f ca="1">(K38/K$67)</f>
        <v>0</v>
      </c>
      <c r="L40" s="46">
        <f ca="1">(L38/L$67)</f>
        <v>0</v>
      </c>
    </row>
    <row r="42" spans="1:12" x14ac:dyDescent="0.15">
      <c r="A42" s="1" t="s">
        <v>84</v>
      </c>
      <c r="B42" s="46" t="e">
        <f t="shared" ref="B42:J42" ca="1" si="15">B38-(B40*B$68)</f>
        <v>#DIV/0!</v>
      </c>
      <c r="C42" s="46">
        <f t="shared" ca="1" si="15"/>
        <v>0</v>
      </c>
      <c r="D42" s="46">
        <f t="shared" ca="1" si="15"/>
        <v>4.2317203348924894E-2</v>
      </c>
      <c r="E42" s="46">
        <f t="shared" ca="1" si="15"/>
        <v>1.409499171571285</v>
      </c>
      <c r="F42" s="46">
        <f t="shared" ca="1" si="15"/>
        <v>3.2346343437312384</v>
      </c>
      <c r="G42" s="46">
        <f t="shared" ca="1" si="15"/>
        <v>2.2359649545756621</v>
      </c>
      <c r="H42" s="46">
        <f t="shared" ca="1" si="15"/>
        <v>1.6686545467611862</v>
      </c>
      <c r="I42" s="46">
        <f t="shared" ca="1" si="15"/>
        <v>0</v>
      </c>
      <c r="J42" s="46">
        <f t="shared" ca="1" si="15"/>
        <v>0</v>
      </c>
      <c r="K42" s="46">
        <f ca="1">K38-(K40*K$68)</f>
        <v>0</v>
      </c>
      <c r="L42" s="46">
        <f ca="1">L38-(L40*L$68)</f>
        <v>0</v>
      </c>
    </row>
    <row r="43" spans="1:12" ht="15" x14ac:dyDescent="0.15">
      <c r="A43" s="37" t="s">
        <v>88</v>
      </c>
    </row>
    <row r="44" spans="1:12" x14ac:dyDescent="0.15">
      <c r="A44" s="1" t="s">
        <v>86</v>
      </c>
    </row>
    <row r="45" spans="1:12" x14ac:dyDescent="0.15">
      <c r="B45" s="46" t="e">
        <f ca="1">((ExpKayaFactorsRef!D7-ExpKayaFactorsInt!D7)/(LN(ExpKayaFactorsRef!D7)-LN(ExpKayaFactorsInt!D7)))*LN(ExpKayaRatiosRef!D7/ExpKayaRatiosInt!D7)</f>
        <v>#DIV/0!</v>
      </c>
      <c r="C45" s="46">
        <f ca="1">((ExpKayaFactorsRef!E7-ExpKayaFactorsInt!E7)/(LN(ExpKayaFactorsRef!E7)-LN(ExpKayaFactorsInt!E7)))*LN(ExpKayaRatiosRef!E7/ExpKayaRatiosInt!E7)</f>
        <v>3.4435258669839666E-2</v>
      </c>
      <c r="D45" s="46">
        <f ca="1">((ExpKayaFactorsRef!F7-ExpKayaFactorsInt!F7)/(LN(ExpKayaFactorsRef!F7)-LN(ExpKayaFactorsInt!F7)))*LN(ExpKayaRatiosRef!F7/ExpKayaRatiosInt!F7)</f>
        <v>0.7044097167386506</v>
      </c>
      <c r="E45" s="46">
        <f ca="1">((ExpKayaFactorsRef!G7-ExpKayaFactorsInt!G7)/(LN(ExpKayaFactorsRef!G7)-LN(ExpKayaFactorsInt!G7)))*LN(ExpKayaRatiosRef!G7/ExpKayaRatiosInt!G7)</f>
        <v>2.13859915400581</v>
      </c>
      <c r="F45" s="46">
        <f ca="1">((ExpKayaFactorsRef!H7-ExpKayaFactorsInt!H7)/(LN(ExpKayaFactorsRef!H7)-LN(ExpKayaFactorsInt!H7)))*LN(ExpKayaRatiosRef!H7/ExpKayaRatiosInt!H7)</f>
        <v>4.2860972182534063</v>
      </c>
      <c r="G45" s="214">
        <f ca="1">IF(ExpKayaFactorsInt!I7=0,((ExpKayaFactorsRef!I7-$N$3)/(LN(ExpKayaFactorsRef!I7)-LN($N$3)))*LN(ExpKayaRatiosRef!I7/N3),((ExpKayaFactorsRef!I7-ExpKayaFactorsInt!I7)/(LN(ExpKayaFactorsRef!I7)-LN(ExpKayaFactorsInt!I7)))*LN(ExpKayaRatiosRef!I7/ExpKayaRatiosInt!I7))</f>
        <v>6.1168929911659919</v>
      </c>
      <c r="H45" s="46">
        <f ca="1">((ExpKayaFactorsRef!J7-ExpKayaFactorsInt!J7)/(LN(ExpKayaFactorsRef!J7)-LN(ExpKayaFactorsInt!J7)))*LN(ExpKayaRatiosRef!J7/ExpKayaRatiosInt!J7)</f>
        <v>6.7144674313339143</v>
      </c>
      <c r="I45" s="46">
        <f ca="1">((ExpKayaFactorsRef!K7-ExpKayaFactorsInt!K7)/(LN(ExpKayaFactorsRef!K7)-LN(ExpKayaFactorsInt!K7)))*LN(ExpKayaRatiosRef!K7/ExpKayaRatiosInt!K7)</f>
        <v>7.5177562420818846</v>
      </c>
      <c r="J45" s="46">
        <f ca="1">((ExpKayaFactorsRef!L7-ExpKayaFactorsInt!L7)/(LN(ExpKayaFactorsRef!L7)-LN(ExpKayaFactorsInt!L7)))*LN(ExpKayaRatiosRef!L7/ExpKayaRatiosInt!L7)</f>
        <v>8.3813377220138694</v>
      </c>
      <c r="K45" s="46">
        <f ca="1">((ExpKayaFactorsRef!M7-ExpKayaFactorsInt!M7)/(LN(ExpKayaFactorsRef!M7)-LN(ExpKayaFactorsInt!M7)))*LN(ExpKayaRatiosRef!M7/ExpKayaRatiosInt!M7)</f>
        <v>8.7700614161694102</v>
      </c>
      <c r="L45" s="46">
        <f ca="1">((ExpKayaFactorsRef!N7-ExpKayaFactorsInt!N7)/(LN(ExpKayaFactorsRef!N7)-LN(ExpKayaFactorsInt!N7)))*LN(ExpKayaRatiosRef!N7/ExpKayaRatiosInt!N7)</f>
        <v>8.88636675651858</v>
      </c>
    </row>
    <row r="46" spans="1:12" x14ac:dyDescent="0.15">
      <c r="B46" s="46" t="e">
        <f ca="1">B45</f>
        <v>#DIV/0!</v>
      </c>
      <c r="C46" s="46">
        <f t="shared" ref="C46:J46" ca="1" si="16">C45</f>
        <v>3.4435258669839666E-2</v>
      </c>
      <c r="D46" s="46">
        <f t="shared" ca="1" si="16"/>
        <v>0.7044097167386506</v>
      </c>
      <c r="E46" s="46">
        <f t="shared" ca="1" si="16"/>
        <v>2.13859915400581</v>
      </c>
      <c r="F46" s="46">
        <f t="shared" ca="1" si="16"/>
        <v>4.2860972182534063</v>
      </c>
      <c r="G46" s="46">
        <f t="shared" ca="1" si="16"/>
        <v>6.1168929911659919</v>
      </c>
      <c r="H46" s="46">
        <f t="shared" ca="1" si="16"/>
        <v>6.7144674313339143</v>
      </c>
      <c r="I46" s="46">
        <f t="shared" ca="1" si="16"/>
        <v>7.5177562420818846</v>
      </c>
      <c r="J46" s="46">
        <f t="shared" ca="1" si="16"/>
        <v>8.3813377220138694</v>
      </c>
      <c r="K46" s="46">
        <f ca="1">K45</f>
        <v>8.7700614161694102</v>
      </c>
      <c r="L46" s="46">
        <f ca="1">L45</f>
        <v>8.88636675651858</v>
      </c>
    </row>
    <row r="48" spans="1:12" x14ac:dyDescent="0.15">
      <c r="A48" s="1" t="s">
        <v>82</v>
      </c>
      <c r="B48" s="46" t="e">
        <f t="shared" ref="B48:J48" ca="1" si="17">IF(B46&lt;0,0,B46)</f>
        <v>#DIV/0!</v>
      </c>
      <c r="C48" s="46">
        <f t="shared" ca="1" si="17"/>
        <v>3.4435258669839666E-2</v>
      </c>
      <c r="D48" s="46">
        <f t="shared" ca="1" si="17"/>
        <v>0.7044097167386506</v>
      </c>
      <c r="E48" s="46">
        <f t="shared" ca="1" si="17"/>
        <v>2.13859915400581</v>
      </c>
      <c r="F48" s="46">
        <f t="shared" ca="1" si="17"/>
        <v>4.2860972182534063</v>
      </c>
      <c r="G48" s="46">
        <f t="shared" ca="1" si="17"/>
        <v>6.1168929911659919</v>
      </c>
      <c r="H48" s="46">
        <f t="shared" ca="1" si="17"/>
        <v>6.7144674313339143</v>
      </c>
      <c r="I48" s="46">
        <f t="shared" ca="1" si="17"/>
        <v>7.5177562420818846</v>
      </c>
      <c r="J48" s="46">
        <f t="shared" ca="1" si="17"/>
        <v>8.3813377220138694</v>
      </c>
      <c r="K48" s="46">
        <f ca="1">IF(K46&lt;0,0,K46)</f>
        <v>8.7700614161694102</v>
      </c>
      <c r="L48" s="46">
        <f ca="1">IF(L46&lt;0,0,L46)</f>
        <v>8.88636675651858</v>
      </c>
    </row>
    <row r="50" spans="1:12" x14ac:dyDescent="0.15">
      <c r="A50" s="1" t="s">
        <v>85</v>
      </c>
      <c r="B50" s="46" t="e">
        <f t="shared" ref="B50:J50" ca="1" si="18">(B48/B$67)</f>
        <v>#DIV/0!</v>
      </c>
      <c r="C50" s="46">
        <f t="shared" ca="1" si="18"/>
        <v>0.13157521051608956</v>
      </c>
      <c r="D50" s="46">
        <f t="shared" ca="1" si="18"/>
        <v>9.1175498324170795E-2</v>
      </c>
      <c r="E50" s="46">
        <f t="shared" ca="1" si="18"/>
        <v>9.8158999220642626E-2</v>
      </c>
      <c r="F50" s="46">
        <f t="shared" ca="1" si="18"/>
        <v>0.12656465584618568</v>
      </c>
      <c r="G50" s="46">
        <f ca="1">IF($G$67=0,0,(G48/G$67))</f>
        <v>0.14927356285436577</v>
      </c>
      <c r="H50" s="46">
        <f t="shared" ca="1" si="18"/>
        <v>0.14543074097089342</v>
      </c>
      <c r="I50" s="46">
        <f t="shared" ca="1" si="18"/>
        <v>0.15240957797253002</v>
      </c>
      <c r="J50" s="46">
        <f t="shared" ca="1" si="18"/>
        <v>0.15601422583731836</v>
      </c>
      <c r="K50" s="46">
        <f ca="1">(K48/K$67)</f>
        <v>0.15095981234982814</v>
      </c>
      <c r="L50" s="46">
        <f ca="1">(L48/L$67)</f>
        <v>0.14184744387092621</v>
      </c>
    </row>
    <row r="52" spans="1:12" x14ac:dyDescent="0.15">
      <c r="A52" s="1" t="s">
        <v>84</v>
      </c>
      <c r="B52" s="46" t="e">
        <f t="shared" ref="B52:J52" ca="1" si="19">B48-(B50*B$68)</f>
        <v>#DIV/0!</v>
      </c>
      <c r="C52" s="46">
        <f t="shared" ca="1" si="19"/>
        <v>-1.4106910332351751E-2</v>
      </c>
      <c r="D52" s="46">
        <f t="shared" ca="1" si="19"/>
        <v>0.66169453594269523</v>
      </c>
      <c r="E52" s="46">
        <f t="shared" ca="1" si="19"/>
        <v>2.0699421886774201</v>
      </c>
      <c r="F52" s="46">
        <f t="shared" ca="1" si="19"/>
        <v>4.1823595401654243</v>
      </c>
      <c r="G52" s="46">
        <f t="shared" ca="1" si="19"/>
        <v>5.9696693077962859</v>
      </c>
      <c r="H52" s="46">
        <f t="shared" ca="1" si="19"/>
        <v>6.5401016110303125</v>
      </c>
      <c r="I52" s="46">
        <f t="shared" ca="1" si="19"/>
        <v>7.2633108988716204</v>
      </c>
      <c r="J52" s="46">
        <f t="shared" ca="1" si="19"/>
        <v>8.011818165276436</v>
      </c>
      <c r="K52" s="46">
        <f ca="1">K48-(K50*K$68)</f>
        <v>8.4780180204796327</v>
      </c>
      <c r="L52" s="46">
        <f ca="1">L48-(L50*L$68)</f>
        <v>8.5918386808780784</v>
      </c>
    </row>
    <row r="53" spans="1:12" ht="15" x14ac:dyDescent="0.15">
      <c r="A53" s="37" t="s">
        <v>87</v>
      </c>
    </row>
    <row r="54" spans="1:12" x14ac:dyDescent="0.15">
      <c r="A54" s="1" t="s">
        <v>86</v>
      </c>
    </row>
    <row r="55" spans="1:12" x14ac:dyDescent="0.15">
      <c r="B55" s="46" t="e">
        <f ca="1">((ExpKayaFactorsRef!D7-ExpKayaFactorsInt!D7)/(LN(ExpKayaFactorsRef!D7)-LN(ExpKayaFactorsInt!D7)))*LN(ExpKayaRatiosRef!D6/ExpKayaRatiosInt!D6)</f>
        <v>#DIV/0!</v>
      </c>
      <c r="C55" s="46">
        <f ca="1">((ExpKayaFactorsRef!E7-ExpKayaFactorsInt!E7)/(LN(ExpKayaFactorsRef!E7)-LN(ExpKayaFactorsInt!E7)))*LN(ExpKayaRatiosRef!E6/ExpKayaRatiosInt!E6)</f>
        <v>-0.11462076505914047</v>
      </c>
      <c r="D55" s="46">
        <f ca="1">((ExpKayaFactorsRef!F7-ExpKayaFactorsInt!F7)/(LN(ExpKayaFactorsRef!F7)-LN(ExpKayaFactorsInt!F7)))*LN(ExpKayaRatiosRef!F6/ExpKayaRatiosInt!F6)</f>
        <v>1.734301439583039</v>
      </c>
      <c r="E55" s="46">
        <f ca="1">((ExpKayaFactorsRef!G7-ExpKayaFactorsInt!G7)/(LN(ExpKayaFactorsRef!G7)-LN(ExpKayaFactorsInt!G7)))*LN(ExpKayaRatiosRef!G6/ExpKayaRatiosInt!G6)</f>
        <v>3.7233980452058515</v>
      </c>
      <c r="F55" s="46">
        <f ca="1">((ExpKayaFactorsRef!H7-ExpKayaFactorsInt!H7)/(LN(ExpKayaFactorsRef!H7)-LN(ExpKayaFactorsInt!H7)))*LN(ExpKayaRatiosRef!H6/ExpKayaRatiosInt!H6)</f>
        <v>8.4854108982874337</v>
      </c>
      <c r="G55" s="46">
        <f ca="1">IF(ExpKayaFactorsInt!I7=0,((ExpKayaFactorsRef!I7-$N$3)/(LN(ExpKayaFactorsRef!I7)-LN($N$3)))*LN(ExpKayaRatiosRef!I6/ExpKayaRatiosInt!I6),((ExpKayaFactorsRef!I7-ExpKayaFactorsInt!I7)/(LN(ExpKayaFactorsRef!I7)-LN(ExpKayaFactorsInt!I7)))*LN(ExpKayaRatiosRef!I6/ExpKayaRatiosInt!I6))</f>
        <v>13.887548211241905</v>
      </c>
      <c r="H55" s="46">
        <f ca="1">((ExpKayaFactorsRef!J7-ExpKayaFactorsInt!J7)/(LN(ExpKayaFactorsRef!J7)-LN(ExpKayaFactorsInt!J7)))*LN(ExpKayaRatiosRef!J6/ExpKayaRatiosInt!J6)</f>
        <v>16.927752266970764</v>
      </c>
      <c r="I55" s="46">
        <f ca="1">((ExpKayaFactorsRef!K7-ExpKayaFactorsInt!K7)/(LN(ExpKayaFactorsRef!K7)-LN(ExpKayaFactorsInt!K7)))*LN(ExpKayaRatiosRef!K6/ExpKayaRatiosInt!K6)</f>
        <v>18.442054885565867</v>
      </c>
      <c r="J55" s="46">
        <f ca="1">((ExpKayaFactorsRef!L7-ExpKayaFactorsInt!L7)/(LN(ExpKayaFactorsRef!L7)-LN(ExpKayaFactorsInt!L7)))*LN(ExpKayaRatiosRef!L6/ExpKayaRatiosInt!L6)</f>
        <v>21.292813970217924</v>
      </c>
      <c r="K55" s="46">
        <f ca="1">((ExpKayaFactorsRef!M7-ExpKayaFactorsInt!M7)/(LN(ExpKayaFactorsRef!M7)-LN(ExpKayaFactorsInt!M7)))*LN(ExpKayaRatiosRef!M6/ExpKayaRatiosInt!M6)</f>
        <v>24.541029894748814</v>
      </c>
      <c r="L55" s="46">
        <f ca="1">((ExpKayaFactorsRef!N7-ExpKayaFactorsInt!N7)/(LN(ExpKayaFactorsRef!N7)-LN(ExpKayaFactorsInt!N7)))*LN(ExpKayaRatiosRef!N6/ExpKayaRatiosInt!N6)</f>
        <v>26.871587091651264</v>
      </c>
    </row>
    <row r="56" spans="1:12" x14ac:dyDescent="0.15">
      <c r="B56" s="46" t="e">
        <f ca="1">B55</f>
        <v>#DIV/0!</v>
      </c>
      <c r="C56" s="46">
        <f t="shared" ref="C56:J56" ca="1" si="20">C55</f>
        <v>-0.11462076505914047</v>
      </c>
      <c r="D56" s="46">
        <f t="shared" ca="1" si="20"/>
        <v>1.734301439583039</v>
      </c>
      <c r="E56" s="46">
        <f t="shared" ca="1" si="20"/>
        <v>3.7233980452058515</v>
      </c>
      <c r="F56" s="46">
        <f t="shared" ca="1" si="20"/>
        <v>8.4854108982874337</v>
      </c>
      <c r="G56" s="46">
        <f t="shared" ca="1" si="20"/>
        <v>13.887548211241905</v>
      </c>
      <c r="H56" s="46">
        <f t="shared" ca="1" si="20"/>
        <v>16.927752266970764</v>
      </c>
      <c r="I56" s="46">
        <f t="shared" ca="1" si="20"/>
        <v>18.442054885565867</v>
      </c>
      <c r="J56" s="46">
        <f t="shared" ca="1" si="20"/>
        <v>21.292813970217924</v>
      </c>
      <c r="K56" s="46">
        <f ca="1">K55</f>
        <v>24.541029894748814</v>
      </c>
      <c r="L56" s="46">
        <f ca="1">L55</f>
        <v>26.871587091651264</v>
      </c>
    </row>
    <row r="58" spans="1:12" x14ac:dyDescent="0.15">
      <c r="A58" s="1" t="s">
        <v>82</v>
      </c>
      <c r="B58" s="46" t="e">
        <f t="shared" ref="B58:J58" ca="1" si="21">IF(B56&lt;0,0,B56)</f>
        <v>#DIV/0!</v>
      </c>
      <c r="C58" s="46">
        <f t="shared" ca="1" si="21"/>
        <v>0</v>
      </c>
      <c r="D58" s="46">
        <f t="shared" ca="1" si="21"/>
        <v>1.734301439583039</v>
      </c>
      <c r="E58" s="46">
        <f t="shared" ca="1" si="21"/>
        <v>3.7233980452058515</v>
      </c>
      <c r="F58" s="46">
        <f t="shared" ca="1" si="21"/>
        <v>8.4854108982874337</v>
      </c>
      <c r="G58" s="46">
        <f t="shared" ca="1" si="21"/>
        <v>13.887548211241905</v>
      </c>
      <c r="H58" s="46">
        <f t="shared" ca="1" si="21"/>
        <v>16.927752266970764</v>
      </c>
      <c r="I58" s="46">
        <f t="shared" ca="1" si="21"/>
        <v>18.442054885565867</v>
      </c>
      <c r="J58" s="46">
        <f t="shared" ca="1" si="21"/>
        <v>21.292813970217924</v>
      </c>
      <c r="K58" s="46">
        <f ca="1">IF(K56&lt;0,0,K56)</f>
        <v>24.541029894748814</v>
      </c>
      <c r="L58" s="46">
        <f ca="1">IF(L56&lt;0,0,L56)</f>
        <v>26.871587091651264</v>
      </c>
    </row>
    <row r="60" spans="1:12" x14ac:dyDescent="0.15">
      <c r="A60" s="1" t="s">
        <v>85</v>
      </c>
      <c r="B60" s="46" t="e">
        <f t="shared" ref="B60:J60" ca="1" si="22">(B58/B$67)</f>
        <v>#DIV/0!</v>
      </c>
      <c r="C60" s="46">
        <f t="shared" ca="1" si="22"/>
        <v>0</v>
      </c>
      <c r="D60" s="46">
        <f t="shared" ca="1" si="22"/>
        <v>0.2244798648298289</v>
      </c>
      <c r="E60" s="46">
        <f t="shared" ca="1" si="22"/>
        <v>0.17089926606064229</v>
      </c>
      <c r="F60" s="46">
        <f t="shared" ca="1" si="22"/>
        <v>0.25056667064888943</v>
      </c>
      <c r="G60" s="46">
        <f ca="1">IF($G$67=0,0,(G58/G$67))</f>
        <v>0.33890470273024892</v>
      </c>
      <c r="H60" s="46">
        <f t="shared" ca="1" si="22"/>
        <v>0.36664345762835998</v>
      </c>
      <c r="I60" s="46">
        <f t="shared" ca="1" si="22"/>
        <v>0.37388094420004131</v>
      </c>
      <c r="J60" s="46">
        <f t="shared" ca="1" si="22"/>
        <v>0.39635461517512743</v>
      </c>
      <c r="K60" s="46">
        <f ca="1">(K58/K$67)</f>
        <v>0.42242683283293897</v>
      </c>
      <c r="L60" s="46">
        <f ca="1">(L58/L$67)</f>
        <v>0.4289341241638116</v>
      </c>
    </row>
    <row r="62" spans="1:12" x14ac:dyDescent="0.15">
      <c r="A62" s="1" t="s">
        <v>84</v>
      </c>
      <c r="B62" s="46" t="e">
        <f t="shared" ref="B62:J62" ca="1" si="23">B58-(B60*B$68)</f>
        <v>#DIV/0!</v>
      </c>
      <c r="C62" s="46">
        <f t="shared" ca="1" si="23"/>
        <v>0</v>
      </c>
      <c r="D62" s="46">
        <f t="shared" ca="1" si="23"/>
        <v>1.6291339528404327</v>
      </c>
      <c r="E62" s="46">
        <f t="shared" ca="1" si="23"/>
        <v>3.6038631571392128</v>
      </c>
      <c r="F62" s="46">
        <f t="shared" ca="1" si="23"/>
        <v>8.2800359897431282</v>
      </c>
      <c r="G62" s="46">
        <f t="shared" ca="1" si="23"/>
        <v>13.553297472576673</v>
      </c>
      <c r="H62" s="46">
        <f t="shared" ca="1" si="23"/>
        <v>16.488160975463057</v>
      </c>
      <c r="I62" s="46">
        <f t="shared" ca="1" si="23"/>
        <v>17.817866652567126</v>
      </c>
      <c r="J62" s="46">
        <f t="shared" ca="1" si="23"/>
        <v>20.354048412626597</v>
      </c>
      <c r="K62" s="46">
        <f ca="1">K58-(K60*K$68)</f>
        <v>23.723812618371156</v>
      </c>
      <c r="L62" s="46">
        <f ca="1">L58-(L60*L$68)</f>
        <v>25.980960241290337</v>
      </c>
    </row>
    <row r="64" spans="1:12" x14ac:dyDescent="0.15">
      <c r="A64" s="36" t="s">
        <v>83</v>
      </c>
    </row>
    <row r="65" spans="1:12" x14ac:dyDescent="0.15">
      <c r="B65" s="46" t="e">
        <f t="shared" ref="B65:J65" ca="1" si="24">B6+B16+B26+B36+B46+B56</f>
        <v>#DIV/0!</v>
      </c>
      <c r="C65" s="46">
        <f t="shared" ca="1" si="24"/>
        <v>-0.10721556345620822</v>
      </c>
      <c r="D65" s="46">
        <f t="shared" ca="1" si="24"/>
        <v>7.2573722996288668</v>
      </c>
      <c r="E65" s="46">
        <f t="shared" ca="1" si="24"/>
        <v>21.087645606742452</v>
      </c>
      <c r="F65" s="46">
        <f t="shared" ca="1" si="24"/>
        <v>33.045240886588871</v>
      </c>
      <c r="G65" s="46">
        <f t="shared" ca="1" si="24"/>
        <v>39.991470650569333</v>
      </c>
      <c r="H65" s="46">
        <f t="shared" ca="1" si="24"/>
        <v>44.970558269652571</v>
      </c>
      <c r="I65" s="46">
        <f t="shared" ca="1" si="24"/>
        <v>47.656525236102574</v>
      </c>
      <c r="J65" s="46">
        <f t="shared" ca="1" si="24"/>
        <v>51.353125795276171</v>
      </c>
      <c r="K65" s="46">
        <f ca="1">K6+K16+K26+K36+K46+K56</f>
        <v>56.160761519980028</v>
      </c>
      <c r="L65" s="46">
        <f ca="1">L6+L16+L26+L36+L46+L56</f>
        <v>60.570979965604479</v>
      </c>
    </row>
    <row r="67" spans="1:12" x14ac:dyDescent="0.15">
      <c r="A67" s="1" t="s">
        <v>82</v>
      </c>
      <c r="B67" s="46" t="e">
        <f t="shared" ref="B67:J67" ca="1" si="25">B8+B18+B28+B38+B48+B58</f>
        <v>#DIV/0!</v>
      </c>
      <c r="C67" s="46">
        <f t="shared" ca="1" si="25"/>
        <v>0.26171539862844284</v>
      </c>
      <c r="D67" s="46">
        <f t="shared" ca="1" si="25"/>
        <v>7.7258663751323891</v>
      </c>
      <c r="E67" s="46">
        <f t="shared" ca="1" si="25"/>
        <v>21.787092074957375</v>
      </c>
      <c r="F67" s="46">
        <f t="shared" ca="1" si="25"/>
        <v>33.864882653039487</v>
      </c>
      <c r="G67" s="46">
        <f t="shared" ca="1" si="25"/>
        <v>40.977738282657278</v>
      </c>
      <c r="H67" s="46">
        <f t="shared" ca="1" si="25"/>
        <v>46.169519501229459</v>
      </c>
      <c r="I67" s="46">
        <f t="shared" ca="1" si="25"/>
        <v>49.326009179271324</v>
      </c>
      <c r="J67" s="46">
        <f t="shared" ca="1" si="25"/>
        <v>53.721624916136761</v>
      </c>
      <c r="K67" s="46">
        <f ca="1">K8+K18+K28+K38+K48+K58</f>
        <v>58.095338617976196</v>
      </c>
      <c r="L67" s="46">
        <f ca="1">L8+L18+L28+L38+L48+L58</f>
        <v>62.647352070755048</v>
      </c>
    </row>
    <row r="68" spans="1:12" x14ac:dyDescent="0.15">
      <c r="A68" s="1" t="s">
        <v>81</v>
      </c>
      <c r="B68" s="46" t="e">
        <f t="shared" ref="B68:J68" ca="1" si="26">B67-B65</f>
        <v>#DIV/0!</v>
      </c>
      <c r="C68" s="46">
        <f t="shared" ca="1" si="26"/>
        <v>0.36893096208465104</v>
      </c>
      <c r="D68" s="46">
        <f t="shared" ca="1" si="26"/>
        <v>0.46849407550352229</v>
      </c>
      <c r="E68" s="46">
        <f t="shared" ca="1" si="26"/>
        <v>0.69944646821492285</v>
      </c>
      <c r="F68" s="46">
        <f t="shared" ca="1" si="26"/>
        <v>0.81964176645061571</v>
      </c>
      <c r="G68" s="46">
        <f t="shared" ca="1" si="26"/>
        <v>0.98626763208794443</v>
      </c>
      <c r="H68" s="46">
        <f t="shared" ca="1" si="26"/>
        <v>1.1989612315768881</v>
      </c>
      <c r="I68" s="46">
        <f t="shared" ca="1" si="26"/>
        <v>1.6694839431687498</v>
      </c>
      <c r="J68" s="46">
        <f t="shared" ca="1" si="26"/>
        <v>2.3684991208605908</v>
      </c>
      <c r="K68" s="46">
        <f ca="1">K67-K65</f>
        <v>1.9345770979961685</v>
      </c>
      <c r="L68" s="46">
        <f ca="1">L67-L65</f>
        <v>2.0763721051505684</v>
      </c>
    </row>
    <row r="71" spans="1:12" x14ac:dyDescent="0.15">
      <c r="A71" s="1" t="s">
        <v>80</v>
      </c>
      <c r="B71" s="46" t="e">
        <f t="shared" ref="B71:J71" ca="1" si="27">B12+B12+B22+B32+B42+B52+B62</f>
        <v>#DIV/0!</v>
      </c>
      <c r="C71" s="46">
        <f t="shared" ca="1" si="27"/>
        <v>-0.1072155642470988</v>
      </c>
      <c r="D71" s="46">
        <f t="shared" ca="1" si="27"/>
        <v>7.6412265378904731</v>
      </c>
      <c r="E71" s="46">
        <f t="shared" ca="1" si="27"/>
        <v>22.010024194249219</v>
      </c>
      <c r="F71" s="46">
        <f t="shared" ca="1" si="27"/>
        <v>34.344802005114225</v>
      </c>
      <c r="G71" s="46">
        <f t="shared" ca="1" si="27"/>
        <v>41.814507557656007</v>
      </c>
      <c r="H71" s="46">
        <f t="shared" ca="1" si="27"/>
        <v>47.565984533313483</v>
      </c>
      <c r="I71" s="46">
        <f t="shared" ca="1" si="27"/>
        <v>51.268678023605574</v>
      </c>
      <c r="J71" s="46">
        <f t="shared" ca="1" si="27"/>
        <v>55.902250888162243</v>
      </c>
      <c r="K71" s="46">
        <f ca="1">K12+K12+K22+K32+K42+K52+K62</f>
        <v>61.94342015566923</v>
      </c>
      <c r="L71" s="46">
        <f ca="1">L12+L12+L22+L32+L42+L52+L62</f>
        <v>68.169142129321273</v>
      </c>
    </row>
  </sheetData>
  <pageMargins left="0.75" right="0.75" top="1" bottom="1" header="0.5" footer="0.5"/>
  <pageSetup orientation="portrait" horizontalDpi="0" verticalDpi="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B41485-14A3-4141-8815-5BDCE69C71F3}">
  <sheetPr codeName="Sheet18">
    <tabColor rgb="FFFF0000"/>
  </sheetPr>
  <dimension ref="A1:P22"/>
  <sheetViews>
    <sheetView showGridLines="0" workbookViewId="0">
      <selection activeCell="B4" sqref="B4"/>
    </sheetView>
  </sheetViews>
  <sheetFormatPr baseColWidth="10" defaultRowHeight="13" x14ac:dyDescent="0.15"/>
  <cols>
    <col min="1" max="1" width="18.5" style="1" customWidth="1"/>
    <col min="2" max="12" width="10.83203125" style="1"/>
    <col min="13" max="13" width="16.83203125" style="1" bestFit="1" customWidth="1"/>
    <col min="14" max="16384" width="10.83203125" style="1"/>
  </cols>
  <sheetData>
    <row r="1" spans="1:16" ht="27" customHeight="1" x14ac:dyDescent="0.15">
      <c r="B1" s="45" t="s">
        <v>101</v>
      </c>
      <c r="F1" s="1" t="s">
        <v>30</v>
      </c>
      <c r="G1" s="1" t="str">
        <f>'Int Data input'!B2</f>
        <v>IMA15-TOT</v>
      </c>
      <c r="H1" s="1" t="s">
        <v>100</v>
      </c>
      <c r="I1" s="1" t="str">
        <f>'Int Data input'!C2</f>
        <v>World</v>
      </c>
    </row>
    <row r="2" spans="1:16" ht="40" customHeight="1" x14ac:dyDescent="0.15">
      <c r="A2" s="44" t="s">
        <v>99</v>
      </c>
      <c r="B2" s="43">
        <f>'LMDI 1 MethodDEq'!C1</f>
        <v>2010</v>
      </c>
      <c r="C2" s="43">
        <f>'LMDI 1 MethodDEq'!D1</f>
        <v>2020</v>
      </c>
      <c r="D2" s="43">
        <f>'LMDI 1 MethodDEq'!E1</f>
        <v>2030</v>
      </c>
      <c r="E2" s="43">
        <f>'LMDI 1 MethodDEq'!F1</f>
        <v>2040</v>
      </c>
      <c r="F2" s="43">
        <f>'LMDI 1 MethodDEq'!G1</f>
        <v>2050</v>
      </c>
      <c r="G2" s="43">
        <f>'LMDI 1 MethodDEq'!H1</f>
        <v>2060</v>
      </c>
      <c r="H2" s="43">
        <f>'LMDI 1 MethodDEq'!I1</f>
        <v>2070</v>
      </c>
      <c r="I2" s="43">
        <f>'LMDI 1 MethodDEq'!J1</f>
        <v>2080</v>
      </c>
      <c r="J2" s="43">
        <f>'LMDI 1 MethodDEq'!K1</f>
        <v>2090</v>
      </c>
      <c r="K2" s="43">
        <f>'LMDI 1 MethodDEq'!L1</f>
        <v>2100</v>
      </c>
      <c r="L2" s="43"/>
      <c r="M2" s="43"/>
      <c r="N2" s="43"/>
      <c r="O2" s="43"/>
      <c r="P2" s="43"/>
    </row>
    <row r="3" spans="1:16" ht="40" customHeight="1" x14ac:dyDescent="0.2">
      <c r="A3" s="42" t="s">
        <v>98</v>
      </c>
      <c r="B3" s="41">
        <f ca="1">'LMDI 1 MethodDEq'!C6</f>
        <v>1.930580328775526E-9</v>
      </c>
      <c r="C3" s="41">
        <f ca="1">'LMDI 1 MethodDEq'!D6</f>
        <v>0.40863365277389124</v>
      </c>
      <c r="D3" s="41">
        <f ca="1">'LMDI 1 MethodDEq'!E6</f>
        <v>0.9529725408299583</v>
      </c>
      <c r="E3" s="41">
        <f ca="1">'LMDI 1 MethodDEq'!F6</f>
        <v>1.3317949453101023</v>
      </c>
      <c r="F3" s="41">
        <f ca="1">'LMDI 1 MethodDEq'!G6</f>
        <v>1.8575617929658228</v>
      </c>
      <c r="G3" s="41">
        <f ca="1">'LMDI 1 MethodDEq'!H6</f>
        <v>2.6646229912373616</v>
      </c>
      <c r="H3" s="41">
        <f ca="1">'LMDI 1 MethodDEq'!I6</f>
        <v>3.7386922498144504</v>
      </c>
      <c r="I3" s="41">
        <f ca="1">'LMDI 1 MethodDEq'!J6</f>
        <v>4.758938976974445</v>
      </c>
      <c r="J3" s="41">
        <f ca="1">'LMDI 1 MethodDEq'!K6</f>
        <v>5.9818546340937848</v>
      </c>
      <c r="K3" s="41">
        <f ca="1">'LMDI 1 MethodDEq'!L6</f>
        <v>7.858627026198965</v>
      </c>
      <c r="L3" s="41"/>
      <c r="M3" s="41"/>
      <c r="N3" s="41"/>
      <c r="O3" s="41"/>
      <c r="P3" s="41"/>
    </row>
    <row r="4" spans="1:16" ht="40" customHeight="1" x14ac:dyDescent="0.2">
      <c r="A4" s="42" t="s">
        <v>97</v>
      </c>
      <c r="B4" s="41">
        <f ca="1">'LMDI 1 MethodDEq'!C16</f>
        <v>-0.21416754134207142</v>
      </c>
      <c r="C4" s="41">
        <f ca="1">'LMDI 1 MethodDEq'!D16</f>
        <v>-0.4684940755035224</v>
      </c>
      <c r="D4" s="41">
        <f ca="1">'LMDI 1 MethodDEq'!E16</f>
        <v>-0.69944646821492462</v>
      </c>
      <c r="E4" s="41">
        <f ca="1">'LMDI 1 MethodDEq'!F16</f>
        <v>-0.81964176645062115</v>
      </c>
      <c r="F4" s="41">
        <f ca="1">'LMDI 1 MethodDEq'!G16</f>
        <v>-0.9862676320879411</v>
      </c>
      <c r="G4" s="41">
        <f ca="1">'LMDI 1 MethodDEq'!H16</f>
        <v>-1.1989612315768883</v>
      </c>
      <c r="H4" s="41">
        <f ca="1">'LMDI 1 MethodDEq'!I16</f>
        <v>-1.3829019112103245</v>
      </c>
      <c r="I4" s="41">
        <f ca="1">'LMDI 1 MethodDEq'!J16</f>
        <v>-1.3990871235255835</v>
      </c>
      <c r="J4" s="41">
        <f ca="1">'LMDI 1 MethodDEq'!K16</f>
        <v>-1.3289065478428386</v>
      </c>
      <c r="K4" s="41">
        <f ca="1">'LMDI 1 MethodDEq'!L16</f>
        <v>-1.2523176658810196</v>
      </c>
      <c r="L4" s="41"/>
      <c r="M4" s="41"/>
      <c r="N4" s="41"/>
      <c r="O4" s="41"/>
      <c r="P4" s="41"/>
    </row>
    <row r="5" spans="1:16" ht="40" customHeight="1" x14ac:dyDescent="0.2">
      <c r="A5" s="42" t="s">
        <v>96</v>
      </c>
      <c r="B5" s="41">
        <f ca="1">'LMDI 1 MethodDEq'!C26</f>
        <v>0.22728013802802283</v>
      </c>
      <c r="C5" s="41">
        <f ca="1">'LMDI 1 MethodDEq'!D26</f>
        <v>4.8334726082398083</v>
      </c>
      <c r="D5" s="41">
        <f ca="1">'LMDI 1 MethodDEq'!E26</f>
        <v>13.51587213025654</v>
      </c>
      <c r="E5" s="41">
        <f ca="1">'LMDI 1 MethodDEq'!F26</f>
        <v>16.44671458984411</v>
      </c>
      <c r="F5" s="41">
        <f ca="1">'LMDI 1 MethodDEq'!G26</f>
        <v>16.835061836148903</v>
      </c>
      <c r="G5" s="41">
        <f ca="1">'LMDI 1 MethodDEq'!H26</f>
        <v>18.149534222361474</v>
      </c>
      <c r="H5" s="41">
        <f ca="1">'LMDI 1 MethodDEq'!I26</f>
        <v>19.627505801809118</v>
      </c>
      <c r="I5" s="41">
        <f ca="1">'LMDI 1 MethodDEq'!J26</f>
        <v>19.288534246930521</v>
      </c>
      <c r="J5" s="41">
        <f ca="1">'LMDI 1 MethodDEq'!K26</f>
        <v>18.802392672964189</v>
      </c>
      <c r="K5" s="41">
        <f ca="1">'LMDI 1 MethodDEq'!L26</f>
        <v>19.030771196386244</v>
      </c>
      <c r="L5" s="41"/>
      <c r="M5" s="41"/>
      <c r="N5" s="41"/>
      <c r="O5" s="41"/>
      <c r="P5" s="41"/>
    </row>
    <row r="6" spans="1:16" ht="40" customHeight="1" x14ac:dyDescent="0.2">
      <c r="A6" s="42" t="s">
        <v>95</v>
      </c>
      <c r="B6" s="41">
        <f ca="1">'LMDI 1 MethodDEq'!C36</f>
        <v>-4.0142655683439166E-2</v>
      </c>
      <c r="C6" s="41">
        <f ca="1">'LMDI 1 MethodDEq'!D36</f>
        <v>4.5048957797000126E-2</v>
      </c>
      <c r="D6" s="41">
        <f ca="1">'LMDI 1 MethodDEq'!E36</f>
        <v>1.4562502046592167</v>
      </c>
      <c r="E6" s="41">
        <f ca="1">'LMDI 1 MethodDEq'!F36</f>
        <v>3.3148650013444407</v>
      </c>
      <c r="F6" s="41">
        <f ca="1">'LMDI 1 MethodDEq'!G36</f>
        <v>2.2806734511346538</v>
      </c>
      <c r="G6" s="41">
        <f ca="1">'LMDI 1 MethodDEq'!H36</f>
        <v>1.7131425893259427</v>
      </c>
      <c r="H6" s="41">
        <f ca="1">'LMDI 1 MethodDEq'!I36</f>
        <v>-0.28658203195842075</v>
      </c>
      <c r="I6" s="41">
        <f ca="1">'LMDI 1 MethodDEq'!J36</f>
        <v>-0.96941199733500205</v>
      </c>
      <c r="J6" s="41">
        <f ca="1">'LMDI 1 MethodDEq'!K36</f>
        <v>-0.6056705501533336</v>
      </c>
      <c r="K6" s="41">
        <f ca="1">'LMDI 1 MethodDEq'!L36</f>
        <v>-0.82405443926955713</v>
      </c>
      <c r="L6" s="41"/>
      <c r="M6" s="41"/>
      <c r="N6" s="41"/>
      <c r="O6" s="41"/>
      <c r="P6" s="41"/>
    </row>
    <row r="7" spans="1:16" ht="40" customHeight="1" x14ac:dyDescent="0.2">
      <c r="A7" s="42" t="s">
        <v>94</v>
      </c>
      <c r="B7" s="41">
        <f ca="1">'LMDI 1 MethodDEq'!C56</f>
        <v>-0.11462076505914047</v>
      </c>
      <c r="C7" s="41">
        <f ca="1">'LMDI 1 MethodDEq'!D56</f>
        <v>1.734301439583039</v>
      </c>
      <c r="D7" s="41">
        <f ca="1">'LMDI 1 MethodDEq'!E56</f>
        <v>3.7233980452058515</v>
      </c>
      <c r="E7" s="41">
        <f ca="1">'LMDI 1 MethodDEq'!F56</f>
        <v>8.4854108982874337</v>
      </c>
      <c r="F7" s="41">
        <f ca="1">'LMDI 1 MethodDEq'!G56</f>
        <v>13.887548211241905</v>
      </c>
      <c r="G7" s="41">
        <f ca="1">'LMDI 1 MethodDEq'!H56</f>
        <v>16.927752266970764</v>
      </c>
      <c r="H7" s="41">
        <f ca="1">'LMDI 1 MethodDEq'!I56</f>
        <v>18.442054885565867</v>
      </c>
      <c r="I7" s="41">
        <f ca="1">'LMDI 1 MethodDEq'!J56</f>
        <v>21.292813970217924</v>
      </c>
      <c r="J7" s="41">
        <f ca="1">'LMDI 1 MethodDEq'!K56</f>
        <v>24.541029894748814</v>
      </c>
      <c r="K7" s="41">
        <f ca="1">'LMDI 1 MethodDEq'!L56</f>
        <v>26.871587091651264</v>
      </c>
      <c r="L7" s="41"/>
      <c r="M7" s="41"/>
      <c r="N7" s="41"/>
      <c r="O7" s="41"/>
      <c r="P7" s="41"/>
    </row>
    <row r="8" spans="1:16" ht="40" customHeight="1" x14ac:dyDescent="0.2">
      <c r="A8" s="42" t="s">
        <v>93</v>
      </c>
      <c r="B8" s="41">
        <f ca="1">'LMDI 1 MethodDEq'!C46</f>
        <v>3.4435258669839666E-2</v>
      </c>
      <c r="C8" s="41">
        <f ca="1">'LMDI 1 MethodDEq'!D46</f>
        <v>0.7044097167386506</v>
      </c>
      <c r="D8" s="41">
        <f ca="1">'LMDI 1 MethodDEq'!E46</f>
        <v>2.13859915400581</v>
      </c>
      <c r="E8" s="41">
        <f ca="1">'LMDI 1 MethodDEq'!F46</f>
        <v>4.2860972182534063</v>
      </c>
      <c r="F8" s="41">
        <f ca="1">'LMDI 1 MethodDEq'!G46</f>
        <v>6.1168929911659919</v>
      </c>
      <c r="G8" s="41">
        <f ca="1">'LMDI 1 MethodDEq'!H46</f>
        <v>6.7144674313339143</v>
      </c>
      <c r="H8" s="41">
        <f ca="1">'LMDI 1 MethodDEq'!I46</f>
        <v>7.5177562420818846</v>
      </c>
      <c r="I8" s="41">
        <f ca="1">'LMDI 1 MethodDEq'!J46</f>
        <v>8.3813377220138694</v>
      </c>
      <c r="J8" s="41">
        <f ca="1">'LMDI 1 MethodDEq'!K46</f>
        <v>8.7700614161694102</v>
      </c>
      <c r="K8" s="41">
        <f ca="1">'LMDI 1 MethodDEq'!L46</f>
        <v>8.88636675651858</v>
      </c>
      <c r="L8" s="41"/>
      <c r="M8" s="41"/>
      <c r="N8" s="41"/>
      <c r="O8" s="41"/>
      <c r="P8" s="41"/>
    </row>
    <row r="9" spans="1:16" ht="40" customHeight="1" x14ac:dyDescent="0.2">
      <c r="A9" s="40" t="s">
        <v>92</v>
      </c>
      <c r="B9" s="39">
        <f ca="1">'LMDI 1 MethodDEq'!C65</f>
        <v>-0.10721556345620822</v>
      </c>
      <c r="C9" s="39">
        <f ca="1">'LMDI 1 MethodDEq'!D65</f>
        <v>7.2573722996288668</v>
      </c>
      <c r="D9" s="39">
        <f ca="1">'LMDI 1 MethodDEq'!E65</f>
        <v>21.087645606742452</v>
      </c>
      <c r="E9" s="39">
        <f ca="1">'LMDI 1 MethodDEq'!F65</f>
        <v>33.045240886588871</v>
      </c>
      <c r="F9" s="39">
        <f ca="1">'LMDI 1 MethodDEq'!G65</f>
        <v>39.991470650569333</v>
      </c>
      <c r="G9" s="39">
        <f ca="1">'LMDI 1 MethodDEq'!H65</f>
        <v>44.970558269652571</v>
      </c>
      <c r="H9" s="39">
        <f ca="1">'LMDI 1 MethodDEq'!I65</f>
        <v>47.656525236102574</v>
      </c>
      <c r="I9" s="39">
        <f ca="1">'LMDI 1 MethodDEq'!J65</f>
        <v>51.353125795276171</v>
      </c>
      <c r="J9" s="39">
        <f ca="1">'LMDI 1 MethodDEq'!K65</f>
        <v>56.160761519980028</v>
      </c>
      <c r="K9" s="39">
        <f ca="1">'LMDI 1 MethodDEq'!L65</f>
        <v>60.570979965604479</v>
      </c>
      <c r="L9" s="39"/>
      <c r="M9" s="39"/>
      <c r="N9" s="39"/>
      <c r="O9" s="39"/>
      <c r="P9" s="39"/>
    </row>
    <row r="17" spans="13:13" x14ac:dyDescent="0.15">
      <c r="M17" s="46"/>
    </row>
    <row r="18" spans="13:13" x14ac:dyDescent="0.15">
      <c r="M18" s="46"/>
    </row>
    <row r="21" spans="13:13" x14ac:dyDescent="0.15">
      <c r="M21" s="46"/>
    </row>
    <row r="22" spans="13:13" x14ac:dyDescent="0.15">
      <c r="M22" s="46"/>
    </row>
  </sheetData>
  <pageMargins left="0.7" right="0.7" top="0.75" bottom="0.75" header="0.3" footer="0.3"/>
  <pageSetup orientation="portrait" horizontalDpi="0" verticalDpi="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FF7F2-31EE-DB49-982A-8B6C3EEDF740}">
  <sheetPr codeName="Sheet25">
    <tabColor rgb="FFFF0000"/>
  </sheetPr>
  <dimension ref="A1:CU138"/>
  <sheetViews>
    <sheetView topLeftCell="A32" zoomScale="98" workbookViewId="0">
      <selection activeCell="C46" sqref="C46"/>
    </sheetView>
  </sheetViews>
  <sheetFormatPr baseColWidth="10" defaultRowHeight="13" x14ac:dyDescent="0.15"/>
  <cols>
    <col min="1" max="2" width="23.33203125" style="1" customWidth="1"/>
    <col min="3" max="12" width="16.33203125" style="46" customWidth="1"/>
    <col min="13" max="13" width="13.83203125" style="46" customWidth="1"/>
    <col min="14" max="22" width="16.33203125" style="46" customWidth="1"/>
    <col min="23" max="23" width="14.1640625" style="46" customWidth="1"/>
    <col min="24" max="32" width="16.33203125" style="46" customWidth="1"/>
    <col min="33" max="33" width="10.83203125" style="46"/>
    <col min="34" max="42" width="16.33203125" style="46" customWidth="1"/>
    <col min="43" max="43" width="10.83203125" style="46"/>
    <col min="44" max="52" width="16.33203125" style="46" customWidth="1"/>
    <col min="53" max="53" width="10.83203125" style="46"/>
    <col min="54" max="62" width="16.33203125" style="46" customWidth="1"/>
    <col min="63" max="63" width="10.83203125" style="46"/>
    <col min="64" max="72" width="16.33203125" style="46" customWidth="1"/>
    <col min="73" max="73" width="10.83203125" style="46"/>
    <col min="74" max="82" width="16.33203125" style="46" customWidth="1"/>
    <col min="83" max="85" width="10.83203125" style="46"/>
    <col min="86" max="90" width="11.5" style="46" customWidth="1"/>
    <col min="91" max="16384" width="10.83203125" style="1"/>
  </cols>
  <sheetData>
    <row r="1" spans="1:90" x14ac:dyDescent="0.15">
      <c r="CD1" s="1"/>
      <c r="CE1" s="1"/>
      <c r="CF1" s="1"/>
      <c r="CG1" s="1"/>
      <c r="CH1" s="1"/>
      <c r="CI1" s="1"/>
      <c r="CJ1" s="1"/>
      <c r="CK1" s="1"/>
      <c r="CL1" s="1"/>
    </row>
    <row r="2" spans="1:90" x14ac:dyDescent="0.15">
      <c r="A2" s="1" t="s">
        <v>86</v>
      </c>
      <c r="C2" s="255">
        <f ca="1">SUM(C5:C10)</f>
        <v>5.9285440444946289</v>
      </c>
      <c r="D2" s="255">
        <f ca="1">ExpKayaFactorsRef!F7-ExpKayaFactorsRef!E7</f>
        <v>5.9285440444946289</v>
      </c>
      <c r="BZ2" s="46" t="s">
        <v>285</v>
      </c>
      <c r="CD2" s="1"/>
      <c r="CE2" s="1"/>
      <c r="CF2" s="1"/>
      <c r="CG2" s="1"/>
      <c r="CH2" s="1"/>
      <c r="CI2" s="1"/>
      <c r="CJ2" s="1"/>
      <c r="CK2" s="1"/>
      <c r="CL2" s="1"/>
    </row>
    <row r="3" spans="1:90" x14ac:dyDescent="0.15">
      <c r="BZ3" s="46">
        <f>1*10^-300</f>
        <v>1E-300</v>
      </c>
      <c r="CD3" s="1"/>
      <c r="CE3" s="1"/>
      <c r="CF3" s="1"/>
      <c r="CG3" s="1"/>
      <c r="CH3" s="1"/>
      <c r="CI3" s="1"/>
      <c r="CJ3" s="1"/>
      <c r="CK3" s="1"/>
      <c r="CL3" s="1"/>
    </row>
    <row r="4" spans="1:90" x14ac:dyDescent="0.15">
      <c r="C4" s="254">
        <v>2020</v>
      </c>
      <c r="D4" s="254">
        <v>2030</v>
      </c>
      <c r="E4" s="254">
        <v>2040</v>
      </c>
      <c r="F4" s="254">
        <v>2050</v>
      </c>
      <c r="G4" s="254">
        <v>2060</v>
      </c>
      <c r="H4" s="254">
        <v>2070</v>
      </c>
      <c r="I4" s="254">
        <v>2080</v>
      </c>
      <c r="J4" s="254">
        <v>2090</v>
      </c>
      <c r="K4" s="254">
        <v>2100</v>
      </c>
      <c r="CD4" s="1"/>
      <c r="CE4" s="1"/>
      <c r="CF4" s="1"/>
      <c r="CG4" s="1"/>
      <c r="CH4" s="1"/>
      <c r="CI4" s="1"/>
      <c r="CJ4" s="1"/>
      <c r="CK4" s="1"/>
      <c r="CL4" s="1"/>
    </row>
    <row r="5" spans="1:90" x14ac:dyDescent="0.15">
      <c r="A5" s="38" t="s">
        <v>49</v>
      </c>
      <c r="B5" s="38"/>
      <c r="C5" s="46">
        <f ca="1">((ExpKayaFactorsRef!F$7-ExpKayaFactorsRef!E$7)/(LN(ExpKayaFactorsRef!F$7)-LN(ExpKayaFactorsRef!E$7)))*LN(ExpKayaRatiosRef!F2/ExpKayaRatiosRef!E2)</f>
        <v>3.4313752842561813</v>
      </c>
      <c r="D5" s="46">
        <f ca="1">((ExpKayaFactorsRef!G$7-ExpKayaFactorsRef!F$7)/(LN(ExpKayaFactorsRef!G$7)-LN(ExpKayaFactorsRef!F$7)))*LN(ExpKayaRatiosRef!G2/ExpKayaRatiosRef!F2)</f>
        <v>3.1803381340218815</v>
      </c>
      <c r="E5" s="46">
        <f ca="1">((ExpKayaFactorsRef!H$7-ExpKayaFactorsRef!G$7)/(LN(ExpKayaFactorsRef!H$7)-LN(ExpKayaFactorsRef!G$7)))*LN(ExpKayaRatiosRef!H2/ExpKayaRatiosRef!G2)</f>
        <v>2.6435607901046883</v>
      </c>
      <c r="F5" s="46">
        <f ca="1">((ExpKayaFactorsRef!I$7-ExpKayaFactorsRef!H$7)/(LN(ExpKayaFactorsRef!I$7)-LN(ExpKayaFactorsRef!H$7)))*LN(ExpKayaRatiosRef!I2/ExpKayaRatiosRef!H2)</f>
        <v>1.9853384205283029</v>
      </c>
      <c r="G5" s="46">
        <f ca="1">((ExpKayaFactorsRef!J$7-ExpKayaFactorsRef!I$7)/(LN(ExpKayaFactorsRef!J$7)-LN(ExpKayaFactorsRef!I$7)))*LN(ExpKayaRatiosRef!J2/ExpKayaRatiosRef!I2)</f>
        <v>1.1884187315005452</v>
      </c>
      <c r="H5" s="46">
        <f ca="1">((ExpKayaFactorsRef!K$7-ExpKayaFactorsRef!J$7)/(LN(ExpKayaFactorsRef!K$7)-LN(ExpKayaFactorsRef!J$7)))*LN(ExpKayaRatiosRef!K2/ExpKayaRatiosRef!J2)</f>
        <v>0.41614656768051772</v>
      </c>
      <c r="I5" s="46">
        <f ca="1">((ExpKayaFactorsRef!L$7-ExpKayaFactorsRef!K$7)/(LN(ExpKayaFactorsRef!L$7)-LN(ExpKayaFactorsRef!K$7)))*LN(ExpKayaRatiosRef!L2/ExpKayaRatiosRef!K2)</f>
        <v>-0.31604827792915996</v>
      </c>
      <c r="J5" s="46">
        <f ca="1">((ExpKayaFactorsRef!M$7-ExpKayaFactorsRef!L$7)/(LN(ExpKayaFactorsRef!M$7)-LN(ExpKayaFactorsRef!L$7)))*LN(ExpKayaRatiosRef!M2/ExpKayaRatiosRef!L2)</f>
        <v>-1.0289836299709256</v>
      </c>
      <c r="K5" s="46">
        <f ca="1">((ExpKayaFactorsRef!N$7-ExpKayaFactorsRef!M$7)/(LN(ExpKayaFactorsRef!N$7)-LN(ExpKayaFactorsRef!M$7)))*LN(ExpKayaRatiosRef!N2/ExpKayaRatiosRef!M2)</f>
        <v>-1.6162480117373288</v>
      </c>
      <c r="BU5" s="1"/>
      <c r="BV5" s="1"/>
      <c r="BW5" s="1"/>
      <c r="BX5" s="1"/>
      <c r="BY5" s="1"/>
      <c r="BZ5" s="1"/>
      <c r="CA5" s="1"/>
      <c r="CB5" s="1"/>
      <c r="CC5" s="1"/>
      <c r="CD5" s="1"/>
      <c r="CE5" s="1"/>
      <c r="CF5" s="1"/>
      <c r="CG5" s="1"/>
      <c r="CH5" s="1"/>
      <c r="CI5" s="1"/>
      <c r="CJ5" s="1"/>
      <c r="CK5" s="1"/>
      <c r="CL5" s="1"/>
    </row>
    <row r="6" spans="1:90" x14ac:dyDescent="0.15">
      <c r="A6" s="37" t="s">
        <v>59</v>
      </c>
      <c r="B6" s="37"/>
      <c r="C6" s="46">
        <f ca="1">((ExpKayaFactorsRef!F$7-ExpKayaFactorsRef!E$7)/(LN(ExpKayaFactorsRef!F$7)-LN(ExpKayaFactorsRef!E$7)))*LN(ExpKayaRatiosRef!F3/ExpKayaRatiosRef!E3)</f>
        <v>9.7415847888924922</v>
      </c>
      <c r="D6" s="46">
        <f ca="1">((ExpKayaFactorsRef!G$7-ExpKayaFactorsRef!F$7)/(LN(ExpKayaFactorsRef!G$7)-LN(ExpKayaFactorsRef!F$7)))*LN(ExpKayaRatiosRef!G3/ExpKayaRatiosRef!F3)</f>
        <v>10.551859287697733</v>
      </c>
      <c r="E6" s="46">
        <f ca="1">((ExpKayaFactorsRef!H$7-ExpKayaFactorsRef!G$7)/(LN(ExpKayaFactorsRef!H$7)-LN(ExpKayaFactorsRef!G$7)))*LN(ExpKayaRatiosRef!H3/ExpKayaRatiosRef!G3)</f>
        <v>8.6625781707380884</v>
      </c>
      <c r="F6" s="46">
        <f ca="1">((ExpKayaFactorsRef!I$7-ExpKayaFactorsRef!H$7)/(LN(ExpKayaFactorsRef!I$7)-LN(ExpKayaFactorsRef!H$7)))*LN(ExpKayaRatiosRef!I3/ExpKayaRatiosRef!H3)</f>
        <v>8.1374777893979591</v>
      </c>
      <c r="G6" s="46">
        <f ca="1">((ExpKayaFactorsRef!J$7-ExpKayaFactorsRef!I$7)/(LN(ExpKayaFactorsRef!J$7)-LN(ExpKayaFactorsRef!I$7)))*LN(ExpKayaRatiosRef!J3/ExpKayaRatiosRef!I3)</f>
        <v>8.5276656568879918</v>
      </c>
      <c r="H6" s="46">
        <f ca="1">((ExpKayaFactorsRef!K$7-ExpKayaFactorsRef!J$7)/(LN(ExpKayaFactorsRef!K$7)-LN(ExpKayaFactorsRef!J$7)))*LN(ExpKayaRatiosRef!K3/ExpKayaRatiosRef!J3)</f>
        <v>9.5494769206214212</v>
      </c>
      <c r="I6" s="46">
        <f ca="1">((ExpKayaFactorsRef!L$7-ExpKayaFactorsRef!K$7)/(LN(ExpKayaFactorsRef!L$7)-LN(ExpKayaFactorsRef!K$7)))*LN(ExpKayaRatiosRef!L3/ExpKayaRatiosRef!K3)</f>
        <v>10.059449357518822</v>
      </c>
      <c r="J6" s="46">
        <f ca="1">((ExpKayaFactorsRef!M$7-ExpKayaFactorsRef!L$7)/(LN(ExpKayaFactorsRef!M$7)-LN(ExpKayaFactorsRef!L$7)))*LN(ExpKayaRatiosRef!M3/ExpKayaRatiosRef!L3)</f>
        <v>10.642485071660785</v>
      </c>
      <c r="K6" s="46">
        <f ca="1">((ExpKayaFactorsRef!N$7-ExpKayaFactorsRef!M$7)/(LN(ExpKayaFactorsRef!N$7)-LN(ExpKayaFactorsRef!M$7)))*LN(ExpKayaRatiosRef!N3/ExpKayaRatiosRef!M3)</f>
        <v>11.261915858864178</v>
      </c>
      <c r="BU6" s="1"/>
      <c r="BV6" s="1"/>
      <c r="BW6" s="1"/>
      <c r="BX6" s="1"/>
      <c r="BY6" s="1"/>
      <c r="BZ6" s="1"/>
      <c r="CA6" s="1"/>
      <c r="CB6" s="1"/>
      <c r="CC6" s="1"/>
      <c r="CD6" s="1"/>
      <c r="CE6" s="1"/>
      <c r="CF6" s="1"/>
      <c r="CG6" s="1"/>
      <c r="CH6" s="1"/>
      <c r="CI6" s="1"/>
      <c r="CJ6" s="1"/>
      <c r="CK6" s="1"/>
      <c r="CL6" s="1"/>
    </row>
    <row r="7" spans="1:90" x14ac:dyDescent="0.15">
      <c r="A7" s="37" t="s">
        <v>90</v>
      </c>
      <c r="B7" s="37"/>
      <c r="C7" s="46">
        <f ca="1">((ExpKayaFactorsRef!F$7-ExpKayaFactorsRef!E$7)/(LN(ExpKayaFactorsRef!F$7)-LN(ExpKayaFactorsRef!E$7)))*LN(ExpKayaRatiosRef!F4/ExpKayaRatiosRef!E4)</f>
        <v>-8.5337872618107493</v>
      </c>
      <c r="D7" s="46">
        <f ca="1">((ExpKayaFactorsRef!G$7-ExpKayaFactorsRef!F$7)/(LN(ExpKayaFactorsRef!G$7)-LN(ExpKayaFactorsRef!F$7)))*LN(ExpKayaRatiosRef!G4/ExpKayaRatiosRef!F4)</f>
        <v>-8.8831045700386877</v>
      </c>
      <c r="E7" s="46">
        <f ca="1">((ExpKayaFactorsRef!H$7-ExpKayaFactorsRef!G$7)/(LN(ExpKayaFactorsRef!H$7)-LN(ExpKayaFactorsRef!G$7)))*LN(ExpKayaRatiosRef!H4/ExpKayaRatiosRef!G4)</f>
        <v>-6.0491134105163535</v>
      </c>
      <c r="F7" s="46">
        <f ca="1">((ExpKayaFactorsRef!I$7-ExpKayaFactorsRef!H$7)/(LN(ExpKayaFactorsRef!I$7)-LN(ExpKayaFactorsRef!H$7)))*LN(ExpKayaRatiosRef!I4/ExpKayaRatiosRef!H4)</f>
        <v>-5.225983390373016</v>
      </c>
      <c r="G7" s="46">
        <f ca="1">((ExpKayaFactorsRef!J$7-ExpKayaFactorsRef!I$7)/(LN(ExpKayaFactorsRef!J$7)-LN(ExpKayaFactorsRef!I$7)))*LN(ExpKayaRatiosRef!J4/ExpKayaRatiosRef!I4)</f>
        <v>-4.6621321307563939</v>
      </c>
      <c r="H7" s="46">
        <f ca="1">((ExpKayaFactorsRef!K$7-ExpKayaFactorsRef!J$7)/(LN(ExpKayaFactorsRef!K$7)-LN(ExpKayaFactorsRef!J$7)))*LN(ExpKayaRatiosRef!K4/ExpKayaRatiosRef!J4)</f>
        <v>-5.5857149174174507</v>
      </c>
      <c r="I7" s="46">
        <f ca="1">((ExpKayaFactorsRef!L$7-ExpKayaFactorsRef!K$7)/(LN(ExpKayaFactorsRef!L$7)-LN(ExpKayaFactorsRef!K$7)))*LN(ExpKayaRatiosRef!L4/ExpKayaRatiosRef!K4)</f>
        <v>-6.0468225222797853</v>
      </c>
      <c r="J7" s="46">
        <f ca="1">((ExpKayaFactorsRef!M$7-ExpKayaFactorsRef!L$7)/(LN(ExpKayaFactorsRef!M$7)-LN(ExpKayaFactorsRef!L$7)))*LN(ExpKayaRatiosRef!M4/ExpKayaRatiosRef!L4)</f>
        <v>-6.7750814010639875</v>
      </c>
      <c r="K7" s="46">
        <f ca="1">((ExpKayaFactorsRef!N$7-ExpKayaFactorsRef!M$7)/(LN(ExpKayaFactorsRef!N$7)-LN(ExpKayaFactorsRef!M$7)))*LN(ExpKayaRatiosRef!N4/ExpKayaRatiosRef!M4)</f>
        <v>-7.1193325771170377</v>
      </c>
      <c r="BU7" s="1"/>
      <c r="BV7" s="1"/>
      <c r="BW7" s="1"/>
      <c r="BX7" s="1"/>
      <c r="BY7" s="1"/>
      <c r="BZ7" s="1"/>
      <c r="CA7" s="1"/>
      <c r="CB7" s="1"/>
      <c r="CC7" s="1"/>
      <c r="CD7" s="1"/>
      <c r="CE7" s="1"/>
      <c r="CF7" s="1"/>
      <c r="CG7" s="1"/>
      <c r="CH7" s="1"/>
      <c r="CI7" s="1"/>
      <c r="CJ7" s="1"/>
      <c r="CK7" s="1"/>
      <c r="CL7" s="1"/>
    </row>
    <row r="8" spans="1:90" ht="15" x14ac:dyDescent="0.15">
      <c r="A8" s="37" t="s">
        <v>89</v>
      </c>
      <c r="B8" s="37"/>
      <c r="C8" s="46">
        <f ca="1">((ExpKayaFactorsRef!F$7-ExpKayaFactorsRef!E$7)/(LN(ExpKayaFactorsRef!F$7)-LN(ExpKayaFactorsRef!E$7)))*LN(ExpKayaRatiosRef!F5/ExpKayaRatiosRef!E5)</f>
        <v>0.71034382511581862</v>
      </c>
      <c r="D8" s="46">
        <f ca="1">((ExpKayaFactorsRef!G$7-ExpKayaFactorsRef!F$7)/(LN(ExpKayaFactorsRef!G$7)-LN(ExpKayaFactorsRef!F$7)))*LN(ExpKayaRatiosRef!G5/ExpKayaRatiosRef!F5)</f>
        <v>0.18018027970269954</v>
      </c>
      <c r="E8" s="46">
        <f ca="1">((ExpKayaFactorsRef!H$7-ExpKayaFactorsRef!G$7)/(LN(ExpKayaFactorsRef!H$7)-LN(ExpKayaFactorsRef!G$7)))*LN(ExpKayaRatiosRef!H5/ExpKayaRatiosRef!G5)</f>
        <v>-0.52331270388114703</v>
      </c>
      <c r="F8" s="46">
        <f ca="1">((ExpKayaFactorsRef!I$7-ExpKayaFactorsRef!H$7)/(LN(ExpKayaFactorsRef!I$7)-LN(ExpKayaFactorsRef!H$7)))*LN(ExpKayaRatiosRef!I5/ExpKayaRatiosRef!H5)</f>
        <v>-0.39003107446092589</v>
      </c>
      <c r="G8" s="46">
        <f ca="1">((ExpKayaFactorsRef!J$7-ExpKayaFactorsRef!I$7)/(LN(ExpKayaFactorsRef!J$7)-LN(ExpKayaFactorsRef!I$7)))*LN(ExpKayaRatiosRef!J5/ExpKayaRatiosRef!I5)</f>
        <v>-0.48418907650888426</v>
      </c>
      <c r="H8" s="46">
        <f ca="1">((ExpKayaFactorsRef!K$7-ExpKayaFactorsRef!J$7)/(LN(ExpKayaFactorsRef!K$7)-LN(ExpKayaFactorsRef!J$7)))*LN(ExpKayaRatiosRef!K5/ExpKayaRatiosRef!J5)</f>
        <v>-0.4480116957810078</v>
      </c>
      <c r="I8" s="46">
        <f ca="1">((ExpKayaFactorsRef!L$7-ExpKayaFactorsRef!K$7)/(LN(ExpKayaFactorsRef!L$7)-LN(ExpKayaFactorsRef!K$7)))*LN(ExpKayaRatiosRef!L5/ExpKayaRatiosRef!K5)</f>
        <v>-0.12427261742943374</v>
      </c>
      <c r="J8" s="46">
        <f ca="1">((ExpKayaFactorsRef!M$7-ExpKayaFactorsRef!L$7)/(LN(ExpKayaFactorsRef!M$7)-LN(ExpKayaFactorsRef!L$7)))*LN(ExpKayaRatiosRef!M5/ExpKayaRatiosRef!L5)</f>
        <v>0.54384180133931181</v>
      </c>
      <c r="K8" s="46">
        <f ca="1">((ExpKayaFactorsRef!N$7-ExpKayaFactorsRef!M$7)/(LN(ExpKayaFactorsRef!N$7)-LN(ExpKayaFactorsRef!M$7)))*LN(ExpKayaRatiosRef!N5/ExpKayaRatiosRef!M5)</f>
        <v>0.83992383259727121</v>
      </c>
      <c r="BU8" s="1"/>
      <c r="BV8" s="1"/>
      <c r="BW8" s="1"/>
      <c r="BX8" s="1"/>
      <c r="BY8" s="1"/>
      <c r="BZ8" s="1"/>
      <c r="CA8" s="1"/>
      <c r="CB8" s="1"/>
      <c r="CC8" s="1"/>
      <c r="CD8" s="1"/>
      <c r="CE8" s="1"/>
      <c r="CF8" s="1"/>
      <c r="CG8" s="1"/>
      <c r="CH8" s="1"/>
      <c r="CI8" s="1"/>
      <c r="CJ8" s="1"/>
      <c r="CK8" s="1"/>
      <c r="CL8" s="1"/>
    </row>
    <row r="9" spans="1:90" ht="15" x14ac:dyDescent="0.15">
      <c r="A9" s="37" t="s">
        <v>87</v>
      </c>
      <c r="B9" s="37"/>
      <c r="C9" s="46">
        <f ca="1">((ExpKayaFactorsRef!F$7-ExpKayaFactorsRef!E$7)/(LN(ExpKayaFactorsRef!F$7)-LN(ExpKayaFactorsRef!E$7)))*LN(ExpKayaRatiosRef!F6/ExpKayaRatiosRef!E6)</f>
        <v>-0.28607672150037378</v>
      </c>
      <c r="D9" s="46">
        <f ca="1">((ExpKayaFactorsRef!G$7-ExpKayaFactorsRef!F$7)/(LN(ExpKayaFactorsRef!G$7)-LN(ExpKayaFactorsRef!F$7)))*LN(ExpKayaRatiosRef!G6/ExpKayaRatiosRef!F6)</f>
        <v>-0.3878899744722818</v>
      </c>
      <c r="E9" s="46">
        <f ca="1">((ExpKayaFactorsRef!H$7-ExpKayaFactorsRef!G$7)/(LN(ExpKayaFactorsRef!H$7)-LN(ExpKayaFactorsRef!G$7)))*LN(ExpKayaRatiosRef!H6/ExpKayaRatiosRef!G6)</f>
        <v>-1.0833965123489393</v>
      </c>
      <c r="F9" s="46">
        <f ca="1">((ExpKayaFactorsRef!I$7-ExpKayaFactorsRef!H$7)/(LN(ExpKayaFactorsRef!I$7)-LN(ExpKayaFactorsRef!H$7)))*LN(ExpKayaRatiosRef!I6/ExpKayaRatiosRef!H6)</f>
        <v>-0.29972591073848237</v>
      </c>
      <c r="G9" s="46">
        <f ca="1">((ExpKayaFactorsRef!J$7-ExpKayaFactorsRef!I$7)/(LN(ExpKayaFactorsRef!J$7)-LN(ExpKayaFactorsRef!I$7)))*LN(ExpKayaRatiosRef!J6/ExpKayaRatiosRef!I6)</f>
        <v>0.84914864645718835</v>
      </c>
      <c r="H9" s="46">
        <f ca="1">((ExpKayaFactorsRef!K$7-ExpKayaFactorsRef!J$7)/(LN(ExpKayaFactorsRef!K$7)-LN(ExpKayaFactorsRef!J$7)))*LN(ExpKayaRatiosRef!K6/ExpKayaRatiosRef!J6)</f>
        <v>-0.63376184241378319</v>
      </c>
      <c r="I9" s="46">
        <f ca="1">((ExpKayaFactorsRef!L$7-ExpKayaFactorsRef!K$7)/(LN(ExpKayaFactorsRef!L$7)-LN(ExpKayaFactorsRef!K$7)))*LN(ExpKayaRatiosRef!L6/ExpKayaRatiosRef!K6)</f>
        <v>-1.1216998755712695</v>
      </c>
      <c r="J9" s="46">
        <f ca="1">((ExpKayaFactorsRef!M$7-ExpKayaFactorsRef!L$7)/(LN(ExpKayaFactorsRef!M$7)-LN(ExpKayaFactorsRef!L$7)))*LN(ExpKayaRatiosRef!M6/ExpKayaRatiosRef!L6)</f>
        <v>-0.58069732595309786</v>
      </c>
      <c r="K9" s="46">
        <f ca="1">((ExpKayaFactorsRef!N$7-ExpKayaFactorsRef!M$7)/(LN(ExpKayaFactorsRef!N$7)-LN(ExpKayaFactorsRef!M$7)))*LN(ExpKayaRatiosRef!N6/ExpKayaRatiosRef!M6)</f>
        <v>-0.27842263145273227</v>
      </c>
      <c r="BU9" s="1"/>
      <c r="BV9" s="1"/>
      <c r="BW9" s="1"/>
      <c r="BX9" s="1"/>
      <c r="BY9" s="1"/>
      <c r="BZ9" s="1"/>
      <c r="CA9" s="1"/>
      <c r="CB9" s="1"/>
      <c r="CC9" s="1"/>
      <c r="CD9" s="1"/>
      <c r="CE9" s="1"/>
      <c r="CF9" s="1"/>
      <c r="CG9" s="1"/>
      <c r="CH9" s="1"/>
      <c r="CI9" s="1"/>
      <c r="CJ9" s="1"/>
      <c r="CK9" s="1"/>
      <c r="CL9" s="1"/>
    </row>
    <row r="10" spans="1:90" ht="15" x14ac:dyDescent="0.15">
      <c r="A10" s="37" t="s">
        <v>88</v>
      </c>
      <c r="B10" s="37"/>
      <c r="C10" s="46">
        <f ca="1">((ExpKayaFactorsRef!F$7-ExpKayaFactorsRef!E$7)/(LN(ExpKayaFactorsRef!F$7)-LN(ExpKayaFactorsRef!E$7)))*LN(ExpKayaRatiosRef!F7/ExpKayaRatiosRef!E7)</f>
        <v>0.86510412954126137</v>
      </c>
      <c r="D10" s="46">
        <f ca="1">((ExpKayaFactorsRef!G$7-ExpKayaFactorsRef!F$7)/(LN(ExpKayaFactorsRef!G$7)-LN(ExpKayaFactorsRef!F$7)))*LN(ExpKayaRatiosRef!G7/ExpKayaRatiosRef!F7)</f>
        <v>0.11809127953072796</v>
      </c>
      <c r="E10" s="46">
        <f ca="1">((ExpKayaFactorsRef!H$7-ExpKayaFactorsRef!G$7)/(LN(ExpKayaFactorsRef!H$7)-LN(ExpKayaFactorsRef!G$7)))*LN(ExpKayaRatiosRef!H7/ExpKayaRatiosRef!G7)</f>
        <v>-0.19070603085332935</v>
      </c>
      <c r="F10" s="46">
        <f ca="1">((ExpKayaFactorsRef!I$7-ExpKayaFactorsRef!H$7)/(LN(ExpKayaFactorsRef!I$7)-LN(ExpKayaFactorsRef!H$7)))*LN(ExpKayaRatiosRef!I7/ExpKayaRatiosRef!H7)</f>
        <v>-0.19379878052083221</v>
      </c>
      <c r="G10" s="46">
        <f ca="1">((ExpKayaFactorsRef!J$7-ExpKayaFactorsRef!I$7)/(LN(ExpKayaFactorsRef!J$7)-LN(ExpKayaFactorsRef!I$7)))*LN(ExpKayaRatiosRef!J7/ExpKayaRatiosRef!I7)</f>
        <v>-0.4193397094570962</v>
      </c>
      <c r="H10" s="46">
        <f ca="1">((ExpKayaFactorsRef!K$7-ExpKayaFactorsRef!J$7)/(LN(ExpKayaFactorsRef!K$7)-LN(ExpKayaFactorsRef!J$7)))*LN(ExpKayaRatiosRef!K7/ExpKayaRatiosRef!J7)</f>
        <v>0.5557890828091957</v>
      </c>
      <c r="I10" s="46">
        <f ca="1">((ExpKayaFactorsRef!L$7-ExpKayaFactorsRef!K$7)/(LN(ExpKayaFactorsRef!L$7)-LN(ExpKayaFactorsRef!K$7)))*LN(ExpKayaRatiosRef!L7/ExpKayaRatiosRef!K7)</f>
        <v>0.68809537459463621</v>
      </c>
      <c r="J10" s="46">
        <f ca="1">((ExpKayaFactorsRef!M$7-ExpKayaFactorsRef!L$7)/(LN(ExpKayaFactorsRef!M$7)-LN(ExpKayaFactorsRef!L$7)))*LN(ExpKayaRatiosRef!M7/ExpKayaRatiosRef!L7)</f>
        <v>1.1829687939244533</v>
      </c>
      <c r="K10" s="46">
        <f ca="1">((ExpKayaFactorsRef!N$7-ExpKayaFactorsRef!M$7)/(LN(ExpKayaFactorsRef!N$7)-LN(ExpKayaFactorsRef!M$7)))*LN(ExpKayaRatiosRef!N7/ExpKayaRatiosRef!M7)</f>
        <v>1.5885188907840964</v>
      </c>
      <c r="BU10" s="1"/>
      <c r="BV10" s="1"/>
      <c r="BW10" s="1"/>
      <c r="BX10" s="1"/>
      <c r="BY10" s="1"/>
      <c r="BZ10" s="1"/>
      <c r="CA10" s="1"/>
      <c r="CB10" s="1"/>
      <c r="CC10" s="1"/>
      <c r="CD10" s="1"/>
      <c r="CE10" s="1"/>
      <c r="CF10" s="1"/>
      <c r="CG10" s="1"/>
      <c r="CH10" s="1"/>
      <c r="CI10" s="1"/>
      <c r="CJ10" s="1"/>
      <c r="CK10" s="1"/>
      <c r="CL10" s="1"/>
    </row>
    <row r="11" spans="1:90" x14ac:dyDescent="0.15">
      <c r="BU11" s="1"/>
      <c r="BV11" s="1"/>
      <c r="BW11" s="1"/>
      <c r="BX11" s="1"/>
      <c r="BY11" s="1"/>
      <c r="BZ11" s="1"/>
      <c r="CA11" s="1"/>
      <c r="CB11" s="1"/>
      <c r="CC11" s="1"/>
      <c r="CD11" s="1"/>
      <c r="CE11" s="1"/>
      <c r="CF11" s="1"/>
      <c r="CG11" s="1"/>
      <c r="CH11" s="1"/>
      <c r="CI11" s="1"/>
      <c r="CJ11" s="1"/>
      <c r="CK11" s="1"/>
      <c r="CL11" s="1"/>
    </row>
    <row r="12" spans="1:90" x14ac:dyDescent="0.15">
      <c r="A12" s="1" t="s">
        <v>82</v>
      </c>
      <c r="BU12" s="1"/>
      <c r="BV12" s="1"/>
      <c r="BW12" s="1"/>
      <c r="BX12" s="1"/>
      <c r="BY12" s="1"/>
      <c r="BZ12" s="1"/>
      <c r="CA12" s="1"/>
      <c r="CB12" s="1"/>
      <c r="CC12" s="1"/>
      <c r="CD12" s="1"/>
      <c r="CE12" s="1"/>
      <c r="CF12" s="1"/>
      <c r="CG12" s="1"/>
      <c r="CH12" s="1"/>
      <c r="CI12" s="1"/>
      <c r="CJ12" s="1"/>
      <c r="CK12" s="1"/>
      <c r="CL12" s="1"/>
    </row>
    <row r="13" spans="1:90" x14ac:dyDescent="0.15">
      <c r="A13" s="38" t="s">
        <v>49</v>
      </c>
      <c r="B13" s="38"/>
      <c r="C13" s="46">
        <f t="shared" ref="C13:K13" ca="1" si="0">IF(C5&lt;0,0,C5)</f>
        <v>3.4313752842561813</v>
      </c>
      <c r="D13" s="46">
        <f t="shared" ca="1" si="0"/>
        <v>3.1803381340218815</v>
      </c>
      <c r="E13" s="46">
        <f t="shared" ca="1" si="0"/>
        <v>2.6435607901046883</v>
      </c>
      <c r="F13" s="46">
        <f t="shared" ca="1" si="0"/>
        <v>1.9853384205283029</v>
      </c>
      <c r="G13" s="46">
        <f t="shared" ca="1" si="0"/>
        <v>1.1884187315005452</v>
      </c>
      <c r="H13" s="46">
        <f t="shared" ca="1" si="0"/>
        <v>0.41614656768051772</v>
      </c>
      <c r="I13" s="46">
        <f t="shared" ca="1" si="0"/>
        <v>0</v>
      </c>
      <c r="J13" s="46">
        <f t="shared" ca="1" si="0"/>
        <v>0</v>
      </c>
      <c r="K13" s="46">
        <f t="shared" ca="1" si="0"/>
        <v>0</v>
      </c>
      <c r="BU13" s="1"/>
      <c r="BV13" s="1"/>
      <c r="BW13" s="1"/>
      <c r="BX13" s="1"/>
      <c r="BY13" s="1"/>
      <c r="BZ13" s="1"/>
      <c r="CA13" s="1"/>
      <c r="CB13" s="1"/>
      <c r="CC13" s="1"/>
      <c r="CD13" s="1"/>
      <c r="CE13" s="1"/>
      <c r="CF13" s="1"/>
      <c r="CG13" s="1"/>
      <c r="CH13" s="1"/>
      <c r="CI13" s="1"/>
      <c r="CJ13" s="1"/>
      <c r="CK13" s="1"/>
      <c r="CL13" s="1"/>
    </row>
    <row r="14" spans="1:90" x14ac:dyDescent="0.15">
      <c r="A14" s="37" t="s">
        <v>59</v>
      </c>
      <c r="B14" s="37"/>
      <c r="C14" s="46">
        <f t="shared" ref="C14:C18" ca="1" si="1">IF(C6&lt;0,0,C6)</f>
        <v>9.7415847888924922</v>
      </c>
      <c r="D14" s="46">
        <f t="shared" ref="D14:K18" ca="1" si="2">IF(D6&lt;0,0,D6)</f>
        <v>10.551859287697733</v>
      </c>
      <c r="E14" s="46">
        <f t="shared" ca="1" si="2"/>
        <v>8.6625781707380884</v>
      </c>
      <c r="F14" s="46">
        <f t="shared" ca="1" si="2"/>
        <v>8.1374777893979591</v>
      </c>
      <c r="G14" s="46">
        <f t="shared" ca="1" si="2"/>
        <v>8.5276656568879918</v>
      </c>
      <c r="H14" s="46">
        <f t="shared" ca="1" si="2"/>
        <v>9.5494769206214212</v>
      </c>
      <c r="I14" s="46">
        <f t="shared" ca="1" si="2"/>
        <v>10.059449357518822</v>
      </c>
      <c r="J14" s="46">
        <f t="shared" ca="1" si="2"/>
        <v>10.642485071660785</v>
      </c>
      <c r="K14" s="46">
        <f t="shared" ca="1" si="2"/>
        <v>11.261915858864178</v>
      </c>
      <c r="BU14" s="1"/>
      <c r="BV14" s="1"/>
      <c r="BW14" s="1"/>
      <c r="BX14" s="1"/>
      <c r="BY14" s="1"/>
      <c r="BZ14" s="1"/>
      <c r="CA14" s="1"/>
      <c r="CB14" s="1"/>
      <c r="CC14" s="1"/>
      <c r="CD14" s="1"/>
      <c r="CE14" s="1"/>
      <c r="CF14" s="1"/>
      <c r="CG14" s="1"/>
      <c r="CH14" s="1"/>
      <c r="CI14" s="1"/>
      <c r="CJ14" s="1"/>
      <c r="CK14" s="1"/>
      <c r="CL14" s="1"/>
    </row>
    <row r="15" spans="1:90" x14ac:dyDescent="0.15">
      <c r="A15" s="37" t="s">
        <v>90</v>
      </c>
      <c r="B15" s="37"/>
      <c r="C15" s="46">
        <f t="shared" ca="1" si="1"/>
        <v>0</v>
      </c>
      <c r="D15" s="46">
        <f t="shared" ca="1" si="2"/>
        <v>0</v>
      </c>
      <c r="E15" s="46">
        <f t="shared" ca="1" si="2"/>
        <v>0</v>
      </c>
      <c r="F15" s="46">
        <f t="shared" ca="1" si="2"/>
        <v>0</v>
      </c>
      <c r="G15" s="46">
        <f t="shared" ca="1" si="2"/>
        <v>0</v>
      </c>
      <c r="H15" s="46">
        <f t="shared" ca="1" si="2"/>
        <v>0</v>
      </c>
      <c r="I15" s="46">
        <f t="shared" ca="1" si="2"/>
        <v>0</v>
      </c>
      <c r="J15" s="46">
        <f t="shared" ca="1" si="2"/>
        <v>0</v>
      </c>
      <c r="K15" s="46">
        <f t="shared" ca="1" si="2"/>
        <v>0</v>
      </c>
      <c r="BU15" s="1"/>
      <c r="BV15" s="1"/>
      <c r="BW15" s="1"/>
      <c r="BX15" s="1"/>
      <c r="BY15" s="1"/>
      <c r="BZ15" s="1"/>
      <c r="CA15" s="1"/>
      <c r="CB15" s="1"/>
      <c r="CC15" s="1"/>
      <c r="CD15" s="1"/>
      <c r="CE15" s="1"/>
      <c r="CF15" s="1"/>
      <c r="CG15" s="1"/>
      <c r="CH15" s="1"/>
      <c r="CI15" s="1"/>
      <c r="CJ15" s="1"/>
      <c r="CK15" s="1"/>
      <c r="CL15" s="1"/>
    </row>
    <row r="16" spans="1:90" ht="15" x14ac:dyDescent="0.15">
      <c r="A16" s="37" t="s">
        <v>89</v>
      </c>
      <c r="B16" s="37"/>
      <c r="C16" s="46">
        <f t="shared" ca="1" si="1"/>
        <v>0.71034382511581862</v>
      </c>
      <c r="D16" s="46">
        <f t="shared" ca="1" si="2"/>
        <v>0.18018027970269954</v>
      </c>
      <c r="E16" s="46">
        <f t="shared" ca="1" si="2"/>
        <v>0</v>
      </c>
      <c r="F16" s="46">
        <f t="shared" ca="1" si="2"/>
        <v>0</v>
      </c>
      <c r="G16" s="46">
        <f t="shared" ca="1" si="2"/>
        <v>0</v>
      </c>
      <c r="H16" s="46">
        <f t="shared" ca="1" si="2"/>
        <v>0</v>
      </c>
      <c r="I16" s="46">
        <f t="shared" ca="1" si="2"/>
        <v>0</v>
      </c>
      <c r="J16" s="46">
        <f t="shared" ca="1" si="2"/>
        <v>0.54384180133931181</v>
      </c>
      <c r="K16" s="46">
        <f t="shared" ca="1" si="2"/>
        <v>0.83992383259727121</v>
      </c>
      <c r="BU16" s="1"/>
      <c r="BV16" s="1"/>
      <c r="BW16" s="1"/>
      <c r="BX16" s="1"/>
      <c r="BY16" s="1"/>
      <c r="BZ16" s="1"/>
      <c r="CA16" s="1"/>
      <c r="CB16" s="1"/>
      <c r="CC16" s="1"/>
      <c r="CD16" s="1"/>
      <c r="CE16" s="1"/>
      <c r="CF16" s="1"/>
      <c r="CG16" s="1"/>
      <c r="CH16" s="1"/>
      <c r="CI16" s="1"/>
      <c r="CJ16" s="1"/>
      <c r="CK16" s="1"/>
      <c r="CL16" s="1"/>
    </row>
    <row r="17" spans="1:90" s="46" customFormat="1" ht="15" x14ac:dyDescent="0.15">
      <c r="A17" s="37" t="s">
        <v>87</v>
      </c>
      <c r="B17" s="37"/>
      <c r="C17" s="46">
        <f t="shared" ca="1" si="1"/>
        <v>0</v>
      </c>
      <c r="D17" s="46">
        <f t="shared" ca="1" si="2"/>
        <v>0</v>
      </c>
      <c r="E17" s="46">
        <f t="shared" ca="1" si="2"/>
        <v>0</v>
      </c>
      <c r="F17" s="46">
        <f t="shared" ca="1" si="2"/>
        <v>0</v>
      </c>
      <c r="G17" s="46">
        <f t="shared" ca="1" si="2"/>
        <v>0.84914864645718835</v>
      </c>
      <c r="H17" s="46">
        <f t="shared" ca="1" si="2"/>
        <v>0</v>
      </c>
      <c r="I17" s="46">
        <f t="shared" ca="1" si="2"/>
        <v>0</v>
      </c>
      <c r="J17" s="46">
        <f t="shared" ca="1" si="2"/>
        <v>0</v>
      </c>
      <c r="K17" s="46">
        <f t="shared" ca="1" si="2"/>
        <v>0</v>
      </c>
      <c r="BU17" s="1"/>
      <c r="BV17" s="1"/>
      <c r="BW17" s="1"/>
      <c r="BX17" s="1"/>
      <c r="BY17" s="1"/>
      <c r="BZ17" s="1"/>
      <c r="CA17" s="1"/>
      <c r="CB17" s="1"/>
      <c r="CC17" s="1"/>
      <c r="CD17" s="1"/>
      <c r="CE17" s="1"/>
      <c r="CF17" s="1"/>
      <c r="CG17" s="1"/>
      <c r="CH17" s="1"/>
      <c r="CI17" s="1"/>
      <c r="CJ17" s="1"/>
      <c r="CK17" s="1"/>
      <c r="CL17" s="1"/>
    </row>
    <row r="18" spans="1:90" s="46" customFormat="1" ht="15" x14ac:dyDescent="0.15">
      <c r="A18" s="37" t="s">
        <v>88</v>
      </c>
      <c r="B18" s="37"/>
      <c r="C18" s="46">
        <f t="shared" ca="1" si="1"/>
        <v>0.86510412954126137</v>
      </c>
      <c r="D18" s="46">
        <f t="shared" ca="1" si="2"/>
        <v>0.11809127953072796</v>
      </c>
      <c r="E18" s="46">
        <f t="shared" ca="1" si="2"/>
        <v>0</v>
      </c>
      <c r="F18" s="46">
        <f t="shared" ca="1" si="2"/>
        <v>0</v>
      </c>
      <c r="G18" s="46">
        <f t="shared" ca="1" si="2"/>
        <v>0</v>
      </c>
      <c r="H18" s="46">
        <f t="shared" ca="1" si="2"/>
        <v>0.5557890828091957</v>
      </c>
      <c r="I18" s="46">
        <f t="shared" ca="1" si="2"/>
        <v>0.68809537459463621</v>
      </c>
      <c r="J18" s="46">
        <f t="shared" ca="1" si="2"/>
        <v>1.1829687939244533</v>
      </c>
      <c r="K18" s="46">
        <f t="shared" ca="1" si="2"/>
        <v>1.5885188907840964</v>
      </c>
      <c r="BU18" s="1"/>
      <c r="BV18" s="1"/>
      <c r="BW18" s="1"/>
      <c r="BX18" s="1"/>
      <c r="BY18" s="1"/>
      <c r="BZ18" s="1"/>
      <c r="CA18" s="1"/>
      <c r="CB18" s="1"/>
      <c r="CC18" s="1"/>
      <c r="CD18" s="1"/>
      <c r="CE18" s="1"/>
      <c r="CF18" s="1"/>
      <c r="CG18" s="1"/>
      <c r="CH18" s="1"/>
      <c r="CI18" s="1"/>
      <c r="CJ18" s="1"/>
      <c r="CK18" s="1"/>
      <c r="CL18" s="1"/>
    </row>
    <row r="19" spans="1:90" x14ac:dyDescent="0.15">
      <c r="BU19" s="1"/>
      <c r="BV19" s="1"/>
      <c r="BW19" s="1"/>
      <c r="BX19" s="1"/>
      <c r="BY19" s="1"/>
      <c r="BZ19" s="1"/>
      <c r="CA19" s="1"/>
      <c r="CB19" s="1"/>
      <c r="CC19" s="1"/>
      <c r="CD19" s="1"/>
      <c r="CE19" s="1"/>
      <c r="CF19" s="1"/>
      <c r="CG19" s="1"/>
      <c r="CH19" s="1"/>
      <c r="CI19" s="1"/>
      <c r="CJ19" s="1"/>
      <c r="CK19" s="1"/>
      <c r="CL19" s="1"/>
    </row>
    <row r="20" spans="1:90" s="46" customFormat="1" x14ac:dyDescent="0.15">
      <c r="A20" s="1" t="s">
        <v>85</v>
      </c>
      <c r="B20" s="1"/>
      <c r="BU20" s="1"/>
      <c r="BV20" s="1"/>
      <c r="BW20" s="1"/>
      <c r="BX20" s="1"/>
      <c r="BY20" s="1"/>
      <c r="BZ20" s="1"/>
      <c r="CA20" s="1"/>
      <c r="CB20" s="1"/>
      <c r="CC20" s="1"/>
      <c r="CD20" s="1"/>
      <c r="CE20" s="1"/>
      <c r="CF20" s="1"/>
      <c r="CG20" s="1"/>
      <c r="CH20" s="1"/>
      <c r="CI20" s="1"/>
      <c r="CJ20" s="1"/>
      <c r="CK20" s="1"/>
      <c r="CL20" s="1"/>
    </row>
    <row r="21" spans="1:90" s="46" customFormat="1" x14ac:dyDescent="0.15">
      <c r="A21" s="38" t="s">
        <v>49</v>
      </c>
      <c r="B21" s="38"/>
      <c r="C21" s="46">
        <f t="shared" ref="C21:K21" ca="1" si="3">(C13/C$37)</f>
        <v>0.23266072363789195</v>
      </c>
      <c r="D21" s="46">
        <f t="shared" ca="1" si="3"/>
        <v>0.22667368698361584</v>
      </c>
      <c r="E21" s="46">
        <f t="shared" ca="1" si="3"/>
        <v>0.23381640710947296</v>
      </c>
      <c r="F21" s="46">
        <f t="shared" ca="1" si="3"/>
        <v>0.19612510781155088</v>
      </c>
      <c r="G21" s="46">
        <f t="shared" ca="1" si="3"/>
        <v>0.11248391091620617</v>
      </c>
      <c r="H21" s="46">
        <f t="shared" ca="1" si="3"/>
        <v>3.9552347640386253E-2</v>
      </c>
      <c r="I21" s="46">
        <f t="shared" ca="1" si="3"/>
        <v>0</v>
      </c>
      <c r="J21" s="46">
        <f t="shared" ca="1" si="3"/>
        <v>0</v>
      </c>
      <c r="K21" s="46">
        <f t="shared" ca="1" si="3"/>
        <v>0</v>
      </c>
      <c r="BU21" s="1"/>
      <c r="BV21" s="1"/>
      <c r="BW21" s="1"/>
      <c r="BX21" s="1"/>
      <c r="BY21" s="1"/>
      <c r="BZ21" s="1"/>
      <c r="CA21" s="1"/>
      <c r="CB21" s="1"/>
      <c r="CC21" s="1"/>
      <c r="CD21" s="1"/>
      <c r="CE21" s="1"/>
      <c r="CF21" s="1"/>
      <c r="CG21" s="1"/>
      <c r="CH21" s="1"/>
      <c r="CI21" s="1"/>
      <c r="CJ21" s="1"/>
      <c r="CK21" s="1"/>
      <c r="CL21" s="1"/>
    </row>
    <row r="22" spans="1:90" s="46" customFormat="1" x14ac:dyDescent="0.15">
      <c r="A22" s="37" t="s">
        <v>59</v>
      </c>
      <c r="B22" s="37"/>
      <c r="C22" s="46">
        <f t="shared" ref="C22:K22" ca="1" si="4">(C14/C$37)</f>
        <v>0.66051771625292022</v>
      </c>
      <c r="D22" s="46">
        <f t="shared" ca="1" si="4"/>
        <v>0.75206746845186212</v>
      </c>
      <c r="E22" s="46">
        <f t="shared" ca="1" si="4"/>
        <v>0.76618359289052707</v>
      </c>
      <c r="F22" s="46">
        <f t="shared" ca="1" si="4"/>
        <v>0.80387489218844921</v>
      </c>
      <c r="G22" s="46">
        <f t="shared" ca="1" si="4"/>
        <v>0.80714411397860031</v>
      </c>
      <c r="H22" s="46">
        <f t="shared" ca="1" si="4"/>
        <v>0.90762308350512022</v>
      </c>
      <c r="I22" s="46">
        <f t="shared" ca="1" si="4"/>
        <v>0.93597650516972297</v>
      </c>
      <c r="J22" s="46">
        <f t="shared" ca="1" si="4"/>
        <v>0.86039539826982625</v>
      </c>
      <c r="K22" s="46">
        <f t="shared" ca="1" si="4"/>
        <v>0.82261657291207013</v>
      </c>
      <c r="BU22" s="1"/>
      <c r="BV22" s="1"/>
      <c r="BW22" s="1"/>
      <c r="BX22" s="1"/>
      <c r="BY22" s="1"/>
      <c r="BZ22" s="1"/>
      <c r="CA22" s="1"/>
      <c r="CB22" s="1"/>
      <c r="CC22" s="1"/>
      <c r="CD22" s="1"/>
      <c r="CE22" s="1"/>
      <c r="CF22" s="1"/>
      <c r="CG22" s="1"/>
      <c r="CH22" s="1"/>
      <c r="CI22" s="1"/>
      <c r="CJ22" s="1"/>
      <c r="CK22" s="1"/>
      <c r="CL22" s="1"/>
    </row>
    <row r="23" spans="1:90" s="46" customFormat="1" x14ac:dyDescent="0.15">
      <c r="A23" s="37" t="s">
        <v>90</v>
      </c>
      <c r="B23" s="37"/>
      <c r="C23" s="46">
        <f t="shared" ref="C23:K23" ca="1" si="5">(C15/C$37)</f>
        <v>0</v>
      </c>
      <c r="D23" s="46">
        <f t="shared" ca="1" si="5"/>
        <v>0</v>
      </c>
      <c r="E23" s="46">
        <f t="shared" ca="1" si="5"/>
        <v>0</v>
      </c>
      <c r="F23" s="46">
        <f t="shared" ca="1" si="5"/>
        <v>0</v>
      </c>
      <c r="G23" s="46">
        <f t="shared" ca="1" si="5"/>
        <v>0</v>
      </c>
      <c r="H23" s="46">
        <f t="shared" ca="1" si="5"/>
        <v>0</v>
      </c>
      <c r="I23" s="46">
        <f t="shared" ca="1" si="5"/>
        <v>0</v>
      </c>
      <c r="J23" s="46">
        <f t="shared" ca="1" si="5"/>
        <v>0</v>
      </c>
      <c r="K23" s="46">
        <f t="shared" ca="1" si="5"/>
        <v>0</v>
      </c>
      <c r="BU23" s="1"/>
      <c r="BV23" s="1"/>
      <c r="BW23" s="1"/>
      <c r="BX23" s="1"/>
      <c r="BY23" s="1"/>
      <c r="BZ23" s="1"/>
      <c r="CA23" s="1"/>
      <c r="CB23" s="1"/>
      <c r="CC23" s="1"/>
      <c r="CD23" s="1"/>
      <c r="CE23" s="1"/>
      <c r="CF23" s="1"/>
      <c r="CG23" s="1"/>
      <c r="CH23" s="1"/>
      <c r="CI23" s="1"/>
      <c r="CJ23" s="1"/>
      <c r="CK23" s="1"/>
      <c r="CL23" s="1"/>
    </row>
    <row r="24" spans="1:90" s="46" customFormat="1" ht="15" x14ac:dyDescent="0.15">
      <c r="A24" s="37" t="s">
        <v>89</v>
      </c>
      <c r="B24" s="37"/>
      <c r="C24" s="46">
        <f t="shared" ref="C24:K24" ca="1" si="6">(C16/C$37)</f>
        <v>4.816410176451448E-2</v>
      </c>
      <c r="D24" s="46">
        <f t="shared" ca="1" si="6"/>
        <v>1.284207106314849E-2</v>
      </c>
      <c r="E24" s="46">
        <f t="shared" ca="1" si="6"/>
        <v>0</v>
      </c>
      <c r="F24" s="46">
        <f t="shared" ca="1" si="6"/>
        <v>0</v>
      </c>
      <c r="G24" s="46">
        <f t="shared" ca="1" si="6"/>
        <v>0</v>
      </c>
      <c r="H24" s="46">
        <f t="shared" ca="1" si="6"/>
        <v>0</v>
      </c>
      <c r="I24" s="46">
        <f t="shared" ca="1" si="6"/>
        <v>0</v>
      </c>
      <c r="J24" s="46">
        <f t="shared" ca="1" si="6"/>
        <v>4.3967079127515941E-2</v>
      </c>
      <c r="K24" s="46">
        <f t="shared" ca="1" si="6"/>
        <v>6.1351485247912597E-2</v>
      </c>
      <c r="BU24" s="1"/>
      <c r="BV24" s="1"/>
      <c r="BW24" s="1"/>
      <c r="BX24" s="1"/>
      <c r="BY24" s="1"/>
      <c r="BZ24" s="1"/>
      <c r="CA24" s="1"/>
      <c r="CB24" s="1"/>
      <c r="CC24" s="1"/>
      <c r="CD24" s="1"/>
      <c r="CE24" s="1"/>
      <c r="CF24" s="1"/>
      <c r="CG24" s="1"/>
      <c r="CH24" s="1"/>
      <c r="CI24" s="1"/>
      <c r="CJ24" s="1"/>
      <c r="CK24" s="1"/>
      <c r="CL24" s="1"/>
    </row>
    <row r="25" spans="1:90" s="46" customFormat="1" ht="15" x14ac:dyDescent="0.15">
      <c r="A25" s="37" t="s">
        <v>87</v>
      </c>
      <c r="B25" s="37"/>
      <c r="C25" s="46">
        <f t="shared" ref="C25:K25" ca="1" si="7">(C17/C$37)</f>
        <v>0</v>
      </c>
      <c r="D25" s="46">
        <f t="shared" ca="1" si="7"/>
        <v>0</v>
      </c>
      <c r="E25" s="46">
        <f t="shared" ca="1" si="7"/>
        <v>0</v>
      </c>
      <c r="F25" s="46">
        <f t="shared" ca="1" si="7"/>
        <v>0</v>
      </c>
      <c r="G25" s="46">
        <f t="shared" ca="1" si="7"/>
        <v>8.0371975105193477E-2</v>
      </c>
      <c r="H25" s="46">
        <f t="shared" ca="1" si="7"/>
        <v>0</v>
      </c>
      <c r="I25" s="46">
        <f t="shared" ca="1" si="7"/>
        <v>0</v>
      </c>
      <c r="J25" s="46">
        <f t="shared" ca="1" si="7"/>
        <v>0</v>
      </c>
      <c r="K25" s="46">
        <f t="shared" ca="1" si="7"/>
        <v>0</v>
      </c>
      <c r="BU25" s="1"/>
      <c r="BV25" s="1"/>
      <c r="BW25" s="1"/>
      <c r="BX25" s="1"/>
      <c r="BY25" s="1"/>
      <c r="BZ25" s="1"/>
      <c r="CA25" s="1"/>
      <c r="CB25" s="1"/>
      <c r="CC25" s="1"/>
      <c r="CD25" s="1"/>
      <c r="CE25" s="1"/>
      <c r="CF25" s="1"/>
      <c r="CG25" s="1"/>
      <c r="CH25" s="1"/>
      <c r="CI25" s="1"/>
      <c r="CJ25" s="1"/>
      <c r="CK25" s="1"/>
      <c r="CL25" s="1"/>
    </row>
    <row r="26" spans="1:90" s="46" customFormat="1" ht="15" x14ac:dyDescent="0.15">
      <c r="A26" s="37" t="s">
        <v>88</v>
      </c>
      <c r="B26" s="37"/>
      <c r="C26" s="46">
        <f t="shared" ref="C26:K26" ca="1" si="8">(C18/C$37)</f>
        <v>5.8657458344673306E-2</v>
      </c>
      <c r="D26" s="46">
        <f t="shared" ca="1" si="8"/>
        <v>8.4167735013734677E-3</v>
      </c>
      <c r="E26" s="46">
        <f t="shared" ca="1" si="8"/>
        <v>0</v>
      </c>
      <c r="F26" s="46">
        <f t="shared" ca="1" si="8"/>
        <v>0</v>
      </c>
      <c r="G26" s="46">
        <f t="shared" ca="1" si="8"/>
        <v>0</v>
      </c>
      <c r="H26" s="46">
        <f t="shared" ca="1" si="8"/>
        <v>5.2824568854493707E-2</v>
      </c>
      <c r="I26" s="46">
        <f t="shared" ca="1" si="8"/>
        <v>6.4023494830276945E-2</v>
      </c>
      <c r="J26" s="46">
        <f t="shared" ca="1" si="8"/>
        <v>9.563752260265776E-2</v>
      </c>
      <c r="K26" s="46">
        <f t="shared" ca="1" si="8"/>
        <v>0.11603194184001726</v>
      </c>
      <c r="BU26" s="1"/>
      <c r="BV26" s="1"/>
      <c r="BW26" s="1"/>
      <c r="BX26" s="1"/>
      <c r="BY26" s="1"/>
      <c r="BZ26" s="1"/>
      <c r="CA26" s="1"/>
      <c r="CB26" s="1"/>
      <c r="CC26" s="1"/>
      <c r="CD26" s="1"/>
      <c r="CE26" s="1"/>
      <c r="CF26" s="1"/>
      <c r="CG26" s="1"/>
      <c r="CH26" s="1"/>
      <c r="CI26" s="1"/>
      <c r="CJ26" s="1"/>
      <c r="CK26" s="1"/>
      <c r="CL26" s="1"/>
    </row>
    <row r="27" spans="1:90" s="46" customFormat="1" x14ac:dyDescent="0.15">
      <c r="A27" s="1"/>
      <c r="B27" s="1"/>
      <c r="C27" s="1"/>
      <c r="D27" s="1"/>
      <c r="E27" s="1"/>
      <c r="F27" s="1"/>
      <c r="G27" s="1"/>
      <c r="H27" s="1"/>
      <c r="I27" s="1"/>
      <c r="J27" s="1"/>
      <c r="K27" s="1"/>
      <c r="L27" s="1"/>
      <c r="M27" s="1"/>
      <c r="N27" s="1"/>
      <c r="P27" s="1"/>
      <c r="Q27" s="1"/>
      <c r="R27" s="1"/>
      <c r="S27" s="1"/>
      <c r="T27" s="1"/>
      <c r="U27" s="1"/>
      <c r="V27" s="1"/>
      <c r="W27" s="1"/>
      <c r="X27" s="1"/>
      <c r="Z27" s="1"/>
      <c r="AA27" s="1"/>
      <c r="AB27" s="1"/>
      <c r="AC27" s="1"/>
      <c r="AD27" s="1"/>
      <c r="AE27" s="1"/>
      <c r="AF27" s="1"/>
      <c r="AG27" s="1"/>
      <c r="AH27" s="1"/>
      <c r="AJ27" s="1"/>
      <c r="AK27" s="1"/>
      <c r="AL27" s="1"/>
      <c r="AM27" s="1"/>
      <c r="AN27" s="1"/>
      <c r="AO27" s="1"/>
      <c r="AP27" s="1"/>
      <c r="AQ27" s="1"/>
      <c r="AR27" s="1"/>
      <c r="AT27" s="1"/>
      <c r="AU27" s="1"/>
      <c r="AV27" s="1"/>
      <c r="AW27" s="1"/>
      <c r="AX27" s="1"/>
      <c r="AY27" s="1"/>
      <c r="AZ27" s="1"/>
      <c r="BA27" s="1"/>
      <c r="BB27" s="1"/>
      <c r="BD27" s="1"/>
      <c r="BE27" s="1"/>
      <c r="BF27" s="1"/>
      <c r="BG27" s="1"/>
      <c r="BH27" s="1"/>
      <c r="BI27" s="1"/>
      <c r="BJ27" s="1"/>
      <c r="BK27" s="1"/>
      <c r="BL27" s="1"/>
      <c r="BU27" s="1"/>
      <c r="BV27" s="1"/>
      <c r="BW27" s="1"/>
      <c r="BX27" s="1"/>
      <c r="BY27" s="1"/>
      <c r="BZ27" s="1"/>
      <c r="CA27" s="1"/>
      <c r="CB27" s="1"/>
      <c r="CC27" s="1"/>
      <c r="CD27" s="1"/>
      <c r="CE27" s="1"/>
      <c r="CF27" s="1"/>
      <c r="CG27" s="1"/>
      <c r="CH27" s="1"/>
      <c r="CI27" s="1"/>
      <c r="CJ27" s="1"/>
      <c r="CK27" s="1"/>
      <c r="CL27" s="1"/>
    </row>
    <row r="28" spans="1:90" s="46" customFormat="1" x14ac:dyDescent="0.15">
      <c r="A28" s="1" t="s">
        <v>84</v>
      </c>
      <c r="B28" s="1"/>
      <c r="BU28" s="1"/>
      <c r="BV28" s="1"/>
      <c r="BW28" s="1"/>
      <c r="BX28" s="1"/>
      <c r="BY28" s="1"/>
      <c r="BZ28" s="1"/>
      <c r="CA28" s="1"/>
      <c r="CB28" s="1"/>
      <c r="CC28" s="1"/>
      <c r="CD28" s="1"/>
      <c r="CE28" s="1"/>
      <c r="CF28" s="1"/>
      <c r="CG28" s="1"/>
      <c r="CH28" s="1"/>
      <c r="CI28" s="1"/>
      <c r="CJ28" s="1"/>
      <c r="CK28" s="1"/>
      <c r="CL28" s="1"/>
    </row>
    <row r="29" spans="1:90" s="46" customFormat="1" x14ac:dyDescent="0.15">
      <c r="A29" s="38" t="s">
        <v>49</v>
      </c>
      <c r="B29" s="38"/>
      <c r="C29" s="46">
        <f t="shared" ref="C29:K29" ca="1" si="9">C13-(C21*C$38)</f>
        <v>1.3793393475112348</v>
      </c>
      <c r="D29" s="46">
        <f t="shared" ca="1" si="9"/>
        <v>1.0788476186125919</v>
      </c>
      <c r="E29" s="46">
        <f t="shared" ca="1" si="9"/>
        <v>0.80891365110319424</v>
      </c>
      <c r="F29" s="46">
        <f t="shared" ca="1" si="9"/>
        <v>0.78710439486062134</v>
      </c>
      <c r="G29" s="46">
        <f t="shared" ca="1" si="9"/>
        <v>0.56237142475413537</v>
      </c>
      <c r="H29" s="46">
        <f t="shared" ca="1" si="9"/>
        <v>0.15243174639588031</v>
      </c>
      <c r="I29" s="46">
        <f t="shared" ca="1" si="9"/>
        <v>0</v>
      </c>
      <c r="J29" s="46">
        <f t="shared" ca="1" si="9"/>
        <v>0</v>
      </c>
      <c r="K29" s="46">
        <f t="shared" ca="1" si="9"/>
        <v>0</v>
      </c>
      <c r="BU29" s="1"/>
      <c r="BV29" s="1"/>
      <c r="BW29" s="1"/>
      <c r="BX29" s="1"/>
      <c r="BY29" s="1"/>
      <c r="BZ29" s="1"/>
      <c r="CA29" s="1"/>
      <c r="CB29" s="1"/>
      <c r="CC29" s="1"/>
      <c r="CD29" s="1"/>
      <c r="CE29" s="1"/>
      <c r="CF29" s="1"/>
      <c r="CG29" s="1"/>
      <c r="CH29" s="1"/>
      <c r="CI29" s="1"/>
      <c r="CJ29" s="1"/>
      <c r="CK29" s="1"/>
      <c r="CL29" s="1"/>
    </row>
    <row r="30" spans="1:90" s="46" customFormat="1" x14ac:dyDescent="0.15">
      <c r="A30" s="37" t="s">
        <v>59</v>
      </c>
      <c r="B30" s="37"/>
      <c r="C30" s="46">
        <f t="shared" ref="C30:K30" ca="1" si="10">C14-(C22*C$38)</f>
        <v>3.9159083729744442</v>
      </c>
      <c r="D30" s="46">
        <f t="shared" ca="1" si="10"/>
        <v>3.5794458905763431</v>
      </c>
      <c r="E30" s="46">
        <f t="shared" ca="1" si="10"/>
        <v>2.6506966521398132</v>
      </c>
      <c r="F30" s="46">
        <f t="shared" ca="1" si="10"/>
        <v>3.2261726589723834</v>
      </c>
      <c r="G30" s="46">
        <f t="shared" ca="1" si="10"/>
        <v>4.0353752075547868</v>
      </c>
      <c r="H30" s="46">
        <f t="shared" ca="1" si="10"/>
        <v>3.4979104893038473</v>
      </c>
      <c r="I30" s="46">
        <f t="shared" ca="1" si="10"/>
        <v>2.9377508035563693</v>
      </c>
      <c r="J30" s="46">
        <f t="shared" ca="1" si="10"/>
        <v>3.4282741241222361</v>
      </c>
      <c r="K30" s="46">
        <f t="shared" ca="1" si="10"/>
        <v>3.8468474215567898</v>
      </c>
      <c r="BU30" s="1"/>
      <c r="BV30" s="1"/>
      <c r="BW30" s="1"/>
      <c r="BX30" s="1"/>
      <c r="BY30" s="1"/>
      <c r="BZ30" s="1"/>
      <c r="CA30" s="1"/>
      <c r="CB30" s="1"/>
      <c r="CC30" s="1"/>
      <c r="CD30" s="1"/>
      <c r="CE30" s="1"/>
      <c r="CF30" s="1"/>
      <c r="CG30" s="1"/>
      <c r="CH30" s="1"/>
      <c r="CI30" s="1"/>
      <c r="CJ30" s="1"/>
      <c r="CK30" s="1"/>
      <c r="CL30" s="1"/>
    </row>
    <row r="31" spans="1:90" s="46" customFormat="1" x14ac:dyDescent="0.15">
      <c r="A31" s="37" t="s">
        <v>90</v>
      </c>
      <c r="B31" s="37"/>
      <c r="C31" s="46">
        <f t="shared" ref="C31:K31" ca="1" si="11">C15-(C23*C$38)</f>
        <v>0</v>
      </c>
      <c r="D31" s="46">
        <f t="shared" ca="1" si="11"/>
        <v>0</v>
      </c>
      <c r="E31" s="46">
        <f t="shared" ca="1" si="11"/>
        <v>0</v>
      </c>
      <c r="F31" s="46">
        <f t="shared" ca="1" si="11"/>
        <v>0</v>
      </c>
      <c r="G31" s="46">
        <f t="shared" ca="1" si="11"/>
        <v>0</v>
      </c>
      <c r="H31" s="46">
        <f t="shared" ca="1" si="11"/>
        <v>0</v>
      </c>
      <c r="I31" s="46">
        <f t="shared" ca="1" si="11"/>
        <v>0</v>
      </c>
      <c r="J31" s="46">
        <f t="shared" ca="1" si="11"/>
        <v>0</v>
      </c>
      <c r="K31" s="46">
        <f t="shared" ca="1" si="11"/>
        <v>0</v>
      </c>
      <c r="BU31" s="1"/>
      <c r="BV31" s="1"/>
      <c r="BW31" s="1"/>
      <c r="BX31" s="1"/>
      <c r="BY31" s="1"/>
      <c r="BZ31" s="1"/>
      <c r="CA31" s="1"/>
      <c r="CB31" s="1"/>
      <c r="CC31" s="1"/>
      <c r="CD31" s="1"/>
      <c r="CE31" s="1"/>
      <c r="CF31" s="1"/>
      <c r="CG31" s="1"/>
      <c r="CH31" s="1"/>
      <c r="CI31" s="1"/>
      <c r="CJ31" s="1"/>
      <c r="CK31" s="1"/>
      <c r="CL31" s="1"/>
    </row>
    <row r="32" spans="1:90" s="46" customFormat="1" ht="15" x14ac:dyDescent="0.15">
      <c r="A32" s="37" t="s">
        <v>89</v>
      </c>
      <c r="B32" s="37"/>
      <c r="C32" s="46">
        <f t="shared" ref="C32:K32" ca="1" si="12">C16-(C24*C$38)</f>
        <v>0.28554299867444555</v>
      </c>
      <c r="D32" s="46">
        <f t="shared" ca="1" si="12"/>
        <v>6.1121508936027705E-2</v>
      </c>
      <c r="E32" s="46">
        <f t="shared" ca="1" si="12"/>
        <v>0</v>
      </c>
      <c r="F32" s="46">
        <f t="shared" ca="1" si="12"/>
        <v>0</v>
      </c>
      <c r="G32" s="46">
        <f t="shared" ca="1" si="12"/>
        <v>0</v>
      </c>
      <c r="H32" s="46">
        <f t="shared" ca="1" si="12"/>
        <v>0</v>
      </c>
      <c r="I32" s="46">
        <f t="shared" ca="1" si="12"/>
        <v>0</v>
      </c>
      <c r="J32" s="46">
        <f t="shared" ca="1" si="12"/>
        <v>0.17518829132420277</v>
      </c>
      <c r="K32" s="46">
        <f t="shared" ca="1" si="12"/>
        <v>0.28690134700196368</v>
      </c>
      <c r="BU32" s="1"/>
      <c r="BV32" s="1"/>
      <c r="BW32" s="1"/>
      <c r="BX32" s="1"/>
      <c r="BY32" s="1"/>
      <c r="BZ32" s="1"/>
      <c r="CA32" s="1"/>
      <c r="CB32" s="1"/>
      <c r="CC32" s="1"/>
      <c r="CD32" s="1"/>
      <c r="CE32" s="1"/>
      <c r="CF32" s="1"/>
      <c r="CG32" s="1"/>
      <c r="CH32" s="1"/>
      <c r="CI32" s="1"/>
      <c r="CJ32" s="1"/>
      <c r="CK32" s="1"/>
      <c r="CL32" s="1"/>
    </row>
    <row r="33" spans="1:99" s="46" customFormat="1" ht="15" x14ac:dyDescent="0.15">
      <c r="A33" s="37" t="s">
        <v>87</v>
      </c>
      <c r="B33" s="37"/>
      <c r="C33" s="46">
        <f t="shared" ref="C33:K33" ca="1" si="13">C17-(C25*C$38)</f>
        <v>0</v>
      </c>
      <c r="D33" s="46">
        <f t="shared" ca="1" si="13"/>
        <v>0</v>
      </c>
      <c r="E33" s="46">
        <f t="shared" ca="1" si="13"/>
        <v>0</v>
      </c>
      <c r="F33" s="46">
        <f t="shared" ca="1" si="13"/>
        <v>0</v>
      </c>
      <c r="G33" s="46">
        <f t="shared" ca="1" si="13"/>
        <v>0.4018254858144294</v>
      </c>
      <c r="H33" s="46">
        <f t="shared" ca="1" si="13"/>
        <v>0</v>
      </c>
      <c r="I33" s="46">
        <f t="shared" ca="1" si="13"/>
        <v>0</v>
      </c>
      <c r="J33" s="46">
        <f t="shared" ca="1" si="13"/>
        <v>0</v>
      </c>
      <c r="K33" s="46">
        <f t="shared" ca="1" si="13"/>
        <v>0</v>
      </c>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row>
    <row r="34" spans="1:99" s="46" customFormat="1" ht="15" x14ac:dyDescent="0.15">
      <c r="A34" s="37" t="s">
        <v>88</v>
      </c>
      <c r="B34" s="37"/>
      <c r="C34" s="46">
        <f t="shared" ref="C34:K34" ca="1" si="14">C18-(C26*C$38)</f>
        <v>0.34775332533450465</v>
      </c>
      <c r="D34" s="46">
        <f t="shared" ca="1" si="14"/>
        <v>4.0059418317110046E-2</v>
      </c>
      <c r="E34" s="46">
        <f t="shared" ca="1" si="14"/>
        <v>0</v>
      </c>
      <c r="F34" s="46">
        <f t="shared" ca="1" si="14"/>
        <v>0</v>
      </c>
      <c r="G34" s="46">
        <f t="shared" ca="1" si="14"/>
        <v>0</v>
      </c>
      <c r="H34" s="46">
        <f t="shared" ca="1" si="14"/>
        <v>0.20358187979916498</v>
      </c>
      <c r="I34" s="46">
        <f t="shared" ca="1" si="14"/>
        <v>0.20095063534744084</v>
      </c>
      <c r="J34" s="46">
        <f t="shared" ca="1" si="14"/>
        <v>0.38107089449009834</v>
      </c>
      <c r="K34" s="46">
        <f t="shared" ca="1" si="14"/>
        <v>0.54260659337969486</v>
      </c>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row>
    <row r="35" spans="1:99" s="46" customFormat="1" x14ac:dyDescent="0.15">
      <c r="A35" s="1"/>
      <c r="B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row>
    <row r="36" spans="1:99" s="46" customFormat="1" x14ac:dyDescent="0.15">
      <c r="A36" s="36" t="s">
        <v>83</v>
      </c>
      <c r="B36" s="36"/>
      <c r="C36" s="46">
        <f t="shared" ref="C36:K36" ca="1" si="15">SUM(C5:C10)</f>
        <v>5.9285440444946289</v>
      </c>
      <c r="D36" s="46">
        <f t="shared" ca="1" si="15"/>
        <v>4.7594744364420727</v>
      </c>
      <c r="E36" s="46">
        <f t="shared" ca="1" si="15"/>
        <v>3.4596103032430077</v>
      </c>
      <c r="F36" s="46">
        <f t="shared" ca="1" si="15"/>
        <v>4.0132770538330051</v>
      </c>
      <c r="G36" s="46">
        <f t="shared" ca="1" si="15"/>
        <v>4.9995721181233517</v>
      </c>
      <c r="H36" s="46">
        <f t="shared" ca="1" si="15"/>
        <v>3.8539241154988924</v>
      </c>
      <c r="I36" s="46">
        <f t="shared" ca="1" si="15"/>
        <v>3.1387014389038108</v>
      </c>
      <c r="J36" s="46">
        <f t="shared" ca="1" si="15"/>
        <v>3.9845333099365385</v>
      </c>
      <c r="K36" s="46">
        <f t="shared" ca="1" si="15"/>
        <v>4.6763553619384481</v>
      </c>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row>
    <row r="37" spans="1:99" s="46" customFormat="1" x14ac:dyDescent="0.15">
      <c r="A37" s="1" t="s">
        <v>82</v>
      </c>
      <c r="B37" s="1"/>
      <c r="C37" s="46">
        <f t="shared" ref="C37:K37" ca="1" si="16">SUM(C13:C18)</f>
        <v>14.748408027805754</v>
      </c>
      <c r="D37" s="46">
        <f t="shared" ca="1" si="16"/>
        <v>14.030468980953042</v>
      </c>
      <c r="E37" s="46">
        <f t="shared" ca="1" si="16"/>
        <v>11.306138960842777</v>
      </c>
      <c r="F37" s="46">
        <f t="shared" ca="1" si="16"/>
        <v>10.122816209926262</v>
      </c>
      <c r="G37" s="46">
        <f t="shared" ca="1" si="16"/>
        <v>10.565233034845726</v>
      </c>
      <c r="H37" s="46">
        <f t="shared" ca="1" si="16"/>
        <v>10.521412571111133</v>
      </c>
      <c r="I37" s="46">
        <f t="shared" ca="1" si="16"/>
        <v>10.747544732113459</v>
      </c>
      <c r="J37" s="46">
        <f t="shared" ca="1" si="16"/>
        <v>12.36929566692455</v>
      </c>
      <c r="K37" s="46">
        <f t="shared" ca="1" si="16"/>
        <v>13.690358582245546</v>
      </c>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row>
    <row r="38" spans="1:99" s="46" customFormat="1" x14ac:dyDescent="0.15">
      <c r="A38" s="1" t="s">
        <v>81</v>
      </c>
      <c r="B38" s="1"/>
      <c r="C38" s="46">
        <f t="shared" ref="C38:K38" ca="1" si="17">C37-C36</f>
        <v>8.8198639833111248</v>
      </c>
      <c r="D38" s="46">
        <f t="shared" ca="1" si="17"/>
        <v>9.2709945445109696</v>
      </c>
      <c r="E38" s="46">
        <f t="shared" ca="1" si="17"/>
        <v>7.8465286575997695</v>
      </c>
      <c r="F38" s="46">
        <f t="shared" ca="1" si="17"/>
        <v>6.1095391560932564</v>
      </c>
      <c r="G38" s="46">
        <f t="shared" ca="1" si="17"/>
        <v>5.5656609167223738</v>
      </c>
      <c r="H38" s="46">
        <f t="shared" ca="1" si="17"/>
        <v>6.6674884556122409</v>
      </c>
      <c r="I38" s="46">
        <f t="shared" ca="1" si="17"/>
        <v>7.6088432932096488</v>
      </c>
      <c r="J38" s="46">
        <f t="shared" ca="1" si="17"/>
        <v>8.3847623569880128</v>
      </c>
      <c r="K38" s="46">
        <f t="shared" ca="1" si="17"/>
        <v>9.0140032203070977</v>
      </c>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row>
    <row r="39" spans="1:99" s="46" customFormat="1" x14ac:dyDescent="0.15">
      <c r="A39" s="1" t="s">
        <v>80</v>
      </c>
      <c r="B39" s="1"/>
      <c r="C39" s="46">
        <f t="shared" ref="C39:K39" ca="1" si="18">SUM(C29:C34)</f>
        <v>5.9285440444946289</v>
      </c>
      <c r="D39" s="46">
        <f t="shared" ca="1" si="18"/>
        <v>4.7594744364420727</v>
      </c>
      <c r="E39" s="46">
        <f t="shared" ca="1" si="18"/>
        <v>3.4596103032430072</v>
      </c>
      <c r="F39" s="46">
        <f t="shared" ca="1" si="18"/>
        <v>4.0132770538330043</v>
      </c>
      <c r="G39" s="46">
        <f t="shared" ca="1" si="18"/>
        <v>4.9995721181233517</v>
      </c>
      <c r="H39" s="46">
        <f t="shared" ca="1" si="18"/>
        <v>3.8539241154988924</v>
      </c>
      <c r="I39" s="46">
        <f t="shared" ca="1" si="18"/>
        <v>3.1387014389038104</v>
      </c>
      <c r="J39" s="46">
        <f t="shared" ca="1" si="18"/>
        <v>3.9845333099365372</v>
      </c>
      <c r="K39" s="46">
        <f t="shared" ca="1" si="18"/>
        <v>4.6763553619384481</v>
      </c>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row>
    <row r="40" spans="1:99" x14ac:dyDescent="0.15">
      <c r="C40" s="1"/>
      <c r="D40" s="1"/>
      <c r="E40" s="1"/>
      <c r="F40" s="1"/>
      <c r="G40" s="1"/>
      <c r="H40" s="1"/>
      <c r="I40" s="1"/>
      <c r="J40" s="1"/>
      <c r="K40" s="1"/>
      <c r="L40" s="1"/>
      <c r="M40" s="1"/>
      <c r="N40" s="1"/>
      <c r="O40" s="1"/>
      <c r="P40" s="1"/>
      <c r="Q40" s="1"/>
      <c r="R40" s="1"/>
      <c r="S40" s="1"/>
      <c r="T40" s="1"/>
      <c r="U40" s="1"/>
      <c r="V40" s="1"/>
      <c r="W40" s="1"/>
      <c r="Y40" s="1"/>
      <c r="Z40" s="1"/>
      <c r="AA40" s="1"/>
      <c r="AB40" s="1"/>
      <c r="AC40" s="1"/>
      <c r="AD40" s="1"/>
      <c r="AE40" s="1"/>
      <c r="AF40" s="1"/>
      <c r="AG40" s="1"/>
      <c r="AI40" s="1"/>
      <c r="AJ40" s="1"/>
      <c r="AK40" s="1"/>
      <c r="AL40" s="1"/>
      <c r="AM40" s="1"/>
      <c r="AN40" s="1"/>
      <c r="AO40" s="1"/>
      <c r="AP40" s="1"/>
      <c r="AQ40" s="1"/>
      <c r="AS40" s="1"/>
      <c r="AT40" s="1"/>
      <c r="AU40" s="1"/>
      <c r="AV40" s="1"/>
      <c r="AW40" s="1"/>
      <c r="AX40" s="1"/>
      <c r="AY40" s="1"/>
      <c r="AZ40" s="1"/>
      <c r="BA40" s="1"/>
      <c r="BC40" s="1"/>
      <c r="BD40" s="1"/>
      <c r="BE40" s="1"/>
      <c r="BF40" s="1"/>
      <c r="BG40" s="1"/>
      <c r="BH40" s="1"/>
      <c r="BI40" s="1"/>
      <c r="BJ40" s="1"/>
      <c r="BK40" s="1"/>
      <c r="BM40" s="1"/>
      <c r="BN40" s="1"/>
      <c r="BO40" s="1"/>
      <c r="BP40" s="1"/>
      <c r="BQ40" s="1"/>
      <c r="BR40" s="1"/>
      <c r="BS40" s="1"/>
      <c r="BT40" s="1"/>
      <c r="BU40" s="1"/>
      <c r="CD40" s="1"/>
      <c r="CE40" s="1"/>
      <c r="CF40" s="1"/>
      <c r="CG40" s="1"/>
      <c r="CH40" s="1"/>
      <c r="CI40" s="1"/>
      <c r="CJ40" s="1"/>
      <c r="CK40" s="1"/>
      <c r="CL40" s="1"/>
    </row>
    <row r="41" spans="1:99" x14ac:dyDescent="0.15">
      <c r="CD41" s="1"/>
      <c r="CE41" s="1"/>
      <c r="CF41" s="1"/>
      <c r="CG41" s="1"/>
      <c r="CH41" s="1"/>
      <c r="CI41" s="1"/>
      <c r="CJ41" s="1"/>
      <c r="CK41" s="1"/>
      <c r="CL41" s="1"/>
    </row>
    <row r="44" spans="1:99" x14ac:dyDescent="0.15">
      <c r="A44" s="1" t="s">
        <v>437</v>
      </c>
      <c r="C44" s="1">
        <v>2011</v>
      </c>
      <c r="D44" s="1">
        <v>2012</v>
      </c>
      <c r="E44" s="1">
        <v>2013</v>
      </c>
      <c r="F44" s="1">
        <v>2014</v>
      </c>
      <c r="G44" s="1">
        <v>2015</v>
      </c>
      <c r="H44" s="1">
        <v>2016</v>
      </c>
      <c r="I44" s="1">
        <v>2017</v>
      </c>
      <c r="J44" s="1">
        <v>2018</v>
      </c>
      <c r="K44" s="1">
        <v>2019</v>
      </c>
      <c r="L44" s="186">
        <v>2020</v>
      </c>
      <c r="M44" s="186">
        <v>2021</v>
      </c>
      <c r="N44" s="186">
        <v>2022</v>
      </c>
      <c r="O44" s="186">
        <v>2023</v>
      </c>
      <c r="P44" s="186">
        <v>2024</v>
      </c>
      <c r="Q44" s="186">
        <v>2025</v>
      </c>
      <c r="R44" s="186">
        <v>2026</v>
      </c>
      <c r="S44" s="186">
        <v>2027</v>
      </c>
      <c r="T44" s="186">
        <v>2028</v>
      </c>
      <c r="U44" s="186">
        <v>2029</v>
      </c>
      <c r="V44" s="186">
        <v>2030</v>
      </c>
      <c r="W44" s="186">
        <v>2031</v>
      </c>
      <c r="X44" s="186">
        <v>2032</v>
      </c>
      <c r="Y44" s="186">
        <v>2033</v>
      </c>
      <c r="Z44" s="186">
        <v>2034</v>
      </c>
      <c r="AA44" s="186">
        <v>2035</v>
      </c>
      <c r="AB44" s="186">
        <v>2036</v>
      </c>
      <c r="AC44" s="186">
        <v>2037</v>
      </c>
      <c r="AD44" s="186">
        <v>2038</v>
      </c>
      <c r="AE44" s="186">
        <v>2039</v>
      </c>
      <c r="AF44" s="186">
        <v>2040</v>
      </c>
      <c r="AG44" s="186">
        <v>2041</v>
      </c>
      <c r="AH44" s="186">
        <v>2042</v>
      </c>
      <c r="AI44" s="186">
        <v>2043</v>
      </c>
      <c r="AJ44" s="186">
        <v>2044</v>
      </c>
      <c r="AK44" s="186">
        <v>2045</v>
      </c>
      <c r="AL44" s="186">
        <v>2046</v>
      </c>
      <c r="AM44" s="186">
        <v>2047</v>
      </c>
      <c r="AN44" s="186">
        <v>2048</v>
      </c>
      <c r="AO44" s="186">
        <v>2049</v>
      </c>
      <c r="AP44" s="186">
        <v>2050</v>
      </c>
      <c r="AQ44" s="186">
        <v>2051</v>
      </c>
      <c r="AR44" s="186">
        <v>2052</v>
      </c>
      <c r="AS44" s="186">
        <v>2053</v>
      </c>
      <c r="AT44" s="186">
        <v>2054</v>
      </c>
      <c r="AU44" s="186">
        <v>2055</v>
      </c>
      <c r="AV44" s="186">
        <v>2056</v>
      </c>
      <c r="AW44" s="186">
        <v>2057</v>
      </c>
      <c r="AX44" s="186">
        <v>2058</v>
      </c>
      <c r="AY44" s="186">
        <v>2059</v>
      </c>
      <c r="AZ44" s="186">
        <v>2060</v>
      </c>
      <c r="BA44" s="186">
        <v>2061</v>
      </c>
      <c r="BB44" s="186">
        <v>2062</v>
      </c>
      <c r="BC44" s="186">
        <v>2063</v>
      </c>
      <c r="BD44" s="186">
        <v>2064</v>
      </c>
      <c r="BE44" s="186">
        <v>2065</v>
      </c>
      <c r="BF44" s="186">
        <v>2066</v>
      </c>
      <c r="BG44" s="186">
        <v>2067</v>
      </c>
      <c r="BH44" s="186">
        <v>2068</v>
      </c>
      <c r="BI44" s="186">
        <v>2069</v>
      </c>
      <c r="BJ44" s="186">
        <v>2070</v>
      </c>
      <c r="BK44" s="186">
        <v>2071</v>
      </c>
      <c r="BL44" s="186">
        <v>2072</v>
      </c>
      <c r="BM44" s="186">
        <v>2073</v>
      </c>
      <c r="BN44" s="186">
        <v>2074</v>
      </c>
      <c r="BO44" s="186">
        <v>2075</v>
      </c>
      <c r="BP44" s="186">
        <v>2076</v>
      </c>
      <c r="BQ44" s="186">
        <v>2077</v>
      </c>
      <c r="BR44" s="186">
        <v>2078</v>
      </c>
      <c r="BS44" s="186">
        <v>2079</v>
      </c>
      <c r="BT44" s="186">
        <v>2080</v>
      </c>
      <c r="BU44" s="186">
        <v>2081</v>
      </c>
      <c r="BV44" s="186">
        <v>2082</v>
      </c>
      <c r="BW44" s="186">
        <v>2083</v>
      </c>
      <c r="BX44" s="186">
        <v>2084</v>
      </c>
      <c r="BY44" s="186">
        <v>2085</v>
      </c>
      <c r="BZ44" s="186">
        <v>2086</v>
      </c>
      <c r="CA44" s="186">
        <v>2087</v>
      </c>
      <c r="CB44" s="186">
        <v>2088</v>
      </c>
      <c r="CC44" s="186">
        <v>2089</v>
      </c>
      <c r="CD44" s="186">
        <v>2090</v>
      </c>
      <c r="CE44" s="186">
        <v>2091</v>
      </c>
      <c r="CF44" s="186">
        <v>2092</v>
      </c>
      <c r="CG44" s="186">
        <v>2093</v>
      </c>
      <c r="CH44" s="186">
        <v>2094</v>
      </c>
      <c r="CI44" s="186">
        <v>2095</v>
      </c>
      <c r="CJ44" s="186">
        <v>2096</v>
      </c>
      <c r="CK44" s="186">
        <v>2097</v>
      </c>
      <c r="CL44" s="186">
        <v>2098</v>
      </c>
      <c r="CM44" s="186">
        <v>2099</v>
      </c>
      <c r="CN44" s="186">
        <v>2100</v>
      </c>
      <c r="CO44" s="186"/>
      <c r="CP44" s="186"/>
      <c r="CQ44" s="186"/>
      <c r="CR44" s="186"/>
      <c r="CS44" s="186"/>
      <c r="CT44" s="186"/>
      <c r="CU44" s="186"/>
    </row>
    <row r="46" spans="1:99" x14ac:dyDescent="0.15">
      <c r="A46" s="38" t="s">
        <v>49</v>
      </c>
      <c r="B46" s="38"/>
      <c r="C46" s="46">
        <f ca="1">((WaterfallData!C$83-WaterfallData!$L$83)/(LN(WaterfallData!C$83)-LN(WaterfallData!$L$83)))*LN(WaterfallData!C76/WaterfallData!$L76)</f>
        <v>-3.1008018372054087</v>
      </c>
      <c r="D46" s="46">
        <f ca="1">((WaterfallData!D$83-WaterfallData!$L$83)/(LN(WaterfallData!D$83)-LN(WaterfallData!$L$83)))*LN(WaterfallData!D76/WaterfallData!$L76)</f>
        <v>-2.767205431940539</v>
      </c>
      <c r="E46" s="46">
        <f ca="1">((WaterfallData!E$83-WaterfallData!$L$83)/(LN(WaterfallData!E$83)-LN(WaterfallData!$L$83)))*LN(WaterfallData!E76/WaterfallData!$L76)</f>
        <v>-2.4306797040422938</v>
      </c>
      <c r="F46" s="46">
        <f ca="1">((WaterfallData!F$83-WaterfallData!$L$83)/(LN(WaterfallData!F$83)-LN(WaterfallData!$L$83)))*LN(WaterfallData!F76/WaterfallData!$L76)</f>
        <v>-2.0913139728427588</v>
      </c>
      <c r="G46" s="46">
        <f ca="1">((WaterfallData!G$83-WaterfallData!$L$83)/(LN(WaterfallData!G$83)-LN(WaterfallData!$L$83)))*LN(WaterfallData!G76/WaterfallData!$L76)</f>
        <v>-1.7491935051546601</v>
      </c>
      <c r="H46" s="46">
        <f ca="1">((WaterfallData!H$83-WaterfallData!$L$83)/(LN(WaterfallData!H$83)-LN(WaterfallData!$L$83)))*LN(WaterfallData!H76/WaterfallData!$L76)</f>
        <v>-1.4043997588879087</v>
      </c>
      <c r="I46" s="46">
        <f ca="1">((WaterfallData!I$83-WaterfallData!$L$83)/(LN(WaterfallData!I$83)-LN(WaterfallData!$L$83)))*LN(WaterfallData!I76/WaterfallData!$L76)</f>
        <v>-1.0570106083944695</v>
      </c>
      <c r="J46" s="46">
        <f ca="1">((WaterfallData!J$83-WaterfallData!$L$83)/(LN(WaterfallData!J$83)-LN(WaterfallData!$L$83)))*LN(WaterfallData!J76/WaterfallData!$L76)</f>
        <v>-0.70710055318576026</v>
      </c>
      <c r="K46" s="46">
        <f ca="1">((WaterfallData!K$83-WaterfallData!$L$83)/(LN(WaterfallData!K$83)-LN(WaterfallData!$L$83)))*LN(WaterfallData!K76/WaterfallData!$L76)</f>
        <v>-0.35474091149439269</v>
      </c>
      <c r="L46" s="46" t="e">
        <f ca="1">((WaterfallData!L$83-WaterfallData!$L$83)/(LN(WaterfallData!L$83)-LN(WaterfallData!$L$83)))*LN(WaterfallData!L76/WaterfallData!$L76)</f>
        <v>#DIV/0!</v>
      </c>
      <c r="M46" s="46">
        <f ca="1">((WaterfallData!M$83-WaterfallData!$L$83)/(LN(WaterfallData!M$83)-LN(WaterfallData!$L$83)))*LN(WaterfallData!M76/WaterfallData!$L76)</f>
        <v>0.31220856177660217</v>
      </c>
      <c r="N46" s="46">
        <f ca="1">((WaterfallData!N$83-WaterfallData!$L$83)/(LN(WaterfallData!N$83)-LN(WaterfallData!$L$83)))*LN(WaterfallData!N76/WaterfallData!$L76)</f>
        <v>0.62579104836896393</v>
      </c>
      <c r="O46" s="46">
        <f ca="1">((WaterfallData!O$83-WaterfallData!$L$83)/(LN(WaterfallData!O$83)-LN(WaterfallData!$L$83)))*LN(WaterfallData!O76/WaterfallData!$L76)</f>
        <v>0.94071590011984807</v>
      </c>
      <c r="P46" s="46">
        <f ca="1">((WaterfallData!P$83-WaterfallData!$L$83)/(LN(WaterfallData!P$83)-LN(WaterfallData!$L$83)))*LN(WaterfallData!P76/WaterfallData!$L76)</f>
        <v>1.2569526264145108</v>
      </c>
      <c r="Q46" s="46">
        <f ca="1">((WaterfallData!Q$83-WaterfallData!$L$83)/(LN(WaterfallData!Q$83)-LN(WaterfallData!$L$83)))*LN(WaterfallData!Q76/WaterfallData!$L76)</f>
        <v>1.5744717581870147</v>
      </c>
      <c r="R46" s="46">
        <f ca="1">((WaterfallData!R$83-WaterfallData!$L$83)/(LN(WaterfallData!R$83)-LN(WaterfallData!$L$83)))*LN(WaterfallData!R76/WaterfallData!$L76)</f>
        <v>1.8932448030351516</v>
      </c>
      <c r="S46" s="46">
        <f ca="1">((WaterfallData!S$83-WaterfallData!$L$83)/(LN(WaterfallData!S$83)-LN(WaterfallData!$L$83)))*LN(WaterfallData!S76/WaterfallData!$L76)</f>
        <v>2.2132442027733372</v>
      </c>
      <c r="T46" s="46">
        <f ca="1">((WaterfallData!T$83-WaterfallData!$L$83)/(LN(WaterfallData!T$83)-LN(WaterfallData!$L$83)))*LN(WaterfallData!T76/WaterfallData!$L76)</f>
        <v>2.5344432932657099</v>
      </c>
      <c r="U46" s="46">
        <f ca="1">((WaterfallData!U$83-WaterfallData!$L$83)/(LN(WaterfallData!U$83)-LN(WaterfallData!$L$83)))*LN(WaterfallData!U76/WaterfallData!$L76)</f>
        <v>2.8568162663935364</v>
      </c>
      <c r="V46" s="46">
        <f ca="1">((WaterfallData!V$83-WaterfallData!$L$83)/(LN(WaterfallData!V$83)-LN(WaterfallData!$L$83)))*LN(WaterfallData!V76/WaterfallData!$L76)</f>
        <v>3.1803381340218815</v>
      </c>
      <c r="W46" s="46">
        <f ca="1">((WaterfallData!W$83-WaterfallData!$L$83)/(LN(WaterfallData!W$83)-LN(WaterfallData!$L$83)))*LN(WaterfallData!W76/WaterfallData!$L76)</f>
        <v>3.4406068002888168</v>
      </c>
      <c r="X46" s="46">
        <f ca="1">((WaterfallData!X$83-WaterfallData!$L$83)/(LN(WaterfallData!X$83)-LN(WaterfallData!$L$83)))*LN(WaterfallData!X76/WaterfallData!$L76)</f>
        <v>3.7013755143858593</v>
      </c>
      <c r="Y46" s="46">
        <f ca="1">((WaterfallData!Y$83-WaterfallData!$L$83)/(LN(WaterfallData!Y$83)-LN(WaterfallData!$L$83)))*LN(WaterfallData!Y76/WaterfallData!$L76)</f>
        <v>3.9626361307826174</v>
      </c>
      <c r="Z46" s="46">
        <f ca="1">((WaterfallData!Z$83-WaterfallData!$L$83)/(LN(WaterfallData!Z$83)-LN(WaterfallData!$L$83)))*LN(WaterfallData!Z76/WaterfallData!$L76)</f>
        <v>4.2243806987561507</v>
      </c>
      <c r="AA46" s="46">
        <f ca="1">((WaterfallData!AA$83-WaterfallData!$L$83)/(LN(WaterfallData!AA$83)-LN(WaterfallData!$L$83)))*LN(WaterfallData!AA76/WaterfallData!$L76)</f>
        <v>4.4866014563197352</v>
      </c>
      <c r="AB46" s="46">
        <f ca="1">((WaterfallData!AB$83-WaterfallData!$L$83)/(LN(WaterfallData!AB$83)-LN(WaterfallData!$L$83)))*LN(WaterfallData!AB76/WaterfallData!$L76)</f>
        <v>4.7492908243838894</v>
      </c>
      <c r="AC46" s="46">
        <f ca="1">((WaterfallData!AC$83-WaterfallData!$L$83)/(LN(WaterfallData!AC$83)-LN(WaterfallData!$L$83)))*LN(WaterfallData!AC76/WaterfallData!$L76)</f>
        <v>5.0124414011394389</v>
      </c>
      <c r="AD46" s="46">
        <f ca="1">((WaterfallData!AD$83-WaterfallData!$L$83)/(LN(WaterfallData!AD$83)-LN(WaterfallData!$L$83)))*LN(WaterfallData!AD76/WaterfallData!$L76)</f>
        <v>5.2760459566523705</v>
      </c>
      <c r="AE46" s="46">
        <f ca="1">((WaterfallData!AE$83-WaterfallData!$L$83)/(LN(WaterfallData!AE$83)-LN(WaterfallData!$L$83)))*LN(WaterfallData!AE76/WaterfallData!$L76)</f>
        <v>5.5400974276611485</v>
      </c>
      <c r="AF46" s="46">
        <f ca="1">((WaterfallData!AF$83-WaterfallData!$L$83)/(LN(WaterfallData!AF$83)-LN(WaterfallData!$L$83)))*LN(WaterfallData!AF76/WaterfallData!$L76)</f>
        <v>5.8045889125675112</v>
      </c>
      <c r="AG46" s="46">
        <f ca="1">((WaterfallData!AG$83-WaterfallData!$L$83)/(LN(WaterfallData!AG$83)-LN(WaterfallData!$L$83)))*LN(WaterfallData!AG76/WaterfallData!$L76)</f>
        <v>6.0076910921373763</v>
      </c>
      <c r="AH46" s="46">
        <f ca="1">((WaterfallData!AH$83-WaterfallData!$L$83)/(LN(WaterfallData!AH$83)-LN(WaterfallData!$L$83)))*LN(WaterfallData!AH76/WaterfallData!$L76)</f>
        <v>6.2115740803601902</v>
      </c>
      <c r="AI46" s="46">
        <f ca="1">((WaterfallData!AI$83-WaterfallData!$L$83)/(LN(WaterfallData!AI$83)-LN(WaterfallData!$L$83)))*LN(WaterfallData!AI76/WaterfallData!$L76)</f>
        <v>6.4162281146707745</v>
      </c>
      <c r="AJ46" s="46">
        <f ca="1">((WaterfallData!AJ$83-WaterfallData!$L$83)/(LN(WaterfallData!AJ$83)-LN(WaterfallData!$L$83)))*LN(WaterfallData!AJ76/WaterfallData!$L76)</f>
        <v>6.6216436233085538</v>
      </c>
      <c r="AK46" s="46">
        <f ca="1">((WaterfallData!AK$83-WaterfallData!$L$83)/(LN(WaterfallData!AK$83)-LN(WaterfallData!$L$83)))*LN(WaterfallData!AK76/WaterfallData!$L76)</f>
        <v>6.8278112201791581</v>
      </c>
      <c r="AL46" s="46">
        <f ca="1">((WaterfallData!AL$83-WaterfallData!$L$83)/(LN(WaterfallData!AL$83)-LN(WaterfallData!$L$83)))*LN(WaterfallData!AL76/WaterfallData!$L76)</f>
        <v>7.0347216998946989</v>
      </c>
      <c r="AM46" s="46">
        <f ca="1">((WaterfallData!AM$83-WaterfallData!$L$83)/(LN(WaterfallData!AM$83)-LN(WaterfallData!$L$83)))*LN(WaterfallData!AM76/WaterfallData!$L76)</f>
        <v>7.2423660329849007</v>
      </c>
      <c r="AN46" s="46">
        <f ca="1">((WaterfallData!AN$83-WaterfallData!$L$83)/(LN(WaterfallData!AN$83)-LN(WaterfallData!$L$83)))*LN(WaterfallData!AN76/WaterfallData!$L76)</f>
        <v>7.4507353612720246</v>
      </c>
      <c r="AO46" s="46">
        <f ca="1">((WaterfallData!AO$83-WaterfallData!$L$83)/(LN(WaterfallData!AO$83)-LN(WaterfallData!$L$83)))*LN(WaterfallData!AO76/WaterfallData!$L76)</f>
        <v>7.659820993402521</v>
      </c>
      <c r="AP46" s="46">
        <f ca="1">((WaterfallData!AP$83-WaterfallData!$L$83)/(LN(WaterfallData!AP$83)-LN(WaterfallData!$L$83)))*LN(WaterfallData!AP76/WaterfallData!$L76)</f>
        <v>7.8696144005288557</v>
      </c>
      <c r="AQ46" s="46">
        <f ca="1">((WaterfallData!AQ$83-WaterfallData!$L$83)/(LN(WaterfallData!AQ$83)-LN(WaterfallData!$L$83)))*LN(WaterfallData!AQ76/WaterfallData!$L76)</f>
        <v>8.0117148519845109</v>
      </c>
      <c r="AR46" s="46">
        <f ca="1">((WaterfallData!AR$83-WaterfallData!$L$83)/(LN(WaterfallData!AR$83)-LN(WaterfallData!$L$83)))*LN(WaterfallData!AR76/WaterfallData!$L76)</f>
        <v>8.1483925820145693</v>
      </c>
      <c r="AS46" s="46">
        <f ca="1">((WaterfallData!AS$83-WaterfallData!$L$83)/(LN(WaterfallData!AS$83)-LN(WaterfallData!$L$83)))*LN(WaterfallData!AS76/WaterfallData!$L76)</f>
        <v>8.2857203683204919</v>
      </c>
      <c r="AT46" s="46">
        <f ca="1">((WaterfallData!AT$83-WaterfallData!$L$83)/(LN(WaterfallData!AT$83)-LN(WaterfallData!$L$83)))*LN(WaterfallData!AT76/WaterfallData!$L76)</f>
        <v>8.4236931826740005</v>
      </c>
      <c r="AU46" s="46">
        <f ca="1">((WaterfallData!AU$83-WaterfallData!$L$83)/(LN(WaterfallData!AU$83)-LN(WaterfallData!$L$83)))*LN(WaterfallData!AU76/WaterfallData!$L76)</f>
        <v>8.5623060716710526</v>
      </c>
      <c r="AV46" s="46">
        <f ca="1">((WaterfallData!AV$83-WaterfallData!$L$83)/(LN(WaterfallData!AV$83)-LN(WaterfallData!$L$83)))*LN(WaterfallData!AV76/WaterfallData!$L76)</f>
        <v>8.7015541549084556</v>
      </c>
      <c r="AW46" s="46">
        <f ca="1">((WaterfallData!AW$83-WaterfallData!$L$83)/(LN(WaterfallData!AW$83)-LN(WaterfallData!$L$83)))*LN(WaterfallData!AW76/WaterfallData!$L76)</f>
        <v>8.8414326232244562</v>
      </c>
      <c r="AX46" s="46">
        <f ca="1">((WaterfallData!AX$83-WaterfallData!$L$83)/(LN(WaterfallData!AX$83)-LN(WaterfallData!$L$83)))*LN(WaterfallData!AX76/WaterfallData!$L76)</f>
        <v>8.9819367370002325</v>
      </c>
      <c r="AY46" s="46">
        <f ca="1">((WaterfallData!AY$83-WaterfallData!$L$83)/(LN(WaterfallData!AY$83)-LN(WaterfallData!$L$83)))*LN(WaterfallData!AY76/WaterfallData!$L76)</f>
        <v>9.1230618245196364</v>
      </c>
      <c r="AZ46" s="46">
        <f ca="1">((WaterfallData!AZ$83-WaterfallData!$L$83)/(LN(WaterfallData!AZ$83)-LN(WaterfallData!$L$83)))*LN(WaterfallData!AZ76/WaterfallData!$L76)</f>
        <v>9.321120327132018</v>
      </c>
      <c r="BA46" s="46">
        <f ca="1">((WaterfallData!BA$83-WaterfallData!$L$83)/(LN(WaterfallData!BA$83)-LN(WaterfallData!$L$83)))*LN(WaterfallData!BA76/WaterfallData!$L76)</f>
        <v>9.3902735256552301</v>
      </c>
      <c r="BB46" s="46">
        <f ca="1">((WaterfallData!BB$83-WaterfallData!$L$83)/(LN(WaterfallData!BB$83)-LN(WaterfallData!$L$83)))*LN(WaterfallData!BB76/WaterfallData!$L76)</f>
        <v>9.4595770632079201</v>
      </c>
      <c r="BC46" s="46">
        <f ca="1">((WaterfallData!BC$83-WaterfallData!$L$83)/(LN(WaterfallData!BC$83)-LN(WaterfallData!$L$83)))*LN(WaterfallData!BC76/WaterfallData!$L76)</f>
        <v>9.5290306770476843</v>
      </c>
      <c r="BD46" s="46">
        <f ca="1">((WaterfallData!BD$83-WaterfallData!$L$83)/(LN(WaterfallData!BD$83)-LN(WaterfallData!$L$83)))*LN(WaterfallData!BD76/WaterfallData!$L76)</f>
        <v>9.5986341032305837</v>
      </c>
      <c r="BE46" s="46">
        <f ca="1">((WaterfallData!BE$83-WaterfallData!$L$83)/(LN(WaterfallData!BE$83)-LN(WaterfallData!$L$83)))*LN(WaterfallData!BE76/WaterfallData!$L76)</f>
        <v>9.6683870766894096</v>
      </c>
      <c r="BF46" s="46">
        <f ca="1">((WaterfallData!BF$83-WaterfallData!$L$83)/(LN(WaterfallData!BF$83)-LN(WaterfallData!$L$83)))*LN(WaterfallData!BF76/WaterfallData!$L76)</f>
        <v>9.7382893313087067</v>
      </c>
      <c r="BG46" s="46">
        <f ca="1">((WaterfallData!BG$83-WaterfallData!$L$83)/(LN(WaterfallData!BG$83)-LN(WaterfallData!$L$83)))*LN(WaterfallData!BG76/WaterfallData!$L76)</f>
        <v>9.8083405999967468</v>
      </c>
      <c r="BH46" s="46">
        <f ca="1">((WaterfallData!BH$83-WaterfallData!$L$83)/(LN(WaterfallData!BH$83)-LN(WaterfallData!$L$83)))*LN(WaterfallData!BH76/WaterfallData!$L76)</f>
        <v>9.878540614754753</v>
      </c>
      <c r="BI46" s="46">
        <f ca="1">((WaterfallData!BI$83-WaterfallData!$L$83)/(LN(WaterfallData!BI$83)-LN(WaterfallData!$L$83)))*LN(WaterfallData!BI76/WaterfallData!$L76)</f>
        <v>9.9488891067430334</v>
      </c>
      <c r="BJ46" s="46">
        <f ca="1">((WaterfallData!BJ$83-WaterfallData!$L$83)/(LN(WaterfallData!BJ$83)-LN(WaterfallData!$L$83)))*LN(WaterfallData!BJ76/WaterfallData!$L76)</f>
        <v>10.019385806344706</v>
      </c>
      <c r="BK46" s="46">
        <f ca="1">((WaterfallData!BK$83-WaterfallData!$L$83)/(LN(WaterfallData!BK$83)-LN(WaterfallData!$L$83)))*LN(WaterfallData!BK76/WaterfallData!$L76)</f>
        <v>10.024063571174143</v>
      </c>
      <c r="BL46" s="46">
        <f ca="1">((WaterfallData!BL$83-WaterfallData!$L$83)/(LN(WaterfallData!BL$83)-LN(WaterfallData!$L$83)))*LN(WaterfallData!BL76/WaterfallData!$L76)</f>
        <v>10.028534569639319</v>
      </c>
      <c r="BM46" s="46">
        <f ca="1">((WaterfallData!BM$83-WaterfallData!$L$83)/(LN(WaterfallData!BM$83)-LN(WaterfallData!$L$83)))*LN(WaterfallData!BM76/WaterfallData!$L76)</f>
        <v>10.032799423713673</v>
      </c>
      <c r="BN46" s="46">
        <f ca="1">((WaterfallData!BN$83-WaterfallData!$L$83)/(LN(WaterfallData!BN$83)-LN(WaterfallData!$L$83)))*LN(WaterfallData!BN76/WaterfallData!$L76)</f>
        <v>10.036858746491479</v>
      </c>
      <c r="BO46" s="46">
        <f ca="1">((WaterfallData!BO$83-WaterfallData!$L$83)/(LN(WaterfallData!BO$83)-LN(WaterfallData!$L$83)))*LN(WaterfallData!BO76/WaterfallData!$L76)</f>
        <v>10.0407131423461</v>
      </c>
      <c r="BP46" s="46">
        <f ca="1">((WaterfallData!BP$83-WaterfallData!$L$83)/(LN(WaterfallData!BP$83)-LN(WaterfallData!$L$83)))*LN(WaterfallData!BP76/WaterfallData!$L76)</f>
        <v>10.044363207084317</v>
      </c>
      <c r="BQ46" s="46">
        <f ca="1">((WaterfallData!BQ$83-WaterfallData!$L$83)/(LN(WaterfallData!BQ$83)-LN(WaterfallData!$L$83)))*LN(WaterfallData!BQ76/WaterfallData!$L76)</f>
        <v>10.047809528097231</v>
      </c>
      <c r="BR46" s="46">
        <f ca="1">((WaterfallData!BR$83-WaterfallData!$L$83)/(LN(WaterfallData!BR$83)-LN(WaterfallData!$L$83)))*LN(WaterfallData!BR76/WaterfallData!$L76)</f>
        <v>10.051052684507534</v>
      </c>
      <c r="BS46" s="46">
        <f ca="1">((WaterfallData!BS$83-WaterfallData!$L$83)/(LN(WaterfallData!BS$83)-LN(WaterfallData!$L$83)))*LN(WaterfallData!BS76/WaterfallData!$L76)</f>
        <v>10.054093247313416</v>
      </c>
      <c r="BT46" s="46">
        <f ca="1">((WaterfallData!BT$83-WaterfallData!$L$83)/(LN(WaterfallData!BT$83)-LN(WaterfallData!$L$83)))*LN(WaterfallData!BT76/WaterfallData!$L76)</f>
        <v>10.056931779529037</v>
      </c>
      <c r="BU46" s="46">
        <f ca="1">((WaterfallData!BU$83-WaterfallData!$L$83)/(LN(WaterfallData!BU$83)-LN(WaterfallData!$L$83)))*LN(WaterfallData!BU76/WaterfallData!$L76)</f>
        <v>10.014959652994772</v>
      </c>
      <c r="BV46" s="46">
        <f ca="1">((WaterfallData!BV$83-WaterfallData!$L$83)/(LN(WaterfallData!BV$83)-LN(WaterfallData!$L$83)))*LN(WaterfallData!BV76/WaterfallData!$L76)</f>
        <v>9.972238040796098</v>
      </c>
      <c r="BW46" s="46">
        <f ca="1">((WaterfallData!BW$83-WaterfallData!$L$83)/(LN(WaterfallData!BW$83)-LN(WaterfallData!$L$83)))*LN(WaterfallData!BW76/WaterfallData!$L76)</f>
        <v>9.9287674921658287</v>
      </c>
      <c r="BX46" s="46">
        <f ca="1">((WaterfallData!BX$83-WaterfallData!$L$83)/(LN(WaterfallData!BX$83)-LN(WaterfallData!$L$83)))*LN(WaterfallData!BX76/WaterfallData!$L76)</f>
        <v>9.8845485220498475</v>
      </c>
      <c r="BY46" s="46">
        <f ca="1">((WaterfallData!BY$83-WaterfallData!$L$83)/(LN(WaterfallData!BY$83)-LN(WaterfallData!$L$83)))*LN(WaterfallData!BY76/WaterfallData!$L76)</f>
        <v>9.8395816116645882</v>
      </c>
      <c r="BZ46" s="46">
        <f ca="1">((WaterfallData!BZ$83-WaterfallData!$L$83)/(LN(WaterfallData!BZ$83)-LN(WaterfallData!$L$83)))*LN(WaterfallData!BZ76/WaterfallData!$L76)</f>
        <v>9.7938672090373444</v>
      </c>
      <c r="CA46" s="46">
        <f ca="1">((WaterfallData!CA$83-WaterfallData!$L$83)/(LN(WaterfallData!CA$83)-LN(WaterfallData!$L$83)))*LN(WaterfallData!CA76/WaterfallData!$L76)</f>
        <v>9.747405729530378</v>
      </c>
      <c r="CB46" s="46">
        <f ca="1">((WaterfallData!CB$83-WaterfallData!$L$83)/(LN(WaterfallData!CB$83)-LN(WaterfallData!$L$83)))*LN(WaterfallData!CB76/WaterfallData!$L76)</f>
        <v>9.7001975563488916</v>
      </c>
      <c r="CC46" s="46">
        <f ca="1">((WaterfallData!CC$83-WaterfallData!$L$83)/(LN(WaterfallData!CC$83)-LN(WaterfallData!$L$83)))*LN(WaterfallData!CC76/WaterfallData!$L76)</f>
        <v>9.6522430410337918</v>
      </c>
      <c r="CD46" s="46">
        <f ca="1">((WaterfallData!CD$83-WaterfallData!$L$83)/(LN(WaterfallData!CD$83)-LN(WaterfallData!$L$83)))*LN(WaterfallData!CD76/WaterfallData!$L76)</f>
        <v>9.6035425039395719</v>
      </c>
      <c r="CE46" s="46">
        <f ca="1">((WaterfallData!CE$83-WaterfallData!$L$83)/(LN(WaterfallData!CE$83)-LN(WaterfallData!$L$83)))*LN(WaterfallData!CE76/WaterfallData!$L76)</f>
        <v>9.5236140513229088</v>
      </c>
      <c r="CF46" s="46">
        <f ca="1">((WaterfallData!CF$83-WaterfallData!$L$83)/(LN(WaterfallData!CF$83)-LN(WaterfallData!$L$83)))*LN(WaterfallData!CF76/WaterfallData!$L76)</f>
        <v>9.4423919047749525</v>
      </c>
      <c r="CG46" s="46">
        <f ca="1">((WaterfallData!CG$83-WaterfallData!$L$83)/(LN(WaterfallData!CG$83)-LN(WaterfallData!$L$83)))*LN(WaterfallData!CG76/WaterfallData!$L76)</f>
        <v>9.3598752319913707</v>
      </c>
      <c r="CH46" s="46">
        <f ca="1">((WaterfallData!CH$83-WaterfallData!$L$83)/(LN(WaterfallData!CH$83)-LN(WaterfallData!$L$83)))*LN(WaterfallData!CH76/WaterfallData!$L76)</f>
        <v>9.2760631269257239</v>
      </c>
      <c r="CI46" s="46">
        <f ca="1">((WaterfallData!CI$83-WaterfallData!$L$83)/(LN(WaterfallData!CI$83)-LN(WaterfallData!$L$83)))*LN(WaterfallData!CI76/WaterfallData!$L76)</f>
        <v>9.1909546106612598</v>
      </c>
      <c r="CJ46" s="46">
        <f ca="1">((WaterfallData!CJ$83-WaterfallData!$L$83)/(LN(WaterfallData!CJ$83)-LN(WaterfallData!$L$83)))*LN(WaterfallData!CJ76/WaterfallData!$L76)</f>
        <v>9.1045486322455975</v>
      </c>
      <c r="CK46" s="46">
        <f ca="1">((WaterfallData!CK$83-WaterfallData!$L$83)/(LN(WaterfallData!CK$83)-LN(WaterfallData!$L$83)))*LN(WaterfallData!CK76/WaterfallData!$L76)</f>
        <v>9.0168440694899115</v>
      </c>
      <c r="CL46" s="46">
        <f ca="1">((WaterfallData!CL$83-WaterfallData!$L$83)/(LN(WaterfallData!CL$83)-LN(WaterfallData!$L$83)))*LN(WaterfallData!CL76/WaterfallData!$L76)</f>
        <v>8.9278397297334582</v>
      </c>
      <c r="CM46" s="46">
        <f ca="1">((WaterfallData!CM$83-WaterfallData!$L$83)/(LN(WaterfallData!CM$83)-LN(WaterfallData!$L$83)))*LN(WaterfallData!CM76/WaterfallData!$L76)</f>
        <v>8.8375343505747797</v>
      </c>
      <c r="CN46" s="46">
        <f ca="1">((WaterfallData!CN$83-WaterfallData!$L$83)/(LN(WaterfallData!CN$83)-LN(WaterfallData!$L$83)))*LN(WaterfallData!CN76/WaterfallData!$L76)</f>
        <v>8.7459266005706198</v>
      </c>
    </row>
    <row r="47" spans="1:99" x14ac:dyDescent="0.15">
      <c r="A47" s="37" t="s">
        <v>59</v>
      </c>
      <c r="B47" s="37"/>
      <c r="C47" s="46">
        <f ca="1">((WaterfallData!C$83-WaterfallData!$L$83)/(LN(WaterfallData!C$83)-LN(WaterfallData!$L$83)))*LN(WaterfallData!C77/WaterfallData!$L77)</f>
        <v>-8.7102055673953096</v>
      </c>
      <c r="D47" s="46">
        <f ca="1">((WaterfallData!D$83-WaterfallData!$L$83)/(LN(WaterfallData!D$83)-LN(WaterfallData!$L$83)))*LN(WaterfallData!D77/WaterfallData!$L77)</f>
        <v>-7.6940169344356422</v>
      </c>
      <c r="E47" s="46">
        <f ca="1">((WaterfallData!E$83-WaterfallData!$L$83)/(LN(WaterfallData!E$83)-LN(WaterfallData!$L$83)))*LN(WaterfallData!E77/WaterfallData!$L77)</f>
        <v>-6.6919262543463578</v>
      </c>
      <c r="F47" s="46">
        <f ca="1">((WaterfallData!F$83-WaterfallData!$L$83)/(LN(WaterfallData!F$83)-LN(WaterfallData!$L$83)))*LN(WaterfallData!F77/WaterfallData!$L77)</f>
        <v>-5.7029493020355364</v>
      </c>
      <c r="G47" s="46">
        <f ca="1">((WaterfallData!G$83-WaterfallData!$L$83)/(LN(WaterfallData!G$83)-LN(WaterfallData!$L$83)))*LN(WaterfallData!G77/WaterfallData!$L77)</f>
        <v>-4.726196765077801</v>
      </c>
      <c r="H47" s="46">
        <f ca="1">((WaterfallData!H$83-WaterfallData!$L$83)/(LN(WaterfallData!H$83)-LN(WaterfallData!$L$83)))*LN(WaterfallData!H77/WaterfallData!$L77)</f>
        <v>-3.7608627496807308</v>
      </c>
      <c r="I47" s="46">
        <f ca="1">((WaterfallData!I$83-WaterfallData!$L$83)/(LN(WaterfallData!I$83)-LN(WaterfallData!$L$83)))*LN(WaterfallData!I77/WaterfallData!$L77)</f>
        <v>-2.8062149473444076</v>
      </c>
      <c r="J47" s="46">
        <f ca="1">((WaterfallData!J$83-WaterfallData!$L$83)/(LN(WaterfallData!J$83)-LN(WaterfallData!$L$83)))*LN(WaterfallData!J77/WaterfallData!$L77)</f>
        <v>-1.8615861852643301</v>
      </c>
      <c r="K47" s="46">
        <f ca="1">((WaterfallData!K$83-WaterfallData!$L$83)/(LN(WaterfallData!K$83)-LN(WaterfallData!$L$83)))*LN(WaterfallData!K77/WaterfallData!$L77)</f>
        <v>-0.92636713560521144</v>
      </c>
      <c r="L47" s="46" t="e">
        <f ca="1">((WaterfallData!L$83-WaterfallData!$L$83)/(LN(WaterfallData!L$83)-LN(WaterfallData!$L$83)))*LN(WaterfallData!L77/WaterfallData!$L77)</f>
        <v>#DIV/0!</v>
      </c>
      <c r="M47" s="46">
        <f ca="1">((WaterfallData!M$83-WaterfallData!$L$83)/(LN(WaterfallData!M$83)-LN(WaterfallData!$L$83)))*LN(WaterfallData!M77/WaterfallData!$L77)</f>
        <v>1.1297159056230719</v>
      </c>
      <c r="N47" s="46">
        <f ca="1">((WaterfallData!N$83-WaterfallData!$L$83)/(LN(WaterfallData!N$83)-LN(WaterfallData!$L$83)))*LN(WaterfallData!N77/WaterfallData!$L77)</f>
        <v>2.2400095327120804</v>
      </c>
      <c r="O47" s="46">
        <f ca="1">((WaterfallData!O$83-WaterfallData!$L$83)/(LN(WaterfallData!O$83)-LN(WaterfallData!$L$83)))*LN(WaterfallData!O77/WaterfallData!$L77)</f>
        <v>3.3321244571723461</v>
      </c>
      <c r="P47" s="46">
        <f ca="1">((WaterfallData!P$83-WaterfallData!$L$83)/(LN(WaterfallData!P$83)-LN(WaterfallData!$L$83)))*LN(WaterfallData!P77/WaterfallData!$L77)</f>
        <v>4.4071929272221686</v>
      </c>
      <c r="Q47" s="46">
        <f ca="1">((WaterfallData!Q$83-WaterfallData!$L$83)/(LN(WaterfallData!Q$83)-LN(WaterfallData!$L$83)))*LN(WaterfallData!Q77/WaterfallData!$L77)</f>
        <v>5.4662484970380589</v>
      </c>
      <c r="R47" s="46">
        <f ca="1">((WaterfallData!R$83-WaterfallData!$L$83)/(LN(WaterfallData!R$83)-LN(WaterfallData!$L$83)))*LN(WaterfallData!R77/WaterfallData!$L77)</f>
        <v>6.5102369373825226</v>
      </c>
      <c r="S47" s="46">
        <f ca="1">((WaterfallData!S$83-WaterfallData!$L$83)/(LN(WaterfallData!S$83)-LN(WaterfallData!$L$83)))*LN(WaterfallData!S77/WaterfallData!$L77)</f>
        <v>7.5400256959752019</v>
      </c>
      <c r="T47" s="46">
        <f ca="1">((WaterfallData!T$83-WaterfallData!$L$83)/(LN(WaterfallData!T$83)-LN(WaterfallData!$L$83)))*LN(WaterfallData!T77/WaterfallData!$L77)</f>
        <v>8.5564121314693313</v>
      </c>
      <c r="U47" s="46">
        <f ca="1">((WaterfallData!U$83-WaterfallData!$L$83)/(LN(WaterfallData!U$83)-LN(WaterfallData!$L$83)))*LN(WaterfallData!U77/WaterfallData!$L77)</f>
        <v>9.5601307057453706</v>
      </c>
      <c r="V47" s="46">
        <f ca="1">((WaterfallData!V$83-WaterfallData!$L$83)/(LN(WaterfallData!V$83)-LN(WaterfallData!$L$83)))*LN(WaterfallData!V77/WaterfallData!$L77)</f>
        <v>10.551859287697733</v>
      </c>
      <c r="W47" s="46">
        <f ca="1">((WaterfallData!W$83-WaterfallData!$L$83)/(LN(WaterfallData!W$83)-LN(WaterfallData!$L$83)))*LN(WaterfallData!W77/WaterfallData!$L77)</f>
        <v>11.45852704732842</v>
      </c>
      <c r="X47" s="46">
        <f ca="1">((WaterfallData!X$83-WaterfallData!$L$83)/(LN(WaterfallData!X$83)-LN(WaterfallData!$L$83)))*LN(WaterfallData!X77/WaterfallData!$L77)</f>
        <v>12.353658534228529</v>
      </c>
      <c r="Y47" s="46">
        <f ca="1">((WaterfallData!Y$83-WaterfallData!$L$83)/(LN(WaterfallData!Y$83)-LN(WaterfallData!$L$83)))*LN(WaterfallData!Y77/WaterfallData!$L77)</f>
        <v>13.237786281355886</v>
      </c>
      <c r="Z47" s="46">
        <f ca="1">((WaterfallData!Z$83-WaterfallData!$L$83)/(LN(WaterfallData!Z$83)-LN(WaterfallData!$L$83)))*LN(WaterfallData!Z77/WaterfallData!$L77)</f>
        <v>14.111408013549321</v>
      </c>
      <c r="AA47" s="46">
        <f ca="1">((WaterfallData!AA$83-WaterfallData!$L$83)/(LN(WaterfallData!AA$83)-LN(WaterfallData!$L$83)))*LN(WaterfallData!AA77/WaterfallData!$L77)</f>
        <v>14.974989560220992</v>
      </c>
      <c r="AB47" s="46">
        <f ca="1">((WaterfallData!AB$83-WaterfallData!$L$83)/(LN(WaterfallData!AB$83)-LN(WaterfallData!$L$83)))*LN(WaterfallData!AB77/WaterfallData!$L77)</f>
        <v>15.828967472616901</v>
      </c>
      <c r="AC47" s="46">
        <f ca="1">((WaterfallData!AC$83-WaterfallData!$L$83)/(LN(WaterfallData!AC$83)-LN(WaterfallData!$L$83)))*LN(WaterfallData!AC77/WaterfallData!$L77)</f>
        <v>16.673751380695045</v>
      </c>
      <c r="AD47" s="46">
        <f ca="1">((WaterfallData!AD$83-WaterfallData!$L$83)/(LN(WaterfallData!AD$83)-LN(WaterfallData!$L$83)))*LN(WaterfallData!AD77/WaterfallData!$L77)</f>
        <v>17.509726119928033</v>
      </c>
      <c r="AE47" s="46">
        <f ca="1">((WaterfallData!AE$83-WaterfallData!$L$83)/(LN(WaterfallData!AE$83)-LN(WaterfallData!$L$83)))*LN(WaterfallData!AE77/WaterfallData!$L77)</f>
        <v>18.337253654313276</v>
      </c>
      <c r="AF47" s="46">
        <f ca="1">((WaterfallData!AF$83-WaterfallData!$L$83)/(LN(WaterfallData!AF$83)-LN(WaterfallData!$L$83)))*LN(WaterfallData!AF77/WaterfallData!$L77)</f>
        <v>19.15667481844816</v>
      </c>
      <c r="AG47" s="46">
        <f ca="1">((WaterfallData!AG$83-WaterfallData!$L$83)/(LN(WaterfallData!AG$83)-LN(WaterfallData!$L$83)))*LN(WaterfallData!AG77/WaterfallData!$L77)</f>
        <v>20.012201769520058</v>
      </c>
      <c r="AH47" s="46">
        <f ca="1">((WaterfallData!AH$83-WaterfallData!$L$83)/(LN(WaterfallData!AH$83)-LN(WaterfallData!$L$83)))*LN(WaterfallData!AH77/WaterfallData!$L77)</f>
        <v>20.860255715348838</v>
      </c>
      <c r="AI47" s="46">
        <f ca="1">((WaterfallData!AI$83-WaterfallData!$L$83)/(LN(WaterfallData!AI$83)-LN(WaterfallData!$L$83)))*LN(WaterfallData!AI77/WaterfallData!$L77)</f>
        <v>21.701136480516329</v>
      </c>
      <c r="AJ47" s="46">
        <f ca="1">((WaterfallData!AJ$83-WaterfallData!$L$83)/(LN(WaterfallData!AJ$83)-LN(WaterfallData!$L$83)))*LN(WaterfallData!AJ77/WaterfallData!$L77)</f>
        <v>22.535126769028025</v>
      </c>
      <c r="AK47" s="46">
        <f ca="1">((WaterfallData!AK$83-WaterfallData!$L$83)/(LN(WaterfallData!AK$83)-LN(WaterfallData!$L$83)))*LN(WaterfallData!AK77/WaterfallData!$L77)</f>
        <v>23.362493415781373</v>
      </c>
      <c r="AL47" s="46">
        <f ca="1">((WaterfallData!AL$83-WaterfallData!$L$83)/(LN(WaterfallData!AL$83)-LN(WaterfallData!$L$83)))*LN(WaterfallData!AL77/WaterfallData!$L77)</f>
        <v>24.183488527177637</v>
      </c>
      <c r="AM47" s="46">
        <f ca="1">((WaterfallData!AM$83-WaterfallData!$L$83)/(LN(WaterfallData!AM$83)-LN(WaterfallData!$L$83)))*LN(WaterfallData!AM77/WaterfallData!$L77)</f>
        <v>24.998350522366614</v>
      </c>
      <c r="AN47" s="46">
        <f ca="1">((WaterfallData!AN$83-WaterfallData!$L$83)/(LN(WaterfallData!AN$83)-LN(WaterfallData!$L$83)))*LN(WaterfallData!AN77/WaterfallData!$L77)</f>
        <v>25.807305085254836</v>
      </c>
      <c r="AO47" s="46">
        <f ca="1">((WaterfallData!AO$83-WaterfallData!$L$83)/(LN(WaterfallData!AO$83)-LN(WaterfallData!$L$83)))*LN(WaterfallData!AO77/WaterfallData!$L77)</f>
        <v>26.61056603622832</v>
      </c>
      <c r="AP47" s="46">
        <f ca="1">((WaterfallData!AP$83-WaterfallData!$L$83)/(LN(WaterfallData!AP$83)-LN(WaterfallData!$L$83)))*LN(WaterfallData!AP77/WaterfallData!$L77)</f>
        <v>27.408336131515767</v>
      </c>
      <c r="AQ47" s="46">
        <f ca="1">((WaterfallData!AQ$83-WaterfallData!$L$83)/(LN(WaterfallData!AQ$83)-LN(WaterfallData!$L$83)))*LN(WaterfallData!AQ77/WaterfallData!$L77)</f>
        <v>28.335072547327108</v>
      </c>
      <c r="AR47" s="46">
        <f ca="1">((WaterfallData!AR$83-WaterfallData!$L$83)/(LN(WaterfallData!AR$83)-LN(WaterfallData!$L$83)))*LN(WaterfallData!AR77/WaterfallData!$L77)</f>
        <v>29.25552392565978</v>
      </c>
      <c r="AS47" s="46">
        <f ca="1">((WaterfallData!AS$83-WaterfallData!$L$83)/(LN(WaterfallData!AS$83)-LN(WaterfallData!$L$83)))*LN(WaterfallData!AS77/WaterfallData!$L77)</f>
        <v>30.169936353274643</v>
      </c>
      <c r="AT47" s="46">
        <f ca="1">((WaterfallData!AT$83-WaterfallData!$L$83)/(LN(WaterfallData!AT$83)-LN(WaterfallData!$L$83)))*LN(WaterfallData!AT77/WaterfallData!$L77)</f>
        <v>31.078542100364817</v>
      </c>
      <c r="AU47" s="46">
        <f ca="1">((WaterfallData!AU$83-WaterfallData!$L$83)/(LN(WaterfallData!AU$83)-LN(WaterfallData!$L$83)))*LN(WaterfallData!AU77/WaterfallData!$L77)</f>
        <v>31.981560613730075</v>
      </c>
      <c r="AV47" s="46">
        <f ca="1">((WaterfallData!AV$83-WaterfallData!$L$83)/(LN(WaterfallData!AV$83)-LN(WaterfallData!$L$83)))*LN(WaterfallData!AV77/WaterfallData!$L77)</f>
        <v>32.879199423544932</v>
      </c>
      <c r="AW47" s="46">
        <f ca="1">((WaterfallData!AW$83-WaterfallData!$L$83)/(LN(WaterfallData!AW$83)-LN(WaterfallData!$L$83)))*LN(WaterfallData!AW77/WaterfallData!$L77)</f>
        <v>33.771654972504642</v>
      </c>
      <c r="AX47" s="46">
        <f ca="1">((WaterfallData!AX$83-WaterfallData!$L$83)/(LN(WaterfallData!AX$83)-LN(WaterfallData!$L$83)))*LN(WaterfallData!AX77/WaterfallData!$L77)</f>
        <v>34.659113375114593</v>
      </c>
      <c r="AY47" s="46">
        <f ca="1">((WaterfallData!AY$83-WaterfallData!$L$83)/(LN(WaterfallData!AY$83)-LN(WaterfallData!$L$83)))*LN(WaterfallData!AY77/WaterfallData!$L77)</f>
        <v>35.541751114003134</v>
      </c>
      <c r="AZ47" s="46">
        <f ca="1">((WaterfallData!AZ$83-WaterfallData!$L$83)/(LN(WaterfallData!AZ$83)-LN(WaterfallData!$L$83)))*LN(WaterfallData!AZ77/WaterfallData!$L77)</f>
        <v>36.28296417151207</v>
      </c>
      <c r="BA47" s="46">
        <f ca="1">((WaterfallData!BA$83-WaterfallData!$L$83)/(LN(WaterfallData!BA$83)-LN(WaterfallData!$L$83)))*LN(WaterfallData!BA77/WaterfallData!$L77)</f>
        <v>37.251161172705203</v>
      </c>
      <c r="BB47" s="46">
        <f ca="1">((WaterfallData!BB$83-WaterfallData!$L$83)/(LN(WaterfallData!BB$83)-LN(WaterfallData!$L$83)))*LN(WaterfallData!BB77/WaterfallData!$L77)</f>
        <v>38.210156133382036</v>
      </c>
      <c r="BC47" s="46">
        <f ca="1">((WaterfallData!BC$83-WaterfallData!$L$83)/(LN(WaterfallData!BC$83)-LN(WaterfallData!$L$83)))*LN(WaterfallData!BC77/WaterfallData!$L77)</f>
        <v>39.160305916327061</v>
      </c>
      <c r="BD47" s="46">
        <f ca="1">((WaterfallData!BD$83-WaterfallData!$L$83)/(LN(WaterfallData!BD$83)-LN(WaterfallData!$L$83)))*LN(WaterfallData!BD77/WaterfallData!$L77)</f>
        <v>40.101947603866748</v>
      </c>
      <c r="BE47" s="46">
        <f ca="1">((WaterfallData!BE$83-WaterfallData!$L$83)/(LN(WaterfallData!BE$83)-LN(WaterfallData!$L$83)))*LN(WaterfallData!BE77/WaterfallData!$L77)</f>
        <v>41.035399906978164</v>
      </c>
      <c r="BF47" s="46">
        <f ca="1">((WaterfallData!BF$83-WaterfallData!$L$83)/(LN(WaterfallData!BF$83)-LN(WaterfallData!$L$83)))*LN(WaterfallData!BF77/WaterfallData!$L77)</f>
        <v>41.960964452369765</v>
      </c>
      <c r="BG47" s="46">
        <f ca="1">((WaterfallData!BG$83-WaterfallData!$L$83)/(LN(WaterfallData!BG$83)-LN(WaterfallData!$L$83)))*LN(WaterfallData!BG77/WaterfallData!$L77)</f>
        <v>42.878926959928236</v>
      </c>
      <c r="BH47" s="46">
        <f ca="1">((WaterfallData!BH$83-WaterfallData!$L$83)/(LN(WaterfallData!BH$83)-LN(WaterfallData!$L$83)))*LN(WaterfallData!BH77/WaterfallData!$L77)</f>
        <v>43.789558321485572</v>
      </c>
      <c r="BI47" s="46">
        <f ca="1">((WaterfallData!BI$83-WaterfallData!$L$83)/(LN(WaterfallData!BI$83)-LN(WaterfallData!$L$83)))*LN(WaterfallData!BI77/WaterfallData!$L77)</f>
        <v>44.693115590607619</v>
      </c>
      <c r="BJ47" s="46">
        <f ca="1">((WaterfallData!BJ$83-WaterfallData!$L$83)/(LN(WaterfallData!BJ$83)-LN(WaterfallData!$L$83)))*LN(WaterfallData!BJ77/WaterfallData!$L77)</f>
        <v>45.589842892017131</v>
      </c>
      <c r="BK47" s="46">
        <f ca="1">((WaterfallData!BK$83-WaterfallData!$L$83)/(LN(WaterfallData!BK$83)-LN(WaterfallData!$L$83)))*LN(WaterfallData!BK77/WaterfallData!$L77)</f>
        <v>46.575402436330755</v>
      </c>
      <c r="BL47" s="46">
        <f ca="1">((WaterfallData!BL$83-WaterfallData!$L$83)/(LN(WaterfallData!BL$83)-LN(WaterfallData!$L$83)))*LN(WaterfallData!BL77/WaterfallData!$L77)</f>
        <v>47.550278613582897</v>
      </c>
      <c r="BM47" s="46">
        <f ca="1">((WaterfallData!BM$83-WaterfallData!$L$83)/(LN(WaterfallData!BM$83)-LN(WaterfallData!$L$83)))*LN(WaterfallData!BM77/WaterfallData!$L77)</f>
        <v>48.514875614514686</v>
      </c>
      <c r="BN47" s="46">
        <f ca="1">((WaterfallData!BN$83-WaterfallData!$L$83)/(LN(WaterfallData!BN$83)-LN(WaterfallData!$L$83)))*LN(WaterfallData!BN77/WaterfallData!$L77)</f>
        <v>49.469575716343535</v>
      </c>
      <c r="BO47" s="46">
        <f ca="1">((WaterfallData!BO$83-WaterfallData!$L$83)/(LN(WaterfallData!BO$83)-LN(WaterfallData!$L$83)))*LN(WaterfallData!BO77/WaterfallData!$L77)</f>
        <v>50.414740815733118</v>
      </c>
      <c r="BP47" s="46">
        <f ca="1">((WaterfallData!BP$83-WaterfallData!$L$83)/(LN(WaterfallData!BP$83)-LN(WaterfallData!$L$83)))*LN(WaterfallData!BP77/WaterfallData!$L77)</f>
        <v>51.350713831002999</v>
      </c>
      <c r="BQ47" s="46">
        <f ca="1">((WaterfallData!BQ$83-WaterfallData!$L$83)/(LN(WaterfallData!BQ$83)-LN(WaterfallData!$L$83)))*LN(WaterfallData!BQ77/WaterfallData!$L77)</f>
        <v>52.277819986687682</v>
      </c>
      <c r="BR47" s="46">
        <f ca="1">((WaterfallData!BR$83-WaterfallData!$L$83)/(LN(WaterfallData!BR$83)-LN(WaterfallData!$L$83)))*LN(WaterfallData!BR77/WaterfallData!$L77)</f>
        <v>53.196367992046483</v>
      </c>
      <c r="BS47" s="46">
        <f ca="1">((WaterfallData!BS$83-WaterfallData!$L$83)/(LN(WaterfallData!BS$83)-LN(WaterfallData!$L$83)))*LN(WaterfallData!BS77/WaterfallData!$L77)</f>
        <v>54.106651123817073</v>
      </c>
      <c r="BT47" s="46">
        <f ca="1">((WaterfallData!BT$83-WaterfallData!$L$83)/(LN(WaterfallData!BT$83)-LN(WaterfallData!$L$83)))*LN(WaterfallData!BT77/WaterfallData!$L77)</f>
        <v>55.008948222361724</v>
      </c>
      <c r="BU47" s="46">
        <f ca="1">((WaterfallData!BU$83-WaterfallData!$L$83)/(LN(WaterfallData!BU$83)-LN(WaterfallData!$L$83)))*LN(WaterfallData!BU77/WaterfallData!$L77)</f>
        <v>56.079944816762598</v>
      </c>
      <c r="BV47" s="46">
        <f ca="1">((WaterfallData!BV$83-WaterfallData!$L$83)/(LN(WaterfallData!BV$83)-LN(WaterfallData!$L$83)))*LN(WaterfallData!BV77/WaterfallData!$L77)</f>
        <v>57.140914765011338</v>
      </c>
      <c r="BW47" s="46">
        <f ca="1">((WaterfallData!BW$83-WaterfallData!$L$83)/(LN(WaterfallData!BW$83)-LN(WaterfallData!$L$83)))*LN(WaterfallData!BW77/WaterfallData!$L77)</f>
        <v>58.192238889794531</v>
      </c>
      <c r="BX47" s="46">
        <f ca="1">((WaterfallData!BX$83-WaterfallData!$L$83)/(LN(WaterfallData!BX$83)-LN(WaterfallData!$L$83)))*LN(WaterfallData!BX77/WaterfallData!$L77)</f>
        <v>59.234277247205497</v>
      </c>
      <c r="BY47" s="46">
        <f ca="1">((WaterfallData!BY$83-WaterfallData!$L$83)/(LN(WaterfallData!BY$83)-LN(WaterfallData!$L$83)))*LN(WaterfallData!BY77/WaterfallData!$L77)</f>
        <v>60.267370585081061</v>
      </c>
      <c r="BZ47" s="46">
        <f ca="1">((WaterfallData!BZ$83-WaterfallData!$L$83)/(LN(WaterfallData!BZ$83)-LN(WaterfallData!$L$83)))*LN(WaterfallData!BZ77/WaterfallData!$L77)</f>
        <v>61.291841676689025</v>
      </c>
      <c r="CA47" s="46">
        <f ca="1">((WaterfallData!CA$83-WaterfallData!$L$83)/(LN(WaterfallData!CA$83)-LN(WaterfallData!$L$83)))*LN(WaterfallData!CA77/WaterfallData!$L77)</f>
        <v>62.30799654227306</v>
      </c>
      <c r="CB47" s="46">
        <f ca="1">((WaterfallData!CB$83-WaterfallData!$L$83)/(LN(WaterfallData!CB$83)-LN(WaterfallData!$L$83)))*LN(WaterfallData!CB77/WaterfallData!$L77)</f>
        <v>63.316125569522264</v>
      </c>
      <c r="CC47" s="46">
        <f ca="1">((WaterfallData!CC$83-WaterfallData!$L$83)/(LN(WaterfallData!CC$83)-LN(WaterfallData!$L$83)))*LN(WaterfallData!CC77/WaterfallData!$L77)</f>
        <v>64.316504542787484</v>
      </c>
      <c r="CD47" s="46">
        <f ca="1">((WaterfallData!CD$83-WaterfallData!$L$83)/(LN(WaterfallData!CD$83)-LN(WaterfallData!$L$83)))*LN(WaterfallData!CD77/WaterfallData!$L77)</f>
        <v>65.309395589770702</v>
      </c>
      <c r="CE47" s="46">
        <f ca="1">((WaterfallData!CE$83-WaterfallData!$L$83)/(LN(WaterfallData!CE$83)-LN(WaterfallData!$L$83)))*LN(WaterfallData!CE77/WaterfallData!$L77)</f>
        <v>66.464371863692534</v>
      </c>
      <c r="CF47" s="46">
        <f ca="1">((WaterfallData!CF$83-WaterfallData!$L$83)/(LN(WaterfallData!CF$83)-LN(WaterfallData!$L$83)))*LN(WaterfallData!CF77/WaterfallData!$L77)</f>
        <v>67.609789524796085</v>
      </c>
      <c r="CG47" s="46">
        <f ca="1">((WaterfallData!CG$83-WaterfallData!$L$83)/(LN(WaterfallData!CG$83)-LN(WaterfallData!$L$83)))*LN(WaterfallData!CG77/WaterfallData!$L77)</f>
        <v>68.746008073512414</v>
      </c>
      <c r="CH47" s="46">
        <f ca="1">((WaterfallData!CH$83-WaterfallData!$L$83)/(LN(WaterfallData!CH$83)-LN(WaterfallData!$L$83)))*LN(WaterfallData!CH77/WaterfallData!$L77)</f>
        <v>69.873367519823034</v>
      </c>
      <c r="CI47" s="46">
        <f ca="1">((WaterfallData!CI$83-WaterfallData!$L$83)/(LN(WaterfallData!CI$83)-LN(WaterfallData!$L$83)))*LN(WaterfallData!CI77/WaterfallData!$L77)</f>
        <v>70.992189743580568</v>
      </c>
      <c r="CJ47" s="46">
        <f ca="1">((WaterfallData!CJ$83-WaterfallData!$L$83)/(LN(WaterfallData!CJ$83)-LN(WaterfallData!$L$83)))*LN(WaterfallData!CJ77/WaterfallData!$L77)</f>
        <v>72.102779739368742</v>
      </c>
      <c r="CK47" s="46">
        <f ca="1">((WaterfallData!CK$83-WaterfallData!$L$83)/(LN(WaterfallData!CK$83)-LN(WaterfallData!$L$83)))*LN(WaterfallData!CK77/WaterfallData!$L77)</f>
        <v>73.205426757397348</v>
      </c>
      <c r="CL47" s="46">
        <f ca="1">((WaterfallData!CL$83-WaterfallData!$L$83)/(LN(WaterfallData!CL$83)-LN(WaterfallData!$L$83)))*LN(WaterfallData!CL77/WaterfallData!$L77)</f>
        <v>74.300405350617723</v>
      </c>
      <c r="CM47" s="46">
        <f ca="1">((WaterfallData!CM$83-WaterfallData!$L$83)/(LN(WaterfallData!CM$83)-LN(WaterfallData!$L$83)))*LN(WaterfallData!CM77/WaterfallData!$L77)</f>
        <v>75.387976337103012</v>
      </c>
      <c r="CN47" s="46">
        <f ca="1">((WaterfallData!CN$83-WaterfallData!$L$83)/(LN(WaterfallData!CN$83)-LN(WaterfallData!$L$83)))*LN(WaterfallData!CN77/WaterfallData!$L77)</f>
        <v>76.468387685741718</v>
      </c>
    </row>
    <row r="48" spans="1:99" x14ac:dyDescent="0.15">
      <c r="A48" s="37" t="s">
        <v>90</v>
      </c>
      <c r="B48" s="37"/>
      <c r="C48" s="46">
        <f ca="1">((WaterfallData!C$83-WaterfallData!$L$83)/(LN(WaterfallData!C$83)-LN(WaterfallData!$L$83)))*LN(WaterfallData!C78/WaterfallData!$L78)</f>
        <v>7.8452537997342535</v>
      </c>
      <c r="D48" s="46">
        <f ca="1">((WaterfallData!D$83-WaterfallData!$L$83)/(LN(WaterfallData!D$83)-LN(WaterfallData!$L$83)))*LN(WaterfallData!D78/WaterfallData!$L78)</f>
        <v>7.1238440657986999</v>
      </c>
      <c r="E48" s="46">
        <f ca="1">((WaterfallData!E$83-WaterfallData!$L$83)/(LN(WaterfallData!E$83)-LN(WaterfallData!$L$83)))*LN(WaterfallData!E78/WaterfallData!$L78)</f>
        <v>6.3683382107984663</v>
      </c>
      <c r="F48" s="46">
        <f ca="1">((WaterfallData!F$83-WaterfallData!$L$83)/(LN(WaterfallData!F$83)-LN(WaterfallData!$L$83)))*LN(WaterfallData!F78/WaterfallData!$L78)</f>
        <v>5.5774205782154604</v>
      </c>
      <c r="G48" s="46">
        <f ca="1">((WaterfallData!G$83-WaterfallData!$L$83)/(LN(WaterfallData!G$83)-LN(WaterfallData!$L$83)))*LN(WaterfallData!G78/WaterfallData!$L78)</f>
        <v>4.7496707842661383</v>
      </c>
      <c r="H48" s="46">
        <f ca="1">((WaterfallData!H$83-WaterfallData!$L$83)/(LN(WaterfallData!H$83)-LN(WaterfallData!$L$83)))*LN(WaterfallData!H78/WaterfallData!$L78)</f>
        <v>3.8835536185099255</v>
      </c>
      <c r="I48" s="46">
        <f ca="1">((WaterfallData!I$83-WaterfallData!$L$83)/(LN(WaterfallData!I$83)-LN(WaterfallData!$L$83)))*LN(WaterfallData!I78/WaterfallData!$L78)</f>
        <v>2.9774075832712286</v>
      </c>
      <c r="J48" s="46">
        <f ca="1">((WaterfallData!J$83-WaterfallData!$L$83)/(LN(WaterfallData!J$83)-LN(WaterfallData!$L$83)))*LN(WaterfallData!J78/WaterfallData!$L78)</f>
        <v>2.0294318552798001</v>
      </c>
      <c r="K48" s="46">
        <f ca="1">((WaterfallData!K$83-WaterfallData!$L$83)/(LN(WaterfallData!K$83)-LN(WaterfallData!$L$83)))*LN(WaterfallData!K78/WaterfallData!$L78)</f>
        <v>1.0376714103894304</v>
      </c>
      <c r="L48" s="46" t="e">
        <f ca="1">((WaterfallData!L$83-WaterfallData!$L$83)/(LN(WaterfallData!L$83)-LN(WaterfallData!$L$83)))*LN(WaterfallData!L78/WaterfallData!$L78)</f>
        <v>#DIV/0!</v>
      </c>
      <c r="M48" s="46">
        <f ca="1">((WaterfallData!M$83-WaterfallData!$L$83)/(LN(WaterfallData!M$83)-LN(WaterfallData!$L$83)))*LN(WaterfallData!M78/WaterfallData!$L78)</f>
        <v>-0.75875563904584431</v>
      </c>
      <c r="N48" s="46">
        <f ca="1">((WaterfallData!N$83-WaterfallData!$L$83)/(LN(WaterfallData!N$83)-LN(WaterfallData!$L$83)))*LN(WaterfallData!N78/WaterfallData!$L78)</f>
        <v>-1.5434409929353663</v>
      </c>
      <c r="O48" s="46">
        <f ca="1">((WaterfallData!O$83-WaterfallData!$L$83)/(LN(WaterfallData!O$83)-LN(WaterfallData!$L$83)))*LN(WaterfallData!O78/WaterfallData!$L78)</f>
        <v>-2.3550047493036437</v>
      </c>
      <c r="P48" s="46">
        <f ca="1">((WaterfallData!P$83-WaterfallData!$L$83)/(LN(WaterfallData!P$83)-LN(WaterfallData!$L$83)))*LN(WaterfallData!P78/WaterfallData!$L78)</f>
        <v>-3.1944590497466105</v>
      </c>
      <c r="Q48" s="46">
        <f ca="1">((WaterfallData!Q$83-WaterfallData!$L$83)/(LN(WaterfallData!Q$83)-LN(WaterfallData!$L$83)))*LN(WaterfallData!Q78/WaterfallData!$L78)</f>
        <v>-4.0628850349815249</v>
      </c>
      <c r="R48" s="46">
        <f ca="1">((WaterfallData!R$83-WaterfallData!$L$83)/(LN(WaterfallData!R$83)-LN(WaterfallData!$L$83)))*LN(WaterfallData!R78/WaterfallData!$L78)</f>
        <v>-4.9614390295107409</v>
      </c>
      <c r="S48" s="46">
        <f ca="1">((WaterfallData!S$83-WaterfallData!$L$83)/(LN(WaterfallData!S$83)-LN(WaterfallData!$L$83)))*LN(WaterfallData!S78/WaterfallData!$L78)</f>
        <v>-5.8913594555721209</v>
      </c>
      <c r="T48" s="46">
        <f ca="1">((WaterfallData!T$83-WaterfallData!$L$83)/(LN(WaterfallData!T$83)-LN(WaterfallData!$L$83)))*LN(WaterfallData!T78/WaterfallData!$L78)</f>
        <v>-6.8539745813326913</v>
      </c>
      <c r="U48" s="46">
        <f ca="1">((WaterfallData!U$83-WaterfallData!$L$83)/(LN(WaterfallData!U$83)-LN(WaterfallData!$L$83)))*LN(WaterfallData!U78/WaterfallData!$L78)</f>
        <v>-7.8507112264567835</v>
      </c>
      <c r="V48" s="46">
        <f ca="1">((WaterfallData!V$83-WaterfallData!$L$83)/(LN(WaterfallData!V$83)-LN(WaterfallData!$L$83)))*LN(WaterfallData!V78/WaterfallData!$L78)</f>
        <v>-8.8831045700386877</v>
      </c>
      <c r="W48" s="46">
        <f ca="1">((WaterfallData!W$83-WaterfallData!$L$83)/(LN(WaterfallData!W$83)-LN(WaterfallData!$L$83)))*LN(WaterfallData!W78/WaterfallData!$L78)</f>
        <v>-9.4364987834483731</v>
      </c>
      <c r="X48" s="46">
        <f ca="1">((WaterfallData!X$83-WaterfallData!$L$83)/(LN(WaterfallData!X$83)-LN(WaterfallData!$L$83)))*LN(WaterfallData!X78/WaterfallData!$L78)</f>
        <v>-10.00111762710147</v>
      </c>
      <c r="Y48" s="46">
        <f ca="1">((WaterfallData!Y$83-WaterfallData!$L$83)/(LN(WaterfallData!Y$83)-LN(WaterfallData!$L$83)))*LN(WaterfallData!Y78/WaterfallData!$L78)</f>
        <v>-10.577222466825095</v>
      </c>
      <c r="Z48" s="46">
        <f ca="1">((WaterfallData!Z$83-WaterfallData!$L$83)/(LN(WaterfallData!Z$83)-LN(WaterfallData!$L$83)))*LN(WaterfallData!Z78/WaterfallData!$L78)</f>
        <v>-11.165085529487733</v>
      </c>
      <c r="AA48" s="46">
        <f ca="1">((WaterfallData!AA$83-WaterfallData!$L$83)/(LN(WaterfallData!AA$83)-LN(WaterfallData!$L$83)))*LN(WaterfallData!AA78/WaterfallData!$L78)</f>
        <v>-11.764990491965031</v>
      </c>
      <c r="AB48" s="46">
        <f ca="1">((WaterfallData!AB$83-WaterfallData!$L$83)/(LN(WaterfallData!AB$83)-LN(WaterfallData!$L$83)))*LN(WaterfallData!AB78/WaterfallData!$L78)</f>
        <v>-12.377233111791584</v>
      </c>
      <c r="AC48" s="46">
        <f ca="1">((WaterfallData!AC$83-WaterfallData!$L$83)/(LN(WaterfallData!AC$83)-LN(WaterfallData!$L$83)))*LN(WaterfallData!AC78/WaterfallData!$L78)</f>
        <v>-13.002121903060402</v>
      </c>
      <c r="AD48" s="46">
        <f ca="1">((WaterfallData!AD$83-WaterfallData!$L$83)/(LN(WaterfallData!AD$83)-LN(WaterfallData!$L$83)))*LN(WaterfallData!AD78/WaterfallData!$L78)</f>
        <v>-13.639978861494335</v>
      </c>
      <c r="AE48" s="46">
        <f ca="1">((WaterfallData!AE$83-WaterfallData!$L$83)/(LN(WaterfallData!AE$83)-LN(WaterfallData!$L$83)))*LN(WaterfallData!AE78/WaterfallData!$L78)</f>
        <v>-14.291140243019187</v>
      </c>
      <c r="AF48" s="46">
        <f ca="1">((WaterfallData!AF$83-WaterfallData!$L$83)/(LN(WaterfallData!AF$83)-LN(WaterfallData!$L$83)))*LN(WaterfallData!AF78/WaterfallData!$L78)</f>
        <v>-14.955957400622996</v>
      </c>
      <c r="AG48" s="46">
        <f ca="1">((WaterfallData!AG$83-WaterfallData!$L$83)/(LN(WaterfallData!AG$83)-LN(WaterfallData!$L$83)))*LN(WaterfallData!AG78/WaterfallData!$L78)</f>
        <v>-15.457988753579924</v>
      </c>
      <c r="AH48" s="46">
        <f ca="1">((WaterfallData!AH$83-WaterfallData!$L$83)/(LN(WaterfallData!AH$83)-LN(WaterfallData!$L$83)))*LN(WaterfallData!AH78/WaterfallData!$L78)</f>
        <v>-15.968490735576488</v>
      </c>
      <c r="AI48" s="46">
        <f ca="1">((WaterfallData!AI$83-WaterfallData!$L$83)/(LN(WaterfallData!AI$83)-LN(WaterfallData!$L$83)))*LN(WaterfallData!AI78/WaterfallData!$L78)</f>
        <v>-16.487615780556411</v>
      </c>
      <c r="AJ48" s="46">
        <f ca="1">((WaterfallData!AJ$83-WaterfallData!$L$83)/(LN(WaterfallData!AJ$83)-LN(WaterfallData!$L$83)))*LN(WaterfallData!AJ78/WaterfallData!$L78)</f>
        <v>-17.015521462478016</v>
      </c>
      <c r="AK48" s="46">
        <f ca="1">((WaterfallData!AK$83-WaterfallData!$L$83)/(LN(WaterfallData!AK$83)-LN(WaterfallData!$L$83)))*LN(WaterfallData!AK78/WaterfallData!$L78)</f>
        <v>-17.552370712820903</v>
      </c>
      <c r="AL48" s="46">
        <f ca="1">((WaterfallData!AL$83-WaterfallData!$L$83)/(LN(WaterfallData!AL$83)-LN(WaterfallData!$L$83)))*LN(WaterfallData!AL78/WaterfallData!$L78)</f>
        <v>-18.09833205046349</v>
      </c>
      <c r="AM48" s="46">
        <f ca="1">((WaterfallData!AM$83-WaterfallData!$L$83)/(LN(WaterfallData!AM$83)-LN(WaterfallData!$L$83)))*LN(WaterfallData!AM78/WaterfallData!$L78)</f>
        <v>-18.653579824758303</v>
      </c>
      <c r="AN48" s="46">
        <f ca="1">((WaterfallData!AN$83-WaterfallData!$L$83)/(LN(WaterfallData!AN$83)-LN(WaterfallData!$L$83)))*LN(WaterfallData!AN78/WaterfallData!$L78)</f>
        <v>-19.218294472699466</v>
      </c>
      <c r="AO48" s="46">
        <f ca="1">((WaterfallData!AO$83-WaterfallData!$L$83)/(LN(WaterfallData!AO$83)-LN(WaterfallData!$L$83)))*LN(WaterfallData!AO78/WaterfallData!$L78)</f>
        <v>-19.792662791149191</v>
      </c>
      <c r="AP48" s="46">
        <f ca="1">((WaterfallData!AP$83-WaterfallData!$L$83)/(LN(WaterfallData!AP$83)-LN(WaterfallData!$L$83)))*LN(WaterfallData!AP78/WaterfallData!$L78)</f>
        <v>-20.376878225170625</v>
      </c>
      <c r="AQ48" s="46">
        <f ca="1">((WaterfallData!AQ$83-WaterfallData!$L$83)/(LN(WaterfallData!AQ$83)-LN(WaterfallData!$L$83)))*LN(WaterfallData!AQ78/WaterfallData!$L78)</f>
        <v>-20.858354665500347</v>
      </c>
      <c r="AR48" s="46">
        <f ca="1">((WaterfallData!AR$83-WaterfallData!$L$83)/(LN(WaterfallData!AR$83)-LN(WaterfallData!$L$83)))*LN(WaterfallData!AR78/WaterfallData!$L78)</f>
        <v>-21.34674698725593</v>
      </c>
      <c r="AS48" s="46">
        <f ca="1">((WaterfallData!AS$83-WaterfallData!$L$83)/(LN(WaterfallData!AS$83)-LN(WaterfallData!$L$83)))*LN(WaterfallData!AS78/WaterfallData!$L78)</f>
        <v>-21.842153109781808</v>
      </c>
      <c r="AT48" s="46">
        <f ca="1">((WaterfallData!AT$83-WaterfallData!$L$83)/(LN(WaterfallData!AT$83)-LN(WaterfallData!$L$83)))*LN(WaterfallData!AT78/WaterfallData!$L78)</f>
        <v>-22.34467371061853</v>
      </c>
      <c r="AU48" s="46">
        <f ca="1">((WaterfallData!AU$83-WaterfallData!$L$83)/(LN(WaterfallData!AU$83)-LN(WaterfallData!$L$83)))*LN(WaterfallData!AU78/WaterfallData!$L78)</f>
        <v>-22.854412317252752</v>
      </c>
      <c r="AV48" s="46">
        <f ca="1">((WaterfallData!AV$83-WaterfallData!$L$83)/(LN(WaterfallData!AV$83)-LN(WaterfallData!$L$83)))*LN(WaterfallData!AV78/WaterfallData!$L78)</f>
        <v>-23.371475403249644</v>
      </c>
      <c r="AW48" s="46">
        <f ca="1">((WaterfallData!AW$83-WaterfallData!$L$83)/(LN(WaterfallData!AW$83)-LN(WaterfallData!$L$83)))*LN(WaterfallData!AW78/WaterfallData!$L78)</f>
        <v>-23.895972488997121</v>
      </c>
      <c r="AX48" s="46">
        <f ca="1">((WaterfallData!AX$83-WaterfallData!$L$83)/(LN(WaterfallData!AX$83)-LN(WaterfallData!$L$83)))*LN(WaterfallData!AX78/WaterfallData!$L78)</f>
        <v>-24.428016247306246</v>
      </c>
      <c r="AY48" s="46">
        <f ca="1">((WaterfallData!AY$83-WaterfallData!$L$83)/(LN(WaterfallData!AY$83)-LN(WaterfallData!$L$83)))*LN(WaterfallData!AY78/WaterfallData!$L78)</f>
        <v>-24.967722614129404</v>
      </c>
      <c r="AZ48" s="46">
        <f ca="1">((WaterfallData!AZ$83-WaterfallData!$L$83)/(LN(WaterfallData!AZ$83)-LN(WaterfallData!$L$83)))*LN(WaterfallData!AZ78/WaterfallData!$L78)</f>
        <v>-25.514616419456104</v>
      </c>
      <c r="BA48" s="46">
        <f ca="1">((WaterfallData!BA$83-WaterfallData!$L$83)/(LN(WaterfallData!BA$83)-LN(WaterfallData!$L$83)))*LN(WaterfallData!BA78/WaterfallData!$L78)</f>
        <v>-26.041197534724066</v>
      </c>
      <c r="BB48" s="46">
        <f ca="1">((WaterfallData!BB$83-WaterfallData!$L$83)/(LN(WaterfallData!BB$83)-LN(WaterfallData!$L$83)))*LN(WaterfallData!BB78/WaterfallData!$L78)</f>
        <v>-26.575000503940778</v>
      </c>
      <c r="BC48" s="46">
        <f ca="1">((WaterfallData!BC$83-WaterfallData!$L$83)/(LN(WaterfallData!BC$83)-LN(WaterfallData!$L$83)))*LN(WaterfallData!BC78/WaterfallData!$L78)</f>
        <v>-27.116146388537832</v>
      </c>
      <c r="BD48" s="46">
        <f ca="1">((WaterfallData!BD$83-WaterfallData!$L$83)/(LN(WaterfallData!BD$83)-LN(WaterfallData!$L$83)))*LN(WaterfallData!BD78/WaterfallData!$L78)</f>
        <v>-27.664759837337833</v>
      </c>
      <c r="BE48" s="46">
        <f ca="1">((WaterfallData!BE$83-WaterfallData!$L$83)/(LN(WaterfallData!BE$83)-LN(WaterfallData!$L$83)))*LN(WaterfallData!BE78/WaterfallData!$L78)</f>
        <v>-28.220969225207536</v>
      </c>
      <c r="BF48" s="46">
        <f ca="1">((WaterfallData!BF$83-WaterfallData!$L$83)/(LN(WaterfallData!BF$83)-LN(WaterfallData!$L$83)))*LN(WaterfallData!BF78/WaterfallData!$L78)</f>
        <v>-28.784906798697453</v>
      </c>
      <c r="BG48" s="46">
        <f ca="1">((WaterfallData!BG$83-WaterfallData!$L$83)/(LN(WaterfallData!BG$83)-LN(WaterfallData!$L$83)))*LN(WaterfallData!BG78/WaterfallData!$L78)</f>
        <v>-29.356708829090429</v>
      </c>
      <c r="BH48" s="46">
        <f ca="1">((WaterfallData!BH$83-WaterfallData!$L$83)/(LN(WaterfallData!BH$83)-LN(WaterfallData!$L$83)))*LN(WaterfallData!BH78/WaterfallData!$L78)</f>
        <v>-29.936515773312035</v>
      </c>
      <c r="BI48" s="46">
        <f ca="1">((WaterfallData!BI$83-WaterfallData!$L$83)/(LN(WaterfallData!BI$83)-LN(WaterfallData!$L$83)))*LN(WaterfallData!BI78/WaterfallData!$L78)</f>
        <v>-30.524472443187022</v>
      </c>
      <c r="BJ48" s="46">
        <f ca="1">((WaterfallData!BJ$83-WaterfallData!$L$83)/(LN(WaterfallData!BJ$83)-LN(WaterfallData!$L$83)))*LN(WaterfallData!BJ78/WaterfallData!$L78)</f>
        <v>-31.120728183564356</v>
      </c>
      <c r="BK48" s="46">
        <f ca="1">((WaterfallData!BK$83-WaterfallData!$L$83)/(LN(WaterfallData!BK$83)-LN(WaterfallData!$L$83)))*LN(WaterfallData!BK78/WaterfallData!$L78)</f>
        <v>-31.664785864014814</v>
      </c>
      <c r="BL48" s="46">
        <f ca="1">((WaterfallData!BL$83-WaterfallData!$L$83)/(LN(WaterfallData!BL$83)-LN(WaterfallData!$L$83)))*LN(WaterfallData!BL78/WaterfallData!$L78)</f>
        <v>-32.215819583466363</v>
      </c>
      <c r="BM48" s="46">
        <f ca="1">((WaterfallData!BM$83-WaterfallData!$L$83)/(LN(WaterfallData!BM$83)-LN(WaterfallData!$L$83)))*LN(WaterfallData!BM78/WaterfallData!$L78)</f>
        <v>-32.773952793392461</v>
      </c>
      <c r="BN48" s="46">
        <f ca="1">((WaterfallData!BN$83-WaterfallData!$L$83)/(LN(WaterfallData!BN$83)-LN(WaterfallData!$L$83)))*LN(WaterfallData!BN78/WaterfallData!$L78)</f>
        <v>-33.339312627540259</v>
      </c>
      <c r="BO48" s="46">
        <f ca="1">((WaterfallData!BO$83-WaterfallData!$L$83)/(LN(WaterfallData!BO$83)-LN(WaterfallData!$L$83)))*LN(WaterfallData!BO78/WaterfallData!$L78)</f>
        <v>-33.912030048722457</v>
      </c>
      <c r="BP48" s="46">
        <f ca="1">((WaterfallData!BP$83-WaterfallData!$L$83)/(LN(WaterfallData!BP$83)-LN(WaterfallData!$L$83)))*LN(WaterfallData!BP78/WaterfallData!$L78)</f>
        <v>-34.492240003104023</v>
      </c>
      <c r="BQ48" s="46">
        <f ca="1">((WaterfallData!BQ$83-WaterfallData!$L$83)/(LN(WaterfallData!BQ$83)-LN(WaterfallData!$L$83)))*LN(WaterfallData!BQ78/WaterfallData!$L78)</f>
        <v>-35.080081582449523</v>
      </c>
      <c r="BR48" s="46">
        <f ca="1">((WaterfallData!BR$83-WaterfallData!$L$83)/(LN(WaterfallData!BR$83)-LN(WaterfallData!$L$83)))*LN(WaterfallData!BR78/WaterfallData!$L78)</f>
        <v>-35.67569819482744</v>
      </c>
      <c r="BS48" s="46">
        <f ca="1">((WaterfallData!BS$83-WaterfallData!$L$83)/(LN(WaterfallData!BS$83)-LN(WaterfallData!$L$83)))*LN(WaterfallData!BS78/WaterfallData!$L78)</f>
        <v>-36.279237744306343</v>
      </c>
      <c r="BT48" s="46">
        <f ca="1">((WaterfallData!BT$83-WaterfallData!$L$83)/(LN(WaterfallData!BT$83)-LN(WaterfallData!$L$83)))*LN(WaterfallData!BT78/WaterfallData!$L78)</f>
        <v>-36.890852820217731</v>
      </c>
      <c r="BU48" s="46">
        <f ca="1">((WaterfallData!BU$83-WaterfallData!$L$83)/(LN(WaterfallData!BU$83)-LN(WaterfallData!$L$83)))*LN(WaterfallData!BU78/WaterfallData!$L78)</f>
        <v>-37.513627622062664</v>
      </c>
      <c r="BV48" s="46">
        <f ca="1">((WaterfallData!BV$83-WaterfallData!$L$83)/(LN(WaterfallData!BV$83)-LN(WaterfallData!$L$83)))*LN(WaterfallData!BV78/WaterfallData!$L78)</f>
        <v>-38.144757170760116</v>
      </c>
      <c r="BW48" s="46">
        <f ca="1">((WaterfallData!BW$83-WaterfallData!$L$83)/(LN(WaterfallData!BW$83)-LN(WaterfallData!$L$83)))*LN(WaterfallData!BW78/WaterfallData!$L78)</f>
        <v>-38.78439641594403</v>
      </c>
      <c r="BX48" s="46">
        <f ca="1">((WaterfallData!BX$83-WaterfallData!$L$83)/(LN(WaterfallData!BX$83)-LN(WaterfallData!$L$83)))*LN(WaterfallData!BX78/WaterfallData!$L78)</f>
        <v>-39.432705179610203</v>
      </c>
      <c r="BY48" s="46">
        <f ca="1">((WaterfallData!BY$83-WaterfallData!$L$83)/(LN(WaterfallData!BY$83)-LN(WaterfallData!$L$83)))*LN(WaterfallData!BY78/WaterfallData!$L78)</f>
        <v>-40.089848360849629</v>
      </c>
      <c r="BZ48" s="46">
        <f ca="1">((WaterfallData!BZ$83-WaterfallData!$L$83)/(LN(WaterfallData!BZ$83)-LN(WaterfallData!$L$83)))*LN(WaterfallData!BZ78/WaterfallData!$L78)</f>
        <v>-40.755996151629375</v>
      </c>
      <c r="CA48" s="46">
        <f ca="1">((WaterfallData!CA$83-WaterfallData!$L$83)/(LN(WaterfallData!CA$83)-LN(WaterfallData!$L$83)))*LN(WaterfallData!CA78/WaterfallData!$L78)</f>
        <v>-41.431324264344504</v>
      </c>
      <c r="CB48" s="46">
        <f ca="1">((WaterfallData!CB$83-WaterfallData!$L$83)/(LN(WaterfallData!CB$83)-LN(WaterfallData!$L$83)))*LN(WaterfallData!CB78/WaterfallData!$L78)</f>
        <v>-42.116014171917492</v>
      </c>
      <c r="CC48" s="46">
        <f ca="1">((WaterfallData!CC$83-WaterfallData!$L$83)/(LN(WaterfallData!CC$83)-LN(WaterfallData!$L$83)))*LN(WaterfallData!CC78/WaterfallData!$L78)</f>
        <v>-42.810253361285945</v>
      </c>
      <c r="CD48" s="46">
        <f ca="1">((WaterfallData!CD$83-WaterfallData!$L$83)/(LN(WaterfallData!CD$83)-LN(WaterfallData!$L$83)))*LN(WaterfallData!CD78/WaterfallData!$L78)</f>
        <v>-43.514235601183344</v>
      </c>
      <c r="CE48" s="46">
        <f ca="1">((WaterfallData!CE$83-WaterfallData!$L$83)/(LN(WaterfallData!CE$83)-LN(WaterfallData!$L$83)))*LN(WaterfallData!CE78/WaterfallData!$L78)</f>
        <v>-44.187166649324119</v>
      </c>
      <c r="CF48" s="46">
        <f ca="1">((WaterfallData!CF$83-WaterfallData!$L$83)/(LN(WaterfallData!CF$83)-LN(WaterfallData!$L$83)))*LN(WaterfallData!CF78/WaterfallData!$L78)</f>
        <v>-44.868813013184287</v>
      </c>
      <c r="CG48" s="46">
        <f ca="1">((WaterfallData!CG$83-WaterfallData!$L$83)/(LN(WaterfallData!CG$83)-LN(WaterfallData!$L$83)))*LN(WaterfallData!CG78/WaterfallData!$L78)</f>
        <v>-45.559333322563376</v>
      </c>
      <c r="CH48" s="46">
        <f ca="1">((WaterfallData!CH$83-WaterfallData!$L$83)/(LN(WaterfallData!CH$83)-LN(WaterfallData!$L$83)))*LN(WaterfallData!CH78/WaterfallData!$L78)</f>
        <v>-46.258891091431579</v>
      </c>
      <c r="CI48" s="46">
        <f ca="1">((WaterfallData!CI$83-WaterfallData!$L$83)/(LN(WaterfallData!CI$83)-LN(WaterfallData!$L$83)))*LN(WaterfallData!CI78/WaterfallData!$L78)</f>
        <v>-46.967654919605856</v>
      </c>
      <c r="CJ48" s="46">
        <f ca="1">((WaterfallData!CJ$83-WaterfallData!$L$83)/(LN(WaterfallData!CJ$83)-LN(WaterfallData!$L$83)))*LN(WaterfallData!CJ78/WaterfallData!$L78)</f>
        <v>-47.685798705108738</v>
      </c>
      <c r="CK48" s="46">
        <f ca="1">((WaterfallData!CK$83-WaterfallData!$L$83)/(LN(WaterfallData!CK$83)-LN(WaterfallData!$L$83)))*LN(WaterfallData!CK78/WaterfallData!$L78)</f>
        <v>-48.41350186789672</v>
      </c>
      <c r="CL48" s="46">
        <f ca="1">((WaterfallData!CL$83-WaterfallData!$L$83)/(LN(WaterfallData!CL$83)-LN(WaterfallData!$L$83)))*LN(WaterfallData!CL78/WaterfallData!$L78)</f>
        <v>-49.150949585696154</v>
      </c>
      <c r="CM48" s="46">
        <f ca="1">((WaterfallData!CM$83-WaterfallData!$L$83)/(LN(WaterfallData!CM$83)-LN(WaterfallData!$L$83)))*LN(WaterfallData!CM78/WaterfallData!$L78)</f>
        <v>-49.89833304274115</v>
      </c>
      <c r="CN48" s="46">
        <f ca="1">((WaterfallData!CN$83-WaterfallData!$L$83)/(LN(WaterfallData!CN$83)-LN(WaterfallData!$L$83)))*LN(WaterfallData!CN78/WaterfallData!$L78)</f>
        <v>-50.655849692271751</v>
      </c>
    </row>
    <row r="49" spans="1:99" ht="15" x14ac:dyDescent="0.15">
      <c r="A49" s="37" t="s">
        <v>89</v>
      </c>
      <c r="B49" s="37"/>
      <c r="C49" s="46">
        <f ca="1">((WaterfallData!C$83-WaterfallData!$L$83)/(LN(WaterfallData!C$83)-LN(WaterfallData!$L$83)))*LN(WaterfallData!C79/WaterfallData!$L79)</f>
        <v>-0.64463004711218475</v>
      </c>
      <c r="D49" s="46">
        <f ca="1">((WaterfallData!D$83-WaterfallData!$L$83)/(LN(WaterfallData!D$83)-LN(WaterfallData!$L$83)))*LN(WaterfallData!D79/WaterfallData!$L79)</f>
        <v>-0.57768954761619351</v>
      </c>
      <c r="E49" s="46">
        <f ca="1">((WaterfallData!E$83-WaterfallData!$L$83)/(LN(WaterfallData!E$83)-LN(WaterfallData!$L$83)))*LN(WaterfallData!E79/WaterfallData!$L79)</f>
        <v>-0.50953994757401333</v>
      </c>
      <c r="F49" s="46">
        <f ca="1">((WaterfallData!F$83-WaterfallData!$L$83)/(LN(WaterfallData!F$83)-LN(WaterfallData!$L$83)))*LN(WaterfallData!F79/WaterfallData!$L79)</f>
        <v>-0.44019826795169642</v>
      </c>
      <c r="G49" s="46">
        <f ca="1">((WaterfallData!G$83-WaterfallData!$L$83)/(LN(WaterfallData!G$83)-LN(WaterfallData!$L$83)))*LN(WaterfallData!G79/WaterfallData!$L79)</f>
        <v>-0.36968096307585663</v>
      </c>
      <c r="H49" s="46">
        <f ca="1">((WaterfallData!H$83-WaterfallData!$L$83)/(LN(WaterfallData!H$83)-LN(WaterfallData!$L$83)))*LN(WaterfallData!H79/WaterfallData!$L79)</f>
        <v>-0.29800395147891456</v>
      </c>
      <c r="I49" s="46">
        <f ca="1">((WaterfallData!I$83-WaterfallData!$L$83)/(LN(WaterfallData!I$83)-LN(WaterfallData!$L$83)))*LN(WaterfallData!I79/WaterfallData!$L79)</f>
        <v>-0.22518264447927683</v>
      </c>
      <c r="J49" s="46">
        <f ca="1">((WaterfallData!J$83-WaterfallData!$L$83)/(LN(WaterfallData!J$83)-LN(WaterfallData!$L$83)))*LN(WaterfallData!J79/WaterfallData!$L79)</f>
        <v>-0.15123197270190186</v>
      </c>
      <c r="K49" s="46">
        <f ca="1">((WaterfallData!K$83-WaterfallData!$L$83)/(LN(WaterfallData!K$83)-LN(WaterfallData!$L$83)))*LN(WaterfallData!K79/WaterfallData!$L79)</f>
        <v>-7.6166410722547664E-2</v>
      </c>
      <c r="L49" s="46" t="e">
        <f ca="1">((WaterfallData!L$83-WaterfallData!$L$83)/(LN(WaterfallData!L$83)-LN(WaterfallData!$L$83)))*LN(WaterfallData!L79/WaterfallData!$L79)</f>
        <v>#DIV/0!</v>
      </c>
      <c r="M49" s="46">
        <f ca="1">((WaterfallData!M$83-WaterfallData!$L$83)/(LN(WaterfallData!M$83)-LN(WaterfallData!$L$83)))*LN(WaterfallData!M79/WaterfallData!$L79)</f>
        <v>1.708026786377919E-2</v>
      </c>
      <c r="N49" s="46">
        <f ca="1">((WaterfallData!N$83-WaterfallData!$L$83)/(LN(WaterfallData!N$83)-LN(WaterfallData!$L$83)))*LN(WaterfallData!N79/WaterfallData!$L79)</f>
        <v>3.4372871267343792E-2</v>
      </c>
      <c r="O49" s="46">
        <f ca="1">((WaterfallData!O$83-WaterfallData!$L$83)/(LN(WaterfallData!O$83)-LN(WaterfallData!$L$83)))*LN(WaterfallData!O79/WaterfallData!$L79)</f>
        <v>5.1876270241841563E-2</v>
      </c>
      <c r="P49" s="46">
        <f ca="1">((WaterfallData!P$83-WaterfallData!$L$83)/(LN(WaterfallData!P$83)-LN(WaterfallData!$L$83)))*LN(WaterfallData!P79/WaterfallData!$L79)</f>
        <v>6.9588961191896836E-2</v>
      </c>
      <c r="Q49" s="46">
        <f ca="1">((WaterfallData!Q$83-WaterfallData!$L$83)/(LN(WaterfallData!Q$83)-LN(WaterfallData!$L$83)))*LN(WaterfallData!Q79/WaterfallData!$L79)</f>
        <v>8.7509475486006696E-2</v>
      </c>
      <c r="R49" s="46">
        <f ca="1">((WaterfallData!R$83-WaterfallData!$L$83)/(LN(WaterfallData!R$83)-LN(WaterfallData!$L$83)))*LN(WaterfallData!R79/WaterfallData!$L79)</f>
        <v>0.10563637812022302</v>
      </c>
      <c r="S49" s="46">
        <f ca="1">((WaterfallData!S$83-WaterfallData!$L$83)/(LN(WaterfallData!S$83)-LN(WaterfallData!$L$83)))*LN(WaterfallData!S79/WaterfallData!$L79)</f>
        <v>0.12396826645017658</v>
      </c>
      <c r="T49" s="46">
        <f ca="1">((WaterfallData!T$83-WaterfallData!$L$83)/(LN(WaterfallData!T$83)-LN(WaterfallData!$L$83)))*LN(WaterfallData!T79/WaterfallData!$L79)</f>
        <v>0.14250376898735628</v>
      </c>
      <c r="U49" s="46">
        <f ca="1">((WaterfallData!U$83-WaterfallData!$L$83)/(LN(WaterfallData!U$83)-LN(WaterfallData!$L$83)))*LN(WaterfallData!U79/WaterfallData!$L79)</f>
        <v>0.16124154425536824</v>
      </c>
      <c r="V49" s="46">
        <f ca="1">((WaterfallData!V$83-WaterfallData!$L$83)/(LN(WaterfallData!V$83)-LN(WaterfallData!$L$83)))*LN(WaterfallData!V79/WaterfallData!$L79)</f>
        <v>0.18018027970269954</v>
      </c>
      <c r="W49" s="46">
        <f ca="1">((WaterfallData!W$83-WaterfallData!$L$83)/(LN(WaterfallData!W$83)-LN(WaterfallData!$L$83)))*LN(WaterfallData!W79/WaterfallData!$L79)</f>
        <v>0.13372360987634296</v>
      </c>
      <c r="X49" s="46">
        <f ca="1">((WaterfallData!X$83-WaterfallData!$L$83)/(LN(WaterfallData!X$83)-LN(WaterfallData!$L$83)))*LN(WaterfallData!X79/WaterfallData!$L79)</f>
        <v>8.6805682755078328E-2</v>
      </c>
      <c r="Y49" s="46">
        <f ca="1">((WaterfallData!Y$83-WaterfallData!$L$83)/(LN(WaterfallData!Y$83)-LN(WaterfallData!$L$83)))*LN(WaterfallData!Y79/WaterfallData!$L79)</f>
        <v>3.9427271949063494E-2</v>
      </c>
      <c r="Z49" s="46">
        <f ca="1">((WaterfallData!Z$83-WaterfallData!$L$83)/(LN(WaterfallData!Z$83)-LN(WaterfallData!$L$83)))*LN(WaterfallData!Z79/WaterfallData!$L79)</f>
        <v>-8.4108748045329737E-3</v>
      </c>
      <c r="AA49" s="46">
        <f ca="1">((WaterfallData!AA$83-WaterfallData!$L$83)/(LN(WaterfallData!AA$83)-LN(WaterfallData!$L$83)))*LN(WaterfallData!AA79/WaterfallData!$L79)</f>
        <v>-5.6708035027585917E-2</v>
      </c>
      <c r="AB49" s="46">
        <f ca="1">((WaterfallData!AB$83-WaterfallData!$L$83)/(LN(WaterfallData!AB$83)-LN(WaterfallData!$L$83)))*LN(WaterfallData!AB79/WaterfallData!$L79)</f>
        <v>-0.10546351090859266</v>
      </c>
      <c r="AC49" s="46">
        <f ca="1">((WaterfallData!AC$83-WaterfallData!$L$83)/(LN(WaterfallData!AC$83)-LN(WaterfallData!$L$83)))*LN(WaterfallData!AC79/WaterfallData!$L79)</f>
        <v>-0.15467662873103211</v>
      </c>
      <c r="AD49" s="46">
        <f ca="1">((WaterfallData!AD$83-WaterfallData!$L$83)/(LN(WaterfallData!AD$83)-LN(WaterfallData!$L$83)))*LN(WaterfallData!AD79/WaterfallData!$L79)</f>
        <v>-0.20434673832156228</v>
      </c>
      <c r="AE49" s="46">
        <f ca="1">((WaterfallData!AE$83-WaterfallData!$L$83)/(LN(WaterfallData!AE$83)-LN(WaterfallData!$L$83)))*LN(WaterfallData!AE79/WaterfallData!$L79)</f>
        <v>-0.25447321251718719</v>
      </c>
      <c r="AF49" s="46">
        <f ca="1">((WaterfallData!AF$83-WaterfallData!$L$83)/(LN(WaterfallData!AF$83)-LN(WaterfallData!$L$83)))*LN(WaterfallData!AF79/WaterfallData!$L79)</f>
        <v>-0.30505544665065659</v>
      </c>
      <c r="AG49" s="46">
        <f ca="1">((WaterfallData!AG$83-WaterfallData!$L$83)/(LN(WaterfallData!AG$83)-LN(WaterfallData!$L$83)))*LN(WaterfallData!AG79/WaterfallData!$L79)</f>
        <v>-0.34029382722165991</v>
      </c>
      <c r="AH49" s="46">
        <f ca="1">((WaterfallData!AH$83-WaterfallData!$L$83)/(LN(WaterfallData!AH$83)-LN(WaterfallData!$L$83)))*LN(WaterfallData!AH79/WaterfallData!$L79)</f>
        <v>-0.37586809750931016</v>
      </c>
      <c r="AI49" s="46">
        <f ca="1">((WaterfallData!AI$83-WaterfallData!$L$83)/(LN(WaterfallData!AI$83)-LN(WaterfallData!$L$83)))*LN(WaterfallData!AI79/WaterfallData!$L79)</f>
        <v>-0.41177742292554914</v>
      </c>
      <c r="AJ49" s="46">
        <f ca="1">((WaterfallData!AJ$83-WaterfallData!$L$83)/(LN(WaterfallData!AJ$83)-LN(WaterfallData!$L$83)))*LN(WaterfallData!AJ79/WaterfallData!$L79)</f>
        <v>-0.44802098947445101</v>
      </c>
      <c r="AK49" s="46">
        <f ca="1">((WaterfallData!AK$83-WaterfallData!$L$83)/(LN(WaterfallData!AK$83)-LN(WaterfallData!$L$83)))*LN(WaterfallData!AK79/WaterfallData!$L79)</f>
        <v>-0.48459800320525176</v>
      </c>
      <c r="AL49" s="46">
        <f ca="1">((WaterfallData!AL$83-WaterfallData!$L$83)/(LN(WaterfallData!AL$83)-LN(WaterfallData!$L$83)))*LN(WaterfallData!AL79/WaterfallData!$L79)</f>
        <v>-0.52150768968553618</v>
      </c>
      <c r="AM49" s="46">
        <f ca="1">((WaterfallData!AM$83-WaterfallData!$L$83)/(LN(WaterfallData!AM$83)-LN(WaterfallData!$L$83)))*LN(WaterfallData!AM79/WaterfallData!$L79)</f>
        <v>-0.55874929349352342</v>
      </c>
      <c r="AN49" s="46">
        <f ca="1">((WaterfallData!AN$83-WaterfallData!$L$83)/(LN(WaterfallData!AN$83)-LN(WaterfallData!$L$83)))*LN(WaterfallData!AN79/WaterfallData!$L79)</f>
        <v>-0.59632207772874579</v>
      </c>
      <c r="AO49" s="46">
        <f ca="1">((WaterfallData!AO$83-WaterfallData!$L$83)/(LN(WaterfallData!AO$83)-LN(WaterfallData!$L$83)))*LN(WaterfallData!AO79/WaterfallData!$L79)</f>
        <v>-0.63422532354015726</v>
      </c>
      <c r="AP49" s="46">
        <f ca="1">((WaterfallData!AP$83-WaterfallData!$L$83)/(LN(WaterfallData!AP$83)-LN(WaterfallData!$L$83)))*LN(WaterfallData!AP79/WaterfallData!$L79)</f>
        <v>-0.67245832967099384</v>
      </c>
      <c r="AQ49" s="46">
        <f ca="1">((WaterfallData!AQ$83-WaterfallData!$L$83)/(LN(WaterfallData!AQ$83)-LN(WaterfallData!$L$83)))*LN(WaterfallData!AQ79/WaterfallData!$L79)</f>
        <v>-0.71556522959666824</v>
      </c>
      <c r="AR49" s="46">
        <f ca="1">((WaterfallData!AR$83-WaterfallData!$L$83)/(LN(WaterfallData!AR$83)-LN(WaterfallData!$L$83)))*LN(WaterfallData!AR79/WaterfallData!$L79)</f>
        <v>-0.75911850059447072</v>
      </c>
      <c r="AS49" s="46">
        <f ca="1">((WaterfallData!AS$83-WaterfallData!$L$83)/(LN(WaterfallData!AS$83)-LN(WaterfallData!$L$83)))*LN(WaterfallData!AS79/WaterfallData!$L79)</f>
        <v>-0.80311696195260218</v>
      </c>
      <c r="AT49" s="46">
        <f ca="1">((WaterfallData!AT$83-WaterfallData!$L$83)/(LN(WaterfallData!AT$83)-LN(WaterfallData!$L$83)))*LN(WaterfallData!AT79/WaterfallData!$L79)</f>
        <v>-0.8475594661237712</v>
      </c>
      <c r="AU49" s="46">
        <f ca="1">((WaterfallData!AU$83-WaterfallData!$L$83)/(LN(WaterfallData!AU$83)-LN(WaterfallData!$L$83)))*LN(WaterfallData!AU79/WaterfallData!$L79)</f>
        <v>-0.89244489773536828</v>
      </c>
      <c r="AV49" s="46">
        <f ca="1">((WaterfallData!AV$83-WaterfallData!$L$83)/(LN(WaterfallData!AV$83)-LN(WaterfallData!$L$83)))*LN(WaterfallData!AV79/WaterfallData!$L79)</f>
        <v>-0.93777217264058643</v>
      </c>
      <c r="AW49" s="46">
        <f ca="1">((WaterfallData!AW$83-WaterfallData!$L$83)/(LN(WaterfallData!AW$83)-LN(WaterfallData!$L$83)))*LN(WaterfallData!AW79/WaterfallData!$L79)</f>
        <v>-0.98354023700847704</v>
      </c>
      <c r="AX49" s="46">
        <f ca="1">((WaterfallData!AX$83-WaterfallData!$L$83)/(LN(WaterfallData!AX$83)-LN(WaterfallData!$L$83)))*LN(WaterfallData!AX79/WaterfallData!$L79)</f>
        <v>-1.0297480664509087</v>
      </c>
      <c r="AY49" s="46">
        <f ca="1">((WaterfallData!AY$83-WaterfallData!$L$83)/(LN(WaterfallData!AY$83)-LN(WaterfallData!$L$83)))*LN(WaterfallData!AY79/WaterfallData!$L79)</f>
        <v>-1.0763946651846636</v>
      </c>
      <c r="AZ49" s="46">
        <f ca="1">((WaterfallData!AZ$83-WaterfallData!$L$83)/(LN(WaterfallData!AZ$83)-LN(WaterfallData!$L$83)))*LN(WaterfallData!AZ79/WaterfallData!$L79)</f>
        <v>-1.1294900814291422</v>
      </c>
      <c r="BA49" s="46">
        <f ca="1">((WaterfallData!BA$83-WaterfallData!$L$83)/(LN(WaterfallData!BA$83)-LN(WaterfallData!$L$83)))*LN(WaterfallData!BA79/WaterfallData!$L79)</f>
        <v>-1.1696794929844869</v>
      </c>
      <c r="BB49" s="46">
        <f ca="1">((WaterfallData!BB$83-WaterfallData!$L$83)/(LN(WaterfallData!BB$83)-LN(WaterfallData!$L$83)))*LN(WaterfallData!BB79/WaterfallData!$L79)</f>
        <v>-1.2101606287227216</v>
      </c>
      <c r="BC49" s="46">
        <f ca="1">((WaterfallData!BC$83-WaterfallData!$L$83)/(LN(WaterfallData!BC$83)-LN(WaterfallData!$L$83)))*LN(WaterfallData!BC79/WaterfallData!$L79)</f>
        <v>-1.2509330629640714</v>
      </c>
      <c r="BD49" s="46">
        <f ca="1">((WaterfallData!BD$83-WaterfallData!$L$83)/(LN(WaterfallData!BD$83)-LN(WaterfallData!$L$83)))*LN(WaterfallData!BD79/WaterfallData!$L79)</f>
        <v>-1.2919963801144405</v>
      </c>
      <c r="BE49" s="46">
        <f ca="1">((WaterfallData!BE$83-WaterfallData!$L$83)/(LN(WaterfallData!BE$83)-LN(WaterfallData!$L$83)))*LN(WaterfallData!BE79/WaterfallData!$L79)</f>
        <v>-1.3333501744591951</v>
      </c>
      <c r="BF49" s="46">
        <f ca="1">((WaterfallData!BF$83-WaterfallData!$L$83)/(LN(WaterfallData!BF$83)-LN(WaterfallData!$L$83)))*LN(WaterfallData!BF79/WaterfallData!$L79)</f>
        <v>-1.3749940499629563</v>
      </c>
      <c r="BG49" s="46">
        <f ca="1">((WaterfallData!BG$83-WaterfallData!$L$83)/(LN(WaterfallData!BG$83)-LN(WaterfallData!$L$83)))*LN(WaterfallData!BG79/WaterfallData!$L79)</f>
        <v>-1.4169276200753025</v>
      </c>
      <c r="BH49" s="46">
        <f ca="1">((WaterfallData!BH$83-WaterfallData!$L$83)/(LN(WaterfallData!BH$83)-LN(WaterfallData!$L$83)))*LN(WaterfallData!BH79/WaterfallData!$L79)</f>
        <v>-1.4591505075421052</v>
      </c>
      <c r="BI49" s="46">
        <f ca="1">((WaterfallData!BI$83-WaterfallData!$L$83)/(LN(WaterfallData!BI$83)-LN(WaterfallData!$L$83)))*LN(WaterfallData!BI79/WaterfallData!$L79)</f>
        <v>-1.5016623442222763</v>
      </c>
      <c r="BJ49" s="46">
        <f ca="1">((WaterfallData!BJ$83-WaterfallData!$L$83)/(LN(WaterfallData!BJ$83)-LN(WaterfallData!$L$83)))*LN(WaterfallData!BJ79/WaterfallData!$L79)</f>
        <v>-1.5444627709098542</v>
      </c>
      <c r="BK49" s="46">
        <f ca="1">((WaterfallData!BK$83-WaterfallData!$L$83)/(LN(WaterfallData!BK$83)-LN(WaterfallData!$L$83)))*LN(WaterfallData!BK79/WaterfallData!$L79)</f>
        <v>-1.5587262190950124</v>
      </c>
      <c r="BL49" s="46">
        <f ca="1">((WaterfallData!BL$83-WaterfallData!$L$83)/(LN(WaterfallData!BL$83)-LN(WaterfallData!$L$83)))*LN(WaterfallData!BL79/WaterfallData!$L79)</f>
        <v>-1.573040980054381</v>
      </c>
      <c r="BM49" s="46">
        <f ca="1">((WaterfallData!BM$83-WaterfallData!$L$83)/(LN(WaterfallData!BM$83)-LN(WaterfallData!$L$83)))*LN(WaterfallData!BM79/WaterfallData!$L79)</f>
        <v>-1.5874069911623867</v>
      </c>
      <c r="BN49" s="46">
        <f ca="1">((WaterfallData!BN$83-WaterfallData!$L$83)/(LN(WaterfallData!BN$83)-LN(WaterfallData!$L$83)))*LN(WaterfallData!BN79/WaterfallData!$L79)</f>
        <v>-1.6018241904289314</v>
      </c>
      <c r="BO49" s="46">
        <f ca="1">((WaterfallData!BO$83-WaterfallData!$L$83)/(LN(WaterfallData!BO$83)-LN(WaterfallData!$L$83)))*LN(WaterfallData!BO79/WaterfallData!$L79)</f>
        <v>-1.6162925164904187</v>
      </c>
      <c r="BP49" s="46">
        <f ca="1">((WaterfallData!BP$83-WaterfallData!$L$83)/(LN(WaterfallData!BP$83)-LN(WaterfallData!$L$83)))*LN(WaterfallData!BP79/WaterfallData!$L79)</f>
        <v>-1.6308119086008974</v>
      </c>
      <c r="BQ49" s="46">
        <f ca="1">((WaterfallData!BQ$83-WaterfallData!$L$83)/(LN(WaterfallData!BQ$83)-LN(WaterfallData!$L$83)))*LN(WaterfallData!BQ79/WaterfallData!$L79)</f>
        <v>-1.645382306623433</v>
      </c>
      <c r="BR49" s="46">
        <f ca="1">((WaterfallData!BR$83-WaterfallData!$L$83)/(LN(WaterfallData!BR$83)-LN(WaterfallData!$L$83)))*LN(WaterfallData!BR79/WaterfallData!$L79)</f>
        <v>-1.6600036510216041</v>
      </c>
      <c r="BS49" s="46">
        <f ca="1">((WaterfallData!BS$83-WaterfallData!$L$83)/(LN(WaterfallData!BS$83)-LN(WaterfallData!$L$83)))*LN(WaterfallData!BS79/WaterfallData!$L79)</f>
        <v>-1.6746758828512118</v>
      </c>
      <c r="BT49" s="46">
        <f ca="1">((WaterfallData!BT$83-WaterfallData!$L$83)/(LN(WaterfallData!BT$83)-LN(WaterfallData!$L$83)))*LN(WaterfallData!BT79/WaterfallData!$L79)</f>
        <v>-1.6893989437521382</v>
      </c>
      <c r="BU49" s="46">
        <f ca="1">((WaterfallData!BU$83-WaterfallData!$L$83)/(LN(WaterfallData!BU$83)-LN(WaterfallData!$L$83)))*LN(WaterfallData!BU79/WaterfallData!$L79)</f>
        <v>-1.6538416727806451</v>
      </c>
      <c r="BV49" s="46">
        <f ca="1">((WaterfallData!BV$83-WaterfallData!$L$83)/(LN(WaterfallData!BV$83)-LN(WaterfallData!$L$83)))*LN(WaterfallData!BV79/WaterfallData!$L79)</f>
        <v>-1.6180144436487369</v>
      </c>
      <c r="BW49" s="46">
        <f ca="1">((WaterfallData!BW$83-WaterfallData!$L$83)/(LN(WaterfallData!BW$83)-LN(WaterfallData!$L$83)))*LN(WaterfallData!BW79/WaterfallData!$L79)</f>
        <v>-1.5819185644415756</v>
      </c>
      <c r="BX49" s="46">
        <f ca="1">((WaterfallData!BX$83-WaterfallData!$L$83)/(LN(WaterfallData!BX$83)-LN(WaterfallData!$L$83)))*LN(WaterfallData!BX79/WaterfallData!$L79)</f>
        <v>-1.5455553281279226</v>
      </c>
      <c r="BY49" s="46">
        <f ca="1">((WaterfallData!BY$83-WaterfallData!$L$83)/(LN(WaterfallData!BY$83)-LN(WaterfallData!$L$83)))*LN(WaterfallData!BY79/WaterfallData!$L79)</f>
        <v>-1.5089260128532009</v>
      </c>
      <c r="BZ49" s="46">
        <f ca="1">((WaterfallData!BZ$83-WaterfallData!$L$83)/(LN(WaterfallData!BZ$83)-LN(WaterfallData!$L$83)))*LN(WaterfallData!BZ79/WaterfallData!$L79)</f>
        <v>-1.4720318822247793</v>
      </c>
      <c r="CA49" s="46">
        <f ca="1">((WaterfallData!CA$83-WaterfallData!$L$83)/(LN(WaterfallData!CA$83)-LN(WaterfallData!$L$83)))*LN(WaterfallData!CA79/WaterfallData!$L79)</f>
        <v>-1.4348741855897031</v>
      </c>
      <c r="CB49" s="46">
        <f ca="1">((WaterfallData!CB$83-WaterfallData!$L$83)/(LN(WaterfallData!CB$83)-LN(WaterfallData!$L$83)))*LN(WaterfallData!CB79/WaterfallData!$L79)</f>
        <v>-1.3974541583050883</v>
      </c>
      <c r="CC49" s="46">
        <f ca="1">((WaterfallData!CC$83-WaterfallData!$L$83)/(LN(WaterfallData!CC$83)-LN(WaterfallData!$L$83)))*LN(WaterfallData!CC79/WaterfallData!$L79)</f>
        <v>-1.3597730220014774</v>
      </c>
      <c r="CD49" s="46">
        <f ca="1">((WaterfallData!CD$83-WaterfallData!$L$83)/(LN(WaterfallData!CD$83)-LN(WaterfallData!$L$83)))*LN(WaterfallData!CD79/WaterfallData!$L79)</f>
        <v>-1.3218319848393509</v>
      </c>
      <c r="CE49" s="46">
        <f ca="1">((WaterfallData!CE$83-WaterfallData!$L$83)/(LN(WaterfallData!CE$83)-LN(WaterfallData!$L$83)))*LN(WaterfallData!CE79/WaterfallData!$L79)</f>
        <v>-1.2647555749727908</v>
      </c>
      <c r="CF49" s="46">
        <f ca="1">((WaterfallData!CF$83-WaterfallData!$L$83)/(LN(WaterfallData!CF$83)-LN(WaterfallData!$L$83)))*LN(WaterfallData!CF79/WaterfallData!$L79)</f>
        <v>-1.2072564899759461</v>
      </c>
      <c r="CG49" s="46">
        <f ca="1">((WaterfallData!CG$83-WaterfallData!$L$83)/(LN(WaterfallData!CG$83)-LN(WaterfallData!$L$83)))*LN(WaterfallData!CG79/WaterfallData!$L79)</f>
        <v>-1.1493371561733234</v>
      </c>
      <c r="CH49" s="46">
        <f ca="1">((WaterfallData!CH$83-WaterfallData!$L$83)/(LN(WaterfallData!CH$83)-LN(WaterfallData!$L$83)))*LN(WaterfallData!CH79/WaterfallData!$L79)</f>
        <v>-1.0909999695642059</v>
      </c>
      <c r="CI49" s="46">
        <f ca="1">((WaterfallData!CI$83-WaterfallData!$L$83)/(LN(WaterfallData!CI$83)-LN(WaterfallData!$L$83)))*LN(WaterfallData!CI79/WaterfallData!$L79)</f>
        <v>-1.0322472964516629</v>
      </c>
      <c r="CJ49" s="46">
        <f ca="1">((WaterfallData!CJ$83-WaterfallData!$L$83)/(LN(WaterfallData!CJ$83)-LN(WaterfallData!$L$83)))*LN(WaterfallData!CJ79/WaterfallData!$L79)</f>
        <v>-0.97308147405343537</v>
      </c>
      <c r="CK49" s="46">
        <f ca="1">((WaterfallData!CK$83-WaterfallData!$L$83)/(LN(WaterfallData!CK$83)-LN(WaterfallData!$L$83)))*LN(WaterfallData!CK79/WaterfallData!$L79)</f>
        <v>-0.91350481109537307</v>
      </c>
      <c r="CL49" s="46">
        <f ca="1">((WaterfallData!CL$83-WaterfallData!$L$83)/(LN(WaterfallData!CL$83)-LN(WaterfallData!$L$83)))*LN(WaterfallData!CL79/WaterfallData!$L79)</f>
        <v>-0.85351958838800956</v>
      </c>
      <c r="CM49" s="46">
        <f ca="1">((WaterfallData!CM$83-WaterfallData!$L$83)/(LN(WaterfallData!CM$83)-LN(WaterfallData!$L$83)))*LN(WaterfallData!CM79/WaterfallData!$L79)</f>
        <v>-0.79312805938695796</v>
      </c>
      <c r="CN49" s="46">
        <f ca="1">((WaterfallData!CN$83-WaterfallData!$L$83)/(LN(WaterfallData!CN$83)-LN(WaterfallData!$L$83)))*LN(WaterfallData!CN79/WaterfallData!$L79)</f>
        <v>-0.73233245073758046</v>
      </c>
    </row>
    <row r="50" spans="1:99" ht="15" x14ac:dyDescent="0.15">
      <c r="A50" s="37" t="s">
        <v>87</v>
      </c>
      <c r="B50" s="37"/>
      <c r="C50" s="46">
        <f ca="1">((WaterfallData!C$83-WaterfallData!$L$83)/(LN(WaterfallData!C$83)-LN(WaterfallData!$L$83)))*LN(WaterfallData!C80/WaterfallData!$L80)</f>
        <v>0.26000118268236522</v>
      </c>
      <c r="D50" s="46">
        <f ca="1">((WaterfallData!D$83-WaterfallData!$L$83)/(LN(WaterfallData!D$83)-LN(WaterfallData!$L$83)))*LN(WaterfallData!D80/WaterfallData!$L80)</f>
        <v>0.23335088809679255</v>
      </c>
      <c r="E50" s="46">
        <f ca="1">((WaterfallData!E$83-WaterfallData!$L$83)/(LN(WaterfallData!E$83)-LN(WaterfallData!$L$83)))*LN(WaterfallData!E80/WaterfallData!$L80)</f>
        <v>0.2061306917510731</v>
      </c>
      <c r="F50" s="46">
        <f ca="1">((WaterfallData!F$83-WaterfallData!$L$83)/(LN(WaterfallData!F$83)-LN(WaterfallData!$L$83)))*LN(WaterfallData!F80/WaterfallData!$L80)</f>
        <v>0.17834524486770958</v>
      </c>
      <c r="G50" s="46">
        <f ca="1">((WaterfallData!G$83-WaterfallData!$L$83)/(LN(WaterfallData!G$83)-LN(WaterfallData!$L$83)))*LN(WaterfallData!G80/WaterfallData!$L80)</f>
        <v>0.14999900762418425</v>
      </c>
      <c r="H50" s="46">
        <f ca="1">((WaterfallData!H$83-WaterfallData!$L$83)/(LN(WaterfallData!H$83)-LN(WaterfallData!$L$83)))*LN(WaterfallData!H80/WaterfallData!$L80)</f>
        <v>0.12109625999812382</v>
      </c>
      <c r="I50" s="46">
        <f ca="1">((WaterfallData!I$83-WaterfallData!$L$83)/(LN(WaterfallData!I$83)-LN(WaterfallData!$L$83)))*LN(WaterfallData!I80/WaterfallData!$L80)</f>
        <v>9.1641111801074246E-2</v>
      </c>
      <c r="J50" s="46">
        <f ca="1">((WaterfallData!J$83-WaterfallData!$L$83)/(LN(WaterfallData!J$83)-LN(WaterfallData!$L$83)))*LN(WaterfallData!J80/WaterfallData!$L80)</f>
        <v>6.163751197510535E-2</v>
      </c>
      <c r="K50" s="46">
        <f ca="1">((WaterfallData!K$83-WaterfallData!$L$83)/(LN(WaterfallData!K$83)-LN(WaterfallData!$L$83)))*LN(WaterfallData!K80/WaterfallData!$L80)</f>
        <v>3.1089257218547706E-2</v>
      </c>
      <c r="L50" s="46" t="e">
        <f ca="1">((WaterfallData!L$83-WaterfallData!$L$83)/(LN(WaterfallData!L$83)-LN(WaterfallData!$L$83)))*LN(WaterfallData!L80/WaterfallData!$L80)</f>
        <v>#DIV/0!</v>
      </c>
      <c r="M50" s="46">
        <f ca="1">((WaterfallData!M$83-WaterfallData!$L$83)/(LN(WaterfallData!M$83)-LN(WaterfallData!$L$83)))*LN(WaterfallData!M80/WaterfallData!$L80)</f>
        <v>-3.6528481336068015E-2</v>
      </c>
      <c r="N50" s="46">
        <f ca="1">((WaterfallData!N$83-WaterfallData!$L$83)/(LN(WaterfallData!N$83)-LN(WaterfallData!$L$83)))*LN(WaterfallData!N80/WaterfallData!$L80)</f>
        <v>-7.3564865651972886E-2</v>
      </c>
      <c r="O50" s="46">
        <f ca="1">((WaterfallData!O$83-WaterfallData!$L$83)/(LN(WaterfallData!O$83)-LN(WaterfallData!$L$83)))*LN(WaterfallData!O80/WaterfallData!$L80)</f>
        <v>-0.11110694709100913</v>
      </c>
      <c r="P50" s="46">
        <f ca="1">((WaterfallData!P$83-WaterfallData!$L$83)/(LN(WaterfallData!P$83)-LN(WaterfallData!$L$83)))*LN(WaterfallData!P80/WaterfallData!$L80)</f>
        <v>-0.14915259072557371</v>
      </c>
      <c r="Q50" s="46">
        <f ca="1">((WaterfallData!Q$83-WaterfallData!$L$83)/(LN(WaterfallData!Q$83)-LN(WaterfallData!$L$83)))*LN(WaterfallData!Q80/WaterfallData!$L80)</f>
        <v>-0.18769972980089863</v>
      </c>
      <c r="R50" s="46">
        <f ca="1">((WaterfallData!R$83-WaterfallData!$L$83)/(LN(WaterfallData!R$83)-LN(WaterfallData!$L$83)))*LN(WaterfallData!R80/WaterfallData!$L80)</f>
        <v>-0.22674636312343835</v>
      </c>
      <c r="S50" s="46">
        <f ca="1">((WaterfallData!S$83-WaterfallData!$L$83)/(LN(WaterfallData!S$83)-LN(WaterfallData!$L$83)))*LN(WaterfallData!S80/WaterfallData!$L80)</f>
        <v>-0.26629055258461753</v>
      </c>
      <c r="T50" s="46">
        <f ca="1">((WaterfallData!T$83-WaterfallData!$L$83)/(LN(WaterfallData!T$83)-LN(WaterfallData!$L$83)))*LN(WaterfallData!T80/WaterfallData!$L80)</f>
        <v>-0.3063304208112933</v>
      </c>
      <c r="U50" s="46">
        <f ca="1">((WaterfallData!U$83-WaterfallData!$L$83)/(LN(WaterfallData!U$83)-LN(WaterfallData!$L$83)))*LN(WaterfallData!U80/WaterfallData!$L80)</f>
        <v>-0.3468641489349481</v>
      </c>
      <c r="V50" s="46">
        <f ca="1">((WaterfallData!V$83-WaterfallData!$L$83)/(LN(WaterfallData!V$83)-LN(WaterfallData!$L$83)))*LN(WaterfallData!V80/WaterfallData!$L80)</f>
        <v>-0.3878899744722818</v>
      </c>
      <c r="W50" s="46">
        <f ca="1">((WaterfallData!W$83-WaterfallData!$L$83)/(LN(WaterfallData!W$83)-LN(WaterfallData!$L$83)))*LN(WaterfallData!W80/WaterfallData!$L80)</f>
        <v>-0.48675294602360053</v>
      </c>
      <c r="X50" s="46">
        <f ca="1">((WaterfallData!X$83-WaterfallData!$L$83)/(LN(WaterfallData!X$83)-LN(WaterfallData!$L$83)))*LN(WaterfallData!X80/WaterfallData!$L80)</f>
        <v>-0.58668226394401246</v>
      </c>
      <c r="Y50" s="46">
        <f ca="1">((WaterfallData!Y$83-WaterfallData!$L$83)/(LN(WaterfallData!Y$83)-LN(WaterfallData!$L$83)))*LN(WaterfallData!Y80/WaterfallData!$L80)</f>
        <v>-0.68767898061584043</v>
      </c>
      <c r="Z50" s="46">
        <f ca="1">((WaterfallData!Z$83-WaterfallData!$L$83)/(LN(WaterfallData!Z$83)-LN(WaterfallData!$L$83)))*LN(WaterfallData!Z80/WaterfallData!$L80)</f>
        <v>-0.7897442150348275</v>
      </c>
      <c r="AA50" s="46">
        <f ca="1">((WaterfallData!AA$83-WaterfallData!$L$83)/(LN(WaterfallData!AA$83)-LN(WaterfallData!$L$83)))*LN(WaterfallData!AA80/WaterfallData!$L80)</f>
        <v>-0.89287915193972789</v>
      </c>
      <c r="AB50" s="46">
        <f ca="1">((WaterfallData!AB$83-WaterfallData!$L$83)/(LN(WaterfallData!AB$83)-LN(WaterfallData!$L$83)))*LN(WaterfallData!AB80/WaterfallData!$L80)</f>
        <v>-0.99708504098337813</v>
      </c>
      <c r="AC50" s="46">
        <f ca="1">((WaterfallData!AC$83-WaterfallData!$L$83)/(LN(WaterfallData!AC$83)-LN(WaterfallData!$L$83)))*LN(WaterfallData!AC80/WaterfallData!$L80)</f>
        <v>-1.1023631959436648</v>
      </c>
      <c r="AD50" s="46">
        <f ca="1">((WaterfallData!AD$83-WaterfallData!$L$83)/(LN(WaterfallData!AD$83)-LN(WaterfallData!$L$83)))*LN(WaterfallData!AD80/WaterfallData!$L80)</f>
        <v>-1.2087149939728659</v>
      </c>
      <c r="AE50" s="46">
        <f ca="1">((WaterfallData!AE$83-WaterfallData!$L$83)/(LN(WaterfallData!AE$83)-LN(WaterfallData!$L$83)))*LN(WaterfallData!AE80/WaterfallData!$L80)</f>
        <v>-1.3161418748839147</v>
      </c>
      <c r="AF50" s="46">
        <f ca="1">((WaterfallData!AF$83-WaterfallData!$L$83)/(LN(WaterfallData!AF$83)-LN(WaterfallData!$L$83)))*LN(WaterfallData!AF80/WaterfallData!$L80)</f>
        <v>-1.4246453404722259</v>
      </c>
      <c r="AG50" s="46">
        <f ca="1">((WaterfallData!AG$83-WaterfallData!$L$83)/(LN(WaterfallData!AG$83)-LN(WaterfallData!$L$83)))*LN(WaterfallData!AG80/WaterfallData!$L80)</f>
        <v>-1.4572713193984068</v>
      </c>
      <c r="AH50" s="46">
        <f ca="1">((WaterfallData!AH$83-WaterfallData!$L$83)/(LN(WaterfallData!AH$83)-LN(WaterfallData!$L$83)))*LN(WaterfallData!AH80/WaterfallData!$L80)</f>
        <v>-1.4901347977789108</v>
      </c>
      <c r="AI50" s="46">
        <f ca="1">((WaterfallData!AI$83-WaterfallData!$L$83)/(LN(WaterfallData!AI$83)-LN(WaterfallData!$L$83)))*LN(WaterfallData!AI80/WaterfallData!$L80)</f>
        <v>-1.5232352571460739</v>
      </c>
      <c r="AJ50" s="46">
        <f ca="1">((WaterfallData!AJ$83-WaterfallData!$L$83)/(LN(WaterfallData!AJ$83)-LN(WaterfallData!$L$83)))*LN(WaterfallData!AJ80/WaterfallData!$L80)</f>
        <v>-1.5565721903646859</v>
      </c>
      <c r="AK50" s="46">
        <f ca="1">((WaterfallData!AK$83-WaterfallData!$L$83)/(LN(WaterfallData!AK$83)-LN(WaterfallData!$L$83)))*LN(WaterfallData!AK80/WaterfallData!$L80)</f>
        <v>-1.5901451013437105</v>
      </c>
      <c r="AL50" s="46">
        <f ca="1">((WaterfallData!AL$83-WaterfallData!$L$83)/(LN(WaterfallData!AL$83)-LN(WaterfallData!$L$83)))*LN(WaterfallData!AL80/WaterfallData!$L80)</f>
        <v>-1.6239535047582496</v>
      </c>
      <c r="AM50" s="46">
        <f ca="1">((WaterfallData!AM$83-WaterfallData!$L$83)/(LN(WaterfallData!AM$83)-LN(WaterfallData!$L$83)))*LN(WaterfallData!AM80/WaterfallData!$L80)</f>
        <v>-1.6579969257812153</v>
      </c>
      <c r="AN50" s="46">
        <f ca="1">((WaterfallData!AN$83-WaterfallData!$L$83)/(LN(WaterfallData!AN$83)-LN(WaterfallData!$L$83)))*LN(WaterfallData!AN80/WaterfallData!$L80)</f>
        <v>-1.6922748998243373</v>
      </c>
      <c r="AO50" s="46">
        <f ca="1">((WaterfallData!AO$83-WaterfallData!$L$83)/(LN(WaterfallData!AO$83)-LN(WaterfallData!$L$83)))*LN(WaterfallData!AO80/WaterfallData!$L80)</f>
        <v>-1.7267869722880773</v>
      </c>
      <c r="AP50" s="46">
        <f ca="1">((WaterfallData!AP$83-WaterfallData!$L$83)/(LN(WaterfallData!AP$83)-LN(WaterfallData!$L$83)))*LN(WaterfallData!AP80/WaterfallData!$L80)</f>
        <v>-1.761532698320033</v>
      </c>
      <c r="AQ50" s="46">
        <f ca="1">((WaterfallData!AQ$83-WaterfallData!$L$83)/(LN(WaterfallData!AQ$83)-LN(WaterfallData!$L$83)))*LN(WaterfallData!AQ80/WaterfallData!$L80)</f>
        <v>-1.7108224252973654</v>
      </c>
      <c r="AR50" s="46">
        <f ca="1">((WaterfallData!AR$83-WaterfallData!$L$83)/(LN(WaterfallData!AR$83)-LN(WaterfallData!$L$83)))*LN(WaterfallData!AR80/WaterfallData!$L80)</f>
        <v>-1.6595256065743238</v>
      </c>
      <c r="AS50" s="46">
        <f ca="1">((WaterfallData!AS$83-WaterfallData!$L$83)/(LN(WaterfallData!AS$83)-LN(WaterfallData!$L$83)))*LN(WaterfallData!AS80/WaterfallData!$L80)</f>
        <v>-1.6076468738815004</v>
      </c>
      <c r="AT50" s="46">
        <f ca="1">((WaterfallData!AT$83-WaterfallData!$L$83)/(LN(WaterfallData!AT$83)-LN(WaterfallData!$L$83)))*LN(WaterfallData!AT80/WaterfallData!$L80)</f>
        <v>-1.5551907746817397</v>
      </c>
      <c r="AU50" s="46">
        <f ca="1">((WaterfallData!AU$83-WaterfallData!$L$83)/(LN(WaterfallData!AU$83)-LN(WaterfallData!$L$83)))*LN(WaterfallData!AU80/WaterfallData!$L80)</f>
        <v>-1.5021617747030469</v>
      </c>
      <c r="AV50" s="46">
        <f ca="1">((WaterfallData!AV$83-WaterfallData!$L$83)/(LN(WaterfallData!AV$83)-LN(WaterfallData!$L$83)))*LN(WaterfallData!AV80/WaterfallData!$L80)</f>
        <v>-1.4485642603673581</v>
      </c>
      <c r="AW50" s="46">
        <f ca="1">((WaterfallData!AW$83-WaterfallData!$L$83)/(LN(WaterfallData!AW$83)-LN(WaterfallData!$L$83)))*LN(WaterfallData!AW80/WaterfallData!$L80)</f>
        <v>-1.3944025411206384</v>
      </c>
      <c r="AX50" s="46">
        <f ca="1">((WaterfallData!AX$83-WaterfallData!$L$83)/(LN(WaterfallData!AX$83)-LN(WaterfallData!$L$83)))*LN(WaterfallData!AX80/WaterfallData!$L80)</f>
        <v>-1.3396808516692444</v>
      </c>
      <c r="AY50" s="46">
        <f ca="1">((WaterfallData!AY$83-WaterfallData!$L$83)/(LN(WaterfallData!AY$83)-LN(WaterfallData!$L$83)))*LN(WaterfallData!AY80/WaterfallData!$L80)</f>
        <v>-1.2844033541272217</v>
      </c>
      <c r="AZ50" s="46">
        <f ca="1">((WaterfallData!AZ$83-WaterfallData!$L$83)/(LN(WaterfallData!AZ$83)-LN(WaterfallData!$L$83)))*LN(WaterfallData!AZ80/WaterfallData!$L80)</f>
        <v>-1.115938983622123</v>
      </c>
      <c r="BA50" s="46">
        <f ca="1">((WaterfallData!BA$83-WaterfallData!$L$83)/(LN(WaterfallData!BA$83)-LN(WaterfallData!$L$83)))*LN(WaterfallData!BA80/WaterfallData!$L80)</f>
        <v>-1.1708750498705012</v>
      </c>
      <c r="BB50" s="46">
        <f ca="1">((WaterfallData!BB$83-WaterfallData!$L$83)/(LN(WaterfallData!BB$83)-LN(WaterfallData!$L$83)))*LN(WaterfallData!BB80/WaterfallData!$L80)</f>
        <v>-1.2262441334402061</v>
      </c>
      <c r="BC50" s="46">
        <f ca="1">((WaterfallData!BC$83-WaterfallData!$L$83)/(LN(WaterfallData!BC$83)-LN(WaterfallData!$L$83)))*LN(WaterfallData!BC80/WaterfallData!$L80)</f>
        <v>-1.2820458475736618</v>
      </c>
      <c r="BD50" s="46">
        <f ca="1">((WaterfallData!BD$83-WaterfallData!$L$83)/(LN(WaterfallData!BD$83)-LN(WaterfallData!$L$83)))*LN(WaterfallData!BD80/WaterfallData!$L80)</f>
        <v>-1.3382798209554014</v>
      </c>
      <c r="BE50" s="46">
        <f ca="1">((WaterfallData!BE$83-WaterfallData!$L$83)/(LN(WaterfallData!BE$83)-LN(WaterfallData!$L$83)))*LN(WaterfallData!BE80/WaterfallData!$L80)</f>
        <v>-1.3949456974182348</v>
      </c>
      <c r="BF50" s="46">
        <f ca="1">((WaterfallData!BF$83-WaterfallData!$L$83)/(LN(WaterfallData!BF$83)-LN(WaterfallData!$L$83)))*LN(WaterfallData!BF80/WaterfallData!$L80)</f>
        <v>-1.452043135658365</v>
      </c>
      <c r="BG50" s="46">
        <f ca="1">((WaterfallData!BG$83-WaterfallData!$L$83)/(LN(WaterfallData!BG$83)-LN(WaterfallData!$L$83)))*LN(WaterfallData!BG80/WaterfallData!$L80)</f>
        <v>-1.5095718089590635</v>
      </c>
      <c r="BH50" s="46">
        <f ca="1">((WaterfallData!BH$83-WaterfallData!$L$83)/(LN(WaterfallData!BH$83)-LN(WaterfallData!$L$83)))*LN(WaterfallData!BH80/WaterfallData!$L80)</f>
        <v>-1.5675314049226432</v>
      </c>
      <c r="BI50" s="46">
        <f ca="1">((WaterfallData!BI$83-WaterfallData!$L$83)/(LN(WaterfallData!BI$83)-LN(WaterfallData!$L$83)))*LN(WaterfallData!BI80/WaterfallData!$L80)</f>
        <v>-1.6259216252103754</v>
      </c>
      <c r="BJ50" s="46">
        <f ca="1">((WaterfallData!BJ$83-WaterfallData!$L$83)/(LN(WaterfallData!BJ$83)-LN(WaterfallData!$L$83)))*LN(WaterfallData!BJ80/WaterfallData!$L80)</f>
        <v>-1.6847421852901567</v>
      </c>
      <c r="BK50" s="46">
        <f ca="1">((WaterfallData!BK$83-WaterfallData!$L$83)/(LN(WaterfallData!BK$83)-LN(WaterfallData!$L$83)))*LN(WaterfallData!BK80/WaterfallData!$L80)</f>
        <v>-1.7768672722045225</v>
      </c>
      <c r="BL50" s="46">
        <f ca="1">((WaterfallData!BL$83-WaterfallData!$L$83)/(LN(WaterfallData!BL$83)-LN(WaterfallData!$L$83)))*LN(WaterfallData!BL80/WaterfallData!$L80)</f>
        <v>-1.8696582284491494</v>
      </c>
      <c r="BM50" s="46">
        <f ca="1">((WaterfallData!BM$83-WaterfallData!$L$83)/(LN(WaterfallData!BM$83)-LN(WaterfallData!$L$83)))*LN(WaterfallData!BM80/WaterfallData!$L80)</f>
        <v>-1.9631159140261538</v>
      </c>
      <c r="BN50" s="46">
        <f ca="1">((WaterfallData!BN$83-WaterfallData!$L$83)/(LN(WaterfallData!BN$83)-LN(WaterfallData!$L$83)))*LN(WaterfallData!BN80/WaterfallData!$L80)</f>
        <v>-2.0572412075084556</v>
      </c>
      <c r="BO50" s="46">
        <f ca="1">((WaterfallData!BO$83-WaterfallData!$L$83)/(LN(WaterfallData!BO$83)-LN(WaterfallData!$L$83)))*LN(WaterfallData!BO80/WaterfallData!$L80)</f>
        <v>-2.1520350059432141</v>
      </c>
      <c r="BP50" s="46">
        <f ca="1">((WaterfallData!BP$83-WaterfallData!$L$83)/(LN(WaterfallData!BP$83)-LN(WaterfallData!$L$83)))*LN(WaterfallData!BP80/WaterfallData!$L80)</f>
        <v>-2.2474982247595325</v>
      </c>
      <c r="BQ50" s="46">
        <f ca="1">((WaterfallData!BQ$83-WaterfallData!$L$83)/(LN(WaterfallData!BQ$83)-LN(WaterfallData!$L$83)))*LN(WaterfallData!BQ80/WaterfallData!$L80)</f>
        <v>-2.3436317976804668</v>
      </c>
      <c r="BR50" s="46">
        <f ca="1">((WaterfallData!BR$83-WaterfallData!$L$83)/(LN(WaterfallData!BR$83)-LN(WaterfallData!$L$83)))*LN(WaterfallData!BR80/WaterfallData!$L80)</f>
        <v>-2.4404366766391377</v>
      </c>
      <c r="BS50" s="46">
        <f ca="1">((WaterfallData!BS$83-WaterfallData!$L$83)/(LN(WaterfallData!BS$83)-LN(WaterfallData!$L$83)))*LN(WaterfallData!BS80/WaterfallData!$L80)</f>
        <v>-2.5379138316989058</v>
      </c>
      <c r="BT50" s="46">
        <f ca="1">((WaterfallData!BT$83-WaterfallData!$L$83)/(LN(WaterfallData!BT$83)-LN(WaterfallData!$L$83)))*LN(WaterfallData!BT80/WaterfallData!$L80)</f>
        <v>-2.6360642509775043</v>
      </c>
      <c r="BU50" s="46">
        <f ca="1">((WaterfallData!BU$83-WaterfallData!$L$83)/(LN(WaterfallData!BU$83)-LN(WaterfallData!$L$83)))*LN(WaterfallData!BU80/WaterfallData!$L80)</f>
        <v>-2.6894784711228241</v>
      </c>
      <c r="BV50" s="46">
        <f ca="1">((WaterfallData!BV$83-WaterfallData!$L$83)/(LN(WaterfallData!BV$83)-LN(WaterfallData!$L$83)))*LN(WaterfallData!BV80/WaterfallData!$L80)</f>
        <v>-2.7432265658493042</v>
      </c>
      <c r="BW50" s="46">
        <f ca="1">((WaterfallData!BW$83-WaterfallData!$L$83)/(LN(WaterfallData!BW$83)-LN(WaterfallData!$L$83)))*LN(WaterfallData!BW80/WaterfallData!$L80)</f>
        <v>-2.7973082959360633</v>
      </c>
      <c r="BX50" s="46">
        <f ca="1">((WaterfallData!BX$83-WaterfallData!$L$83)/(LN(WaterfallData!BX$83)-LN(WaterfallData!$L$83)))*LN(WaterfallData!BX80/WaterfallData!$L80)</f>
        <v>-2.8517234305560293</v>
      </c>
      <c r="BY50" s="46">
        <f ca="1">((WaterfallData!BY$83-WaterfallData!$L$83)/(LN(WaterfallData!BY$83)-LN(WaterfallData!$L$83)))*LN(WaterfallData!BY80/WaterfallData!$L80)</f>
        <v>-2.9064717471324992</v>
      </c>
      <c r="BZ50" s="46">
        <f ca="1">((WaterfallData!BZ$83-WaterfallData!$L$83)/(LN(WaterfallData!BZ$83)-LN(WaterfallData!$L$83)))*LN(WaterfallData!BZ80/WaterfallData!$L80)</f>
        <v>-2.9615530311995246</v>
      </c>
      <c r="CA50" s="46">
        <f ca="1">((WaterfallData!CA$83-WaterfallData!$L$83)/(LN(WaterfallData!CA$83)-LN(WaterfallData!$L$83)))*LN(WaterfallData!CA80/WaterfallData!$L80)</f>
        <v>-3.0169670762661718</v>
      </c>
      <c r="CB50" s="46">
        <f ca="1">((WaterfallData!CB$83-WaterfallData!$L$83)/(LN(WaterfallData!CB$83)-LN(WaterfallData!$L$83)))*LN(WaterfallData!CB80/WaterfallData!$L80)</f>
        <v>-3.072713683684289</v>
      </c>
      <c r="CC50" s="46">
        <f ca="1">((WaterfallData!CC$83-WaterfallData!$L$83)/(LN(WaterfallData!CC$83)-LN(WaterfallData!$L$83)))*LN(WaterfallData!CC80/WaterfallData!$L80)</f>
        <v>-3.1287926625198708</v>
      </c>
      <c r="CD50" s="46">
        <f ca="1">((WaterfallData!CD$83-WaterfallData!$L$83)/(LN(WaterfallData!CD$83)-LN(WaterfallData!$L$83)))*LN(WaterfallData!CD80/WaterfallData!$L80)</f>
        <v>-3.1852038294277798</v>
      </c>
      <c r="CE50" s="46">
        <f ca="1">((WaterfallData!CE$83-WaterfallData!$L$83)/(LN(WaterfallData!CE$83)-LN(WaterfallData!$L$83)))*LN(WaterfallData!CE80/WaterfallData!$L80)</f>
        <v>-3.2183086720358527</v>
      </c>
      <c r="CF50" s="46">
        <f ca="1">((WaterfallData!CF$83-WaterfallData!$L$83)/(LN(WaterfallData!CF$83)-LN(WaterfallData!$L$83)))*LN(WaterfallData!CF80/WaterfallData!$L80)</f>
        <v>-3.2515559730731707</v>
      </c>
      <c r="CG50" s="46">
        <f ca="1">((WaterfallData!CG$83-WaterfallData!$L$83)/(LN(WaterfallData!CG$83)-LN(WaterfallData!$L$83)))*LN(WaterfallData!CG80/WaterfallData!$L80)</f>
        <v>-3.2849456058883253</v>
      </c>
      <c r="CH50" s="46">
        <f ca="1">((WaterfallData!CH$83-WaterfallData!$L$83)/(LN(WaterfallData!CH$83)-LN(WaterfallData!$L$83)))*LN(WaterfallData!CH80/WaterfallData!$L80)</f>
        <v>-3.3184774456653394</v>
      </c>
      <c r="CI50" s="46">
        <f ca="1">((WaterfallData!CI$83-WaterfallData!$L$83)/(LN(WaterfallData!CI$83)-LN(WaterfallData!$L$83)))*LN(WaterfallData!CI80/WaterfallData!$L80)</f>
        <v>-3.3521513693975415</v>
      </c>
      <c r="CJ50" s="46">
        <f ca="1">((WaterfallData!CJ$83-WaterfallData!$L$83)/(LN(WaterfallData!CJ$83)-LN(WaterfallData!$L$83)))*LN(WaterfallData!CJ80/WaterfallData!$L80)</f>
        <v>-3.3859672558619276</v>
      </c>
      <c r="CK50" s="46">
        <f ca="1">((WaterfallData!CK$83-WaterfallData!$L$83)/(LN(WaterfallData!CK$83)-LN(WaterfallData!$L$83)))*LN(WaterfallData!CK80/WaterfallData!$L80)</f>
        <v>-3.4199249855941267</v>
      </c>
      <c r="CL50" s="46">
        <f ca="1">((WaterfallData!CL$83-WaterfallData!$L$83)/(LN(WaterfallData!CL$83)-LN(WaterfallData!$L$83)))*LN(WaterfallData!CL80/WaterfallData!$L80)</f>
        <v>-3.4540244408637681</v>
      </c>
      <c r="CM50" s="46">
        <f ca="1">((WaterfallData!CM$83-WaterfallData!$L$83)/(LN(WaterfallData!CM$83)-LN(WaterfallData!$L$83)))*LN(WaterfallData!CM80/WaterfallData!$L80)</f>
        <v>-3.4882655056504026</v>
      </c>
      <c r="CN50" s="46">
        <f ca="1">((WaterfallData!CN$83-WaterfallData!$L$83)/(LN(WaterfallData!CN$83)-LN(WaterfallData!$L$83)))*LN(WaterfallData!CN80/WaterfallData!$L80)</f>
        <v>-3.5226480656198551</v>
      </c>
    </row>
    <row r="51" spans="1:99" s="46" customFormat="1" ht="15" x14ac:dyDescent="0.15">
      <c r="A51" s="37" t="s">
        <v>88</v>
      </c>
      <c r="B51" s="37"/>
      <c r="C51" s="46">
        <f ca="1">((WaterfallData!C$83-WaterfallData!$L$83)/(LN(WaterfallData!C$83)-LN(WaterfallData!$L$83)))*LN(WaterfallData!C81/WaterfallData!$L81)</f>
        <v>-0.78488893982765651</v>
      </c>
      <c r="D51" s="46">
        <f ca="1">((WaterfallData!D$83-WaterfallData!$L$83)/(LN(WaterfallData!D$83)-LN(WaterfallData!$L$83)))*LN(WaterfallData!D81/WaterfallData!$L81)</f>
        <v>-0.7032187930892152</v>
      </c>
      <c r="E51" s="46">
        <f ca="1">((WaterfallData!E$83-WaterfallData!$L$83)/(LN(WaterfallData!E$83)-LN(WaterfallData!$L$83)))*LN(WaterfallData!E81/WaterfallData!$L81)</f>
        <v>-0.62011593779010243</v>
      </c>
      <c r="F51" s="46">
        <f ca="1">((WaterfallData!F$83-WaterfallData!$L$83)/(LN(WaterfallData!F$83)-LN(WaterfallData!$L$83)))*LN(WaterfallData!F81/WaterfallData!$L81)</f>
        <v>-0.53560186588612024</v>
      </c>
      <c r="G51" s="46">
        <f ca="1">((WaterfallData!G$83-WaterfallData!$L$83)/(LN(WaterfallData!G$83)-LN(WaterfallData!$L$83)))*LN(WaterfallData!G81/WaterfallData!$L81)</f>
        <v>-0.44969735450686638</v>
      </c>
      <c r="H51" s="46">
        <f ca="1">((WaterfallData!H$83-WaterfallData!$L$83)/(LN(WaterfallData!H$83)-LN(WaterfallData!$L$83)))*LN(WaterfallData!H81/WaterfallData!$L81)</f>
        <v>-0.36242250453266617</v>
      </c>
      <c r="I51" s="46">
        <f ca="1">((WaterfallData!I$83-WaterfallData!$L$83)/(LN(WaterfallData!I$83)-LN(WaterfallData!$L$83)))*LN(WaterfallData!I81/WaterfallData!$L81)</f>
        <v>-0.27379677635224697</v>
      </c>
      <c r="J51" s="46">
        <f ca="1">((WaterfallData!J$83-WaterfallData!$L$83)/(LN(WaterfallData!J$83)-LN(WaterfallData!$L$83)))*LN(WaterfallData!J81/WaterfallData!$L81)</f>
        <v>-0.18383902305627439</v>
      </c>
      <c r="K51" s="46">
        <f ca="1">((WaterfallData!K$83-WaterfallData!$L$83)/(LN(WaterfallData!K$83)-LN(WaterfallData!$L$83)))*LN(WaterfallData!K81/WaterfallData!$L81)</f>
        <v>-9.2567521294413826E-2</v>
      </c>
      <c r="L51" s="46" t="e">
        <f ca="1">((WaterfallData!L$83-WaterfallData!$L$83)/(LN(WaterfallData!L$83)-LN(WaterfallData!$L$83)))*LN(WaterfallData!L81/WaterfallData!$L81)</f>
        <v>#DIV/0!</v>
      </c>
      <c r="M51" s="46">
        <f ca="1">((WaterfallData!M$83-WaterfallData!$L$83)/(LN(WaterfallData!M$83)-LN(WaterfallData!$L$83)))*LN(WaterfallData!M81/WaterfallData!$L81)</f>
        <v>1.1186442878764661E-2</v>
      </c>
      <c r="N51" s="46">
        <f ca="1">((WaterfallData!N$83-WaterfallData!$L$83)/(LN(WaterfallData!N$83)-LN(WaterfallData!$L$83)))*LN(WaterfallData!N81/WaterfallData!$L81)</f>
        <v>2.2513760271403054E-2</v>
      </c>
      <c r="O51" s="46">
        <f ca="1">((WaterfallData!O$83-WaterfallData!$L$83)/(LN(WaterfallData!O$83)-LN(WaterfallData!$L$83)))*LN(WaterfallData!O81/WaterfallData!$L81)</f>
        <v>3.3980975426331411E-2</v>
      </c>
      <c r="P51" s="46">
        <f ca="1">((WaterfallData!P$83-WaterfallData!$L$83)/(LN(WaterfallData!P$83)-LN(WaterfallData!$L$83)))*LN(WaterfallData!P81/WaterfallData!$L81)</f>
        <v>4.5587135060387696E-2</v>
      </c>
      <c r="Q51" s="46">
        <f ca="1">((WaterfallData!Q$83-WaterfallData!$L$83)/(LN(WaterfallData!Q$83)-LN(WaterfallData!$L$83)))*LN(WaterfallData!Q81/WaterfallData!$L81)</f>
        <v>5.7331308445445678E-2</v>
      </c>
      <c r="R51" s="46">
        <f ca="1">((WaterfallData!R$83-WaterfallData!$L$83)/(LN(WaterfallData!R$83)-LN(WaterfallData!$L$83)))*LN(WaterfallData!R81/WaterfallData!$L81)</f>
        <v>6.921258654249822E-2</v>
      </c>
      <c r="S51" s="46">
        <f ca="1">((WaterfallData!S$83-WaterfallData!$L$83)/(LN(WaterfallData!S$83)-LN(WaterfallData!$L$83)))*LN(WaterfallData!S81/WaterfallData!$L81)</f>
        <v>8.1230081180171471E-2</v>
      </c>
      <c r="T51" s="46">
        <f ca="1">((WaterfallData!T$83-WaterfallData!$L$83)/(LN(WaterfallData!T$83)-LN(WaterfallData!$L$83)))*LN(WaterfallData!T81/WaterfallData!$L81)</f>
        <v>9.3382924274843154E-2</v>
      </c>
      <c r="U51" s="46">
        <f ca="1">((WaterfallData!U$83-WaterfallData!$L$83)/(LN(WaterfallData!U$83)-LN(WaterfallData!$L$83)))*LN(WaterfallData!U81/WaterfallData!$L81)</f>
        <v>0.10567026708976318</v>
      </c>
      <c r="V51" s="46">
        <f ca="1">((WaterfallData!V$83-WaterfallData!$L$83)/(LN(WaterfallData!V$83)-LN(WaterfallData!$L$83)))*LN(WaterfallData!V81/WaterfallData!$L81)</f>
        <v>0.11809127953072796</v>
      </c>
      <c r="W51" s="46">
        <f ca="1">((WaterfallData!W$83-WaterfallData!$L$83)/(LN(WaterfallData!W$83)-LN(WaterfallData!$L$83)))*LN(WaterfallData!W81/WaterfallData!$L81)</f>
        <v>0.10132581688171864</v>
      </c>
      <c r="X51" s="46">
        <f ca="1">((WaterfallData!X$83-WaterfallData!$L$83)/(LN(WaterfallData!X$83)-LN(WaterfallData!$L$83)))*LN(WaterfallData!X81/WaterfallData!$L81)</f>
        <v>8.4404442507277008E-2</v>
      </c>
      <c r="Y51" s="46">
        <f ca="1">((WaterfallData!Y$83-WaterfallData!$L$83)/(LN(WaterfallData!Y$83)-LN(WaterfallData!$L$83)))*LN(WaterfallData!Y81/WaterfallData!$L81)</f>
        <v>6.7327660776698772E-2</v>
      </c>
      <c r="Z51" s="46">
        <f ca="1">((WaterfallData!Z$83-WaterfallData!$L$83)/(LN(WaterfallData!Z$83)-LN(WaterfallData!$L$83)))*LN(WaterfallData!Z81/WaterfallData!$L81)</f>
        <v>5.0095966469920469E-2</v>
      </c>
      <c r="AA51" s="46">
        <f ca="1">((WaterfallData!AA$83-WaterfallData!$L$83)/(LN(WaterfallData!AA$83)-LN(WaterfallData!$L$83)))*LN(WaterfallData!AA81/WaterfallData!$L81)</f>
        <v>3.2709845024372956E-2</v>
      </c>
      <c r="AB51" s="46">
        <f ca="1">((WaterfallData!AB$83-WaterfallData!$L$83)/(LN(WaterfallData!AB$83)-LN(WaterfallData!$L$83)))*LN(WaterfallData!AB81/WaterfallData!$L81)</f>
        <v>1.5169772773408349E-2</v>
      </c>
      <c r="AC51" s="46">
        <f ca="1">((WaterfallData!AC$83-WaterfallData!$L$83)/(LN(WaterfallData!AC$83)-LN(WaterfallData!$L$83)))*LN(WaterfallData!AC81/WaterfallData!$L81)</f>
        <v>-2.5237828235087439E-3</v>
      </c>
      <c r="AD51" s="46">
        <f ca="1">((WaterfallData!AD$83-WaterfallData!$L$83)/(LN(WaterfallData!AD$83)-LN(WaterfallData!$L$83)))*LN(WaterfallData!AD81/WaterfallData!$L81)</f>
        <v>-2.0370362958372263E-2</v>
      </c>
      <c r="AE51" s="46">
        <f ca="1">((WaterfallData!AE$83-WaterfallData!$L$83)/(LN(WaterfallData!AE$83)-LN(WaterfallData!$L$83)))*LN(WaterfallData!AE81/WaterfallData!$L81)</f>
        <v>-3.8369517259692607E-2</v>
      </c>
      <c r="AF51" s="46">
        <f ca="1">((WaterfallData!AF$83-WaterfallData!$L$83)/(LN(WaterfallData!AF$83)-LN(WaterfallData!$L$83)))*LN(WaterfallData!AF81/WaterfallData!$L81)</f>
        <v>-5.6520803584716915E-2</v>
      </c>
      <c r="AG51" s="46">
        <f ca="1">((WaterfallData!AG$83-WaterfallData!$L$83)/(LN(WaterfallData!AG$83)-LN(WaterfallData!$L$83)))*LN(WaterfallData!AG81/WaterfallData!$L81)</f>
        <v>-7.3620760814962952E-2</v>
      </c>
      <c r="AH51" s="46">
        <f ca="1">((WaterfallData!AH$83-WaterfallData!$L$83)/(LN(WaterfallData!AH$83)-LN(WaterfallData!$L$83)))*LN(WaterfallData!AH81/WaterfallData!$L81)</f>
        <v>-9.088210859233517E-2</v>
      </c>
      <c r="AI51" s="46">
        <f ca="1">((WaterfallData!AI$83-WaterfallData!$L$83)/(LN(WaterfallData!AI$83)-LN(WaterfallData!$L$83)))*LN(WaterfallData!AI81/WaterfallData!$L81)</f>
        <v>-0.10830429976286152</v>
      </c>
      <c r="AJ51" s="46">
        <f ca="1">((WaterfallData!AJ$83-WaterfallData!$L$83)/(LN(WaterfallData!AJ$83)-LN(WaterfallData!$L$83)))*LN(WaterfallData!AJ81/WaterfallData!$L81)</f>
        <v>-0.12588679795973842</v>
      </c>
      <c r="AK51" s="46">
        <f ca="1">((WaterfallData!AK$83-WaterfallData!$L$83)/(LN(WaterfallData!AK$83)-LN(WaterfallData!$L$83)))*LN(WaterfallData!AK81/WaterfallData!$L81)</f>
        <v>-0.14362907730898605</v>
      </c>
      <c r="AL51" s="46">
        <f ca="1">((WaterfallData!AL$83-WaterfallData!$L$83)/(LN(WaterfallData!AL$83)-LN(WaterfallData!$L$83)))*LN(WaterfallData!AL81/WaterfallData!$L81)</f>
        <v>-0.16153062214586802</v>
      </c>
      <c r="AM51" s="46">
        <f ca="1">((WaterfallData!AM$83-WaterfallData!$L$83)/(LN(WaterfallData!AM$83)-LN(WaterfallData!$L$83)))*LN(WaterfallData!AM81/WaterfallData!$L81)</f>
        <v>-0.17959092674158697</v>
      </c>
      <c r="AN51" s="46">
        <f ca="1">((WaterfallData!AN$83-WaterfallData!$L$83)/(LN(WaterfallData!AN$83)-LN(WaterfallData!$L$83)))*LN(WaterfallData!AN81/WaterfallData!$L81)</f>
        <v>-0.197809495039797</v>
      </c>
      <c r="AO51" s="46">
        <f ca="1">((WaterfallData!AO$83-WaterfallData!$L$83)/(LN(WaterfallData!AO$83)-LN(WaterfallData!$L$83)))*LN(WaterfallData!AO81/WaterfallData!$L81)</f>
        <v>-0.21618584040249514</v>
      </c>
      <c r="AP51" s="46">
        <f ca="1">((WaterfallData!AP$83-WaterfallData!$L$83)/(LN(WaterfallData!AP$83)-LN(WaterfallData!$L$83)))*LN(WaterfallData!AP81/WaterfallData!$L81)</f>
        <v>-0.23471948536490461</v>
      </c>
      <c r="AQ51" s="46">
        <f ca="1">((WaterfallData!AQ$83-WaterfallData!$L$83)/(LN(WaterfallData!AQ$83)-LN(WaterfallData!$L$83)))*LN(WaterfallData!AQ81/WaterfallData!$L81)</f>
        <v>-0.26368639856904974</v>
      </c>
      <c r="AR51" s="46">
        <f ca="1">((WaterfallData!AR$83-WaterfallData!$L$83)/(LN(WaterfallData!AR$83)-LN(WaterfallData!$L$83)))*LN(WaterfallData!AR81/WaterfallData!$L81)</f>
        <v>-0.29296282310143956</v>
      </c>
      <c r="AS51" s="46">
        <f ca="1">((WaterfallData!AS$83-WaterfallData!$L$83)/(LN(WaterfallData!AS$83)-LN(WaterfallData!$L$83)))*LN(WaterfallData!AS81/WaterfallData!$L81)</f>
        <v>-0.32254772197929049</v>
      </c>
      <c r="AT51" s="46">
        <f ca="1">((WaterfallData!AT$83-WaterfallData!$L$83)/(LN(WaterfallData!AT$83)-LN(WaterfallData!$L$83)))*LN(WaterfallData!AT81/WaterfallData!$L81)</f>
        <v>-0.35244008318401931</v>
      </c>
      <c r="AU51" s="46">
        <f ca="1">((WaterfallData!AU$83-WaterfallData!$L$83)/(LN(WaterfallData!AU$83)-LN(WaterfallData!$L$83)))*LN(WaterfallData!AU81/WaterfallData!$L81)</f>
        <v>-0.38263891889597512</v>
      </c>
      <c r="AV51" s="46">
        <f ca="1">((WaterfallData!AV$83-WaterfallData!$L$83)/(LN(WaterfallData!AV$83)-LN(WaterfallData!$L$83)))*LN(WaterfallData!AV81/WaterfallData!$L81)</f>
        <v>-0.41314326476083346</v>
      </c>
      <c r="AW51" s="46">
        <f ca="1">((WaterfallData!AW$83-WaterfallData!$L$83)/(LN(WaterfallData!AW$83)-LN(WaterfallData!$L$83)))*LN(WaterfallData!AW81/WaterfallData!$L81)</f>
        <v>-0.44395217918610846</v>
      </c>
      <c r="AX51" s="46">
        <f ca="1">((WaterfallData!AX$83-WaterfallData!$L$83)/(LN(WaterfallData!AX$83)-LN(WaterfallData!$L$83)))*LN(WaterfallData!AX81/WaterfallData!$L81)</f>
        <v>-0.47506474266619442</v>
      </c>
      <c r="AY51" s="46">
        <f ca="1">((WaterfallData!AY$83-WaterfallData!$L$83)/(LN(WaterfallData!AY$83)-LN(WaterfallData!$L$83)))*LN(WaterfallData!AY81/WaterfallData!$L81)</f>
        <v>-0.50648005713458444</v>
      </c>
      <c r="AZ51" s="46">
        <f ca="1">((WaterfallData!AZ$83-WaterfallData!$L$83)/(LN(WaterfallData!AZ$83)-LN(WaterfallData!$L$83)))*LN(WaterfallData!AZ81/WaterfallData!$L81)</f>
        <v>-0.6121051024953007</v>
      </c>
      <c r="BA51" s="46">
        <f ca="1">((WaterfallData!BA$83-WaterfallData!$L$83)/(LN(WaterfallData!BA$83)-LN(WaterfallData!$L$83)))*LN(WaterfallData!BA81/WaterfallData!$L81)</f>
        <v>-0.5695722743675663</v>
      </c>
      <c r="BB51" s="46">
        <f ca="1">((WaterfallData!BB$83-WaterfallData!$L$83)/(LN(WaterfallData!BB$83)-LN(WaterfallData!$L$83)))*LN(WaterfallData!BB81/WaterfallData!$L81)</f>
        <v>-0.52673883745691763</v>
      </c>
      <c r="BC51" s="46">
        <f ca="1">((WaterfallData!BC$83-WaterfallData!$L$83)/(LN(WaterfallData!BC$83)-LN(WaterfallData!$L$83)))*LN(WaterfallData!BC81/WaterfallData!$L81)</f>
        <v>-0.48360639326384636</v>
      </c>
      <c r="BD51" s="46">
        <f ca="1">((WaterfallData!BD$83-WaterfallData!$L$83)/(LN(WaterfallData!BD$83)-LN(WaterfallData!$L$83)))*LN(WaterfallData!BD81/WaterfallData!$L81)</f>
        <v>-0.44017652339962449</v>
      </c>
      <c r="BE51" s="46">
        <f ca="1">((WaterfallData!BE$83-WaterfallData!$L$83)/(LN(WaterfallData!BE$83)-LN(WaterfallData!$L$83)))*LN(WaterfallData!BE81/WaterfallData!$L81)</f>
        <v>-0.39645079000140104</v>
      </c>
      <c r="BF51" s="46">
        <f ca="1">((WaterfallData!BF$83-WaterfallData!$L$83)/(LN(WaterfallData!BF$83)-LN(WaterfallData!$L$83)))*LN(WaterfallData!BF81/WaterfallData!$L81)</f>
        <v>-0.35243073613540071</v>
      </c>
      <c r="BG51" s="46">
        <f ca="1">((WaterfallData!BG$83-WaterfallData!$L$83)/(LN(WaterfallData!BG$83)-LN(WaterfallData!$L$83)))*LN(WaterfallData!BG81/WaterfallData!$L81)</f>
        <v>-0.30811788618850788</v>
      </c>
      <c r="BH51" s="46">
        <f ca="1">((WaterfallData!BH$83-WaterfallData!$L$83)/(LN(WaterfallData!BH$83)-LN(WaterfallData!$L$83)))*LN(WaterfallData!BH81/WaterfallData!$L81)</f>
        <v>-0.26351374624877749</v>
      </c>
      <c r="BI51" s="46">
        <f ca="1">((WaterfallData!BI$83-WaterfallData!$L$83)/(LN(WaterfallData!BI$83)-LN(WaterfallData!$L$83)))*LN(WaterfallData!BI81/WaterfallData!$L81)</f>
        <v>-0.21861980447520957</v>
      </c>
      <c r="BJ51" s="46">
        <f ca="1">((WaterfallData!BJ$83-WaterfallData!$L$83)/(LN(WaterfallData!BJ$83)-LN(WaterfallData!$L$83)))*LN(WaterfallData!BJ81/WaterfallData!$L81)</f>
        <v>-0.17343753145716687</v>
      </c>
      <c r="BK51" s="46">
        <f ca="1">((WaterfallData!BK$83-WaterfallData!$L$83)/(LN(WaterfallData!BK$83)-LN(WaterfallData!$L$83)))*LN(WaterfallData!BK81/WaterfallData!$L81)</f>
        <v>-0.11972267185520773</v>
      </c>
      <c r="BL51" s="46">
        <f ca="1">((WaterfallData!BL$83-WaterfallData!$L$83)/(LN(WaterfallData!BL$83)-LN(WaterfallData!$L$83)))*LN(WaterfallData!BL81/WaterfallData!$L81)</f>
        <v>-6.5753894046020847E-2</v>
      </c>
      <c r="BM51" s="46">
        <f ca="1">((WaterfallData!BM$83-WaterfallData!$L$83)/(LN(WaterfallData!BM$83)-LN(WaterfallData!$L$83)))*LN(WaterfallData!BM81/WaterfallData!$L81)</f>
        <v>-1.1532400268648208E-2</v>
      </c>
      <c r="BN51" s="46">
        <f ca="1">((WaterfallData!BN$83-WaterfallData!$L$83)/(LN(WaterfallData!BN$83)-LN(WaterfallData!$L$83)))*LN(WaterfallData!BN81/WaterfallData!$L81)</f>
        <v>4.2940618703790741E-2</v>
      </c>
      <c r="BO51" s="46">
        <f ca="1">((WaterfallData!BO$83-WaterfallData!$L$83)/(LN(WaterfallData!BO$83)-LN(WaterfallData!$L$83)))*LN(WaterfallData!BO81/WaterfallData!$L81)</f>
        <v>9.7663983386553077E-2</v>
      </c>
      <c r="BP51" s="46">
        <f ca="1">((WaterfallData!BP$83-WaterfallData!$L$83)/(LN(WaterfallData!BP$83)-LN(WaterfallData!$L$83)))*LN(WaterfallData!BP81/WaterfallData!$L81)</f>
        <v>0.15263652540961711</v>
      </c>
      <c r="BQ51" s="46">
        <f ca="1">((WaterfallData!BQ$83-WaterfallData!$L$83)/(LN(WaterfallData!BQ$83)-LN(WaterfallData!$L$83)))*LN(WaterfallData!BQ81/WaterfallData!$L81)</f>
        <v>0.2078570873476529</v>
      </c>
      <c r="BR51" s="46">
        <f ca="1">((WaterfallData!BR$83-WaterfallData!$L$83)/(LN(WaterfallData!BR$83)-LN(WaterfallData!$L$83)))*LN(WaterfallData!BR81/WaterfallData!$L81)</f>
        <v>0.2633245225537244</v>
      </c>
      <c r="BS51" s="46">
        <f ca="1">((WaterfallData!BS$83-WaterfallData!$L$83)/(LN(WaterfallData!BS$83)-LN(WaterfallData!$L$83)))*LN(WaterfallData!BS81/WaterfallData!$L81)</f>
        <v>0.319037694996468</v>
      </c>
      <c r="BT51" s="46">
        <f ca="1">((WaterfallData!BT$83-WaterfallData!$L$83)/(LN(WaterfallData!BT$83)-LN(WaterfallData!$L$83)))*LN(WaterfallData!BT81/WaterfallData!$L81)</f>
        <v>0.37499547910071546</v>
      </c>
      <c r="BU51" s="46">
        <f ca="1">((WaterfallData!BU$83-WaterfallData!$L$83)/(LN(WaterfallData!BU$83)-LN(WaterfallData!$L$83)))*LN(WaterfallData!BU81/WaterfallData!$L81)</f>
        <v>0.46717242621224536</v>
      </c>
      <c r="BV51" s="46">
        <f ca="1">((WaterfallData!BV$83-WaterfallData!$L$83)/(LN(WaterfallData!BV$83)-LN(WaterfallData!$L$83)))*LN(WaterfallData!BV81/WaterfallData!$L81)</f>
        <v>0.5598164866400992</v>
      </c>
      <c r="BW51" s="46">
        <f ca="1">((WaterfallData!BW$83-WaterfallData!$L$83)/(LN(WaterfallData!BW$83)-LN(WaterfallData!$L$83)))*LN(WaterfallData!BW81/WaterfallData!$L81)</f>
        <v>0.65292460681406062</v>
      </c>
      <c r="BX51" s="46">
        <f ca="1">((WaterfallData!BX$83-WaterfallData!$L$83)/(LN(WaterfallData!BX$83)-LN(WaterfallData!$L$83)))*LN(WaterfallData!BX81/WaterfallData!$L81)</f>
        <v>0.74649376955338664</v>
      </c>
      <c r="BY51" s="46">
        <f ca="1">((WaterfallData!BY$83-WaterfallData!$L$83)/(LN(WaterfallData!BY$83)-LN(WaterfallData!$L$83)))*LN(WaterfallData!BY81/WaterfallData!$L81)</f>
        <v>0.8405209933977964</v>
      </c>
      <c r="BZ51" s="46">
        <f ca="1">((WaterfallData!BZ$83-WaterfallData!$L$83)/(LN(WaterfallData!BZ$83)-LN(WaterfallData!$L$83)))*LN(WaterfallData!BZ81/WaterfallData!$L81)</f>
        <v>0.93500333195540553</v>
      </c>
      <c r="CA51" s="46">
        <f ca="1">((WaterfallData!CA$83-WaterfallData!$L$83)/(LN(WaterfallData!CA$83)-LN(WaterfallData!$L$83)))*LN(WaterfallData!CA81/WaterfallData!$L81)</f>
        <v>1.029937873267152</v>
      </c>
      <c r="CB51" s="46">
        <f ca="1">((WaterfallData!CB$83-WaterfallData!$L$83)/(LN(WaterfallData!CB$83)-LN(WaterfallData!$L$83)))*LN(WaterfallData!CB81/WaterfallData!$L81)</f>
        <v>1.1253217391869876</v>
      </c>
      <c r="CC51" s="46">
        <f ca="1">((WaterfallData!CC$83-WaterfallData!$L$83)/(LN(WaterfallData!CC$83)-LN(WaterfallData!$L$83)))*LN(WaterfallData!CC81/WaterfallData!$L81)</f>
        <v>1.221152084777577</v>
      </c>
      <c r="CD51" s="46">
        <f ca="1">((WaterfallData!CD$83-WaterfallData!$L$83)/(LN(WaterfallData!CD$83)-LN(WaterfallData!$L$83)))*LN(WaterfallData!CD81/WaterfallData!$L81)</f>
        <v>1.3174260977208472</v>
      </c>
      <c r="CE51" s="46">
        <f ca="1">((WaterfallData!CE$83-WaterfallData!$L$83)/(LN(WaterfallData!CE$83)-LN(WaterfallData!$L$83)))*LN(WaterfallData!CE81/WaterfallData!$L81)</f>
        <v>1.4410754523547045</v>
      </c>
      <c r="CF51" s="46">
        <f ca="1">((WaterfallData!CF$83-WaterfallData!$L$83)/(LN(WaterfallData!CF$83)-LN(WaterfallData!$L$83)))*LN(WaterfallData!CF81/WaterfallData!$L81)</f>
        <v>1.5653606843340253</v>
      </c>
      <c r="CG51" s="46">
        <f ca="1">((WaterfallData!CG$83-WaterfallData!$L$83)/(LN(WaterfallData!CG$83)-LN(WaterfallData!$L$83)))*LN(WaterfallData!CG81/WaterfallData!$L81)</f>
        <v>1.6902769316406281</v>
      </c>
      <c r="CH51" s="46">
        <f ca="1">((WaterfallData!CH$83-WaterfallData!$L$83)/(LN(WaterfallData!CH$83)-LN(WaterfallData!$L$83)))*LN(WaterfallData!CH81/WaterfallData!$L81)</f>
        <v>1.8158193975048855</v>
      </c>
      <c r="CI51" s="46">
        <f ca="1">((WaterfallData!CI$83-WaterfallData!$L$83)/(LN(WaterfallData!CI$83)-LN(WaterfallData!$L$83)))*LN(WaterfallData!CI81/WaterfallData!$L81)</f>
        <v>1.9419833490887941</v>
      </c>
      <c r="CJ51" s="46">
        <f ca="1">((WaterfallData!CJ$83-WaterfallData!$L$83)/(LN(WaterfallData!CJ$83)-LN(WaterfallData!$L$83)))*LN(WaterfallData!CJ81/WaterfallData!$L81)</f>
        <v>2.0687641162054291</v>
      </c>
      <c r="CK51" s="46">
        <f ca="1">((WaterfallData!CK$83-WaterfallData!$L$83)/(LN(WaterfallData!CK$83)-LN(WaterfallData!$L$83)))*LN(WaterfallData!CK81/WaterfallData!$L81)</f>
        <v>2.1961570900734393</v>
      </c>
      <c r="CL51" s="46">
        <f ca="1">((WaterfallData!CL$83-WaterfallData!$L$83)/(LN(WaterfallData!CL$83)-LN(WaterfallData!$L$83)))*LN(WaterfallData!CL81/WaterfallData!$L81)</f>
        <v>2.3241577221052494</v>
      </c>
      <c r="CM51" s="46">
        <f ca="1">((WaterfallData!CM$83-WaterfallData!$L$83)/(LN(WaterfallData!CM$83)-LN(WaterfallData!$L$83)))*LN(WaterfallData!CM81/WaterfallData!$L81)</f>
        <v>2.4527615227279824</v>
      </c>
      <c r="CN51" s="46">
        <f ca="1">((WaterfallData!CN$83-WaterfallData!$L$83)/(LN(WaterfallData!CN$83)-LN(WaterfallData!$L$83)))*LN(WaterfallData!CN81/WaterfallData!$L81)</f>
        <v>2.5819640602359373</v>
      </c>
      <c r="CO51" s="1"/>
      <c r="CP51" s="1"/>
      <c r="CQ51" s="1"/>
      <c r="CR51" s="1"/>
      <c r="CS51" s="1"/>
      <c r="CT51" s="1"/>
      <c r="CU51" s="1"/>
    </row>
    <row r="52" spans="1:99" s="46" customFormat="1" x14ac:dyDescent="0.15">
      <c r="A52" s="37"/>
      <c r="B52" s="37"/>
      <c r="CO52" s="1"/>
      <c r="CP52" s="1"/>
      <c r="CQ52" s="1"/>
      <c r="CR52" s="1"/>
      <c r="CS52" s="1"/>
      <c r="CT52" s="1"/>
      <c r="CU52" s="1"/>
    </row>
    <row r="53" spans="1:99" x14ac:dyDescent="0.15">
      <c r="A53" s="1" t="s">
        <v>82</v>
      </c>
      <c r="BU53" s="1"/>
      <c r="BV53" s="1"/>
      <c r="BW53" s="1"/>
      <c r="BX53" s="1"/>
      <c r="BY53" s="1"/>
      <c r="BZ53" s="1"/>
      <c r="CA53" s="1"/>
      <c r="CB53" s="1"/>
      <c r="CC53" s="1"/>
      <c r="CD53" s="1"/>
      <c r="CE53" s="1"/>
      <c r="CF53" s="1"/>
      <c r="CG53" s="1"/>
      <c r="CH53" s="1"/>
      <c r="CI53" s="1"/>
      <c r="CJ53" s="1"/>
      <c r="CK53" s="1"/>
      <c r="CL53" s="1"/>
    </row>
    <row r="54" spans="1:99" x14ac:dyDescent="0.15">
      <c r="A54" s="38" t="s">
        <v>49</v>
      </c>
      <c r="B54" s="38"/>
      <c r="C54" s="46">
        <f t="shared" ref="C54:K54" ca="1" si="19">IF(C46&lt;0,0,C46)</f>
        <v>0</v>
      </c>
      <c r="D54" s="46">
        <f t="shared" ca="1" si="19"/>
        <v>0</v>
      </c>
      <c r="E54" s="46">
        <f t="shared" ca="1" si="19"/>
        <v>0</v>
      </c>
      <c r="F54" s="46">
        <f t="shared" ca="1" si="19"/>
        <v>0</v>
      </c>
      <c r="G54" s="46">
        <f t="shared" ca="1" si="19"/>
        <v>0</v>
      </c>
      <c r="H54" s="46">
        <f t="shared" ca="1" si="19"/>
        <v>0</v>
      </c>
      <c r="I54" s="46">
        <f t="shared" ca="1" si="19"/>
        <v>0</v>
      </c>
      <c r="J54" s="46">
        <f t="shared" ca="1" si="19"/>
        <v>0</v>
      </c>
      <c r="K54" s="46">
        <f t="shared" ca="1" si="19"/>
        <v>0</v>
      </c>
      <c r="L54" s="46" t="e">
        <f t="shared" ref="L54:BW54" ca="1" si="20">IF(L46&lt;0,0,L46)</f>
        <v>#DIV/0!</v>
      </c>
      <c r="M54" s="46">
        <f t="shared" ca="1" si="20"/>
        <v>0.31220856177660217</v>
      </c>
      <c r="N54" s="46">
        <f t="shared" ca="1" si="20"/>
        <v>0.62579104836896393</v>
      </c>
      <c r="O54" s="46">
        <f t="shared" ca="1" si="20"/>
        <v>0.94071590011984807</v>
      </c>
      <c r="P54" s="46">
        <f t="shared" ca="1" si="20"/>
        <v>1.2569526264145108</v>
      </c>
      <c r="Q54" s="46">
        <f t="shared" ca="1" si="20"/>
        <v>1.5744717581870147</v>
      </c>
      <c r="R54" s="46">
        <f t="shared" ca="1" si="20"/>
        <v>1.8932448030351516</v>
      </c>
      <c r="S54" s="46">
        <f t="shared" ca="1" si="20"/>
        <v>2.2132442027733372</v>
      </c>
      <c r="T54" s="46">
        <f t="shared" ca="1" si="20"/>
        <v>2.5344432932657099</v>
      </c>
      <c r="U54" s="46">
        <f t="shared" ca="1" si="20"/>
        <v>2.8568162663935364</v>
      </c>
      <c r="V54" s="46">
        <f t="shared" ca="1" si="20"/>
        <v>3.1803381340218815</v>
      </c>
      <c r="W54" s="46">
        <f t="shared" ca="1" si="20"/>
        <v>3.4406068002888168</v>
      </c>
      <c r="X54" s="46">
        <f t="shared" ca="1" si="20"/>
        <v>3.7013755143858593</v>
      </c>
      <c r="Y54" s="46">
        <f t="shared" ca="1" si="20"/>
        <v>3.9626361307826174</v>
      </c>
      <c r="Z54" s="46">
        <f t="shared" ca="1" si="20"/>
        <v>4.2243806987561507</v>
      </c>
      <c r="AA54" s="46">
        <f t="shared" ca="1" si="20"/>
        <v>4.4866014563197352</v>
      </c>
      <c r="AB54" s="46">
        <f t="shared" ca="1" si="20"/>
        <v>4.7492908243838894</v>
      </c>
      <c r="AC54" s="46">
        <f t="shared" ca="1" si="20"/>
        <v>5.0124414011394389</v>
      </c>
      <c r="AD54" s="46">
        <f t="shared" ca="1" si="20"/>
        <v>5.2760459566523705</v>
      </c>
      <c r="AE54" s="46">
        <f t="shared" ca="1" si="20"/>
        <v>5.5400974276611485</v>
      </c>
      <c r="AF54" s="46">
        <f t="shared" ca="1" si="20"/>
        <v>5.8045889125675112</v>
      </c>
      <c r="AG54" s="46">
        <f t="shared" ca="1" si="20"/>
        <v>6.0076910921373763</v>
      </c>
      <c r="AH54" s="46">
        <f t="shared" ca="1" si="20"/>
        <v>6.2115740803601902</v>
      </c>
      <c r="AI54" s="46">
        <f t="shared" ca="1" si="20"/>
        <v>6.4162281146707745</v>
      </c>
      <c r="AJ54" s="46">
        <f t="shared" ca="1" si="20"/>
        <v>6.6216436233085538</v>
      </c>
      <c r="AK54" s="46">
        <f t="shared" ca="1" si="20"/>
        <v>6.8278112201791581</v>
      </c>
      <c r="AL54" s="46">
        <f t="shared" ca="1" si="20"/>
        <v>7.0347216998946989</v>
      </c>
      <c r="AM54" s="46">
        <f t="shared" ca="1" si="20"/>
        <v>7.2423660329849007</v>
      </c>
      <c r="AN54" s="46">
        <f t="shared" ca="1" si="20"/>
        <v>7.4507353612720246</v>
      </c>
      <c r="AO54" s="46">
        <f t="shared" ca="1" si="20"/>
        <v>7.659820993402521</v>
      </c>
      <c r="AP54" s="46">
        <f t="shared" ca="1" si="20"/>
        <v>7.8696144005288557</v>
      </c>
      <c r="AQ54" s="46">
        <f t="shared" ca="1" si="20"/>
        <v>8.0117148519845109</v>
      </c>
      <c r="AR54" s="46">
        <f t="shared" ca="1" si="20"/>
        <v>8.1483925820145693</v>
      </c>
      <c r="AS54" s="46">
        <f t="shared" ca="1" si="20"/>
        <v>8.2857203683204919</v>
      </c>
      <c r="AT54" s="46">
        <f t="shared" ca="1" si="20"/>
        <v>8.4236931826740005</v>
      </c>
      <c r="AU54" s="46">
        <f t="shared" ca="1" si="20"/>
        <v>8.5623060716710526</v>
      </c>
      <c r="AV54" s="46">
        <f t="shared" ca="1" si="20"/>
        <v>8.7015541549084556</v>
      </c>
      <c r="AW54" s="46">
        <f t="shared" ca="1" si="20"/>
        <v>8.8414326232244562</v>
      </c>
      <c r="AX54" s="46">
        <f t="shared" ca="1" si="20"/>
        <v>8.9819367370002325</v>
      </c>
      <c r="AY54" s="46">
        <f t="shared" ca="1" si="20"/>
        <v>9.1230618245196364</v>
      </c>
      <c r="AZ54" s="46">
        <f t="shared" ca="1" si="20"/>
        <v>9.321120327132018</v>
      </c>
      <c r="BA54" s="46">
        <f t="shared" ca="1" si="20"/>
        <v>9.3902735256552301</v>
      </c>
      <c r="BB54" s="46">
        <f t="shared" ca="1" si="20"/>
        <v>9.4595770632079201</v>
      </c>
      <c r="BC54" s="46">
        <f t="shared" ca="1" si="20"/>
        <v>9.5290306770476843</v>
      </c>
      <c r="BD54" s="46">
        <f t="shared" ca="1" si="20"/>
        <v>9.5986341032305837</v>
      </c>
      <c r="BE54" s="46">
        <f t="shared" ca="1" si="20"/>
        <v>9.6683870766894096</v>
      </c>
      <c r="BF54" s="46">
        <f t="shared" ca="1" si="20"/>
        <v>9.7382893313087067</v>
      </c>
      <c r="BG54" s="46">
        <f t="shared" ca="1" si="20"/>
        <v>9.8083405999967468</v>
      </c>
      <c r="BH54" s="46">
        <f t="shared" ca="1" si="20"/>
        <v>9.878540614754753</v>
      </c>
      <c r="BI54" s="46">
        <f t="shared" ca="1" si="20"/>
        <v>9.9488891067430334</v>
      </c>
      <c r="BJ54" s="46">
        <f t="shared" ca="1" si="20"/>
        <v>10.019385806344706</v>
      </c>
      <c r="BK54" s="46">
        <f t="shared" ca="1" si="20"/>
        <v>10.024063571174143</v>
      </c>
      <c r="BL54" s="46">
        <f t="shared" ca="1" si="20"/>
        <v>10.028534569639319</v>
      </c>
      <c r="BM54" s="46">
        <f t="shared" ca="1" si="20"/>
        <v>10.032799423713673</v>
      </c>
      <c r="BN54" s="46">
        <f t="shared" ca="1" si="20"/>
        <v>10.036858746491479</v>
      </c>
      <c r="BO54" s="46">
        <f t="shared" ca="1" si="20"/>
        <v>10.0407131423461</v>
      </c>
      <c r="BP54" s="46">
        <f t="shared" ca="1" si="20"/>
        <v>10.044363207084317</v>
      </c>
      <c r="BQ54" s="46">
        <f t="shared" ca="1" si="20"/>
        <v>10.047809528097231</v>
      </c>
      <c r="BR54" s="46">
        <f t="shared" ca="1" si="20"/>
        <v>10.051052684507534</v>
      </c>
      <c r="BS54" s="46">
        <f t="shared" ca="1" si="20"/>
        <v>10.054093247313416</v>
      </c>
      <c r="BT54" s="46">
        <f t="shared" ca="1" si="20"/>
        <v>10.056931779529037</v>
      </c>
      <c r="BU54" s="46">
        <f t="shared" ca="1" si="20"/>
        <v>10.014959652994772</v>
      </c>
      <c r="BV54" s="46">
        <f t="shared" ca="1" si="20"/>
        <v>9.972238040796098</v>
      </c>
      <c r="BW54" s="46">
        <f t="shared" ca="1" si="20"/>
        <v>9.9287674921658287</v>
      </c>
      <c r="BX54" s="46">
        <f t="shared" ref="BX54:CN54" ca="1" si="21">IF(BX46&lt;0,0,BX46)</f>
        <v>9.8845485220498475</v>
      </c>
      <c r="BY54" s="46">
        <f t="shared" ca="1" si="21"/>
        <v>9.8395816116645882</v>
      </c>
      <c r="BZ54" s="46">
        <f t="shared" ca="1" si="21"/>
        <v>9.7938672090373444</v>
      </c>
      <c r="CA54" s="46">
        <f t="shared" ca="1" si="21"/>
        <v>9.747405729530378</v>
      </c>
      <c r="CB54" s="46">
        <f t="shared" ca="1" si="21"/>
        <v>9.7001975563488916</v>
      </c>
      <c r="CC54" s="46">
        <f t="shared" ca="1" si="21"/>
        <v>9.6522430410337918</v>
      </c>
      <c r="CD54" s="46">
        <f t="shared" ca="1" si="21"/>
        <v>9.6035425039395719</v>
      </c>
      <c r="CE54" s="46">
        <f t="shared" ca="1" si="21"/>
        <v>9.5236140513229088</v>
      </c>
      <c r="CF54" s="46">
        <f t="shared" ca="1" si="21"/>
        <v>9.4423919047749525</v>
      </c>
      <c r="CG54" s="46">
        <f t="shared" ca="1" si="21"/>
        <v>9.3598752319913707</v>
      </c>
      <c r="CH54" s="46">
        <f t="shared" ca="1" si="21"/>
        <v>9.2760631269257239</v>
      </c>
      <c r="CI54" s="46">
        <f t="shared" ca="1" si="21"/>
        <v>9.1909546106612598</v>
      </c>
      <c r="CJ54" s="46">
        <f t="shared" ca="1" si="21"/>
        <v>9.1045486322455975</v>
      </c>
      <c r="CK54" s="46">
        <f t="shared" ca="1" si="21"/>
        <v>9.0168440694899115</v>
      </c>
      <c r="CL54" s="46">
        <f t="shared" ca="1" si="21"/>
        <v>8.9278397297334582</v>
      </c>
      <c r="CM54" s="46">
        <f t="shared" ca="1" si="21"/>
        <v>8.8375343505747797</v>
      </c>
      <c r="CN54" s="46">
        <f t="shared" ca="1" si="21"/>
        <v>8.7459266005706198</v>
      </c>
    </row>
    <row r="55" spans="1:99" x14ac:dyDescent="0.15">
      <c r="A55" s="37" t="s">
        <v>59</v>
      </c>
      <c r="B55" s="37"/>
      <c r="C55" s="46">
        <f t="shared" ref="C55:C59" ca="1" si="22">IF(C47&lt;0,0,C47)</f>
        <v>0</v>
      </c>
      <c r="D55" s="46">
        <f t="shared" ref="D55:K59" ca="1" si="23">IF(D47&lt;0,0,D47)</f>
        <v>0</v>
      </c>
      <c r="E55" s="46">
        <f t="shared" ca="1" si="23"/>
        <v>0</v>
      </c>
      <c r="F55" s="46">
        <f t="shared" ca="1" si="23"/>
        <v>0</v>
      </c>
      <c r="G55" s="46">
        <f t="shared" ca="1" si="23"/>
        <v>0</v>
      </c>
      <c r="H55" s="46">
        <f t="shared" ca="1" si="23"/>
        <v>0</v>
      </c>
      <c r="I55" s="46">
        <f t="shared" ca="1" si="23"/>
        <v>0</v>
      </c>
      <c r="J55" s="46">
        <f t="shared" ca="1" si="23"/>
        <v>0</v>
      </c>
      <c r="K55" s="46">
        <f t="shared" ca="1" si="23"/>
        <v>0</v>
      </c>
      <c r="L55" s="46" t="e">
        <f t="shared" ref="L55:BW55" ca="1" si="24">IF(L47&lt;0,0,L47)</f>
        <v>#DIV/0!</v>
      </c>
      <c r="M55" s="46">
        <f t="shared" ca="1" si="24"/>
        <v>1.1297159056230719</v>
      </c>
      <c r="N55" s="46">
        <f t="shared" ca="1" si="24"/>
        <v>2.2400095327120804</v>
      </c>
      <c r="O55" s="46">
        <f t="shared" ca="1" si="24"/>
        <v>3.3321244571723461</v>
      </c>
      <c r="P55" s="46">
        <f t="shared" ca="1" si="24"/>
        <v>4.4071929272221686</v>
      </c>
      <c r="Q55" s="46">
        <f t="shared" ca="1" si="24"/>
        <v>5.4662484970380589</v>
      </c>
      <c r="R55" s="46">
        <f t="shared" ca="1" si="24"/>
        <v>6.5102369373825226</v>
      </c>
      <c r="S55" s="46">
        <f t="shared" ca="1" si="24"/>
        <v>7.5400256959752019</v>
      </c>
      <c r="T55" s="46">
        <f t="shared" ca="1" si="24"/>
        <v>8.5564121314693313</v>
      </c>
      <c r="U55" s="46">
        <f t="shared" ca="1" si="24"/>
        <v>9.5601307057453706</v>
      </c>
      <c r="V55" s="46">
        <f t="shared" ca="1" si="24"/>
        <v>10.551859287697733</v>
      </c>
      <c r="W55" s="46">
        <f t="shared" ca="1" si="24"/>
        <v>11.45852704732842</v>
      </c>
      <c r="X55" s="46">
        <f t="shared" ca="1" si="24"/>
        <v>12.353658534228529</v>
      </c>
      <c r="Y55" s="46">
        <f t="shared" ca="1" si="24"/>
        <v>13.237786281355886</v>
      </c>
      <c r="Z55" s="46">
        <f t="shared" ca="1" si="24"/>
        <v>14.111408013549321</v>
      </c>
      <c r="AA55" s="46">
        <f t="shared" ca="1" si="24"/>
        <v>14.974989560220992</v>
      </c>
      <c r="AB55" s="46">
        <f t="shared" ca="1" si="24"/>
        <v>15.828967472616901</v>
      </c>
      <c r="AC55" s="46">
        <f t="shared" ca="1" si="24"/>
        <v>16.673751380695045</v>
      </c>
      <c r="AD55" s="46">
        <f t="shared" ca="1" si="24"/>
        <v>17.509726119928033</v>
      </c>
      <c r="AE55" s="46">
        <f t="shared" ca="1" si="24"/>
        <v>18.337253654313276</v>
      </c>
      <c r="AF55" s="46">
        <f t="shared" ca="1" si="24"/>
        <v>19.15667481844816</v>
      </c>
      <c r="AG55" s="46">
        <f t="shared" ca="1" si="24"/>
        <v>20.012201769520058</v>
      </c>
      <c r="AH55" s="46">
        <f t="shared" ca="1" si="24"/>
        <v>20.860255715348838</v>
      </c>
      <c r="AI55" s="46">
        <f t="shared" ca="1" si="24"/>
        <v>21.701136480516329</v>
      </c>
      <c r="AJ55" s="46">
        <f t="shared" ca="1" si="24"/>
        <v>22.535126769028025</v>
      </c>
      <c r="AK55" s="46">
        <f t="shared" ca="1" si="24"/>
        <v>23.362493415781373</v>
      </c>
      <c r="AL55" s="46">
        <f t="shared" ca="1" si="24"/>
        <v>24.183488527177637</v>
      </c>
      <c r="AM55" s="46">
        <f t="shared" ca="1" si="24"/>
        <v>24.998350522366614</v>
      </c>
      <c r="AN55" s="46">
        <f t="shared" ca="1" si="24"/>
        <v>25.807305085254836</v>
      </c>
      <c r="AO55" s="46">
        <f t="shared" ca="1" si="24"/>
        <v>26.61056603622832</v>
      </c>
      <c r="AP55" s="46">
        <f t="shared" ca="1" si="24"/>
        <v>27.408336131515767</v>
      </c>
      <c r="AQ55" s="46">
        <f t="shared" ca="1" si="24"/>
        <v>28.335072547327108</v>
      </c>
      <c r="AR55" s="46">
        <f t="shared" ca="1" si="24"/>
        <v>29.25552392565978</v>
      </c>
      <c r="AS55" s="46">
        <f t="shared" ca="1" si="24"/>
        <v>30.169936353274643</v>
      </c>
      <c r="AT55" s="46">
        <f t="shared" ca="1" si="24"/>
        <v>31.078542100364817</v>
      </c>
      <c r="AU55" s="46">
        <f t="shared" ca="1" si="24"/>
        <v>31.981560613730075</v>
      </c>
      <c r="AV55" s="46">
        <f t="shared" ca="1" si="24"/>
        <v>32.879199423544932</v>
      </c>
      <c r="AW55" s="46">
        <f t="shared" ca="1" si="24"/>
        <v>33.771654972504642</v>
      </c>
      <c r="AX55" s="46">
        <f t="shared" ca="1" si="24"/>
        <v>34.659113375114593</v>
      </c>
      <c r="AY55" s="46">
        <f t="shared" ca="1" si="24"/>
        <v>35.541751114003134</v>
      </c>
      <c r="AZ55" s="46">
        <f t="shared" ca="1" si="24"/>
        <v>36.28296417151207</v>
      </c>
      <c r="BA55" s="46">
        <f t="shared" ca="1" si="24"/>
        <v>37.251161172705203</v>
      </c>
      <c r="BB55" s="46">
        <f t="shared" ca="1" si="24"/>
        <v>38.210156133382036</v>
      </c>
      <c r="BC55" s="46">
        <f t="shared" ca="1" si="24"/>
        <v>39.160305916327061</v>
      </c>
      <c r="BD55" s="46">
        <f t="shared" ca="1" si="24"/>
        <v>40.101947603866748</v>
      </c>
      <c r="BE55" s="46">
        <f t="shared" ca="1" si="24"/>
        <v>41.035399906978164</v>
      </c>
      <c r="BF55" s="46">
        <f t="shared" ca="1" si="24"/>
        <v>41.960964452369765</v>
      </c>
      <c r="BG55" s="46">
        <f t="shared" ca="1" si="24"/>
        <v>42.878926959928236</v>
      </c>
      <c r="BH55" s="46">
        <f t="shared" ca="1" si="24"/>
        <v>43.789558321485572</v>
      </c>
      <c r="BI55" s="46">
        <f t="shared" ca="1" si="24"/>
        <v>44.693115590607619</v>
      </c>
      <c r="BJ55" s="46">
        <f t="shared" ca="1" si="24"/>
        <v>45.589842892017131</v>
      </c>
      <c r="BK55" s="46">
        <f t="shared" ca="1" si="24"/>
        <v>46.575402436330755</v>
      </c>
      <c r="BL55" s="46">
        <f t="shared" ca="1" si="24"/>
        <v>47.550278613582897</v>
      </c>
      <c r="BM55" s="46">
        <f t="shared" ca="1" si="24"/>
        <v>48.514875614514686</v>
      </c>
      <c r="BN55" s="46">
        <f t="shared" ca="1" si="24"/>
        <v>49.469575716343535</v>
      </c>
      <c r="BO55" s="46">
        <f t="shared" ca="1" si="24"/>
        <v>50.414740815733118</v>
      </c>
      <c r="BP55" s="46">
        <f t="shared" ca="1" si="24"/>
        <v>51.350713831002999</v>
      </c>
      <c r="BQ55" s="46">
        <f t="shared" ca="1" si="24"/>
        <v>52.277819986687682</v>
      </c>
      <c r="BR55" s="46">
        <f t="shared" ca="1" si="24"/>
        <v>53.196367992046483</v>
      </c>
      <c r="BS55" s="46">
        <f t="shared" ca="1" si="24"/>
        <v>54.106651123817073</v>
      </c>
      <c r="BT55" s="46">
        <f t="shared" ca="1" si="24"/>
        <v>55.008948222361724</v>
      </c>
      <c r="BU55" s="46">
        <f t="shared" ca="1" si="24"/>
        <v>56.079944816762598</v>
      </c>
      <c r="BV55" s="46">
        <f t="shared" ca="1" si="24"/>
        <v>57.140914765011338</v>
      </c>
      <c r="BW55" s="46">
        <f t="shared" ca="1" si="24"/>
        <v>58.192238889794531</v>
      </c>
      <c r="BX55" s="46">
        <f t="shared" ref="BX55:CN55" ca="1" si="25">IF(BX47&lt;0,0,BX47)</f>
        <v>59.234277247205497</v>
      </c>
      <c r="BY55" s="46">
        <f t="shared" ca="1" si="25"/>
        <v>60.267370585081061</v>
      </c>
      <c r="BZ55" s="46">
        <f t="shared" ca="1" si="25"/>
        <v>61.291841676689025</v>
      </c>
      <c r="CA55" s="46">
        <f t="shared" ca="1" si="25"/>
        <v>62.30799654227306</v>
      </c>
      <c r="CB55" s="46">
        <f t="shared" ca="1" si="25"/>
        <v>63.316125569522264</v>
      </c>
      <c r="CC55" s="46">
        <f t="shared" ca="1" si="25"/>
        <v>64.316504542787484</v>
      </c>
      <c r="CD55" s="46">
        <f t="shared" ca="1" si="25"/>
        <v>65.309395589770702</v>
      </c>
      <c r="CE55" s="46">
        <f t="shared" ca="1" si="25"/>
        <v>66.464371863692534</v>
      </c>
      <c r="CF55" s="46">
        <f t="shared" ca="1" si="25"/>
        <v>67.609789524796085</v>
      </c>
      <c r="CG55" s="46">
        <f t="shared" ca="1" si="25"/>
        <v>68.746008073512414</v>
      </c>
      <c r="CH55" s="46">
        <f t="shared" ca="1" si="25"/>
        <v>69.873367519823034</v>
      </c>
      <c r="CI55" s="46">
        <f t="shared" ca="1" si="25"/>
        <v>70.992189743580568</v>
      </c>
      <c r="CJ55" s="46">
        <f t="shared" ca="1" si="25"/>
        <v>72.102779739368742</v>
      </c>
      <c r="CK55" s="46">
        <f t="shared" ca="1" si="25"/>
        <v>73.205426757397348</v>
      </c>
      <c r="CL55" s="46">
        <f t="shared" ca="1" si="25"/>
        <v>74.300405350617723</v>
      </c>
      <c r="CM55" s="46">
        <f t="shared" ca="1" si="25"/>
        <v>75.387976337103012</v>
      </c>
      <c r="CN55" s="46">
        <f t="shared" ca="1" si="25"/>
        <v>76.468387685741718</v>
      </c>
    </row>
    <row r="56" spans="1:99" x14ac:dyDescent="0.15">
      <c r="A56" s="37" t="s">
        <v>90</v>
      </c>
      <c r="B56" s="37"/>
      <c r="C56" s="46">
        <f t="shared" ca="1" si="22"/>
        <v>7.8452537997342535</v>
      </c>
      <c r="D56" s="46">
        <f t="shared" ca="1" si="23"/>
        <v>7.1238440657986999</v>
      </c>
      <c r="E56" s="46">
        <f t="shared" ca="1" si="23"/>
        <v>6.3683382107984663</v>
      </c>
      <c r="F56" s="46">
        <f t="shared" ca="1" si="23"/>
        <v>5.5774205782154604</v>
      </c>
      <c r="G56" s="46">
        <f t="shared" ca="1" si="23"/>
        <v>4.7496707842661383</v>
      </c>
      <c r="H56" s="46">
        <f t="shared" ca="1" si="23"/>
        <v>3.8835536185099255</v>
      </c>
      <c r="I56" s="46">
        <f t="shared" ca="1" si="23"/>
        <v>2.9774075832712286</v>
      </c>
      <c r="J56" s="46">
        <f t="shared" ca="1" si="23"/>
        <v>2.0294318552798001</v>
      </c>
      <c r="K56" s="46">
        <f t="shared" ca="1" si="23"/>
        <v>1.0376714103894304</v>
      </c>
      <c r="L56" s="46" t="e">
        <f t="shared" ref="L56:BW56" ca="1" si="26">IF(L48&lt;0,0,L48)</f>
        <v>#DIV/0!</v>
      </c>
      <c r="M56" s="46">
        <f t="shared" ca="1" si="26"/>
        <v>0</v>
      </c>
      <c r="N56" s="46">
        <f t="shared" ca="1" si="26"/>
        <v>0</v>
      </c>
      <c r="O56" s="46">
        <f t="shared" ca="1" si="26"/>
        <v>0</v>
      </c>
      <c r="P56" s="46">
        <f t="shared" ca="1" si="26"/>
        <v>0</v>
      </c>
      <c r="Q56" s="46">
        <f t="shared" ca="1" si="26"/>
        <v>0</v>
      </c>
      <c r="R56" s="46">
        <f t="shared" ca="1" si="26"/>
        <v>0</v>
      </c>
      <c r="S56" s="46">
        <f t="shared" ca="1" si="26"/>
        <v>0</v>
      </c>
      <c r="T56" s="46">
        <f t="shared" ca="1" si="26"/>
        <v>0</v>
      </c>
      <c r="U56" s="46">
        <f t="shared" ca="1" si="26"/>
        <v>0</v>
      </c>
      <c r="V56" s="46">
        <f t="shared" ca="1" si="26"/>
        <v>0</v>
      </c>
      <c r="W56" s="46">
        <f t="shared" ca="1" si="26"/>
        <v>0</v>
      </c>
      <c r="X56" s="46">
        <f t="shared" ca="1" si="26"/>
        <v>0</v>
      </c>
      <c r="Y56" s="46">
        <f t="shared" ca="1" si="26"/>
        <v>0</v>
      </c>
      <c r="Z56" s="46">
        <f t="shared" ca="1" si="26"/>
        <v>0</v>
      </c>
      <c r="AA56" s="46">
        <f t="shared" ca="1" si="26"/>
        <v>0</v>
      </c>
      <c r="AB56" s="46">
        <f t="shared" ca="1" si="26"/>
        <v>0</v>
      </c>
      <c r="AC56" s="46">
        <f t="shared" ca="1" si="26"/>
        <v>0</v>
      </c>
      <c r="AD56" s="46">
        <f t="shared" ca="1" si="26"/>
        <v>0</v>
      </c>
      <c r="AE56" s="46">
        <f t="shared" ca="1" si="26"/>
        <v>0</v>
      </c>
      <c r="AF56" s="46">
        <f t="shared" ca="1" si="26"/>
        <v>0</v>
      </c>
      <c r="AG56" s="46">
        <f t="shared" ca="1" si="26"/>
        <v>0</v>
      </c>
      <c r="AH56" s="46">
        <f t="shared" ca="1" si="26"/>
        <v>0</v>
      </c>
      <c r="AI56" s="46">
        <f t="shared" ca="1" si="26"/>
        <v>0</v>
      </c>
      <c r="AJ56" s="46">
        <f t="shared" ca="1" si="26"/>
        <v>0</v>
      </c>
      <c r="AK56" s="46">
        <f t="shared" ca="1" si="26"/>
        <v>0</v>
      </c>
      <c r="AL56" s="46">
        <f t="shared" ca="1" si="26"/>
        <v>0</v>
      </c>
      <c r="AM56" s="46">
        <f t="shared" ca="1" si="26"/>
        <v>0</v>
      </c>
      <c r="AN56" s="46">
        <f t="shared" ca="1" si="26"/>
        <v>0</v>
      </c>
      <c r="AO56" s="46">
        <f t="shared" ca="1" si="26"/>
        <v>0</v>
      </c>
      <c r="AP56" s="46">
        <f t="shared" ca="1" si="26"/>
        <v>0</v>
      </c>
      <c r="AQ56" s="46">
        <f t="shared" ca="1" si="26"/>
        <v>0</v>
      </c>
      <c r="AR56" s="46">
        <f t="shared" ca="1" si="26"/>
        <v>0</v>
      </c>
      <c r="AS56" s="46">
        <f t="shared" ca="1" si="26"/>
        <v>0</v>
      </c>
      <c r="AT56" s="46">
        <f t="shared" ca="1" si="26"/>
        <v>0</v>
      </c>
      <c r="AU56" s="46">
        <f t="shared" ca="1" si="26"/>
        <v>0</v>
      </c>
      <c r="AV56" s="46">
        <f t="shared" ca="1" si="26"/>
        <v>0</v>
      </c>
      <c r="AW56" s="46">
        <f t="shared" ca="1" si="26"/>
        <v>0</v>
      </c>
      <c r="AX56" s="46">
        <f t="shared" ca="1" si="26"/>
        <v>0</v>
      </c>
      <c r="AY56" s="46">
        <f t="shared" ca="1" si="26"/>
        <v>0</v>
      </c>
      <c r="AZ56" s="46">
        <f t="shared" ca="1" si="26"/>
        <v>0</v>
      </c>
      <c r="BA56" s="46">
        <f t="shared" ca="1" si="26"/>
        <v>0</v>
      </c>
      <c r="BB56" s="46">
        <f t="shared" ca="1" si="26"/>
        <v>0</v>
      </c>
      <c r="BC56" s="46">
        <f t="shared" ca="1" si="26"/>
        <v>0</v>
      </c>
      <c r="BD56" s="46">
        <f t="shared" ca="1" si="26"/>
        <v>0</v>
      </c>
      <c r="BE56" s="46">
        <f t="shared" ca="1" si="26"/>
        <v>0</v>
      </c>
      <c r="BF56" s="46">
        <f t="shared" ca="1" si="26"/>
        <v>0</v>
      </c>
      <c r="BG56" s="46">
        <f t="shared" ca="1" si="26"/>
        <v>0</v>
      </c>
      <c r="BH56" s="46">
        <f t="shared" ca="1" si="26"/>
        <v>0</v>
      </c>
      <c r="BI56" s="46">
        <f t="shared" ca="1" si="26"/>
        <v>0</v>
      </c>
      <c r="BJ56" s="46">
        <f t="shared" ca="1" si="26"/>
        <v>0</v>
      </c>
      <c r="BK56" s="46">
        <f t="shared" ca="1" si="26"/>
        <v>0</v>
      </c>
      <c r="BL56" s="46">
        <f t="shared" ca="1" si="26"/>
        <v>0</v>
      </c>
      <c r="BM56" s="46">
        <f t="shared" ca="1" si="26"/>
        <v>0</v>
      </c>
      <c r="BN56" s="46">
        <f t="shared" ca="1" si="26"/>
        <v>0</v>
      </c>
      <c r="BO56" s="46">
        <f t="shared" ca="1" si="26"/>
        <v>0</v>
      </c>
      <c r="BP56" s="46">
        <f t="shared" ca="1" si="26"/>
        <v>0</v>
      </c>
      <c r="BQ56" s="46">
        <f t="shared" ca="1" si="26"/>
        <v>0</v>
      </c>
      <c r="BR56" s="46">
        <f t="shared" ca="1" si="26"/>
        <v>0</v>
      </c>
      <c r="BS56" s="46">
        <f t="shared" ca="1" si="26"/>
        <v>0</v>
      </c>
      <c r="BT56" s="46">
        <f t="shared" ca="1" si="26"/>
        <v>0</v>
      </c>
      <c r="BU56" s="46">
        <f t="shared" ca="1" si="26"/>
        <v>0</v>
      </c>
      <c r="BV56" s="46">
        <f t="shared" ca="1" si="26"/>
        <v>0</v>
      </c>
      <c r="BW56" s="46">
        <f t="shared" ca="1" si="26"/>
        <v>0</v>
      </c>
      <c r="BX56" s="46">
        <f t="shared" ref="BX56:CN56" ca="1" si="27">IF(BX48&lt;0,0,BX48)</f>
        <v>0</v>
      </c>
      <c r="BY56" s="46">
        <f t="shared" ca="1" si="27"/>
        <v>0</v>
      </c>
      <c r="BZ56" s="46">
        <f t="shared" ca="1" si="27"/>
        <v>0</v>
      </c>
      <c r="CA56" s="46">
        <f t="shared" ca="1" si="27"/>
        <v>0</v>
      </c>
      <c r="CB56" s="46">
        <f t="shared" ca="1" si="27"/>
        <v>0</v>
      </c>
      <c r="CC56" s="46">
        <f t="shared" ca="1" si="27"/>
        <v>0</v>
      </c>
      <c r="CD56" s="46">
        <f t="shared" ca="1" si="27"/>
        <v>0</v>
      </c>
      <c r="CE56" s="46">
        <f t="shared" ca="1" si="27"/>
        <v>0</v>
      </c>
      <c r="CF56" s="46">
        <f t="shared" ca="1" si="27"/>
        <v>0</v>
      </c>
      <c r="CG56" s="46">
        <f t="shared" ca="1" si="27"/>
        <v>0</v>
      </c>
      <c r="CH56" s="46">
        <f t="shared" ca="1" si="27"/>
        <v>0</v>
      </c>
      <c r="CI56" s="46">
        <f t="shared" ca="1" si="27"/>
        <v>0</v>
      </c>
      <c r="CJ56" s="46">
        <f t="shared" ca="1" si="27"/>
        <v>0</v>
      </c>
      <c r="CK56" s="46">
        <f t="shared" ca="1" si="27"/>
        <v>0</v>
      </c>
      <c r="CL56" s="46">
        <f t="shared" ca="1" si="27"/>
        <v>0</v>
      </c>
      <c r="CM56" s="46">
        <f t="shared" ca="1" si="27"/>
        <v>0</v>
      </c>
      <c r="CN56" s="46">
        <f t="shared" ca="1" si="27"/>
        <v>0</v>
      </c>
    </row>
    <row r="57" spans="1:99" ht="15" x14ac:dyDescent="0.15">
      <c r="A57" s="37" t="s">
        <v>89</v>
      </c>
      <c r="B57" s="37"/>
      <c r="C57" s="46">
        <f t="shared" ca="1" si="22"/>
        <v>0</v>
      </c>
      <c r="D57" s="46">
        <f t="shared" ca="1" si="23"/>
        <v>0</v>
      </c>
      <c r="E57" s="46">
        <f t="shared" ca="1" si="23"/>
        <v>0</v>
      </c>
      <c r="F57" s="46">
        <f t="shared" ca="1" si="23"/>
        <v>0</v>
      </c>
      <c r="G57" s="46">
        <f t="shared" ca="1" si="23"/>
        <v>0</v>
      </c>
      <c r="H57" s="46">
        <f t="shared" ca="1" si="23"/>
        <v>0</v>
      </c>
      <c r="I57" s="46">
        <f t="shared" ca="1" si="23"/>
        <v>0</v>
      </c>
      <c r="J57" s="46">
        <f t="shared" ca="1" si="23"/>
        <v>0</v>
      </c>
      <c r="K57" s="46">
        <f t="shared" ca="1" si="23"/>
        <v>0</v>
      </c>
      <c r="L57" s="46" t="e">
        <f t="shared" ref="L57:BW57" ca="1" si="28">IF(L49&lt;0,0,L49)</f>
        <v>#DIV/0!</v>
      </c>
      <c r="M57" s="46">
        <f t="shared" ca="1" si="28"/>
        <v>1.708026786377919E-2</v>
      </c>
      <c r="N57" s="46">
        <f t="shared" ca="1" si="28"/>
        <v>3.4372871267343792E-2</v>
      </c>
      <c r="O57" s="46">
        <f t="shared" ca="1" si="28"/>
        <v>5.1876270241841563E-2</v>
      </c>
      <c r="P57" s="46">
        <f t="shared" ca="1" si="28"/>
        <v>6.9588961191896836E-2</v>
      </c>
      <c r="Q57" s="46">
        <f t="shared" ca="1" si="28"/>
        <v>8.7509475486006696E-2</v>
      </c>
      <c r="R57" s="46">
        <f t="shared" ca="1" si="28"/>
        <v>0.10563637812022302</v>
      </c>
      <c r="S57" s="46">
        <f t="shared" ca="1" si="28"/>
        <v>0.12396826645017658</v>
      </c>
      <c r="T57" s="46">
        <f t="shared" ca="1" si="28"/>
        <v>0.14250376898735628</v>
      </c>
      <c r="U57" s="46">
        <f t="shared" ca="1" si="28"/>
        <v>0.16124154425536824</v>
      </c>
      <c r="V57" s="46">
        <f t="shared" ca="1" si="28"/>
        <v>0.18018027970269954</v>
      </c>
      <c r="W57" s="46">
        <f t="shared" ca="1" si="28"/>
        <v>0.13372360987634296</v>
      </c>
      <c r="X57" s="46">
        <f t="shared" ca="1" si="28"/>
        <v>8.6805682755078328E-2</v>
      </c>
      <c r="Y57" s="46">
        <f t="shared" ca="1" si="28"/>
        <v>3.9427271949063494E-2</v>
      </c>
      <c r="Z57" s="46">
        <f t="shared" ca="1" si="28"/>
        <v>0</v>
      </c>
      <c r="AA57" s="46">
        <f t="shared" ca="1" si="28"/>
        <v>0</v>
      </c>
      <c r="AB57" s="46">
        <f t="shared" ca="1" si="28"/>
        <v>0</v>
      </c>
      <c r="AC57" s="46">
        <f t="shared" ca="1" si="28"/>
        <v>0</v>
      </c>
      <c r="AD57" s="46">
        <f t="shared" ca="1" si="28"/>
        <v>0</v>
      </c>
      <c r="AE57" s="46">
        <f t="shared" ca="1" si="28"/>
        <v>0</v>
      </c>
      <c r="AF57" s="46">
        <f t="shared" ca="1" si="28"/>
        <v>0</v>
      </c>
      <c r="AG57" s="46">
        <f t="shared" ca="1" si="28"/>
        <v>0</v>
      </c>
      <c r="AH57" s="46">
        <f t="shared" ca="1" si="28"/>
        <v>0</v>
      </c>
      <c r="AI57" s="46">
        <f t="shared" ca="1" si="28"/>
        <v>0</v>
      </c>
      <c r="AJ57" s="46">
        <f t="shared" ca="1" si="28"/>
        <v>0</v>
      </c>
      <c r="AK57" s="46">
        <f t="shared" ca="1" si="28"/>
        <v>0</v>
      </c>
      <c r="AL57" s="46">
        <f t="shared" ca="1" si="28"/>
        <v>0</v>
      </c>
      <c r="AM57" s="46">
        <f t="shared" ca="1" si="28"/>
        <v>0</v>
      </c>
      <c r="AN57" s="46">
        <f t="shared" ca="1" si="28"/>
        <v>0</v>
      </c>
      <c r="AO57" s="46">
        <f t="shared" ca="1" si="28"/>
        <v>0</v>
      </c>
      <c r="AP57" s="46">
        <f t="shared" ca="1" si="28"/>
        <v>0</v>
      </c>
      <c r="AQ57" s="46">
        <f t="shared" ca="1" si="28"/>
        <v>0</v>
      </c>
      <c r="AR57" s="46">
        <f t="shared" ca="1" si="28"/>
        <v>0</v>
      </c>
      <c r="AS57" s="46">
        <f t="shared" ca="1" si="28"/>
        <v>0</v>
      </c>
      <c r="AT57" s="46">
        <f t="shared" ca="1" si="28"/>
        <v>0</v>
      </c>
      <c r="AU57" s="46">
        <f t="shared" ca="1" si="28"/>
        <v>0</v>
      </c>
      <c r="AV57" s="46">
        <f t="shared" ca="1" si="28"/>
        <v>0</v>
      </c>
      <c r="AW57" s="46">
        <f t="shared" ca="1" si="28"/>
        <v>0</v>
      </c>
      <c r="AX57" s="46">
        <f t="shared" ca="1" si="28"/>
        <v>0</v>
      </c>
      <c r="AY57" s="46">
        <f t="shared" ca="1" si="28"/>
        <v>0</v>
      </c>
      <c r="AZ57" s="46">
        <f t="shared" ca="1" si="28"/>
        <v>0</v>
      </c>
      <c r="BA57" s="46">
        <f t="shared" ca="1" si="28"/>
        <v>0</v>
      </c>
      <c r="BB57" s="46">
        <f t="shared" ca="1" si="28"/>
        <v>0</v>
      </c>
      <c r="BC57" s="46">
        <f t="shared" ca="1" si="28"/>
        <v>0</v>
      </c>
      <c r="BD57" s="46">
        <f t="shared" ca="1" si="28"/>
        <v>0</v>
      </c>
      <c r="BE57" s="46">
        <f t="shared" ca="1" si="28"/>
        <v>0</v>
      </c>
      <c r="BF57" s="46">
        <f t="shared" ca="1" si="28"/>
        <v>0</v>
      </c>
      <c r="BG57" s="46">
        <f t="shared" ca="1" si="28"/>
        <v>0</v>
      </c>
      <c r="BH57" s="46">
        <f t="shared" ca="1" si="28"/>
        <v>0</v>
      </c>
      <c r="BI57" s="46">
        <f t="shared" ca="1" si="28"/>
        <v>0</v>
      </c>
      <c r="BJ57" s="46">
        <f t="shared" ca="1" si="28"/>
        <v>0</v>
      </c>
      <c r="BK57" s="46">
        <f t="shared" ca="1" si="28"/>
        <v>0</v>
      </c>
      <c r="BL57" s="46">
        <f t="shared" ca="1" si="28"/>
        <v>0</v>
      </c>
      <c r="BM57" s="46">
        <f t="shared" ca="1" si="28"/>
        <v>0</v>
      </c>
      <c r="BN57" s="46">
        <f t="shared" ca="1" si="28"/>
        <v>0</v>
      </c>
      <c r="BO57" s="46">
        <f t="shared" ca="1" si="28"/>
        <v>0</v>
      </c>
      <c r="BP57" s="46">
        <f t="shared" ca="1" si="28"/>
        <v>0</v>
      </c>
      <c r="BQ57" s="46">
        <f t="shared" ca="1" si="28"/>
        <v>0</v>
      </c>
      <c r="BR57" s="46">
        <f t="shared" ca="1" si="28"/>
        <v>0</v>
      </c>
      <c r="BS57" s="46">
        <f t="shared" ca="1" si="28"/>
        <v>0</v>
      </c>
      <c r="BT57" s="46">
        <f t="shared" ca="1" si="28"/>
        <v>0</v>
      </c>
      <c r="BU57" s="46">
        <f t="shared" ca="1" si="28"/>
        <v>0</v>
      </c>
      <c r="BV57" s="46">
        <f t="shared" ca="1" si="28"/>
        <v>0</v>
      </c>
      <c r="BW57" s="46">
        <f t="shared" ca="1" si="28"/>
        <v>0</v>
      </c>
      <c r="BX57" s="46">
        <f t="shared" ref="BX57:CN57" ca="1" si="29">IF(BX49&lt;0,0,BX49)</f>
        <v>0</v>
      </c>
      <c r="BY57" s="46">
        <f t="shared" ca="1" si="29"/>
        <v>0</v>
      </c>
      <c r="BZ57" s="46">
        <f t="shared" ca="1" si="29"/>
        <v>0</v>
      </c>
      <c r="CA57" s="46">
        <f t="shared" ca="1" si="29"/>
        <v>0</v>
      </c>
      <c r="CB57" s="46">
        <f t="shared" ca="1" si="29"/>
        <v>0</v>
      </c>
      <c r="CC57" s="46">
        <f t="shared" ca="1" si="29"/>
        <v>0</v>
      </c>
      <c r="CD57" s="46">
        <f t="shared" ca="1" si="29"/>
        <v>0</v>
      </c>
      <c r="CE57" s="46">
        <f t="shared" ca="1" si="29"/>
        <v>0</v>
      </c>
      <c r="CF57" s="46">
        <f t="shared" ca="1" si="29"/>
        <v>0</v>
      </c>
      <c r="CG57" s="46">
        <f t="shared" ca="1" si="29"/>
        <v>0</v>
      </c>
      <c r="CH57" s="46">
        <f t="shared" ca="1" si="29"/>
        <v>0</v>
      </c>
      <c r="CI57" s="46">
        <f t="shared" ca="1" si="29"/>
        <v>0</v>
      </c>
      <c r="CJ57" s="46">
        <f t="shared" ca="1" si="29"/>
        <v>0</v>
      </c>
      <c r="CK57" s="46">
        <f t="shared" ca="1" si="29"/>
        <v>0</v>
      </c>
      <c r="CL57" s="46">
        <f t="shared" ca="1" si="29"/>
        <v>0</v>
      </c>
      <c r="CM57" s="46">
        <f t="shared" ca="1" si="29"/>
        <v>0</v>
      </c>
      <c r="CN57" s="46">
        <f t="shared" ca="1" si="29"/>
        <v>0</v>
      </c>
    </row>
    <row r="58" spans="1:99" s="46" customFormat="1" ht="15" x14ac:dyDescent="0.15">
      <c r="A58" s="37" t="s">
        <v>87</v>
      </c>
      <c r="B58" s="37"/>
      <c r="C58" s="46">
        <f t="shared" ca="1" si="22"/>
        <v>0.26000118268236522</v>
      </c>
      <c r="D58" s="46">
        <f t="shared" ca="1" si="23"/>
        <v>0.23335088809679255</v>
      </c>
      <c r="E58" s="46">
        <f t="shared" ca="1" si="23"/>
        <v>0.2061306917510731</v>
      </c>
      <c r="F58" s="46">
        <f t="shared" ca="1" si="23"/>
        <v>0.17834524486770958</v>
      </c>
      <c r="G58" s="46">
        <f t="shared" ca="1" si="23"/>
        <v>0.14999900762418425</v>
      </c>
      <c r="H58" s="46">
        <f t="shared" ca="1" si="23"/>
        <v>0.12109625999812382</v>
      </c>
      <c r="I58" s="46">
        <f t="shared" ca="1" si="23"/>
        <v>9.1641111801074246E-2</v>
      </c>
      <c r="J58" s="46">
        <f t="shared" ca="1" si="23"/>
        <v>6.163751197510535E-2</v>
      </c>
      <c r="K58" s="46">
        <f t="shared" ca="1" si="23"/>
        <v>3.1089257218547706E-2</v>
      </c>
      <c r="L58" s="46" t="e">
        <f t="shared" ref="L58:BW58" ca="1" si="30">IF(L50&lt;0,0,L50)</f>
        <v>#DIV/0!</v>
      </c>
      <c r="M58" s="46">
        <f t="shared" ca="1" si="30"/>
        <v>0</v>
      </c>
      <c r="N58" s="46">
        <f t="shared" ca="1" si="30"/>
        <v>0</v>
      </c>
      <c r="O58" s="46">
        <f t="shared" ca="1" si="30"/>
        <v>0</v>
      </c>
      <c r="P58" s="46">
        <f t="shared" ca="1" si="30"/>
        <v>0</v>
      </c>
      <c r="Q58" s="46">
        <f t="shared" ca="1" si="30"/>
        <v>0</v>
      </c>
      <c r="R58" s="46">
        <f t="shared" ca="1" si="30"/>
        <v>0</v>
      </c>
      <c r="S58" s="46">
        <f t="shared" ca="1" si="30"/>
        <v>0</v>
      </c>
      <c r="T58" s="46">
        <f t="shared" ca="1" si="30"/>
        <v>0</v>
      </c>
      <c r="U58" s="46">
        <f t="shared" ca="1" si="30"/>
        <v>0</v>
      </c>
      <c r="V58" s="46">
        <f t="shared" ca="1" si="30"/>
        <v>0</v>
      </c>
      <c r="W58" s="46">
        <f t="shared" ca="1" si="30"/>
        <v>0</v>
      </c>
      <c r="X58" s="46">
        <f t="shared" ca="1" si="30"/>
        <v>0</v>
      </c>
      <c r="Y58" s="46">
        <f t="shared" ca="1" si="30"/>
        <v>0</v>
      </c>
      <c r="Z58" s="46">
        <f t="shared" ca="1" si="30"/>
        <v>0</v>
      </c>
      <c r="AA58" s="46">
        <f t="shared" ca="1" si="30"/>
        <v>0</v>
      </c>
      <c r="AB58" s="46">
        <f t="shared" ca="1" si="30"/>
        <v>0</v>
      </c>
      <c r="AC58" s="46">
        <f t="shared" ca="1" si="30"/>
        <v>0</v>
      </c>
      <c r="AD58" s="46">
        <f t="shared" ca="1" si="30"/>
        <v>0</v>
      </c>
      <c r="AE58" s="46">
        <f t="shared" ca="1" si="30"/>
        <v>0</v>
      </c>
      <c r="AF58" s="46">
        <f t="shared" ca="1" si="30"/>
        <v>0</v>
      </c>
      <c r="AG58" s="46">
        <f t="shared" ca="1" si="30"/>
        <v>0</v>
      </c>
      <c r="AH58" s="46">
        <f t="shared" ca="1" si="30"/>
        <v>0</v>
      </c>
      <c r="AI58" s="46">
        <f t="shared" ca="1" si="30"/>
        <v>0</v>
      </c>
      <c r="AJ58" s="46">
        <f t="shared" ca="1" si="30"/>
        <v>0</v>
      </c>
      <c r="AK58" s="46">
        <f t="shared" ca="1" si="30"/>
        <v>0</v>
      </c>
      <c r="AL58" s="46">
        <f t="shared" ca="1" si="30"/>
        <v>0</v>
      </c>
      <c r="AM58" s="46">
        <f t="shared" ca="1" si="30"/>
        <v>0</v>
      </c>
      <c r="AN58" s="46">
        <f t="shared" ca="1" si="30"/>
        <v>0</v>
      </c>
      <c r="AO58" s="46">
        <f t="shared" ca="1" si="30"/>
        <v>0</v>
      </c>
      <c r="AP58" s="46">
        <f t="shared" ca="1" si="30"/>
        <v>0</v>
      </c>
      <c r="AQ58" s="46">
        <f t="shared" ca="1" si="30"/>
        <v>0</v>
      </c>
      <c r="AR58" s="46">
        <f t="shared" ca="1" si="30"/>
        <v>0</v>
      </c>
      <c r="AS58" s="46">
        <f t="shared" ca="1" si="30"/>
        <v>0</v>
      </c>
      <c r="AT58" s="46">
        <f t="shared" ca="1" si="30"/>
        <v>0</v>
      </c>
      <c r="AU58" s="46">
        <f t="shared" ca="1" si="30"/>
        <v>0</v>
      </c>
      <c r="AV58" s="46">
        <f t="shared" ca="1" si="30"/>
        <v>0</v>
      </c>
      <c r="AW58" s="46">
        <f t="shared" ca="1" si="30"/>
        <v>0</v>
      </c>
      <c r="AX58" s="46">
        <f t="shared" ca="1" si="30"/>
        <v>0</v>
      </c>
      <c r="AY58" s="46">
        <f t="shared" ca="1" si="30"/>
        <v>0</v>
      </c>
      <c r="AZ58" s="46">
        <f t="shared" ca="1" si="30"/>
        <v>0</v>
      </c>
      <c r="BA58" s="46">
        <f t="shared" ca="1" si="30"/>
        <v>0</v>
      </c>
      <c r="BB58" s="46">
        <f t="shared" ca="1" si="30"/>
        <v>0</v>
      </c>
      <c r="BC58" s="46">
        <f t="shared" ca="1" si="30"/>
        <v>0</v>
      </c>
      <c r="BD58" s="46">
        <f t="shared" ca="1" si="30"/>
        <v>0</v>
      </c>
      <c r="BE58" s="46">
        <f t="shared" ca="1" si="30"/>
        <v>0</v>
      </c>
      <c r="BF58" s="46">
        <f t="shared" ca="1" si="30"/>
        <v>0</v>
      </c>
      <c r="BG58" s="46">
        <f t="shared" ca="1" si="30"/>
        <v>0</v>
      </c>
      <c r="BH58" s="46">
        <f t="shared" ca="1" si="30"/>
        <v>0</v>
      </c>
      <c r="BI58" s="46">
        <f t="shared" ca="1" si="30"/>
        <v>0</v>
      </c>
      <c r="BJ58" s="46">
        <f t="shared" ca="1" si="30"/>
        <v>0</v>
      </c>
      <c r="BK58" s="46">
        <f t="shared" ca="1" si="30"/>
        <v>0</v>
      </c>
      <c r="BL58" s="46">
        <f t="shared" ca="1" si="30"/>
        <v>0</v>
      </c>
      <c r="BM58" s="46">
        <f t="shared" ca="1" si="30"/>
        <v>0</v>
      </c>
      <c r="BN58" s="46">
        <f t="shared" ca="1" si="30"/>
        <v>0</v>
      </c>
      <c r="BO58" s="46">
        <f t="shared" ca="1" si="30"/>
        <v>0</v>
      </c>
      <c r="BP58" s="46">
        <f t="shared" ca="1" si="30"/>
        <v>0</v>
      </c>
      <c r="BQ58" s="46">
        <f t="shared" ca="1" si="30"/>
        <v>0</v>
      </c>
      <c r="BR58" s="46">
        <f t="shared" ca="1" si="30"/>
        <v>0</v>
      </c>
      <c r="BS58" s="46">
        <f t="shared" ca="1" si="30"/>
        <v>0</v>
      </c>
      <c r="BT58" s="46">
        <f t="shared" ca="1" si="30"/>
        <v>0</v>
      </c>
      <c r="BU58" s="46">
        <f t="shared" ca="1" si="30"/>
        <v>0</v>
      </c>
      <c r="BV58" s="46">
        <f t="shared" ca="1" si="30"/>
        <v>0</v>
      </c>
      <c r="BW58" s="46">
        <f t="shared" ca="1" si="30"/>
        <v>0</v>
      </c>
      <c r="BX58" s="46">
        <f t="shared" ref="BX58:CN58" ca="1" si="31">IF(BX50&lt;0,0,BX50)</f>
        <v>0</v>
      </c>
      <c r="BY58" s="46">
        <f t="shared" ca="1" si="31"/>
        <v>0</v>
      </c>
      <c r="BZ58" s="46">
        <f t="shared" ca="1" si="31"/>
        <v>0</v>
      </c>
      <c r="CA58" s="46">
        <f t="shared" ca="1" si="31"/>
        <v>0</v>
      </c>
      <c r="CB58" s="46">
        <f t="shared" ca="1" si="31"/>
        <v>0</v>
      </c>
      <c r="CC58" s="46">
        <f t="shared" ca="1" si="31"/>
        <v>0</v>
      </c>
      <c r="CD58" s="46">
        <f t="shared" ca="1" si="31"/>
        <v>0</v>
      </c>
      <c r="CE58" s="46">
        <f t="shared" ca="1" si="31"/>
        <v>0</v>
      </c>
      <c r="CF58" s="46">
        <f t="shared" ca="1" si="31"/>
        <v>0</v>
      </c>
      <c r="CG58" s="46">
        <f t="shared" ca="1" si="31"/>
        <v>0</v>
      </c>
      <c r="CH58" s="46">
        <f t="shared" ca="1" si="31"/>
        <v>0</v>
      </c>
      <c r="CI58" s="46">
        <f t="shared" ca="1" si="31"/>
        <v>0</v>
      </c>
      <c r="CJ58" s="46">
        <f t="shared" ca="1" si="31"/>
        <v>0</v>
      </c>
      <c r="CK58" s="46">
        <f t="shared" ca="1" si="31"/>
        <v>0</v>
      </c>
      <c r="CL58" s="46">
        <f t="shared" ca="1" si="31"/>
        <v>0</v>
      </c>
      <c r="CM58" s="46">
        <f t="shared" ca="1" si="31"/>
        <v>0</v>
      </c>
      <c r="CN58" s="46">
        <f t="shared" ca="1" si="31"/>
        <v>0</v>
      </c>
    </row>
    <row r="59" spans="1:99" s="46" customFormat="1" ht="15" x14ac:dyDescent="0.15">
      <c r="A59" s="37" t="s">
        <v>88</v>
      </c>
      <c r="B59" s="37"/>
      <c r="C59" s="46">
        <f t="shared" ca="1" si="22"/>
        <v>0</v>
      </c>
      <c r="D59" s="46">
        <f t="shared" ca="1" si="23"/>
        <v>0</v>
      </c>
      <c r="E59" s="46">
        <f t="shared" ca="1" si="23"/>
        <v>0</v>
      </c>
      <c r="F59" s="46">
        <f t="shared" ca="1" si="23"/>
        <v>0</v>
      </c>
      <c r="G59" s="46">
        <f t="shared" ca="1" si="23"/>
        <v>0</v>
      </c>
      <c r="H59" s="46">
        <f t="shared" ca="1" si="23"/>
        <v>0</v>
      </c>
      <c r="I59" s="46">
        <f t="shared" ca="1" si="23"/>
        <v>0</v>
      </c>
      <c r="J59" s="46">
        <f t="shared" ca="1" si="23"/>
        <v>0</v>
      </c>
      <c r="K59" s="46">
        <f t="shared" ca="1" si="23"/>
        <v>0</v>
      </c>
      <c r="L59" s="46" t="e">
        <f t="shared" ref="L59:BW59" ca="1" si="32">IF(L51&lt;0,0,L51)</f>
        <v>#DIV/0!</v>
      </c>
      <c r="M59" s="46">
        <f t="shared" ca="1" si="32"/>
        <v>1.1186442878764661E-2</v>
      </c>
      <c r="N59" s="46">
        <f t="shared" ca="1" si="32"/>
        <v>2.2513760271403054E-2</v>
      </c>
      <c r="O59" s="46">
        <f t="shared" ca="1" si="32"/>
        <v>3.3980975426331411E-2</v>
      </c>
      <c r="P59" s="46">
        <f t="shared" ca="1" si="32"/>
        <v>4.5587135060387696E-2</v>
      </c>
      <c r="Q59" s="46">
        <f t="shared" ca="1" si="32"/>
        <v>5.7331308445445678E-2</v>
      </c>
      <c r="R59" s="46">
        <f t="shared" ca="1" si="32"/>
        <v>6.921258654249822E-2</v>
      </c>
      <c r="S59" s="46">
        <f t="shared" ca="1" si="32"/>
        <v>8.1230081180171471E-2</v>
      </c>
      <c r="T59" s="46">
        <f t="shared" ca="1" si="32"/>
        <v>9.3382924274843154E-2</v>
      </c>
      <c r="U59" s="46">
        <f t="shared" ca="1" si="32"/>
        <v>0.10567026708976318</v>
      </c>
      <c r="V59" s="46">
        <f t="shared" ca="1" si="32"/>
        <v>0.11809127953072796</v>
      </c>
      <c r="W59" s="46">
        <f t="shared" ca="1" si="32"/>
        <v>0.10132581688171864</v>
      </c>
      <c r="X59" s="46">
        <f t="shared" ca="1" si="32"/>
        <v>8.4404442507277008E-2</v>
      </c>
      <c r="Y59" s="46">
        <f t="shared" ca="1" si="32"/>
        <v>6.7327660776698772E-2</v>
      </c>
      <c r="Z59" s="46">
        <f t="shared" ca="1" si="32"/>
        <v>5.0095966469920469E-2</v>
      </c>
      <c r="AA59" s="46">
        <f t="shared" ca="1" si="32"/>
        <v>3.2709845024372956E-2</v>
      </c>
      <c r="AB59" s="46">
        <f t="shared" ca="1" si="32"/>
        <v>1.5169772773408349E-2</v>
      </c>
      <c r="AC59" s="46">
        <f t="shared" ca="1" si="32"/>
        <v>0</v>
      </c>
      <c r="AD59" s="46">
        <f t="shared" ca="1" si="32"/>
        <v>0</v>
      </c>
      <c r="AE59" s="46">
        <f t="shared" ca="1" si="32"/>
        <v>0</v>
      </c>
      <c r="AF59" s="46">
        <f t="shared" ca="1" si="32"/>
        <v>0</v>
      </c>
      <c r="AG59" s="46">
        <f t="shared" ca="1" si="32"/>
        <v>0</v>
      </c>
      <c r="AH59" s="46">
        <f t="shared" ca="1" si="32"/>
        <v>0</v>
      </c>
      <c r="AI59" s="46">
        <f t="shared" ca="1" si="32"/>
        <v>0</v>
      </c>
      <c r="AJ59" s="46">
        <f t="shared" ca="1" si="32"/>
        <v>0</v>
      </c>
      <c r="AK59" s="46">
        <f t="shared" ca="1" si="32"/>
        <v>0</v>
      </c>
      <c r="AL59" s="46">
        <f t="shared" ca="1" si="32"/>
        <v>0</v>
      </c>
      <c r="AM59" s="46">
        <f t="shared" ca="1" si="32"/>
        <v>0</v>
      </c>
      <c r="AN59" s="46">
        <f t="shared" ca="1" si="32"/>
        <v>0</v>
      </c>
      <c r="AO59" s="46">
        <f t="shared" ca="1" si="32"/>
        <v>0</v>
      </c>
      <c r="AP59" s="46">
        <f t="shared" ca="1" si="32"/>
        <v>0</v>
      </c>
      <c r="AQ59" s="46">
        <f t="shared" ca="1" si="32"/>
        <v>0</v>
      </c>
      <c r="AR59" s="46">
        <f t="shared" ca="1" si="32"/>
        <v>0</v>
      </c>
      <c r="AS59" s="46">
        <f t="shared" ca="1" si="32"/>
        <v>0</v>
      </c>
      <c r="AT59" s="46">
        <f t="shared" ca="1" si="32"/>
        <v>0</v>
      </c>
      <c r="AU59" s="46">
        <f t="shared" ca="1" si="32"/>
        <v>0</v>
      </c>
      <c r="AV59" s="46">
        <f t="shared" ca="1" si="32"/>
        <v>0</v>
      </c>
      <c r="AW59" s="46">
        <f t="shared" ca="1" si="32"/>
        <v>0</v>
      </c>
      <c r="AX59" s="46">
        <f t="shared" ca="1" si="32"/>
        <v>0</v>
      </c>
      <c r="AY59" s="46">
        <f t="shared" ca="1" si="32"/>
        <v>0</v>
      </c>
      <c r="AZ59" s="46">
        <f t="shared" ca="1" si="32"/>
        <v>0</v>
      </c>
      <c r="BA59" s="46">
        <f t="shared" ca="1" si="32"/>
        <v>0</v>
      </c>
      <c r="BB59" s="46">
        <f t="shared" ca="1" si="32"/>
        <v>0</v>
      </c>
      <c r="BC59" s="46">
        <f t="shared" ca="1" si="32"/>
        <v>0</v>
      </c>
      <c r="BD59" s="46">
        <f t="shared" ca="1" si="32"/>
        <v>0</v>
      </c>
      <c r="BE59" s="46">
        <f t="shared" ca="1" si="32"/>
        <v>0</v>
      </c>
      <c r="BF59" s="46">
        <f t="shared" ca="1" si="32"/>
        <v>0</v>
      </c>
      <c r="BG59" s="46">
        <f t="shared" ca="1" si="32"/>
        <v>0</v>
      </c>
      <c r="BH59" s="46">
        <f t="shared" ca="1" si="32"/>
        <v>0</v>
      </c>
      <c r="BI59" s="46">
        <f t="shared" ca="1" si="32"/>
        <v>0</v>
      </c>
      <c r="BJ59" s="46">
        <f t="shared" ca="1" si="32"/>
        <v>0</v>
      </c>
      <c r="BK59" s="46">
        <f t="shared" ca="1" si="32"/>
        <v>0</v>
      </c>
      <c r="BL59" s="46">
        <f t="shared" ca="1" si="32"/>
        <v>0</v>
      </c>
      <c r="BM59" s="46">
        <f t="shared" ca="1" si="32"/>
        <v>0</v>
      </c>
      <c r="BN59" s="46">
        <f t="shared" ca="1" si="32"/>
        <v>4.2940618703790741E-2</v>
      </c>
      <c r="BO59" s="46">
        <f t="shared" ca="1" si="32"/>
        <v>9.7663983386553077E-2</v>
      </c>
      <c r="BP59" s="46">
        <f t="shared" ca="1" si="32"/>
        <v>0.15263652540961711</v>
      </c>
      <c r="BQ59" s="46">
        <f t="shared" ca="1" si="32"/>
        <v>0.2078570873476529</v>
      </c>
      <c r="BR59" s="46">
        <f t="shared" ca="1" si="32"/>
        <v>0.2633245225537244</v>
      </c>
      <c r="BS59" s="46">
        <f t="shared" ca="1" si="32"/>
        <v>0.319037694996468</v>
      </c>
      <c r="BT59" s="46">
        <f t="shared" ca="1" si="32"/>
        <v>0.37499547910071546</v>
      </c>
      <c r="BU59" s="46">
        <f t="shared" ca="1" si="32"/>
        <v>0.46717242621224536</v>
      </c>
      <c r="BV59" s="46">
        <f t="shared" ca="1" si="32"/>
        <v>0.5598164866400992</v>
      </c>
      <c r="BW59" s="46">
        <f t="shared" ca="1" si="32"/>
        <v>0.65292460681406062</v>
      </c>
      <c r="BX59" s="46">
        <f t="shared" ref="BX59:CN59" ca="1" si="33">IF(BX51&lt;0,0,BX51)</f>
        <v>0.74649376955338664</v>
      </c>
      <c r="BY59" s="46">
        <f t="shared" ca="1" si="33"/>
        <v>0.8405209933977964</v>
      </c>
      <c r="BZ59" s="46">
        <f t="shared" ca="1" si="33"/>
        <v>0.93500333195540553</v>
      </c>
      <c r="CA59" s="46">
        <f t="shared" ca="1" si="33"/>
        <v>1.029937873267152</v>
      </c>
      <c r="CB59" s="46">
        <f t="shared" ca="1" si="33"/>
        <v>1.1253217391869876</v>
      </c>
      <c r="CC59" s="46">
        <f t="shared" ca="1" si="33"/>
        <v>1.221152084777577</v>
      </c>
      <c r="CD59" s="46">
        <f t="shared" ca="1" si="33"/>
        <v>1.3174260977208472</v>
      </c>
      <c r="CE59" s="46">
        <f t="shared" ca="1" si="33"/>
        <v>1.4410754523547045</v>
      </c>
      <c r="CF59" s="46">
        <f t="shared" ca="1" si="33"/>
        <v>1.5653606843340253</v>
      </c>
      <c r="CG59" s="46">
        <f t="shared" ca="1" si="33"/>
        <v>1.6902769316406281</v>
      </c>
      <c r="CH59" s="46">
        <f t="shared" ca="1" si="33"/>
        <v>1.8158193975048855</v>
      </c>
      <c r="CI59" s="46">
        <f t="shared" ca="1" si="33"/>
        <v>1.9419833490887941</v>
      </c>
      <c r="CJ59" s="46">
        <f t="shared" ca="1" si="33"/>
        <v>2.0687641162054291</v>
      </c>
      <c r="CK59" s="46">
        <f t="shared" ca="1" si="33"/>
        <v>2.1961570900734393</v>
      </c>
      <c r="CL59" s="46">
        <f t="shared" ca="1" si="33"/>
        <v>2.3241577221052494</v>
      </c>
      <c r="CM59" s="46">
        <f t="shared" ca="1" si="33"/>
        <v>2.4527615227279824</v>
      </c>
      <c r="CN59" s="46">
        <f t="shared" ca="1" si="33"/>
        <v>2.5819640602359373</v>
      </c>
    </row>
    <row r="60" spans="1:99" x14ac:dyDescent="0.15">
      <c r="CM60" s="46"/>
      <c r="CN60" s="46"/>
    </row>
    <row r="61" spans="1:99" s="46" customFormat="1" x14ac:dyDescent="0.15">
      <c r="A61" s="1" t="s">
        <v>85</v>
      </c>
      <c r="B61" s="1"/>
    </row>
    <row r="62" spans="1:99" s="46" customFormat="1" x14ac:dyDescent="0.15">
      <c r="A62" s="38" t="s">
        <v>49</v>
      </c>
      <c r="B62" s="38"/>
      <c r="C62" s="46">
        <f ca="1">(C54/C$78)</f>
        <v>0</v>
      </c>
      <c r="D62" s="46">
        <f t="shared" ref="D62:BO63" ca="1" si="34">(D54/D$78)</f>
        <v>0</v>
      </c>
      <c r="E62" s="46">
        <f t="shared" ca="1" si="34"/>
        <v>0</v>
      </c>
      <c r="F62" s="46">
        <f t="shared" ca="1" si="34"/>
        <v>0</v>
      </c>
      <c r="G62" s="46">
        <f t="shared" ca="1" si="34"/>
        <v>0</v>
      </c>
      <c r="H62" s="46">
        <f t="shared" ca="1" si="34"/>
        <v>0</v>
      </c>
      <c r="I62" s="46">
        <f t="shared" ca="1" si="34"/>
        <v>0</v>
      </c>
      <c r="J62" s="46">
        <f t="shared" ca="1" si="34"/>
        <v>0</v>
      </c>
      <c r="K62" s="46">
        <f t="shared" ca="1" si="34"/>
        <v>0</v>
      </c>
      <c r="L62" s="46" t="e">
        <f t="shared" ca="1" si="34"/>
        <v>#DIV/0!</v>
      </c>
      <c r="M62" s="46">
        <f t="shared" ca="1" si="34"/>
        <v>0.21235915873955877</v>
      </c>
      <c r="N62" s="46">
        <f t="shared" ca="1" si="34"/>
        <v>0.21411495751816267</v>
      </c>
      <c r="O62" s="46">
        <f t="shared" ca="1" si="34"/>
        <v>0.21582499769677227</v>
      </c>
      <c r="P62" s="46">
        <f t="shared" ca="1" si="34"/>
        <v>0.21749137745926636</v>
      </c>
      <c r="Q62" s="46">
        <f t="shared" ca="1" si="34"/>
        <v>0.21911605087023706</v>
      </c>
      <c r="R62" s="46">
        <f t="shared" ca="1" si="34"/>
        <v>0.22070084123871603</v>
      </c>
      <c r="S62" s="46">
        <f t="shared" ca="1" si="34"/>
        <v>0.22224745292310596</v>
      </c>
      <c r="T62" s="46">
        <f t="shared" ca="1" si="34"/>
        <v>0.22375748179511321</v>
      </c>
      <c r="U62" s="46">
        <f t="shared" ca="1" si="34"/>
        <v>0.22523242454523903</v>
      </c>
      <c r="V62" s="46">
        <f t="shared" ca="1" si="34"/>
        <v>0.22667368698361584</v>
      </c>
      <c r="W62" s="46">
        <f t="shared" ca="1" si="34"/>
        <v>0.22734010404871594</v>
      </c>
      <c r="X62" s="46">
        <f t="shared" ca="1" si="34"/>
        <v>0.2281104286810158</v>
      </c>
      <c r="Y62" s="46">
        <f t="shared" ca="1" si="34"/>
        <v>0.22895912209269012</v>
      </c>
      <c r="Z62" s="46">
        <f t="shared" ca="1" si="34"/>
        <v>0.22976216660560056</v>
      </c>
      <c r="AA62" s="46">
        <f t="shared" ca="1" si="34"/>
        <v>0.23014939023360945</v>
      </c>
      <c r="AB62" s="46">
        <f t="shared" ca="1" si="34"/>
        <v>0.23062167252059479</v>
      </c>
      <c r="AC62" s="46">
        <f t="shared" ca="1" si="34"/>
        <v>0.23113514905844273</v>
      </c>
      <c r="AD62" s="46">
        <f t="shared" ca="1" si="34"/>
        <v>0.23155001897325123</v>
      </c>
      <c r="AE62" s="46">
        <f t="shared" ca="1" si="34"/>
        <v>0.23202311716409357</v>
      </c>
      <c r="AF62" s="46">
        <f t="shared" ca="1" si="34"/>
        <v>0.23254387178141975</v>
      </c>
      <c r="AG62" s="46">
        <f t="shared" ca="1" si="34"/>
        <v>0.23088838697680536</v>
      </c>
      <c r="AH62" s="46">
        <f t="shared" ca="1" si="34"/>
        <v>0.22944788465479879</v>
      </c>
      <c r="AI62" s="46">
        <f t="shared" ca="1" si="34"/>
        <v>0.22819450567458413</v>
      </c>
      <c r="AJ62" s="46">
        <f t="shared" ca="1" si="34"/>
        <v>0.22710483823163602</v>
      </c>
      <c r="AK62" s="46">
        <f t="shared" ca="1" si="34"/>
        <v>0.22615907002297547</v>
      </c>
      <c r="AL62" s="46">
        <f t="shared" ca="1" si="34"/>
        <v>0.22534032696705367</v>
      </c>
      <c r="AM62" s="46">
        <f t="shared" ca="1" si="34"/>
        <v>0.22463415230089756</v>
      </c>
      <c r="AN62" s="46">
        <f t="shared" ca="1" si="34"/>
        <v>0.22402809249244585</v>
      </c>
      <c r="AO62" s="46">
        <f t="shared" ca="1" si="34"/>
        <v>0.22351136527228863</v>
      </c>
      <c r="AP62" s="46">
        <f t="shared" ca="1" si="34"/>
        <v>0.22307459140463715</v>
      </c>
      <c r="AQ62" s="46">
        <f t="shared" ca="1" si="34"/>
        <v>0.22042429125761595</v>
      </c>
      <c r="AR62" s="46">
        <f t="shared" ca="1" si="34"/>
        <v>0.21784864642029456</v>
      </c>
      <c r="AS62" s="46">
        <f t="shared" ca="1" si="34"/>
        <v>0.21546167910500325</v>
      </c>
      <c r="AT62" s="46">
        <f t="shared" ca="1" si="34"/>
        <v>0.21324598778568121</v>
      </c>
      <c r="AU62" s="46">
        <f t="shared" ca="1" si="34"/>
        <v>0.21118622301395179</v>
      </c>
      <c r="AV62" s="46">
        <f t="shared" ca="1" si="34"/>
        <v>0.20926879399842066</v>
      </c>
      <c r="AW62" s="46">
        <f t="shared" ca="1" si="34"/>
        <v>0.20748162412222365</v>
      </c>
      <c r="AX62" s="46">
        <f t="shared" ca="1" si="34"/>
        <v>0.20581394613386794</v>
      </c>
      <c r="AY62" s="46">
        <f t="shared" ca="1" si="34"/>
        <v>0.20425612969826465</v>
      </c>
      <c r="AZ62" s="46">
        <f t="shared" ca="1" si="34"/>
        <v>0.204392225600081</v>
      </c>
      <c r="BA62" s="46">
        <f t="shared" ca="1" si="34"/>
        <v>0.20132900255714736</v>
      </c>
      <c r="BB62" s="46">
        <f t="shared" ca="1" si="34"/>
        <v>0.19843989946821453</v>
      </c>
      <c r="BC62" s="46">
        <f t="shared" ca="1" si="34"/>
        <v>0.19571083411196688</v>
      </c>
      <c r="BD62" s="46">
        <f t="shared" ca="1" si="34"/>
        <v>0.19312921043457087</v>
      </c>
      <c r="BE62" s="46">
        <f t="shared" ca="1" si="34"/>
        <v>0.1906837270321394</v>
      </c>
      <c r="BF62" s="46">
        <f t="shared" ca="1" si="34"/>
        <v>0.18836421454081217</v>
      </c>
      <c r="BG62" s="46">
        <f t="shared" ca="1" si="34"/>
        <v>0.18616149696586604</v>
      </c>
      <c r="BH62" s="46">
        <f t="shared" ca="1" si="34"/>
        <v>0.18406727293416564</v>
      </c>
      <c r="BI62" s="46">
        <f t="shared" ca="1" si="34"/>
        <v>0.18207401360633849</v>
      </c>
      <c r="BJ62" s="46">
        <f t="shared" ca="1" si="34"/>
        <v>0.18017487458228065</v>
      </c>
      <c r="BK62" s="46">
        <f t="shared" ca="1" si="34"/>
        <v>0.17710526756285977</v>
      </c>
      <c r="BL62" s="46">
        <f t="shared" ca="1" si="34"/>
        <v>0.17417056752676374</v>
      </c>
      <c r="BM62" s="46">
        <f t="shared" ca="1" si="34"/>
        <v>0.17136119268891234</v>
      </c>
      <c r="BN62" s="46">
        <f t="shared" ca="1" si="34"/>
        <v>0.16854683584417757</v>
      </c>
      <c r="BO62" s="46">
        <f t="shared" ca="1" si="34"/>
        <v>0.16581661661174982</v>
      </c>
      <c r="BP62" s="46">
        <f t="shared" ref="BP62:CN66" ca="1" si="35">(BP54/BP$78)</f>
        <v>0.16319636629103773</v>
      </c>
      <c r="BQ62" s="46">
        <f t="shared" ca="1" si="35"/>
        <v>0.16067886302304105</v>
      </c>
      <c r="BR62" s="46">
        <f t="shared" ca="1" si="35"/>
        <v>0.15825751458272513</v>
      </c>
      <c r="BS62" s="46">
        <f t="shared" ca="1" si="35"/>
        <v>0.15592629077130696</v>
      </c>
      <c r="BT62" s="46">
        <f t="shared" ca="1" si="35"/>
        <v>0.15367966436283786</v>
      </c>
      <c r="BU62" s="46">
        <f t="shared" ca="1" si="35"/>
        <v>0.15046044414520343</v>
      </c>
      <c r="BV62" s="46">
        <f t="shared" ca="1" si="35"/>
        <v>0.14735925059976679</v>
      </c>
      <c r="BW62" s="46">
        <f t="shared" ca="1" si="35"/>
        <v>0.1443681835459783</v>
      </c>
      <c r="BX62" s="46">
        <f t="shared" ca="1" si="35"/>
        <v>0.14148004456716448</v>
      </c>
      <c r="BY62" s="46">
        <f t="shared" ca="1" si="35"/>
        <v>0.13868826004971205</v>
      </c>
      <c r="BZ62" s="46">
        <f t="shared" ca="1" si="35"/>
        <v>0.13598681417417108</v>
      </c>
      <c r="CA62" s="46">
        <f t="shared" ca="1" si="35"/>
        <v>0.13337019038540812</v>
      </c>
      <c r="CB62" s="46">
        <f t="shared" ca="1" si="35"/>
        <v>0.13083332011319393</v>
      </c>
      <c r="CC62" s="46">
        <f t="shared" ca="1" si="35"/>
        <v>0.12837153771419121</v>
      </c>
      <c r="CD62" s="46">
        <f t="shared" ca="1" si="35"/>
        <v>0.12598054077011855</v>
      </c>
      <c r="CE62" s="46">
        <f t="shared" ca="1" si="35"/>
        <v>0.12299792717539403</v>
      </c>
      <c r="CF62" s="46">
        <f t="shared" ca="1" si="35"/>
        <v>0.12010540715066287</v>
      </c>
      <c r="CG62" s="46">
        <f t="shared" ca="1" si="35"/>
        <v>0.11729731360725841</v>
      </c>
      <c r="CH62" s="46">
        <f t="shared" ca="1" si="35"/>
        <v>0.1145684490797676</v>
      </c>
      <c r="CI62" s="46">
        <f t="shared" ca="1" si="35"/>
        <v>0.11191403736823066</v>
      </c>
      <c r="CJ62" s="46">
        <f t="shared" ca="1" si="35"/>
        <v>0.1093296810675556</v>
      </c>
      <c r="CK62" s="46">
        <f t="shared" ca="1" si="35"/>
        <v>0.10681132416205914</v>
      </c>
      <c r="CL62" s="46">
        <f t="shared" ca="1" si="35"/>
        <v>0.10435521899189856</v>
      </c>
      <c r="CM62" s="46">
        <f t="shared" ca="1" si="35"/>
        <v>0.10195789700471011</v>
      </c>
      <c r="CN62" s="46">
        <f t="shared" ca="1" si="35"/>
        <v>9.9616142794217502E-2</v>
      </c>
    </row>
    <row r="63" spans="1:99" s="46" customFormat="1" x14ac:dyDescent="0.15">
      <c r="A63" s="37" t="s">
        <v>59</v>
      </c>
      <c r="B63" s="37"/>
      <c r="C63" s="46">
        <f t="shared" ref="C63:R67" ca="1" si="36">(C55/C$78)</f>
        <v>0</v>
      </c>
      <c r="D63" s="46">
        <f t="shared" ca="1" si="36"/>
        <v>0</v>
      </c>
      <c r="E63" s="46">
        <f t="shared" ca="1" si="36"/>
        <v>0</v>
      </c>
      <c r="F63" s="46">
        <f t="shared" ca="1" si="36"/>
        <v>0</v>
      </c>
      <c r="G63" s="46">
        <f t="shared" ca="1" si="36"/>
        <v>0</v>
      </c>
      <c r="H63" s="46">
        <f t="shared" ca="1" si="36"/>
        <v>0</v>
      </c>
      <c r="I63" s="46">
        <f t="shared" ca="1" si="36"/>
        <v>0</v>
      </c>
      <c r="J63" s="46">
        <f t="shared" ca="1" si="36"/>
        <v>0</v>
      </c>
      <c r="K63" s="46">
        <f t="shared" ca="1" si="36"/>
        <v>0</v>
      </c>
      <c r="L63" s="46" t="e">
        <f t="shared" ca="1" si="36"/>
        <v>#DIV/0!</v>
      </c>
      <c r="M63" s="46">
        <f t="shared" ca="1" si="36"/>
        <v>0.76841428680766422</v>
      </c>
      <c r="N63" s="46">
        <f t="shared" ca="1" si="36"/>
        <v>0.76642123147492636</v>
      </c>
      <c r="O63" s="46">
        <f t="shared" ca="1" si="36"/>
        <v>0.76447708941983339</v>
      </c>
      <c r="P63" s="46">
        <f t="shared" ca="1" si="36"/>
        <v>0.76257962339002916</v>
      </c>
      <c r="Q63" s="46">
        <f t="shared" ca="1" si="36"/>
        <v>0.76072675011048441</v>
      </c>
      <c r="R63" s="46">
        <f t="shared" ca="1" si="36"/>
        <v>0.75891652597712578</v>
      </c>
      <c r="S63" s="46">
        <f t="shared" ca="1" si="34"/>
        <v>0.75714713442169357</v>
      </c>
      <c r="T63" s="46">
        <f t="shared" ca="1" si="34"/>
        <v>0.75541687471403729</v>
      </c>
      <c r="U63" s="46">
        <f t="shared" ca="1" si="34"/>
        <v>0.75372415200600063</v>
      </c>
      <c r="V63" s="46">
        <f t="shared" ca="1" si="34"/>
        <v>0.75206746845186212</v>
      </c>
      <c r="W63" s="46">
        <f t="shared" ca="1" si="34"/>
        <v>0.75712886778169397</v>
      </c>
      <c r="X63" s="46">
        <f t="shared" ca="1" si="34"/>
        <v>0.76133813850263399</v>
      </c>
      <c r="Y63" s="46">
        <f t="shared" ca="1" si="34"/>
        <v>0.76487263160125118</v>
      </c>
      <c r="Z63" s="46">
        <f t="shared" ca="1" si="34"/>
        <v>0.76751313630502016</v>
      </c>
      <c r="AA63" s="46">
        <f t="shared" ca="1" si="34"/>
        <v>0.76817269142211875</v>
      </c>
      <c r="AB63" s="46">
        <f t="shared" ca="1" si="34"/>
        <v>0.7686416957383464</v>
      </c>
      <c r="AC63" s="46">
        <f t="shared" ca="1" si="34"/>
        <v>0.76886485094155721</v>
      </c>
      <c r="AD63" s="46">
        <f t="shared" ca="1" si="34"/>
        <v>0.76844998102674877</v>
      </c>
      <c r="AE63" s="46">
        <f t="shared" ca="1" si="34"/>
        <v>0.76797688283590637</v>
      </c>
      <c r="AF63" s="46">
        <f t="shared" ca="1" si="34"/>
        <v>0.76745612821858034</v>
      </c>
      <c r="AG63" s="46">
        <f t="shared" ca="1" si="34"/>
        <v>0.76911161302319475</v>
      </c>
      <c r="AH63" s="46">
        <f t="shared" ca="1" si="34"/>
        <v>0.77055211534520118</v>
      </c>
      <c r="AI63" s="46">
        <f t="shared" ca="1" si="34"/>
        <v>0.77180549432541579</v>
      </c>
      <c r="AJ63" s="46">
        <f t="shared" ca="1" si="34"/>
        <v>0.77289516176836393</v>
      </c>
      <c r="AK63" s="46">
        <f t="shared" ca="1" si="34"/>
        <v>0.77384092997702458</v>
      </c>
      <c r="AL63" s="46">
        <f t="shared" ca="1" si="34"/>
        <v>0.77465967303294636</v>
      </c>
      <c r="AM63" s="46">
        <f t="shared" ca="1" si="34"/>
        <v>0.77536584769910255</v>
      </c>
      <c r="AN63" s="46">
        <f t="shared" ca="1" si="34"/>
        <v>0.77597190750755407</v>
      </c>
      <c r="AO63" s="46">
        <f t="shared" ca="1" si="34"/>
        <v>0.77648863472771146</v>
      </c>
      <c r="AP63" s="46">
        <f t="shared" ca="1" si="34"/>
        <v>0.77692540859536297</v>
      </c>
      <c r="AQ63" s="46">
        <f t="shared" ca="1" si="34"/>
        <v>0.77957570874238391</v>
      </c>
      <c r="AR63" s="46">
        <f t="shared" ca="1" si="34"/>
        <v>0.78215135357970533</v>
      </c>
      <c r="AS63" s="46">
        <f t="shared" ca="1" si="34"/>
        <v>0.78453832089499675</v>
      </c>
      <c r="AT63" s="46">
        <f t="shared" ca="1" si="34"/>
        <v>0.78675401221431884</v>
      </c>
      <c r="AU63" s="46">
        <f t="shared" ca="1" si="34"/>
        <v>0.78881377698604827</v>
      </c>
      <c r="AV63" s="46">
        <f t="shared" ca="1" si="34"/>
        <v>0.79073120600157931</v>
      </c>
      <c r="AW63" s="46">
        <f t="shared" ca="1" si="34"/>
        <v>0.79251837587777629</v>
      </c>
      <c r="AX63" s="46">
        <f t="shared" ca="1" si="34"/>
        <v>0.79418605386613206</v>
      </c>
      <c r="AY63" s="46">
        <f t="shared" ca="1" si="34"/>
        <v>0.79574387030173532</v>
      </c>
      <c r="AZ63" s="46">
        <f t="shared" ca="1" si="34"/>
        <v>0.79560777439991914</v>
      </c>
      <c r="BA63" s="46">
        <f t="shared" ca="1" si="34"/>
        <v>0.79867099744285264</v>
      </c>
      <c r="BB63" s="46">
        <f t="shared" ca="1" si="34"/>
        <v>0.80156010053178539</v>
      </c>
      <c r="BC63" s="46">
        <f t="shared" ca="1" si="34"/>
        <v>0.80428916588803312</v>
      </c>
      <c r="BD63" s="46">
        <f t="shared" ca="1" si="34"/>
        <v>0.80687078956542924</v>
      </c>
      <c r="BE63" s="46">
        <f t="shared" ca="1" si="34"/>
        <v>0.80931627296786068</v>
      </c>
      <c r="BF63" s="46">
        <f t="shared" ca="1" si="34"/>
        <v>0.8116357854591878</v>
      </c>
      <c r="BG63" s="46">
        <f t="shared" ca="1" si="34"/>
        <v>0.81383850303413396</v>
      </c>
      <c r="BH63" s="46">
        <f t="shared" ca="1" si="34"/>
        <v>0.81593272706583431</v>
      </c>
      <c r="BI63" s="46">
        <f t="shared" ca="1" si="34"/>
        <v>0.81792598639366154</v>
      </c>
      <c r="BJ63" s="46">
        <f t="shared" ca="1" si="34"/>
        <v>0.81982512541771935</v>
      </c>
      <c r="BK63" s="46">
        <f t="shared" ca="1" si="34"/>
        <v>0.82289473243714018</v>
      </c>
      <c r="BL63" s="46">
        <f t="shared" ca="1" si="34"/>
        <v>0.82582943247323626</v>
      </c>
      <c r="BM63" s="46">
        <f t="shared" ca="1" si="34"/>
        <v>0.82863880731108763</v>
      </c>
      <c r="BN63" s="46">
        <f t="shared" ca="1" si="34"/>
        <v>0.83073207147189432</v>
      </c>
      <c r="BO63" s="46">
        <f t="shared" ca="1" si="34"/>
        <v>0.83257051873806054</v>
      </c>
      <c r="BP63" s="46">
        <f t="shared" ca="1" si="35"/>
        <v>0.83432366302325767</v>
      </c>
      <c r="BQ63" s="46">
        <f t="shared" ca="1" si="35"/>
        <v>0.8359972044946693</v>
      </c>
      <c r="BR63" s="46">
        <f t="shared" ca="1" si="35"/>
        <v>0.83759634413475337</v>
      </c>
      <c r="BS63" s="46">
        <f t="shared" ca="1" si="35"/>
        <v>0.83912583743425551</v>
      </c>
      <c r="BT63" s="46">
        <f t="shared" ca="1" si="35"/>
        <v>0.84059004128604753</v>
      </c>
      <c r="BU63" s="46">
        <f t="shared" ca="1" si="35"/>
        <v>0.84252095835907259</v>
      </c>
      <c r="BV63" s="46">
        <f t="shared" ca="1" si="35"/>
        <v>0.8443683698594322</v>
      </c>
      <c r="BW63" s="46">
        <f t="shared" ca="1" si="35"/>
        <v>0.84613803592662062</v>
      </c>
      <c r="BX63" s="46">
        <f t="shared" ca="1" si="35"/>
        <v>0.84783520118736577</v>
      </c>
      <c r="BY63" s="46">
        <f t="shared" ca="1" si="35"/>
        <v>0.8494646514550408</v>
      </c>
      <c r="BZ63" s="46">
        <f t="shared" ca="1" si="35"/>
        <v>0.85103076308708436</v>
      </c>
      <c r="CA63" s="46">
        <f t="shared" ca="1" si="35"/>
        <v>0.85253754608783272</v>
      </c>
      <c r="CB63" s="46">
        <f t="shared" ca="1" si="35"/>
        <v>0.85398868186376342</v>
      </c>
      <c r="CC63" s="46">
        <f t="shared" ca="1" si="35"/>
        <v>0.85538755639073727</v>
      </c>
      <c r="CD63" s="46">
        <f t="shared" ca="1" si="35"/>
        <v>0.85673728943186644</v>
      </c>
      <c r="CE63" s="46">
        <f t="shared" ca="1" si="35"/>
        <v>0.85839051500760777</v>
      </c>
      <c r="CF63" s="46">
        <f t="shared" ca="1" si="35"/>
        <v>0.85998350631261933</v>
      </c>
      <c r="CG63" s="46">
        <f t="shared" ca="1" si="35"/>
        <v>0.86152025196710846</v>
      </c>
      <c r="CH63" s="46">
        <f t="shared" ca="1" si="35"/>
        <v>0.86300440598444339</v>
      </c>
      <c r="CI63" s="46">
        <f t="shared" ca="1" si="35"/>
        <v>0.86443932239634658</v>
      </c>
      <c r="CJ63" s="46">
        <f t="shared" ca="1" si="35"/>
        <v>0.86582808565273073</v>
      </c>
      <c r="CK63" s="46">
        <f t="shared" ca="1" si="35"/>
        <v>0.86717353738696523</v>
      </c>
      <c r="CL63" s="46">
        <f t="shared" ca="1" si="35"/>
        <v>0.86847830004471083</v>
      </c>
      <c r="CM63" s="46">
        <f t="shared" ca="1" si="35"/>
        <v>0.86974479779781122</v>
      </c>
      <c r="CN63" s="46">
        <f t="shared" ca="1" si="35"/>
        <v>0.87097527510114647</v>
      </c>
    </row>
    <row r="64" spans="1:99" s="46" customFormat="1" x14ac:dyDescent="0.15">
      <c r="A64" s="37" t="s">
        <v>90</v>
      </c>
      <c r="B64" s="37"/>
      <c r="C64" s="46">
        <f t="shared" ca="1" si="36"/>
        <v>0.96792189965073183</v>
      </c>
      <c r="D64" s="46">
        <f t="shared" ref="D64:BO67" ca="1" si="37">(D56/D$78)</f>
        <v>0.96828262815392196</v>
      </c>
      <c r="E64" s="46">
        <f t="shared" ca="1" si="37"/>
        <v>0.9686467918844156</v>
      </c>
      <c r="F64" s="46">
        <f t="shared" ca="1" si="37"/>
        <v>0.96901450643588283</v>
      </c>
      <c r="G64" s="46">
        <f t="shared" ca="1" si="37"/>
        <v>0.96938589456121005</v>
      </c>
      <c r="H64" s="46">
        <f t="shared" ca="1" si="37"/>
        <v>0.9697610868185963</v>
      </c>
      <c r="I64" s="46">
        <f t="shared" ca="1" si="37"/>
        <v>0.97014022229487129</v>
      </c>
      <c r="J64" s="46">
        <f t="shared" ca="1" si="37"/>
        <v>0.97052344941764368</v>
      </c>
      <c r="K64" s="46">
        <f t="shared" ca="1" si="37"/>
        <v>0.97091092686997038</v>
      </c>
      <c r="L64" s="46" t="e">
        <f t="shared" ca="1" si="37"/>
        <v>#DIV/0!</v>
      </c>
      <c r="M64" s="46">
        <f t="shared" ca="1" si="37"/>
        <v>0</v>
      </c>
      <c r="N64" s="46">
        <f t="shared" ca="1" si="37"/>
        <v>0</v>
      </c>
      <c r="O64" s="46">
        <f t="shared" ca="1" si="37"/>
        <v>0</v>
      </c>
      <c r="P64" s="46">
        <f t="shared" ca="1" si="37"/>
        <v>0</v>
      </c>
      <c r="Q64" s="46">
        <f t="shared" ca="1" si="37"/>
        <v>0</v>
      </c>
      <c r="R64" s="46">
        <f t="shared" ca="1" si="37"/>
        <v>0</v>
      </c>
      <c r="S64" s="46">
        <f t="shared" ca="1" si="37"/>
        <v>0</v>
      </c>
      <c r="T64" s="46">
        <f t="shared" ca="1" si="37"/>
        <v>0</v>
      </c>
      <c r="U64" s="46">
        <f t="shared" ca="1" si="37"/>
        <v>0</v>
      </c>
      <c r="V64" s="46">
        <f t="shared" ca="1" si="37"/>
        <v>0</v>
      </c>
      <c r="W64" s="46">
        <f t="shared" ca="1" si="37"/>
        <v>0</v>
      </c>
      <c r="X64" s="46">
        <f t="shared" ca="1" si="37"/>
        <v>0</v>
      </c>
      <c r="Y64" s="46">
        <f t="shared" ca="1" si="37"/>
        <v>0</v>
      </c>
      <c r="Z64" s="46">
        <f t="shared" ca="1" si="37"/>
        <v>0</v>
      </c>
      <c r="AA64" s="46">
        <f t="shared" ca="1" si="37"/>
        <v>0</v>
      </c>
      <c r="AB64" s="46">
        <f t="shared" ca="1" si="37"/>
        <v>0</v>
      </c>
      <c r="AC64" s="46">
        <f t="shared" ca="1" si="37"/>
        <v>0</v>
      </c>
      <c r="AD64" s="46">
        <f t="shared" ca="1" si="37"/>
        <v>0</v>
      </c>
      <c r="AE64" s="46">
        <f t="shared" ca="1" si="37"/>
        <v>0</v>
      </c>
      <c r="AF64" s="46">
        <f t="shared" ca="1" si="37"/>
        <v>0</v>
      </c>
      <c r="AG64" s="46">
        <f t="shared" ca="1" si="37"/>
        <v>0</v>
      </c>
      <c r="AH64" s="46">
        <f t="shared" ca="1" si="37"/>
        <v>0</v>
      </c>
      <c r="AI64" s="46">
        <f t="shared" ca="1" si="37"/>
        <v>0</v>
      </c>
      <c r="AJ64" s="46">
        <f t="shared" ca="1" si="37"/>
        <v>0</v>
      </c>
      <c r="AK64" s="46">
        <f t="shared" ca="1" si="37"/>
        <v>0</v>
      </c>
      <c r="AL64" s="46">
        <f t="shared" ca="1" si="37"/>
        <v>0</v>
      </c>
      <c r="AM64" s="46">
        <f t="shared" ca="1" si="37"/>
        <v>0</v>
      </c>
      <c r="AN64" s="46">
        <f t="shared" ca="1" si="37"/>
        <v>0</v>
      </c>
      <c r="AO64" s="46">
        <f t="shared" ca="1" si="37"/>
        <v>0</v>
      </c>
      <c r="AP64" s="46">
        <f t="shared" ca="1" si="37"/>
        <v>0</v>
      </c>
      <c r="AQ64" s="46">
        <f t="shared" ca="1" si="37"/>
        <v>0</v>
      </c>
      <c r="AR64" s="46">
        <f t="shared" ca="1" si="37"/>
        <v>0</v>
      </c>
      <c r="AS64" s="46">
        <f t="shared" ca="1" si="37"/>
        <v>0</v>
      </c>
      <c r="AT64" s="46">
        <f t="shared" ca="1" si="37"/>
        <v>0</v>
      </c>
      <c r="AU64" s="46">
        <f t="shared" ca="1" si="37"/>
        <v>0</v>
      </c>
      <c r="AV64" s="46">
        <f t="shared" ca="1" si="37"/>
        <v>0</v>
      </c>
      <c r="AW64" s="46">
        <f t="shared" ca="1" si="37"/>
        <v>0</v>
      </c>
      <c r="AX64" s="46">
        <f t="shared" ca="1" si="37"/>
        <v>0</v>
      </c>
      <c r="AY64" s="46">
        <f t="shared" ca="1" si="37"/>
        <v>0</v>
      </c>
      <c r="AZ64" s="46">
        <f t="shared" ca="1" si="37"/>
        <v>0</v>
      </c>
      <c r="BA64" s="46">
        <f t="shared" ca="1" si="37"/>
        <v>0</v>
      </c>
      <c r="BB64" s="46">
        <f t="shared" ca="1" si="37"/>
        <v>0</v>
      </c>
      <c r="BC64" s="46">
        <f t="shared" ca="1" si="37"/>
        <v>0</v>
      </c>
      <c r="BD64" s="46">
        <f t="shared" ca="1" si="37"/>
        <v>0</v>
      </c>
      <c r="BE64" s="46">
        <f t="shared" ca="1" si="37"/>
        <v>0</v>
      </c>
      <c r="BF64" s="46">
        <f t="shared" ca="1" si="37"/>
        <v>0</v>
      </c>
      <c r="BG64" s="46">
        <f t="shared" ca="1" si="37"/>
        <v>0</v>
      </c>
      <c r="BH64" s="46">
        <f t="shared" ca="1" si="37"/>
        <v>0</v>
      </c>
      <c r="BI64" s="46">
        <f t="shared" ca="1" si="37"/>
        <v>0</v>
      </c>
      <c r="BJ64" s="46">
        <f t="shared" ca="1" si="37"/>
        <v>0</v>
      </c>
      <c r="BK64" s="46">
        <f t="shared" ca="1" si="37"/>
        <v>0</v>
      </c>
      <c r="BL64" s="46">
        <f t="shared" ca="1" si="37"/>
        <v>0</v>
      </c>
      <c r="BM64" s="46">
        <f t="shared" ca="1" si="37"/>
        <v>0</v>
      </c>
      <c r="BN64" s="46">
        <f t="shared" ca="1" si="37"/>
        <v>0</v>
      </c>
      <c r="BO64" s="46">
        <f t="shared" ca="1" si="37"/>
        <v>0</v>
      </c>
      <c r="BP64" s="46">
        <f t="shared" ca="1" si="35"/>
        <v>0</v>
      </c>
      <c r="BQ64" s="46">
        <f t="shared" ca="1" si="35"/>
        <v>0</v>
      </c>
      <c r="BR64" s="46">
        <f t="shared" ca="1" si="35"/>
        <v>0</v>
      </c>
      <c r="BS64" s="46">
        <f t="shared" ca="1" si="35"/>
        <v>0</v>
      </c>
      <c r="BT64" s="46">
        <f t="shared" ca="1" si="35"/>
        <v>0</v>
      </c>
      <c r="BU64" s="46">
        <f t="shared" ca="1" si="35"/>
        <v>0</v>
      </c>
      <c r="BV64" s="46">
        <f t="shared" ca="1" si="35"/>
        <v>0</v>
      </c>
      <c r="BW64" s="46">
        <f t="shared" ca="1" si="35"/>
        <v>0</v>
      </c>
      <c r="BX64" s="46">
        <f t="shared" ca="1" si="35"/>
        <v>0</v>
      </c>
      <c r="BY64" s="46">
        <f t="shared" ca="1" si="35"/>
        <v>0</v>
      </c>
      <c r="BZ64" s="46">
        <f t="shared" ca="1" si="35"/>
        <v>0</v>
      </c>
      <c r="CA64" s="46">
        <f t="shared" ca="1" si="35"/>
        <v>0</v>
      </c>
      <c r="CB64" s="46">
        <f t="shared" ca="1" si="35"/>
        <v>0</v>
      </c>
      <c r="CC64" s="46">
        <f t="shared" ca="1" si="35"/>
        <v>0</v>
      </c>
      <c r="CD64" s="46">
        <f t="shared" ca="1" si="35"/>
        <v>0</v>
      </c>
      <c r="CE64" s="46">
        <f t="shared" ca="1" si="35"/>
        <v>0</v>
      </c>
      <c r="CF64" s="46">
        <f t="shared" ca="1" si="35"/>
        <v>0</v>
      </c>
      <c r="CG64" s="46">
        <f t="shared" ca="1" si="35"/>
        <v>0</v>
      </c>
      <c r="CH64" s="46">
        <f t="shared" ca="1" si="35"/>
        <v>0</v>
      </c>
      <c r="CI64" s="46">
        <f t="shared" ca="1" si="35"/>
        <v>0</v>
      </c>
      <c r="CJ64" s="46">
        <f t="shared" ca="1" si="35"/>
        <v>0</v>
      </c>
      <c r="CK64" s="46">
        <f t="shared" ca="1" si="35"/>
        <v>0</v>
      </c>
      <c r="CL64" s="46">
        <f t="shared" ca="1" si="35"/>
        <v>0</v>
      </c>
      <c r="CM64" s="46">
        <f t="shared" ca="1" si="35"/>
        <v>0</v>
      </c>
      <c r="CN64" s="46">
        <f t="shared" ca="1" si="35"/>
        <v>0</v>
      </c>
    </row>
    <row r="65" spans="1:99" s="46" customFormat="1" ht="15" x14ac:dyDescent="0.15">
      <c r="A65" s="37" t="s">
        <v>89</v>
      </c>
      <c r="B65" s="37"/>
      <c r="C65" s="46">
        <f t="shared" ca="1" si="36"/>
        <v>0</v>
      </c>
      <c r="D65" s="46">
        <f t="shared" ca="1" si="37"/>
        <v>0</v>
      </c>
      <c r="E65" s="46">
        <f t="shared" ca="1" si="37"/>
        <v>0</v>
      </c>
      <c r="F65" s="46">
        <f t="shared" ca="1" si="37"/>
        <v>0</v>
      </c>
      <c r="G65" s="46">
        <f t="shared" ca="1" si="37"/>
        <v>0</v>
      </c>
      <c r="H65" s="46">
        <f t="shared" ca="1" si="37"/>
        <v>0</v>
      </c>
      <c r="I65" s="46">
        <f t="shared" ca="1" si="37"/>
        <v>0</v>
      </c>
      <c r="J65" s="46">
        <f t="shared" ca="1" si="37"/>
        <v>0</v>
      </c>
      <c r="K65" s="46">
        <f t="shared" ca="1" si="37"/>
        <v>0</v>
      </c>
      <c r="L65" s="46" t="e">
        <f t="shared" ca="1" si="37"/>
        <v>#DIV/0!</v>
      </c>
      <c r="M65" s="46">
        <f t="shared" ca="1" si="37"/>
        <v>1.1617718918271827E-2</v>
      </c>
      <c r="N65" s="46">
        <f t="shared" ca="1" si="37"/>
        <v>1.1760708131518867E-2</v>
      </c>
      <c r="O65" s="46">
        <f t="shared" ca="1" si="37"/>
        <v>1.1901782359622267E-2</v>
      </c>
      <c r="P65" s="46">
        <f t="shared" ca="1" si="37"/>
        <v>1.204102581714479E-2</v>
      </c>
      <c r="Q65" s="46">
        <f t="shared" ca="1" si="37"/>
        <v>1.2178516751738422E-2</v>
      </c>
      <c r="R65" s="46">
        <f t="shared" ca="1" si="37"/>
        <v>1.2314328014617265E-2</v>
      </c>
      <c r="S65" s="46">
        <f t="shared" ca="1" si="37"/>
        <v>1.244852756298682E-2</v>
      </c>
      <c r="T65" s="46">
        <f t="shared" ca="1" si="37"/>
        <v>1.2581178904120168E-2</v>
      </c>
      <c r="U65" s="46">
        <f t="shared" ca="1" si="37"/>
        <v>1.271234148911566E-2</v>
      </c>
      <c r="V65" s="46">
        <f t="shared" ca="1" si="37"/>
        <v>1.284207106314849E-2</v>
      </c>
      <c r="W65" s="46">
        <f t="shared" ca="1" si="37"/>
        <v>8.835865632918518E-3</v>
      </c>
      <c r="X65" s="46">
        <f t="shared" ca="1" si="37"/>
        <v>5.349708892882935E-3</v>
      </c>
      <c r="Y65" s="46">
        <f t="shared" ca="1" si="37"/>
        <v>2.2780879379365204E-3</v>
      </c>
      <c r="Z65" s="46">
        <f t="shared" ca="1" si="37"/>
        <v>0</v>
      </c>
      <c r="AA65" s="46">
        <f t="shared" ca="1" si="37"/>
        <v>0</v>
      </c>
      <c r="AB65" s="46">
        <f t="shared" ca="1" si="37"/>
        <v>0</v>
      </c>
      <c r="AC65" s="46">
        <f t="shared" ca="1" si="37"/>
        <v>0</v>
      </c>
      <c r="AD65" s="46">
        <f t="shared" ca="1" si="37"/>
        <v>0</v>
      </c>
      <c r="AE65" s="46">
        <f t="shared" ca="1" si="37"/>
        <v>0</v>
      </c>
      <c r="AF65" s="46">
        <f t="shared" ca="1" si="37"/>
        <v>0</v>
      </c>
      <c r="AG65" s="46">
        <f t="shared" ca="1" si="37"/>
        <v>0</v>
      </c>
      <c r="AH65" s="46">
        <f t="shared" ca="1" si="37"/>
        <v>0</v>
      </c>
      <c r="AI65" s="46">
        <f t="shared" ca="1" si="37"/>
        <v>0</v>
      </c>
      <c r="AJ65" s="46">
        <f t="shared" ca="1" si="37"/>
        <v>0</v>
      </c>
      <c r="AK65" s="46">
        <f t="shared" ca="1" si="37"/>
        <v>0</v>
      </c>
      <c r="AL65" s="46">
        <f t="shared" ca="1" si="37"/>
        <v>0</v>
      </c>
      <c r="AM65" s="46">
        <f t="shared" ca="1" si="37"/>
        <v>0</v>
      </c>
      <c r="AN65" s="46">
        <f t="shared" ca="1" si="37"/>
        <v>0</v>
      </c>
      <c r="AO65" s="46">
        <f t="shared" ca="1" si="37"/>
        <v>0</v>
      </c>
      <c r="AP65" s="46">
        <f t="shared" ca="1" si="37"/>
        <v>0</v>
      </c>
      <c r="AQ65" s="46">
        <f t="shared" ca="1" si="37"/>
        <v>0</v>
      </c>
      <c r="AR65" s="46">
        <f t="shared" ca="1" si="37"/>
        <v>0</v>
      </c>
      <c r="AS65" s="46">
        <f t="shared" ca="1" si="37"/>
        <v>0</v>
      </c>
      <c r="AT65" s="46">
        <f t="shared" ca="1" si="37"/>
        <v>0</v>
      </c>
      <c r="AU65" s="46">
        <f t="shared" ca="1" si="37"/>
        <v>0</v>
      </c>
      <c r="AV65" s="46">
        <f t="shared" ca="1" si="37"/>
        <v>0</v>
      </c>
      <c r="AW65" s="46">
        <f t="shared" ca="1" si="37"/>
        <v>0</v>
      </c>
      <c r="AX65" s="46">
        <f t="shared" ca="1" si="37"/>
        <v>0</v>
      </c>
      <c r="AY65" s="46">
        <f t="shared" ca="1" si="37"/>
        <v>0</v>
      </c>
      <c r="AZ65" s="46">
        <f t="shared" ca="1" si="37"/>
        <v>0</v>
      </c>
      <c r="BA65" s="46">
        <f t="shared" ca="1" si="37"/>
        <v>0</v>
      </c>
      <c r="BB65" s="46">
        <f t="shared" ca="1" si="37"/>
        <v>0</v>
      </c>
      <c r="BC65" s="46">
        <f t="shared" ca="1" si="37"/>
        <v>0</v>
      </c>
      <c r="BD65" s="46">
        <f t="shared" ca="1" si="37"/>
        <v>0</v>
      </c>
      <c r="BE65" s="46">
        <f t="shared" ca="1" si="37"/>
        <v>0</v>
      </c>
      <c r="BF65" s="46">
        <f t="shared" ca="1" si="37"/>
        <v>0</v>
      </c>
      <c r="BG65" s="46">
        <f t="shared" ca="1" si="37"/>
        <v>0</v>
      </c>
      <c r="BH65" s="46">
        <f t="shared" ca="1" si="37"/>
        <v>0</v>
      </c>
      <c r="BI65" s="46">
        <f t="shared" ca="1" si="37"/>
        <v>0</v>
      </c>
      <c r="BJ65" s="46">
        <f t="shared" ca="1" si="37"/>
        <v>0</v>
      </c>
      <c r="BK65" s="46">
        <f t="shared" ca="1" si="37"/>
        <v>0</v>
      </c>
      <c r="BL65" s="46">
        <f t="shared" ca="1" si="37"/>
        <v>0</v>
      </c>
      <c r="BM65" s="46">
        <f t="shared" ca="1" si="37"/>
        <v>0</v>
      </c>
      <c r="BN65" s="46">
        <f t="shared" ca="1" si="37"/>
        <v>0</v>
      </c>
      <c r="BO65" s="46">
        <f t="shared" ca="1" si="37"/>
        <v>0</v>
      </c>
      <c r="BP65" s="46">
        <f t="shared" ca="1" si="35"/>
        <v>0</v>
      </c>
      <c r="BQ65" s="46">
        <f t="shared" ca="1" si="35"/>
        <v>0</v>
      </c>
      <c r="BR65" s="46">
        <f t="shared" ca="1" si="35"/>
        <v>0</v>
      </c>
      <c r="BS65" s="46">
        <f t="shared" ca="1" si="35"/>
        <v>0</v>
      </c>
      <c r="BT65" s="46">
        <f t="shared" ca="1" si="35"/>
        <v>0</v>
      </c>
      <c r="BU65" s="46">
        <f t="shared" ca="1" si="35"/>
        <v>0</v>
      </c>
      <c r="BV65" s="46">
        <f t="shared" ca="1" si="35"/>
        <v>0</v>
      </c>
      <c r="BW65" s="46">
        <f t="shared" ca="1" si="35"/>
        <v>0</v>
      </c>
      <c r="BX65" s="46">
        <f t="shared" ca="1" si="35"/>
        <v>0</v>
      </c>
      <c r="BY65" s="46">
        <f t="shared" ca="1" si="35"/>
        <v>0</v>
      </c>
      <c r="BZ65" s="46">
        <f t="shared" ca="1" si="35"/>
        <v>0</v>
      </c>
      <c r="CA65" s="46">
        <f t="shared" ca="1" si="35"/>
        <v>0</v>
      </c>
      <c r="CB65" s="46">
        <f t="shared" ca="1" si="35"/>
        <v>0</v>
      </c>
      <c r="CC65" s="46">
        <f t="shared" ca="1" si="35"/>
        <v>0</v>
      </c>
      <c r="CD65" s="46">
        <f t="shared" ca="1" si="35"/>
        <v>0</v>
      </c>
      <c r="CE65" s="46">
        <f t="shared" ca="1" si="35"/>
        <v>0</v>
      </c>
      <c r="CF65" s="46">
        <f t="shared" ca="1" si="35"/>
        <v>0</v>
      </c>
      <c r="CG65" s="46">
        <f t="shared" ca="1" si="35"/>
        <v>0</v>
      </c>
      <c r="CH65" s="46">
        <f t="shared" ca="1" si="35"/>
        <v>0</v>
      </c>
      <c r="CI65" s="46">
        <f t="shared" ca="1" si="35"/>
        <v>0</v>
      </c>
      <c r="CJ65" s="46">
        <f t="shared" ca="1" si="35"/>
        <v>0</v>
      </c>
      <c r="CK65" s="46">
        <f t="shared" ca="1" si="35"/>
        <v>0</v>
      </c>
      <c r="CL65" s="46">
        <f t="shared" ca="1" si="35"/>
        <v>0</v>
      </c>
      <c r="CM65" s="46">
        <f t="shared" ca="1" si="35"/>
        <v>0</v>
      </c>
      <c r="CN65" s="46">
        <f t="shared" ca="1" si="35"/>
        <v>0</v>
      </c>
    </row>
    <row r="66" spans="1:99" s="46" customFormat="1" ht="15" x14ac:dyDescent="0.15">
      <c r="A66" s="37" t="s">
        <v>87</v>
      </c>
      <c r="B66" s="37"/>
      <c r="C66" s="46">
        <f t="shared" ca="1" si="36"/>
        <v>3.2078100349268057E-2</v>
      </c>
      <c r="D66" s="46">
        <f t="shared" ca="1" si="37"/>
        <v>3.1717371846078077E-2</v>
      </c>
      <c r="E66" s="46">
        <f t="shared" ca="1" si="37"/>
        <v>3.1353208115584341E-2</v>
      </c>
      <c r="F66" s="46">
        <f t="shared" ca="1" si="37"/>
        <v>3.0985493564117249E-2</v>
      </c>
      <c r="G66" s="46">
        <f t="shared" ca="1" si="37"/>
        <v>3.0614105438789931E-2</v>
      </c>
      <c r="H66" s="46">
        <f t="shared" ca="1" si="37"/>
        <v>3.0238913181403711E-2</v>
      </c>
      <c r="I66" s="46">
        <f t="shared" ca="1" si="37"/>
        <v>2.9859777705128689E-2</v>
      </c>
      <c r="J66" s="46">
        <f t="shared" ca="1" si="37"/>
        <v>2.9476550582356469E-2</v>
      </c>
      <c r="K66" s="46">
        <f t="shared" ca="1" si="37"/>
        <v>2.9089073130029574E-2</v>
      </c>
      <c r="L66" s="46" t="e">
        <f t="shared" ca="1" si="37"/>
        <v>#DIV/0!</v>
      </c>
      <c r="M66" s="46">
        <f t="shared" ca="1" si="37"/>
        <v>0</v>
      </c>
      <c r="N66" s="46">
        <f t="shared" ca="1" si="37"/>
        <v>0</v>
      </c>
      <c r="O66" s="46">
        <f t="shared" ca="1" si="37"/>
        <v>0</v>
      </c>
      <c r="P66" s="46">
        <f t="shared" ca="1" si="37"/>
        <v>0</v>
      </c>
      <c r="Q66" s="46">
        <f t="shared" ca="1" si="37"/>
        <v>0</v>
      </c>
      <c r="R66" s="46">
        <f t="shared" ca="1" si="37"/>
        <v>0</v>
      </c>
      <c r="S66" s="46">
        <f t="shared" ca="1" si="37"/>
        <v>0</v>
      </c>
      <c r="T66" s="46">
        <f t="shared" ca="1" si="37"/>
        <v>0</v>
      </c>
      <c r="U66" s="46">
        <f t="shared" ca="1" si="37"/>
        <v>0</v>
      </c>
      <c r="V66" s="46">
        <f t="shared" ca="1" si="37"/>
        <v>0</v>
      </c>
      <c r="W66" s="46">
        <f t="shared" ca="1" si="37"/>
        <v>0</v>
      </c>
      <c r="X66" s="46">
        <f t="shared" ca="1" si="37"/>
        <v>0</v>
      </c>
      <c r="Y66" s="46">
        <f t="shared" ca="1" si="37"/>
        <v>0</v>
      </c>
      <c r="Z66" s="46">
        <f t="shared" ca="1" si="37"/>
        <v>0</v>
      </c>
      <c r="AA66" s="46">
        <f t="shared" ca="1" si="37"/>
        <v>0</v>
      </c>
      <c r="AB66" s="46">
        <f t="shared" ca="1" si="37"/>
        <v>0</v>
      </c>
      <c r="AC66" s="46">
        <f t="shared" ca="1" si="37"/>
        <v>0</v>
      </c>
      <c r="AD66" s="46">
        <f t="shared" ca="1" si="37"/>
        <v>0</v>
      </c>
      <c r="AE66" s="46">
        <f t="shared" ca="1" si="37"/>
        <v>0</v>
      </c>
      <c r="AF66" s="46">
        <f t="shared" ca="1" si="37"/>
        <v>0</v>
      </c>
      <c r="AG66" s="46">
        <f t="shared" ca="1" si="37"/>
        <v>0</v>
      </c>
      <c r="AH66" s="46">
        <f t="shared" ca="1" si="37"/>
        <v>0</v>
      </c>
      <c r="AI66" s="46">
        <f t="shared" ca="1" si="37"/>
        <v>0</v>
      </c>
      <c r="AJ66" s="46">
        <f t="shared" ca="1" si="37"/>
        <v>0</v>
      </c>
      <c r="AK66" s="46">
        <f t="shared" ca="1" si="37"/>
        <v>0</v>
      </c>
      <c r="AL66" s="46">
        <f t="shared" ca="1" si="37"/>
        <v>0</v>
      </c>
      <c r="AM66" s="46">
        <f t="shared" ca="1" si="37"/>
        <v>0</v>
      </c>
      <c r="AN66" s="46">
        <f t="shared" ca="1" si="37"/>
        <v>0</v>
      </c>
      <c r="AO66" s="46">
        <f t="shared" ca="1" si="37"/>
        <v>0</v>
      </c>
      <c r="AP66" s="46">
        <f t="shared" ca="1" si="37"/>
        <v>0</v>
      </c>
      <c r="AQ66" s="46">
        <f t="shared" ca="1" si="37"/>
        <v>0</v>
      </c>
      <c r="AR66" s="46">
        <f t="shared" ca="1" si="37"/>
        <v>0</v>
      </c>
      <c r="AS66" s="46">
        <f t="shared" ca="1" si="37"/>
        <v>0</v>
      </c>
      <c r="AT66" s="46">
        <f t="shared" ca="1" si="37"/>
        <v>0</v>
      </c>
      <c r="AU66" s="46">
        <f t="shared" ca="1" si="37"/>
        <v>0</v>
      </c>
      <c r="AV66" s="46">
        <f t="shared" ca="1" si="37"/>
        <v>0</v>
      </c>
      <c r="AW66" s="46">
        <f t="shared" ca="1" si="37"/>
        <v>0</v>
      </c>
      <c r="AX66" s="46">
        <f t="shared" ca="1" si="37"/>
        <v>0</v>
      </c>
      <c r="AY66" s="46">
        <f t="shared" ca="1" si="37"/>
        <v>0</v>
      </c>
      <c r="AZ66" s="46">
        <f t="shared" ca="1" si="37"/>
        <v>0</v>
      </c>
      <c r="BA66" s="46">
        <f t="shared" ca="1" si="37"/>
        <v>0</v>
      </c>
      <c r="BB66" s="46">
        <f t="shared" ca="1" si="37"/>
        <v>0</v>
      </c>
      <c r="BC66" s="46">
        <f t="shared" ca="1" si="37"/>
        <v>0</v>
      </c>
      <c r="BD66" s="46">
        <f t="shared" ca="1" si="37"/>
        <v>0</v>
      </c>
      <c r="BE66" s="46">
        <f t="shared" ca="1" si="37"/>
        <v>0</v>
      </c>
      <c r="BF66" s="46">
        <f t="shared" ca="1" si="37"/>
        <v>0</v>
      </c>
      <c r="BG66" s="46">
        <f t="shared" ca="1" si="37"/>
        <v>0</v>
      </c>
      <c r="BH66" s="46">
        <f t="shared" ca="1" si="37"/>
        <v>0</v>
      </c>
      <c r="BI66" s="46">
        <f t="shared" ca="1" si="37"/>
        <v>0</v>
      </c>
      <c r="BJ66" s="46">
        <f t="shared" ca="1" si="37"/>
        <v>0</v>
      </c>
      <c r="BK66" s="46">
        <f t="shared" ca="1" si="37"/>
        <v>0</v>
      </c>
      <c r="BL66" s="46">
        <f t="shared" ca="1" si="37"/>
        <v>0</v>
      </c>
      <c r="BM66" s="46">
        <f t="shared" ca="1" si="37"/>
        <v>0</v>
      </c>
      <c r="BN66" s="46">
        <f t="shared" ca="1" si="37"/>
        <v>0</v>
      </c>
      <c r="BO66" s="46">
        <f t="shared" ca="1" si="37"/>
        <v>0</v>
      </c>
      <c r="BP66" s="46">
        <f t="shared" ca="1" si="35"/>
        <v>0</v>
      </c>
      <c r="BQ66" s="46">
        <f t="shared" ca="1" si="35"/>
        <v>0</v>
      </c>
      <c r="BR66" s="46">
        <f t="shared" ca="1" si="35"/>
        <v>0</v>
      </c>
      <c r="BS66" s="46">
        <f t="shared" ca="1" si="35"/>
        <v>0</v>
      </c>
      <c r="BT66" s="46">
        <f t="shared" ca="1" si="35"/>
        <v>0</v>
      </c>
      <c r="BU66" s="46">
        <f t="shared" ca="1" si="35"/>
        <v>0</v>
      </c>
      <c r="BV66" s="46">
        <f t="shared" ca="1" si="35"/>
        <v>0</v>
      </c>
      <c r="BW66" s="46">
        <f t="shared" ca="1" si="35"/>
        <v>0</v>
      </c>
      <c r="BX66" s="46">
        <f t="shared" ca="1" si="35"/>
        <v>0</v>
      </c>
      <c r="BY66" s="46">
        <f t="shared" ca="1" si="35"/>
        <v>0</v>
      </c>
      <c r="BZ66" s="46">
        <f t="shared" ca="1" si="35"/>
        <v>0</v>
      </c>
      <c r="CA66" s="46">
        <f t="shared" ca="1" si="35"/>
        <v>0</v>
      </c>
      <c r="CB66" s="46">
        <f t="shared" ca="1" si="35"/>
        <v>0</v>
      </c>
      <c r="CC66" s="46">
        <f t="shared" ca="1" si="35"/>
        <v>0</v>
      </c>
      <c r="CD66" s="46">
        <f t="shared" ca="1" si="35"/>
        <v>0</v>
      </c>
      <c r="CE66" s="46">
        <f t="shared" ca="1" si="35"/>
        <v>0</v>
      </c>
      <c r="CF66" s="46">
        <f t="shared" ca="1" si="35"/>
        <v>0</v>
      </c>
      <c r="CG66" s="46">
        <f t="shared" ca="1" si="35"/>
        <v>0</v>
      </c>
      <c r="CH66" s="46">
        <f t="shared" ca="1" si="35"/>
        <v>0</v>
      </c>
      <c r="CI66" s="46">
        <f t="shared" ca="1" si="35"/>
        <v>0</v>
      </c>
      <c r="CJ66" s="46">
        <f t="shared" ca="1" si="35"/>
        <v>0</v>
      </c>
      <c r="CK66" s="46">
        <f t="shared" ca="1" si="35"/>
        <v>0</v>
      </c>
      <c r="CL66" s="46">
        <f t="shared" ca="1" si="35"/>
        <v>0</v>
      </c>
      <c r="CM66" s="46">
        <f t="shared" ca="1" si="35"/>
        <v>0</v>
      </c>
      <c r="CN66" s="46">
        <f t="shared" ca="1" si="35"/>
        <v>0</v>
      </c>
    </row>
    <row r="67" spans="1:99" s="46" customFormat="1" ht="15" x14ac:dyDescent="0.15">
      <c r="A67" s="37" t="s">
        <v>88</v>
      </c>
      <c r="B67" s="37"/>
      <c r="C67" s="46">
        <f t="shared" ca="1" si="36"/>
        <v>0</v>
      </c>
      <c r="D67" s="46">
        <f t="shared" ca="1" si="37"/>
        <v>0</v>
      </c>
      <c r="E67" s="46">
        <f t="shared" ca="1" si="37"/>
        <v>0</v>
      </c>
      <c r="F67" s="46">
        <f t="shared" ca="1" si="37"/>
        <v>0</v>
      </c>
      <c r="G67" s="46">
        <f t="shared" ca="1" si="37"/>
        <v>0</v>
      </c>
      <c r="H67" s="46">
        <f t="shared" ca="1" si="37"/>
        <v>0</v>
      </c>
      <c r="I67" s="46">
        <f t="shared" ca="1" si="37"/>
        <v>0</v>
      </c>
      <c r="J67" s="46">
        <f t="shared" ca="1" si="37"/>
        <v>0</v>
      </c>
      <c r="K67" s="46">
        <f t="shared" ca="1" si="37"/>
        <v>0</v>
      </c>
      <c r="L67" s="46" t="e">
        <f t="shared" ca="1" si="37"/>
        <v>#DIV/0!</v>
      </c>
      <c r="M67" s="46">
        <f t="shared" ca="1" si="37"/>
        <v>7.6088355345052608E-3</v>
      </c>
      <c r="N67" s="46">
        <f t="shared" ca="1" si="37"/>
        <v>7.7031028753920374E-3</v>
      </c>
      <c r="O67" s="46">
        <f t="shared" ca="1" si="37"/>
        <v>7.7961305237720553E-3</v>
      </c>
      <c r="P67" s="46">
        <f t="shared" ca="1" si="37"/>
        <v>7.8879733335595788E-3</v>
      </c>
      <c r="Q67" s="46">
        <f t="shared" ca="1" si="37"/>
        <v>7.9786822675401679E-3</v>
      </c>
      <c r="R67" s="46">
        <f t="shared" ca="1" si="37"/>
        <v>8.0683047695407715E-3</v>
      </c>
      <c r="S67" s="46">
        <f t="shared" ca="1" si="37"/>
        <v>8.1568850922137028E-3</v>
      </c>
      <c r="T67" s="46">
        <f t="shared" ca="1" si="37"/>
        <v>8.244464586729271E-3</v>
      </c>
      <c r="U67" s="46">
        <f t="shared" ca="1" si="37"/>
        <v>8.3310819596445675E-3</v>
      </c>
      <c r="V67" s="46">
        <f t="shared" ca="1" si="37"/>
        <v>8.4167735013734677E-3</v>
      </c>
      <c r="W67" s="46">
        <f t="shared" ca="1" si="37"/>
        <v>6.6951625366715476E-3</v>
      </c>
      <c r="X67" s="46">
        <f t="shared" ca="1" si="37"/>
        <v>5.2017239234673279E-3</v>
      </c>
      <c r="Y67" s="46">
        <f t="shared" ca="1" si="37"/>
        <v>3.8901583681222054E-3</v>
      </c>
      <c r="Z67" s="46">
        <f t="shared" ca="1" si="37"/>
        <v>2.7246970893791741E-3</v>
      </c>
      <c r="AA67" s="46">
        <f t="shared" ca="1" si="37"/>
        <v>1.677918344271765E-3</v>
      </c>
      <c r="AB67" s="46">
        <f t="shared" ca="1" si="37"/>
        <v>7.3663174105886885E-4</v>
      </c>
      <c r="AC67" s="46">
        <f t="shared" ca="1" si="37"/>
        <v>0</v>
      </c>
      <c r="AD67" s="46">
        <f t="shared" ca="1" si="37"/>
        <v>0</v>
      </c>
      <c r="AE67" s="46">
        <f t="shared" ca="1" si="37"/>
        <v>0</v>
      </c>
      <c r="AF67" s="46">
        <f t="shared" ca="1" si="37"/>
        <v>0</v>
      </c>
      <c r="AG67" s="46">
        <f t="shared" ca="1" si="37"/>
        <v>0</v>
      </c>
      <c r="AH67" s="46">
        <f t="shared" ca="1" si="37"/>
        <v>0</v>
      </c>
      <c r="AI67" s="46">
        <f t="shared" ca="1" si="37"/>
        <v>0</v>
      </c>
      <c r="AJ67" s="46">
        <f t="shared" ca="1" si="37"/>
        <v>0</v>
      </c>
      <c r="AK67" s="46">
        <f t="shared" ca="1" si="37"/>
        <v>0</v>
      </c>
      <c r="AL67" s="46">
        <f t="shared" ca="1" si="37"/>
        <v>0</v>
      </c>
      <c r="AM67" s="46">
        <f t="shared" ca="1" si="37"/>
        <v>0</v>
      </c>
      <c r="AN67" s="46">
        <f t="shared" ca="1" si="37"/>
        <v>0</v>
      </c>
      <c r="AO67" s="46">
        <f t="shared" ca="1" si="37"/>
        <v>0</v>
      </c>
      <c r="AP67" s="46">
        <f t="shared" ca="1" si="37"/>
        <v>0</v>
      </c>
      <c r="AQ67" s="46">
        <f t="shared" ca="1" si="37"/>
        <v>0</v>
      </c>
      <c r="AR67" s="46">
        <f t="shared" ca="1" si="37"/>
        <v>0</v>
      </c>
      <c r="AS67" s="46">
        <f t="shared" ca="1" si="37"/>
        <v>0</v>
      </c>
      <c r="AT67" s="46">
        <f t="shared" ca="1" si="37"/>
        <v>0</v>
      </c>
      <c r="AU67" s="46">
        <f t="shared" ca="1" si="37"/>
        <v>0</v>
      </c>
      <c r="AV67" s="46">
        <f t="shared" ca="1" si="37"/>
        <v>0</v>
      </c>
      <c r="AW67" s="46">
        <f t="shared" ca="1" si="37"/>
        <v>0</v>
      </c>
      <c r="AX67" s="46">
        <f t="shared" ca="1" si="37"/>
        <v>0</v>
      </c>
      <c r="AY67" s="46">
        <f t="shared" ca="1" si="37"/>
        <v>0</v>
      </c>
      <c r="AZ67" s="46">
        <f t="shared" ca="1" si="37"/>
        <v>0</v>
      </c>
      <c r="BA67" s="46">
        <f t="shared" ca="1" si="37"/>
        <v>0</v>
      </c>
      <c r="BB67" s="46">
        <f t="shared" ca="1" si="37"/>
        <v>0</v>
      </c>
      <c r="BC67" s="46">
        <f t="shared" ca="1" si="37"/>
        <v>0</v>
      </c>
      <c r="BD67" s="46">
        <f t="shared" ca="1" si="37"/>
        <v>0</v>
      </c>
      <c r="BE67" s="46">
        <f t="shared" ca="1" si="37"/>
        <v>0</v>
      </c>
      <c r="BF67" s="46">
        <f t="shared" ca="1" si="37"/>
        <v>0</v>
      </c>
      <c r="BG67" s="46">
        <f t="shared" ca="1" si="37"/>
        <v>0</v>
      </c>
      <c r="BH67" s="46">
        <f t="shared" ca="1" si="37"/>
        <v>0</v>
      </c>
      <c r="BI67" s="46">
        <f t="shared" ca="1" si="37"/>
        <v>0</v>
      </c>
      <c r="BJ67" s="46">
        <f t="shared" ca="1" si="37"/>
        <v>0</v>
      </c>
      <c r="BK67" s="46">
        <f t="shared" ca="1" si="37"/>
        <v>0</v>
      </c>
      <c r="BL67" s="46">
        <f t="shared" ca="1" si="37"/>
        <v>0</v>
      </c>
      <c r="BM67" s="46">
        <f t="shared" ca="1" si="37"/>
        <v>0</v>
      </c>
      <c r="BN67" s="46">
        <f t="shared" ca="1" si="37"/>
        <v>7.2109268392814708E-4</v>
      </c>
      <c r="BO67" s="46">
        <f t="shared" ref="BO67:CN67" ca="1" si="38">(BO59/BO$78)</f>
        <v>1.6128646501896214E-3</v>
      </c>
      <c r="BP67" s="46">
        <f t="shared" ca="1" si="38"/>
        <v>2.4799706857046213E-3</v>
      </c>
      <c r="BQ67" s="46">
        <f t="shared" ca="1" si="38"/>
        <v>3.3239324822896469E-3</v>
      </c>
      <c r="BR67" s="46">
        <f t="shared" ca="1" si="38"/>
        <v>4.1461412825214948E-3</v>
      </c>
      <c r="BS67" s="46">
        <f t="shared" ca="1" si="38"/>
        <v>4.9478717944375231E-3</v>
      </c>
      <c r="BT67" s="46">
        <f t="shared" ca="1" si="38"/>
        <v>5.7302943511145397E-3</v>
      </c>
      <c r="BU67" s="46">
        <f t="shared" ca="1" si="38"/>
        <v>7.0185974957240709E-3</v>
      </c>
      <c r="BV67" s="46">
        <f t="shared" ca="1" si="38"/>
        <v>8.2723795408010288E-3</v>
      </c>
      <c r="BW67" s="46">
        <f t="shared" ca="1" si="38"/>
        <v>9.4937805274012028E-3</v>
      </c>
      <c r="BX67" s="46">
        <f t="shared" ca="1" si="38"/>
        <v>1.0684754245469741E-2</v>
      </c>
      <c r="BY67" s="46">
        <f t="shared" ca="1" si="38"/>
        <v>1.1847088495247042E-2</v>
      </c>
      <c r="BZ67" s="46">
        <f t="shared" ca="1" si="38"/>
        <v>1.2982422738744497E-2</v>
      </c>
      <c r="CA67" s="46">
        <f t="shared" ca="1" si="38"/>
        <v>1.4092263526758976E-2</v>
      </c>
      <c r="CB67" s="46">
        <f t="shared" ca="1" si="38"/>
        <v>1.5177998023042717E-2</v>
      </c>
      <c r="CC67" s="46">
        <f t="shared" ca="1" si="38"/>
        <v>1.6240905895071437E-2</v>
      </c>
      <c r="CD67" s="46">
        <f t="shared" ca="1" si="38"/>
        <v>1.7282169798015161E-2</v>
      </c>
      <c r="CE67" s="46">
        <f t="shared" ca="1" si="38"/>
        <v>1.8611557816998112E-2</v>
      </c>
      <c r="CF67" s="46">
        <f t="shared" ca="1" si="38"/>
        <v>1.9911086536717873E-2</v>
      </c>
      <c r="CG67" s="46">
        <f t="shared" ca="1" si="38"/>
        <v>2.1182434425633168E-2</v>
      </c>
      <c r="CH67" s="46">
        <f t="shared" ca="1" si="38"/>
        <v>2.2427144935789154E-2</v>
      </c>
      <c r="CI67" s="46">
        <f t="shared" ca="1" si="38"/>
        <v>2.364664023542256E-2</v>
      </c>
      <c r="CJ67" s="46">
        <f t="shared" ca="1" si="38"/>
        <v>2.4842233279713664E-2</v>
      </c>
      <c r="CK67" s="46">
        <f t="shared" ca="1" si="38"/>
        <v>2.6015138450975635E-2</v>
      </c>
      <c r="CL67" s="46">
        <f t="shared" ca="1" si="38"/>
        <v>2.7166480963390506E-2</v>
      </c>
      <c r="CM67" s="46">
        <f t="shared" ca="1" si="38"/>
        <v>2.8297305197478622E-2</v>
      </c>
      <c r="CN67" s="46">
        <f t="shared" ca="1" si="38"/>
        <v>2.9408582104635959E-2</v>
      </c>
    </row>
    <row r="68" spans="1:99" s="46" customFormat="1" x14ac:dyDescent="0.1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row>
    <row r="69" spans="1:99" s="46" customFormat="1" x14ac:dyDescent="0.15">
      <c r="A69" s="1" t="s">
        <v>84</v>
      </c>
      <c r="B69" s="1"/>
    </row>
    <row r="70" spans="1:99" s="46" customFormat="1" x14ac:dyDescent="0.15">
      <c r="A70" s="38" t="s">
        <v>49</v>
      </c>
      <c r="B70" s="38"/>
      <c r="C70" s="46">
        <f ca="1">C54-(C62*C$79)</f>
        <v>0</v>
      </c>
      <c r="D70" s="46">
        <f t="shared" ref="D70:BO71" ca="1" si="39">D54-(D62*D$79)</f>
        <v>0</v>
      </c>
      <c r="E70" s="46">
        <f t="shared" ca="1" si="39"/>
        <v>0</v>
      </c>
      <c r="F70" s="46">
        <f t="shared" ca="1" si="39"/>
        <v>0</v>
      </c>
      <c r="G70" s="46">
        <f t="shared" ca="1" si="39"/>
        <v>0</v>
      </c>
      <c r="H70" s="46">
        <f t="shared" ca="1" si="39"/>
        <v>0</v>
      </c>
      <c r="I70" s="46">
        <f t="shared" ca="1" si="39"/>
        <v>0</v>
      </c>
      <c r="J70" s="46">
        <f t="shared" ca="1" si="39"/>
        <v>0</v>
      </c>
      <c r="K70" s="46">
        <f t="shared" ca="1" si="39"/>
        <v>0</v>
      </c>
      <c r="L70" s="46" t="e">
        <f t="shared" ca="1" si="39"/>
        <v>#DIV/0!</v>
      </c>
      <c r="M70" s="46">
        <f t="shared" ca="1" si="39"/>
        <v>0.14332269501336928</v>
      </c>
      <c r="N70" s="46">
        <f t="shared" ca="1" si="39"/>
        <v>0.2795659076509156</v>
      </c>
      <c r="O70" s="46">
        <f t="shared" ca="1" si="39"/>
        <v>0.40846734892548897</v>
      </c>
      <c r="P70" s="46">
        <f t="shared" ca="1" si="39"/>
        <v>0.5297459250393779</v>
      </c>
      <c r="Q70" s="46">
        <f t="shared" ca="1" si="39"/>
        <v>0.6431004106386945</v>
      </c>
      <c r="R70" s="46">
        <f t="shared" ca="1" si="39"/>
        <v>0.74820792237836997</v>
      </c>
      <c r="S70" s="46">
        <f t="shared" ca="1" si="39"/>
        <v>0.84472217246855941</v>
      </c>
      <c r="T70" s="46">
        <f t="shared" ca="1" si="39"/>
        <v>0.93227147710101899</v>
      </c>
      <c r="U70" s="46">
        <f t="shared" ca="1" si="39"/>
        <v>1.0104564892017085</v>
      </c>
      <c r="V70" s="46">
        <f t="shared" ca="1" si="39"/>
        <v>1.0788476186125919</v>
      </c>
      <c r="W70" s="46">
        <f t="shared" ca="1" si="39"/>
        <v>1.1846537196090576</v>
      </c>
      <c r="X70" s="46">
        <f t="shared" ca="1" si="39"/>
        <v>1.2861879424506624</v>
      </c>
      <c r="Y70" s="46">
        <f t="shared" ca="1" si="39"/>
        <v>1.3834341849158669</v>
      </c>
      <c r="Z70" s="46">
        <f t="shared" ca="1" si="39"/>
        <v>1.4756806144354306</v>
      </c>
      <c r="AA70" s="46">
        <f t="shared" ca="1" si="39"/>
        <v>1.5603491564355942</v>
      </c>
      <c r="AB70" s="46">
        <f t="shared" ca="1" si="39"/>
        <v>1.6405610318927426</v>
      </c>
      <c r="AC70" s="46">
        <f t="shared" ca="1" si="39"/>
        <v>1.7160645948318418</v>
      </c>
      <c r="AD70" s="46">
        <f t="shared" ca="1" si="39"/>
        <v>1.7857973636259583</v>
      </c>
      <c r="AE70" s="46">
        <f t="shared" ca="1" si="39"/>
        <v>1.8509008972041809</v>
      </c>
      <c r="AF70" s="46">
        <f t="shared" ca="1" si="39"/>
        <v>1.9112977878659496</v>
      </c>
      <c r="AG70" s="46">
        <f t="shared" ca="1" si="39"/>
        <v>2.0065859070163059</v>
      </c>
      <c r="AH70" s="46">
        <f t="shared" ca="1" si="39"/>
        <v>2.0986345352993219</v>
      </c>
      <c r="AI70" s="46">
        <f t="shared" ca="1" si="39"/>
        <v>2.1875710737244169</v>
      </c>
      <c r="AJ70" s="46">
        <f t="shared" ca="1" si="39"/>
        <v>2.2734940634318006</v>
      </c>
      <c r="AK70" s="46">
        <f t="shared" ca="1" si="39"/>
        <v>2.3564783934552391</v>
      </c>
      <c r="AL70" s="46">
        <f t="shared" ca="1" si="39"/>
        <v>2.4365793478243196</v>
      </c>
      <c r="AM70" s="46">
        <f t="shared" ca="1" si="39"/>
        <v>2.5138357782506642</v>
      </c>
      <c r="AN70" s="46">
        <f t="shared" ca="1" si="39"/>
        <v>2.5882726103791942</v>
      </c>
      <c r="AO70" s="46">
        <f t="shared" ca="1" si="39"/>
        <v>2.6599028365726101</v>
      </c>
      <c r="AP70" s="46">
        <f t="shared" ca="1" si="39"/>
        <v>2.7287291090027379</v>
      </c>
      <c r="AQ70" s="46">
        <f t="shared" ca="1" si="39"/>
        <v>2.8210691413765083</v>
      </c>
      <c r="AR70" s="46">
        <f t="shared" ca="1" si="39"/>
        <v>2.9073127459811037</v>
      </c>
      <c r="AS70" s="46">
        <f t="shared" ca="1" si="39"/>
        <v>2.9906494862547488</v>
      </c>
      <c r="AT70" s="46">
        <f t="shared" ca="1" si="39"/>
        <v>3.071247883327711</v>
      </c>
      <c r="AU70" s="46">
        <f t="shared" ca="1" si="39"/>
        <v>3.1492530483708467</v>
      </c>
      <c r="AV70" s="46">
        <f t="shared" ca="1" si="39"/>
        <v>3.2247899431315155</v>
      </c>
      <c r="AW70" s="46">
        <f t="shared" ca="1" si="39"/>
        <v>3.2979660923812828</v>
      </c>
      <c r="AX70" s="46">
        <f t="shared" ca="1" si="39"/>
        <v>3.368873851840684</v>
      </c>
      <c r="AY70" s="46">
        <f t="shared" ca="1" si="39"/>
        <v>3.4375923133140844</v>
      </c>
      <c r="AZ70" s="46">
        <f t="shared" ca="1" si="39"/>
        <v>3.5220733235938981</v>
      </c>
      <c r="BA70" s="46">
        <f t="shared" ca="1" si="39"/>
        <v>3.5615322711693667</v>
      </c>
      <c r="BB70" s="46">
        <f t="shared" ca="1" si="39"/>
        <v>3.5980307168197161</v>
      </c>
      <c r="BC70" s="46">
        <f t="shared" ca="1" si="39"/>
        <v>3.6317286234678381</v>
      </c>
      <c r="BD70" s="46">
        <f t="shared" ca="1" si="39"/>
        <v>3.6627667686300356</v>
      </c>
      <c r="BE70" s="46">
        <f t="shared" ca="1" si="39"/>
        <v>3.6912691448492376</v>
      </c>
      <c r="BF70" s="46">
        <f t="shared" ca="1" si="39"/>
        <v>3.7173449938021639</v>
      </c>
      <c r="BG70" s="46">
        <f t="shared" ca="1" si="39"/>
        <v>3.741090536868616</v>
      </c>
      <c r="BH70" s="46">
        <f t="shared" ca="1" si="39"/>
        <v>3.7625904528913425</v>
      </c>
      <c r="BI70" s="46">
        <f t="shared" ca="1" si="39"/>
        <v>3.7819191443358147</v>
      </c>
      <c r="BJ70" s="46">
        <f t="shared" ca="1" si="39"/>
        <v>3.7991418254997802</v>
      </c>
      <c r="BK70" s="46">
        <f t="shared" ca="1" si="39"/>
        <v>3.8041085048173455</v>
      </c>
      <c r="BL70" s="46">
        <f t="shared" ca="1" si="39"/>
        <v>3.8064177214350625</v>
      </c>
      <c r="BM70" s="46">
        <f t="shared" ca="1" si="39"/>
        <v>3.8062177383408189</v>
      </c>
      <c r="BN70" s="46">
        <f t="shared" ca="1" si="39"/>
        <v>3.8008991989304723</v>
      </c>
      <c r="BO70" s="46">
        <f t="shared" ca="1" si="39"/>
        <v>3.7926837371760653</v>
      </c>
      <c r="BP70" s="46">
        <f t="shared" ref="BP70:CN74" ca="1" si="40">BP54-(BP62*BP$79)</f>
        <v>3.7824288522252347</v>
      </c>
      <c r="BQ70" s="46">
        <f t="shared" ca="1" si="40"/>
        <v>3.770231653811293</v>
      </c>
      <c r="BR70" s="46">
        <f t="shared" ca="1" si="40"/>
        <v>3.7561798622403648</v>
      </c>
      <c r="BS70" s="46">
        <f t="shared" ca="1" si="40"/>
        <v>3.7403527851021714</v>
      </c>
      <c r="BT70" s="46">
        <f t="shared" ca="1" si="40"/>
        <v>3.722822168079265</v>
      </c>
      <c r="BU70" s="46">
        <f t="shared" ca="1" si="40"/>
        <v>3.7171447015649273</v>
      </c>
      <c r="BV70" s="46">
        <f t="shared" ca="1" si="40"/>
        <v>3.7085860029582047</v>
      </c>
      <c r="BW70" s="46">
        <f t="shared" ca="1" si="40"/>
        <v>3.6973136045003621</v>
      </c>
      <c r="BX70" s="46">
        <f t="shared" ca="1" si="40"/>
        <v>3.6834804410818878</v>
      </c>
      <c r="BY70" s="46">
        <f t="shared" ca="1" si="40"/>
        <v>3.6672264640817387</v>
      </c>
      <c r="BZ70" s="46">
        <f t="shared" ca="1" si="40"/>
        <v>3.6486800461352509</v>
      </c>
      <c r="CA70" s="46">
        <f t="shared" ca="1" si="40"/>
        <v>3.627959207815838</v>
      </c>
      <c r="CB70" s="46">
        <f t="shared" ca="1" si="40"/>
        <v>3.6051726920718972</v>
      </c>
      <c r="CC70" s="46">
        <f t="shared" ca="1" si="40"/>
        <v>3.5804209080582359</v>
      </c>
      <c r="CD70" s="46">
        <f t="shared" ca="1" si="40"/>
        <v>3.5537967625524853</v>
      </c>
      <c r="CE70" s="46">
        <f t="shared" ca="1" si="40"/>
        <v>3.5372765359261589</v>
      </c>
      <c r="CF70" s="46">
        <f t="shared" ca="1" si="40"/>
        <v>3.5178773631765283</v>
      </c>
      <c r="CG70" s="46">
        <f t="shared" ca="1" si="40"/>
        <v>3.4957583677522317</v>
      </c>
      <c r="CH70" s="46">
        <f t="shared" ca="1" si="40"/>
        <v>3.4710667297154183</v>
      </c>
      <c r="CI70" s="46">
        <f t="shared" ca="1" si="40"/>
        <v>3.4439389667632581</v>
      </c>
      <c r="CJ70" s="46">
        <f t="shared" ca="1" si="40"/>
        <v>3.4145020609648231</v>
      </c>
      <c r="CK70" s="46">
        <f t="shared" ca="1" si="40"/>
        <v>3.3828744529098111</v>
      </c>
      <c r="CL70" s="46">
        <f t="shared" ca="1" si="40"/>
        <v>3.3491669215685551</v>
      </c>
      <c r="CM70" s="46">
        <f t="shared" ca="1" si="40"/>
        <v>3.3134833653555464</v>
      </c>
      <c r="CN70" s="46">
        <f t="shared" ca="1" si="40"/>
        <v>3.2759214975587838</v>
      </c>
    </row>
    <row r="71" spans="1:99" s="46" customFormat="1" x14ac:dyDescent="0.15">
      <c r="A71" s="37" t="s">
        <v>59</v>
      </c>
      <c r="B71" s="37"/>
      <c r="C71" s="46">
        <f t="shared" ref="C71:R75" ca="1" si="41">C55-(C63*C$79)</f>
        <v>0</v>
      </c>
      <c r="D71" s="46">
        <f t="shared" ca="1" si="41"/>
        <v>0</v>
      </c>
      <c r="E71" s="46">
        <f t="shared" ca="1" si="41"/>
        <v>0</v>
      </c>
      <c r="F71" s="46">
        <f t="shared" ca="1" si="41"/>
        <v>0</v>
      </c>
      <c r="G71" s="46">
        <f t="shared" ca="1" si="41"/>
        <v>0</v>
      </c>
      <c r="H71" s="46">
        <f t="shared" ca="1" si="41"/>
        <v>0</v>
      </c>
      <c r="I71" s="46">
        <f t="shared" ca="1" si="41"/>
        <v>0</v>
      </c>
      <c r="J71" s="46">
        <f t="shared" ca="1" si="41"/>
        <v>0</v>
      </c>
      <c r="K71" s="46">
        <f t="shared" ca="1" si="41"/>
        <v>0</v>
      </c>
      <c r="L71" s="46" t="e">
        <f t="shared" ca="1" si="41"/>
        <v>#DIV/0!</v>
      </c>
      <c r="M71" s="46">
        <f t="shared" ca="1" si="41"/>
        <v>0.51860822545034413</v>
      </c>
      <c r="N71" s="46">
        <f t="shared" ca="1" si="41"/>
        <v>1.0007019112714011</v>
      </c>
      <c r="O71" s="46">
        <f t="shared" ca="1" si="41"/>
        <v>1.446838565328354</v>
      </c>
      <c r="P71" s="46">
        <f t="shared" ca="1" si="41"/>
        <v>1.8574228216683721</v>
      </c>
      <c r="Q71" s="46">
        <f t="shared" ca="1" si="41"/>
        <v>2.2327149628559879</v>
      </c>
      <c r="R71" s="46">
        <f t="shared" ca="1" si="41"/>
        <v>2.5728373030793206</v>
      </c>
      <c r="S71" s="46">
        <f t="shared" ca="1" si="39"/>
        <v>2.8777786375276095</v>
      </c>
      <c r="T71" s="46">
        <f t="shared" ca="1" si="39"/>
        <v>3.1473969047504333</v>
      </c>
      <c r="U71" s="46">
        <f t="shared" ca="1" si="39"/>
        <v>3.3814201574229648</v>
      </c>
      <c r="V71" s="46">
        <f t="shared" ca="1" si="39"/>
        <v>3.5794458905763431</v>
      </c>
      <c r="W71" s="46">
        <f t="shared" ca="1" si="39"/>
        <v>3.9453467006805676</v>
      </c>
      <c r="X71" s="46">
        <f t="shared" ca="1" si="39"/>
        <v>4.2927626743415708</v>
      </c>
      <c r="Y71" s="46">
        <f t="shared" ca="1" si="39"/>
        <v>4.6215714665229957</v>
      </c>
      <c r="Z71" s="46">
        <f t="shared" ca="1" si="39"/>
        <v>4.9294636854379696</v>
      </c>
      <c r="AA71" s="46">
        <f t="shared" ca="1" si="39"/>
        <v>5.2079982042999351</v>
      </c>
      <c r="AB71" s="46">
        <f t="shared" ca="1" si="39"/>
        <v>5.4678452364605068</v>
      </c>
      <c r="AC71" s="46">
        <f t="shared" ca="1" si="39"/>
        <v>5.708442676444033</v>
      </c>
      <c r="AD71" s="46">
        <f t="shared" ca="1" si="39"/>
        <v>5.9265637562073081</v>
      </c>
      <c r="AE71" s="46">
        <f t="shared" ca="1" si="39"/>
        <v>6.1263253370902628</v>
      </c>
      <c r="AF71" s="46">
        <f t="shared" ca="1" si="39"/>
        <v>6.3077869518191232</v>
      </c>
      <c r="AG71" s="46">
        <f t="shared" ca="1" si="39"/>
        <v>6.6841322936261722</v>
      </c>
      <c r="AH71" s="46">
        <f t="shared" ca="1" si="39"/>
        <v>7.0478195209526628</v>
      </c>
      <c r="AI71" s="46">
        <f t="shared" ca="1" si="39"/>
        <v>7.3988607610717914</v>
      </c>
      <c r="AJ71" s="46">
        <f t="shared" ca="1" si="39"/>
        <v>7.7372748886278888</v>
      </c>
      <c r="AK71" s="46">
        <f t="shared" ca="1" si="39"/>
        <v>8.0630833478264403</v>
      </c>
      <c r="AL71" s="46">
        <f t="shared" ca="1" si="39"/>
        <v>8.3763070121948715</v>
      </c>
      <c r="AM71" s="46">
        <f t="shared" ca="1" si="39"/>
        <v>8.6769638063262171</v>
      </c>
      <c r="AN71" s="46">
        <f t="shared" ca="1" si="39"/>
        <v>8.9650668908553222</v>
      </c>
      <c r="AO71" s="46">
        <f t="shared" ca="1" si="39"/>
        <v>9.2406232656783089</v>
      </c>
      <c r="AP71" s="46">
        <f t="shared" ca="1" si="39"/>
        <v>9.5036326845153276</v>
      </c>
      <c r="AQ71" s="46">
        <f t="shared" ca="1" si="39"/>
        <v>9.9772895389716858</v>
      </c>
      <c r="AR71" s="46">
        <f t="shared" ca="1" si="39"/>
        <v>10.438249844167085</v>
      </c>
      <c r="AS71" s="46">
        <f t="shared" ca="1" si="39"/>
        <v>10.889542567745185</v>
      </c>
      <c r="AT71" s="46">
        <f t="shared" ca="1" si="39"/>
        <v>11.331123365103046</v>
      </c>
      <c r="AU71" s="46">
        <f t="shared" ca="1" si="39"/>
        <v>11.762955728443135</v>
      </c>
      <c r="AV71" s="46">
        <f t="shared" ca="1" si="39"/>
        <v>12.185008534303453</v>
      </c>
      <c r="AW71" s="46">
        <f t="shared" ca="1" si="39"/>
        <v>12.597254057035475</v>
      </c>
      <c r="AX71" s="46">
        <f t="shared" ca="1" si="39"/>
        <v>12.999666352181549</v>
      </c>
      <c r="AY71" s="46">
        <f t="shared" ca="1" si="39"/>
        <v>13.392219934632813</v>
      </c>
      <c r="AZ71" s="46">
        <f t="shared" ca="1" si="39"/>
        <v>13.709860588047519</v>
      </c>
      <c r="BA71" s="46">
        <f t="shared" ca="1" si="39"/>
        <v>14.128578075244448</v>
      </c>
      <c r="BB71" s="46">
        <f t="shared" ca="1" si="39"/>
        <v>14.533558376209616</v>
      </c>
      <c r="BC71" s="46">
        <f t="shared" ca="1" si="39"/>
        <v>14.924876277567495</v>
      </c>
      <c r="BD71" s="46">
        <f t="shared" ca="1" si="39"/>
        <v>15.302602376659994</v>
      </c>
      <c r="BE71" s="46">
        <f t="shared" ca="1" si="39"/>
        <v>15.666801951731966</v>
      </c>
      <c r="BF71" s="46">
        <f t="shared" ca="1" si="39"/>
        <v>16.017534069422137</v>
      </c>
      <c r="BG71" s="46">
        <f t="shared" ca="1" si="39"/>
        <v>16.354850878743068</v>
      </c>
      <c r="BH71" s="46">
        <f t="shared" ca="1" si="39"/>
        <v>16.678797051323425</v>
      </c>
      <c r="BI71" s="46">
        <f t="shared" ca="1" si="39"/>
        <v>16.989409335919955</v>
      </c>
      <c r="BJ71" s="46">
        <f t="shared" ca="1" si="39"/>
        <v>17.286716201640523</v>
      </c>
      <c r="BK71" s="46">
        <f t="shared" ca="1" si="39"/>
        <v>17.675255475518004</v>
      </c>
      <c r="BL71" s="46">
        <f t="shared" ca="1" si="39"/>
        <v>18.048122775771237</v>
      </c>
      <c r="BM71" s="46">
        <f t="shared" ca="1" si="39"/>
        <v>18.405449201037893</v>
      </c>
      <c r="BN71" s="46">
        <f t="shared" ca="1" si="39"/>
        <v>18.733836498138277</v>
      </c>
      <c r="BO71" s="46">
        <f t="shared" ca="1" si="39"/>
        <v>19.043185966480081</v>
      </c>
      <c r="BP71" s="46">
        <f t="shared" ca="1" si="40"/>
        <v>19.337255888930414</v>
      </c>
      <c r="BQ71" s="46">
        <f t="shared" ca="1" si="40"/>
        <v>19.616165210427077</v>
      </c>
      <c r="BR71" s="46">
        <f t="shared" ca="1" si="40"/>
        <v>19.880019781812848</v>
      </c>
      <c r="BS71" s="46">
        <f t="shared" ca="1" si="40"/>
        <v>20.128912498160759</v>
      </c>
      <c r="BT71" s="46">
        <f t="shared" ca="1" si="40"/>
        <v>20.362923441698321</v>
      </c>
      <c r="BU71" s="46">
        <f t="shared" ca="1" si="40"/>
        <v>20.814589070995169</v>
      </c>
      <c r="BV71" s="46">
        <f t="shared" ca="1" si="40"/>
        <v>21.250194372298765</v>
      </c>
      <c r="BW71" s="46">
        <f t="shared" ca="1" si="40"/>
        <v>21.669855467291157</v>
      </c>
      <c r="BX71" s="46">
        <f t="shared" ca="1" si="40"/>
        <v>22.073673996842871</v>
      </c>
      <c r="BY71" s="46">
        <f t="shared" ca="1" si="40"/>
        <v>22.461737201124862</v>
      </c>
      <c r="BZ71" s="46">
        <f t="shared" ca="1" si="40"/>
        <v>22.834118019310736</v>
      </c>
      <c r="CA71" s="46">
        <f t="shared" ca="1" si="40"/>
        <v>23.19087519782434</v>
      </c>
      <c r="CB71" s="46">
        <f t="shared" ca="1" si="40"/>
        <v>23.532053398400578</v>
      </c>
      <c r="CC71" s="46">
        <f t="shared" ca="1" si="40"/>
        <v>23.857683299026725</v>
      </c>
      <c r="CD71" s="46">
        <f t="shared" ca="1" si="40"/>
        <v>24.167781682225694</v>
      </c>
      <c r="CE71" s="46">
        <f t="shared" ca="1" si="40"/>
        <v>24.686307299050263</v>
      </c>
      <c r="CF71" s="46">
        <f t="shared" ca="1" si="40"/>
        <v>25.188845209669189</v>
      </c>
      <c r="CG71" s="46">
        <f t="shared" ca="1" si="40"/>
        <v>25.675495347539382</v>
      </c>
      <c r="CH71" s="46">
        <f t="shared" ca="1" si="40"/>
        <v>26.146342254531071</v>
      </c>
      <c r="CI71" s="46">
        <f t="shared" ca="1" si="40"/>
        <v>26.601455338508913</v>
      </c>
      <c r="CJ71" s="46">
        <f t="shared" ca="1" si="40"/>
        <v>27.040889116613393</v>
      </c>
      <c r="CK71" s="46">
        <f t="shared" ca="1" si="40"/>
        <v>27.464683439509585</v>
      </c>
      <c r="CL71" s="46">
        <f t="shared" ca="1" si="40"/>
        <v>27.872863692956706</v>
      </c>
      <c r="CM71" s="46">
        <f t="shared" ca="1" si="40"/>
        <v>28.265440973879997</v>
      </c>
      <c r="CN71" s="46">
        <f t="shared" ca="1" si="40"/>
        <v>28.642412238748577</v>
      </c>
    </row>
    <row r="72" spans="1:99" s="46" customFormat="1" x14ac:dyDescent="0.15">
      <c r="A72" s="37" t="s">
        <v>90</v>
      </c>
      <c r="B72" s="37"/>
      <c r="C72" s="46">
        <f t="shared" ca="1" si="41"/>
        <v>-4.9705416575413359</v>
      </c>
      <c r="D72" s="46">
        <f t="shared" ref="D72:BO75" ca="1" si="42">D56-(D64*D$79)</f>
        <v>-4.2458571153811313</v>
      </c>
      <c r="E72" s="46">
        <f t="shared" ca="1" si="42"/>
        <v>-3.5624823337116567</v>
      </c>
      <c r="F72" s="46">
        <f t="shared" ca="1" si="42"/>
        <v>-2.9208980871929784</v>
      </c>
      <c r="G72" s="46">
        <f t="shared" ca="1" si="42"/>
        <v>-2.3217749888500991</v>
      </c>
      <c r="H72" s="46">
        <f t="shared" ca="1" si="42"/>
        <v>-1.7659728432484925</v>
      </c>
      <c r="I72" s="46">
        <f t="shared" ca="1" si="42"/>
        <v>-1.2545429223945734</v>
      </c>
      <c r="J72" s="46">
        <f t="shared" ca="1" si="42"/>
        <v>-0.7887331171971681</v>
      </c>
      <c r="K72" s="46">
        <f t="shared" ca="1" si="42"/>
        <v>-0.3699960093696264</v>
      </c>
      <c r="L72" s="46" t="e">
        <f t="shared" ca="1" si="42"/>
        <v>#DIV/0!</v>
      </c>
      <c r="M72" s="46">
        <f t="shared" ca="1" si="42"/>
        <v>0</v>
      </c>
      <c r="N72" s="46">
        <f t="shared" ca="1" si="42"/>
        <v>0</v>
      </c>
      <c r="O72" s="46">
        <f t="shared" ca="1" si="42"/>
        <v>0</v>
      </c>
      <c r="P72" s="46">
        <f t="shared" ca="1" si="42"/>
        <v>0</v>
      </c>
      <c r="Q72" s="46">
        <f t="shared" ca="1" si="42"/>
        <v>0</v>
      </c>
      <c r="R72" s="46">
        <f t="shared" ca="1" si="42"/>
        <v>0</v>
      </c>
      <c r="S72" s="46">
        <f t="shared" ca="1" si="42"/>
        <v>0</v>
      </c>
      <c r="T72" s="46">
        <f t="shared" ca="1" si="42"/>
        <v>0</v>
      </c>
      <c r="U72" s="46">
        <f t="shared" ca="1" si="42"/>
        <v>0</v>
      </c>
      <c r="V72" s="46">
        <f t="shared" ca="1" si="42"/>
        <v>0</v>
      </c>
      <c r="W72" s="46">
        <f t="shared" ca="1" si="42"/>
        <v>0</v>
      </c>
      <c r="X72" s="46">
        <f t="shared" ca="1" si="42"/>
        <v>0</v>
      </c>
      <c r="Y72" s="46">
        <f t="shared" ca="1" si="42"/>
        <v>0</v>
      </c>
      <c r="Z72" s="46">
        <f t="shared" ca="1" si="42"/>
        <v>0</v>
      </c>
      <c r="AA72" s="46">
        <f t="shared" ca="1" si="42"/>
        <v>0</v>
      </c>
      <c r="AB72" s="46">
        <f t="shared" ca="1" si="42"/>
        <v>0</v>
      </c>
      <c r="AC72" s="46">
        <f t="shared" ca="1" si="42"/>
        <v>0</v>
      </c>
      <c r="AD72" s="46">
        <f t="shared" ca="1" si="42"/>
        <v>0</v>
      </c>
      <c r="AE72" s="46">
        <f t="shared" ca="1" si="42"/>
        <v>0</v>
      </c>
      <c r="AF72" s="46">
        <f t="shared" ca="1" si="42"/>
        <v>0</v>
      </c>
      <c r="AG72" s="46">
        <f t="shared" ca="1" si="42"/>
        <v>0</v>
      </c>
      <c r="AH72" s="46">
        <f t="shared" ca="1" si="42"/>
        <v>0</v>
      </c>
      <c r="AI72" s="46">
        <f t="shared" ca="1" si="42"/>
        <v>0</v>
      </c>
      <c r="AJ72" s="46">
        <f t="shared" ca="1" si="42"/>
        <v>0</v>
      </c>
      <c r="AK72" s="46">
        <f t="shared" ca="1" si="42"/>
        <v>0</v>
      </c>
      <c r="AL72" s="46">
        <f t="shared" ca="1" si="42"/>
        <v>0</v>
      </c>
      <c r="AM72" s="46">
        <f t="shared" ca="1" si="42"/>
        <v>0</v>
      </c>
      <c r="AN72" s="46">
        <f t="shared" ca="1" si="42"/>
        <v>0</v>
      </c>
      <c r="AO72" s="46">
        <f t="shared" ca="1" si="42"/>
        <v>0</v>
      </c>
      <c r="AP72" s="46">
        <f t="shared" ca="1" si="42"/>
        <v>0</v>
      </c>
      <c r="AQ72" s="46">
        <f t="shared" ca="1" si="42"/>
        <v>0</v>
      </c>
      <c r="AR72" s="46">
        <f t="shared" ca="1" si="42"/>
        <v>0</v>
      </c>
      <c r="AS72" s="46">
        <f t="shared" ca="1" si="42"/>
        <v>0</v>
      </c>
      <c r="AT72" s="46">
        <f t="shared" ca="1" si="42"/>
        <v>0</v>
      </c>
      <c r="AU72" s="46">
        <f t="shared" ca="1" si="42"/>
        <v>0</v>
      </c>
      <c r="AV72" s="46">
        <f t="shared" ca="1" si="42"/>
        <v>0</v>
      </c>
      <c r="AW72" s="46">
        <f t="shared" ca="1" si="42"/>
        <v>0</v>
      </c>
      <c r="AX72" s="46">
        <f t="shared" ca="1" si="42"/>
        <v>0</v>
      </c>
      <c r="AY72" s="46">
        <f t="shared" ca="1" si="42"/>
        <v>0</v>
      </c>
      <c r="AZ72" s="46">
        <f t="shared" ca="1" si="42"/>
        <v>0</v>
      </c>
      <c r="BA72" s="46">
        <f t="shared" ca="1" si="42"/>
        <v>0</v>
      </c>
      <c r="BB72" s="46">
        <f t="shared" ca="1" si="42"/>
        <v>0</v>
      </c>
      <c r="BC72" s="46">
        <f t="shared" ca="1" si="42"/>
        <v>0</v>
      </c>
      <c r="BD72" s="46">
        <f t="shared" ca="1" si="42"/>
        <v>0</v>
      </c>
      <c r="BE72" s="46">
        <f t="shared" ca="1" si="42"/>
        <v>0</v>
      </c>
      <c r="BF72" s="46">
        <f t="shared" ca="1" si="42"/>
        <v>0</v>
      </c>
      <c r="BG72" s="46">
        <f t="shared" ca="1" si="42"/>
        <v>0</v>
      </c>
      <c r="BH72" s="46">
        <f t="shared" ca="1" si="42"/>
        <v>0</v>
      </c>
      <c r="BI72" s="46">
        <f t="shared" ca="1" si="42"/>
        <v>0</v>
      </c>
      <c r="BJ72" s="46">
        <f t="shared" ca="1" si="42"/>
        <v>0</v>
      </c>
      <c r="BK72" s="46">
        <f t="shared" ca="1" si="42"/>
        <v>0</v>
      </c>
      <c r="BL72" s="46">
        <f t="shared" ca="1" si="42"/>
        <v>0</v>
      </c>
      <c r="BM72" s="46">
        <f t="shared" ca="1" si="42"/>
        <v>0</v>
      </c>
      <c r="BN72" s="46">
        <f t="shared" ca="1" si="42"/>
        <v>0</v>
      </c>
      <c r="BO72" s="46">
        <f t="shared" ca="1" si="42"/>
        <v>0</v>
      </c>
      <c r="BP72" s="46">
        <f t="shared" ca="1" si="40"/>
        <v>0</v>
      </c>
      <c r="BQ72" s="46">
        <f t="shared" ca="1" si="40"/>
        <v>0</v>
      </c>
      <c r="BR72" s="46">
        <f t="shared" ca="1" si="40"/>
        <v>0</v>
      </c>
      <c r="BS72" s="46">
        <f t="shared" ca="1" si="40"/>
        <v>0</v>
      </c>
      <c r="BT72" s="46">
        <f t="shared" ca="1" si="40"/>
        <v>0</v>
      </c>
      <c r="BU72" s="46">
        <f t="shared" ca="1" si="40"/>
        <v>0</v>
      </c>
      <c r="BV72" s="46">
        <f t="shared" ca="1" si="40"/>
        <v>0</v>
      </c>
      <c r="BW72" s="46">
        <f t="shared" ca="1" si="40"/>
        <v>0</v>
      </c>
      <c r="BX72" s="46">
        <f t="shared" ca="1" si="40"/>
        <v>0</v>
      </c>
      <c r="BY72" s="46">
        <f t="shared" ca="1" si="40"/>
        <v>0</v>
      </c>
      <c r="BZ72" s="46">
        <f t="shared" ca="1" si="40"/>
        <v>0</v>
      </c>
      <c r="CA72" s="46">
        <f t="shared" ca="1" si="40"/>
        <v>0</v>
      </c>
      <c r="CB72" s="46">
        <f t="shared" ca="1" si="40"/>
        <v>0</v>
      </c>
      <c r="CC72" s="46">
        <f t="shared" ca="1" si="40"/>
        <v>0</v>
      </c>
      <c r="CD72" s="46">
        <f t="shared" ca="1" si="40"/>
        <v>0</v>
      </c>
      <c r="CE72" s="46">
        <f t="shared" ca="1" si="40"/>
        <v>0</v>
      </c>
      <c r="CF72" s="46">
        <f t="shared" ca="1" si="40"/>
        <v>0</v>
      </c>
      <c r="CG72" s="46">
        <f t="shared" ca="1" si="40"/>
        <v>0</v>
      </c>
      <c r="CH72" s="46">
        <f t="shared" ca="1" si="40"/>
        <v>0</v>
      </c>
      <c r="CI72" s="46">
        <f t="shared" ca="1" si="40"/>
        <v>0</v>
      </c>
      <c r="CJ72" s="46">
        <f t="shared" ca="1" si="40"/>
        <v>0</v>
      </c>
      <c r="CK72" s="46">
        <f t="shared" ca="1" si="40"/>
        <v>0</v>
      </c>
      <c r="CL72" s="46">
        <f t="shared" ca="1" si="40"/>
        <v>0</v>
      </c>
      <c r="CM72" s="46">
        <f t="shared" ca="1" si="40"/>
        <v>0</v>
      </c>
      <c r="CN72" s="46">
        <f t="shared" ca="1" si="40"/>
        <v>0</v>
      </c>
    </row>
    <row r="73" spans="1:99" s="46" customFormat="1" ht="15" x14ac:dyDescent="0.15">
      <c r="A73" s="37" t="s">
        <v>89</v>
      </c>
      <c r="B73" s="37"/>
      <c r="C73" s="46">
        <f t="shared" ca="1" si="41"/>
        <v>0</v>
      </c>
      <c r="D73" s="46">
        <f t="shared" ca="1" si="42"/>
        <v>0</v>
      </c>
      <c r="E73" s="46">
        <f t="shared" ca="1" si="42"/>
        <v>0</v>
      </c>
      <c r="F73" s="46">
        <f t="shared" ca="1" si="42"/>
        <v>0</v>
      </c>
      <c r="G73" s="46">
        <f t="shared" ca="1" si="42"/>
        <v>0</v>
      </c>
      <c r="H73" s="46">
        <f t="shared" ca="1" si="42"/>
        <v>0</v>
      </c>
      <c r="I73" s="46">
        <f t="shared" ca="1" si="42"/>
        <v>0</v>
      </c>
      <c r="J73" s="46">
        <f t="shared" ca="1" si="42"/>
        <v>0</v>
      </c>
      <c r="K73" s="46">
        <f t="shared" ca="1" si="42"/>
        <v>0</v>
      </c>
      <c r="L73" s="46" t="e">
        <f t="shared" ca="1" si="42"/>
        <v>#DIV/0!</v>
      </c>
      <c r="M73" s="46">
        <f t="shared" ca="1" si="42"/>
        <v>7.8408804930170783E-3</v>
      </c>
      <c r="N73" s="46">
        <f t="shared" ca="1" si="42"/>
        <v>1.5355737317542022E-2</v>
      </c>
      <c r="O73" s="46">
        <f t="shared" ca="1" si="42"/>
        <v>2.2525145556833541E-2</v>
      </c>
      <c r="P73" s="46">
        <f t="shared" ca="1" si="42"/>
        <v>2.9328447106465413E-2</v>
      </c>
      <c r="Q73" s="46">
        <f t="shared" ca="1" si="42"/>
        <v>3.5743657723419829E-2</v>
      </c>
      <c r="R73" s="46">
        <f t="shared" ca="1" si="42"/>
        <v>4.1747361394679855E-2</v>
      </c>
      <c r="S73" s="46">
        <f t="shared" ca="1" si="42"/>
        <v>4.7314590600411405E-2</v>
      </c>
      <c r="T73" s="46">
        <f t="shared" ca="1" si="42"/>
        <v>5.2418690747316254E-2</v>
      </c>
      <c r="U73" s="46">
        <f t="shared" ca="1" si="42"/>
        <v>5.703116670062304E-2</v>
      </c>
      <c r="V73" s="46">
        <f t="shared" ca="1" si="42"/>
        <v>6.1121508936027705E-2</v>
      </c>
      <c r="W73" s="46">
        <f t="shared" ca="1" si="42"/>
        <v>4.60430909531023E-2</v>
      </c>
      <c r="X73" s="46">
        <f t="shared" ca="1" si="42"/>
        <v>3.0164035521887345E-2</v>
      </c>
      <c r="Y73" s="46">
        <f t="shared" ca="1" si="42"/>
        <v>1.3764835839604653E-2</v>
      </c>
      <c r="Z73" s="46">
        <f t="shared" ca="1" si="42"/>
        <v>0</v>
      </c>
      <c r="AA73" s="46">
        <f t="shared" ca="1" si="42"/>
        <v>0</v>
      </c>
      <c r="AB73" s="46">
        <f t="shared" ca="1" si="42"/>
        <v>0</v>
      </c>
      <c r="AC73" s="46">
        <f t="shared" ca="1" si="42"/>
        <v>0</v>
      </c>
      <c r="AD73" s="46">
        <f t="shared" ca="1" si="42"/>
        <v>0</v>
      </c>
      <c r="AE73" s="46">
        <f t="shared" ca="1" si="42"/>
        <v>0</v>
      </c>
      <c r="AF73" s="46">
        <f t="shared" ca="1" si="42"/>
        <v>0</v>
      </c>
      <c r="AG73" s="46">
        <f t="shared" ca="1" si="42"/>
        <v>0</v>
      </c>
      <c r="AH73" s="46">
        <f t="shared" ca="1" si="42"/>
        <v>0</v>
      </c>
      <c r="AI73" s="46">
        <f t="shared" ca="1" si="42"/>
        <v>0</v>
      </c>
      <c r="AJ73" s="46">
        <f t="shared" ca="1" si="42"/>
        <v>0</v>
      </c>
      <c r="AK73" s="46">
        <f t="shared" ca="1" si="42"/>
        <v>0</v>
      </c>
      <c r="AL73" s="46">
        <f t="shared" ca="1" si="42"/>
        <v>0</v>
      </c>
      <c r="AM73" s="46">
        <f t="shared" ca="1" si="42"/>
        <v>0</v>
      </c>
      <c r="AN73" s="46">
        <f t="shared" ca="1" si="42"/>
        <v>0</v>
      </c>
      <c r="AO73" s="46">
        <f t="shared" ca="1" si="42"/>
        <v>0</v>
      </c>
      <c r="AP73" s="46">
        <f t="shared" ca="1" si="42"/>
        <v>0</v>
      </c>
      <c r="AQ73" s="46">
        <f t="shared" ca="1" si="42"/>
        <v>0</v>
      </c>
      <c r="AR73" s="46">
        <f t="shared" ca="1" si="42"/>
        <v>0</v>
      </c>
      <c r="AS73" s="46">
        <f t="shared" ca="1" si="42"/>
        <v>0</v>
      </c>
      <c r="AT73" s="46">
        <f t="shared" ca="1" si="42"/>
        <v>0</v>
      </c>
      <c r="AU73" s="46">
        <f t="shared" ca="1" si="42"/>
        <v>0</v>
      </c>
      <c r="AV73" s="46">
        <f t="shared" ca="1" si="42"/>
        <v>0</v>
      </c>
      <c r="AW73" s="46">
        <f t="shared" ca="1" si="42"/>
        <v>0</v>
      </c>
      <c r="AX73" s="46">
        <f t="shared" ca="1" si="42"/>
        <v>0</v>
      </c>
      <c r="AY73" s="46">
        <f t="shared" ca="1" si="42"/>
        <v>0</v>
      </c>
      <c r="AZ73" s="46">
        <f t="shared" ca="1" si="42"/>
        <v>0</v>
      </c>
      <c r="BA73" s="46">
        <f t="shared" ca="1" si="42"/>
        <v>0</v>
      </c>
      <c r="BB73" s="46">
        <f t="shared" ca="1" si="42"/>
        <v>0</v>
      </c>
      <c r="BC73" s="46">
        <f t="shared" ca="1" si="42"/>
        <v>0</v>
      </c>
      <c r="BD73" s="46">
        <f t="shared" ca="1" si="42"/>
        <v>0</v>
      </c>
      <c r="BE73" s="46">
        <f t="shared" ca="1" si="42"/>
        <v>0</v>
      </c>
      <c r="BF73" s="46">
        <f t="shared" ca="1" si="42"/>
        <v>0</v>
      </c>
      <c r="BG73" s="46">
        <f t="shared" ca="1" si="42"/>
        <v>0</v>
      </c>
      <c r="BH73" s="46">
        <f t="shared" ca="1" si="42"/>
        <v>0</v>
      </c>
      <c r="BI73" s="46">
        <f t="shared" ca="1" si="42"/>
        <v>0</v>
      </c>
      <c r="BJ73" s="46">
        <f t="shared" ca="1" si="42"/>
        <v>0</v>
      </c>
      <c r="BK73" s="46">
        <f t="shared" ca="1" si="42"/>
        <v>0</v>
      </c>
      <c r="BL73" s="46">
        <f t="shared" ca="1" si="42"/>
        <v>0</v>
      </c>
      <c r="BM73" s="46">
        <f t="shared" ca="1" si="42"/>
        <v>0</v>
      </c>
      <c r="BN73" s="46">
        <f t="shared" ca="1" si="42"/>
        <v>0</v>
      </c>
      <c r="BO73" s="46">
        <f t="shared" ca="1" si="42"/>
        <v>0</v>
      </c>
      <c r="BP73" s="46">
        <f t="shared" ca="1" si="40"/>
        <v>0</v>
      </c>
      <c r="BQ73" s="46">
        <f t="shared" ca="1" si="40"/>
        <v>0</v>
      </c>
      <c r="BR73" s="46">
        <f t="shared" ca="1" si="40"/>
        <v>0</v>
      </c>
      <c r="BS73" s="46">
        <f t="shared" ca="1" si="40"/>
        <v>0</v>
      </c>
      <c r="BT73" s="46">
        <f t="shared" ca="1" si="40"/>
        <v>0</v>
      </c>
      <c r="BU73" s="46">
        <f t="shared" ca="1" si="40"/>
        <v>0</v>
      </c>
      <c r="BV73" s="46">
        <f t="shared" ca="1" si="40"/>
        <v>0</v>
      </c>
      <c r="BW73" s="46">
        <f t="shared" ca="1" si="40"/>
        <v>0</v>
      </c>
      <c r="BX73" s="46">
        <f t="shared" ca="1" si="40"/>
        <v>0</v>
      </c>
      <c r="BY73" s="46">
        <f t="shared" ca="1" si="40"/>
        <v>0</v>
      </c>
      <c r="BZ73" s="46">
        <f t="shared" ca="1" si="40"/>
        <v>0</v>
      </c>
      <c r="CA73" s="46">
        <f t="shared" ca="1" si="40"/>
        <v>0</v>
      </c>
      <c r="CB73" s="46">
        <f t="shared" ca="1" si="40"/>
        <v>0</v>
      </c>
      <c r="CC73" s="46">
        <f t="shared" ca="1" si="40"/>
        <v>0</v>
      </c>
      <c r="CD73" s="46">
        <f t="shared" ca="1" si="40"/>
        <v>0</v>
      </c>
      <c r="CE73" s="46">
        <f t="shared" ca="1" si="40"/>
        <v>0</v>
      </c>
      <c r="CF73" s="46">
        <f t="shared" ca="1" si="40"/>
        <v>0</v>
      </c>
      <c r="CG73" s="46">
        <f t="shared" ca="1" si="40"/>
        <v>0</v>
      </c>
      <c r="CH73" s="46">
        <f t="shared" ca="1" si="40"/>
        <v>0</v>
      </c>
      <c r="CI73" s="46">
        <f t="shared" ca="1" si="40"/>
        <v>0</v>
      </c>
      <c r="CJ73" s="46">
        <f t="shared" ca="1" si="40"/>
        <v>0</v>
      </c>
      <c r="CK73" s="46">
        <f t="shared" ca="1" si="40"/>
        <v>0</v>
      </c>
      <c r="CL73" s="46">
        <f t="shared" ca="1" si="40"/>
        <v>0</v>
      </c>
      <c r="CM73" s="46">
        <f t="shared" ca="1" si="40"/>
        <v>0</v>
      </c>
      <c r="CN73" s="46">
        <f t="shared" ca="1" si="40"/>
        <v>0</v>
      </c>
    </row>
    <row r="74" spans="1:99" s="46" customFormat="1" ht="15" x14ac:dyDescent="0.15">
      <c r="A74" s="37" t="s">
        <v>87</v>
      </c>
      <c r="B74" s="37"/>
      <c r="C74" s="46">
        <f t="shared" ca="1" si="41"/>
        <v>-0.164729751582605</v>
      </c>
      <c r="D74" s="46">
        <f t="shared" ca="1" si="42"/>
        <v>-0.13907863780496593</v>
      </c>
      <c r="E74" s="46">
        <f t="shared" ca="1" si="42"/>
        <v>-0.11531060749157188</v>
      </c>
      <c r="F74" s="46">
        <f t="shared" ca="1" si="42"/>
        <v>-9.3399498439963702E-2</v>
      </c>
      <c r="G74" s="46">
        <f t="shared" ca="1" si="42"/>
        <v>-7.332380707476252E-2</v>
      </c>
      <c r="H74" s="46">
        <f t="shared" ca="1" si="42"/>
        <v>-5.506624282367914E-2</v>
      </c>
      <c r="I74" s="46">
        <f t="shared" ca="1" si="42"/>
        <v>-3.8613359103524023E-2</v>
      </c>
      <c r="J74" s="46">
        <f t="shared" ca="1" si="42"/>
        <v>-2.3955249756193425E-2</v>
      </c>
      <c r="K74" s="46">
        <f t="shared" ca="1" si="42"/>
        <v>-1.1085302138960879E-2</v>
      </c>
      <c r="L74" s="46" t="e">
        <f t="shared" ca="1" si="42"/>
        <v>#DIV/0!</v>
      </c>
      <c r="M74" s="46">
        <f t="shared" ca="1" si="42"/>
        <v>0</v>
      </c>
      <c r="N74" s="46">
        <f t="shared" ca="1" si="42"/>
        <v>0</v>
      </c>
      <c r="O74" s="46">
        <f t="shared" ca="1" si="42"/>
        <v>0</v>
      </c>
      <c r="P74" s="46">
        <f t="shared" ca="1" si="42"/>
        <v>0</v>
      </c>
      <c r="Q74" s="46">
        <f t="shared" ca="1" si="42"/>
        <v>0</v>
      </c>
      <c r="R74" s="46">
        <f t="shared" ca="1" si="42"/>
        <v>0</v>
      </c>
      <c r="S74" s="46">
        <f t="shared" ca="1" si="42"/>
        <v>0</v>
      </c>
      <c r="T74" s="46">
        <f t="shared" ca="1" si="42"/>
        <v>0</v>
      </c>
      <c r="U74" s="46">
        <f t="shared" ca="1" si="42"/>
        <v>0</v>
      </c>
      <c r="V74" s="46">
        <f t="shared" ca="1" si="42"/>
        <v>0</v>
      </c>
      <c r="W74" s="46">
        <f t="shared" ca="1" si="42"/>
        <v>0</v>
      </c>
      <c r="X74" s="46">
        <f t="shared" ca="1" si="42"/>
        <v>0</v>
      </c>
      <c r="Y74" s="46">
        <f t="shared" ca="1" si="42"/>
        <v>0</v>
      </c>
      <c r="Z74" s="46">
        <f t="shared" ca="1" si="42"/>
        <v>0</v>
      </c>
      <c r="AA74" s="46">
        <f t="shared" ca="1" si="42"/>
        <v>0</v>
      </c>
      <c r="AB74" s="46">
        <f t="shared" ca="1" si="42"/>
        <v>0</v>
      </c>
      <c r="AC74" s="46">
        <f t="shared" ca="1" si="42"/>
        <v>0</v>
      </c>
      <c r="AD74" s="46">
        <f t="shared" ca="1" si="42"/>
        <v>0</v>
      </c>
      <c r="AE74" s="46">
        <f t="shared" ca="1" si="42"/>
        <v>0</v>
      </c>
      <c r="AF74" s="46">
        <f t="shared" ca="1" si="42"/>
        <v>0</v>
      </c>
      <c r="AG74" s="46">
        <f t="shared" ca="1" si="42"/>
        <v>0</v>
      </c>
      <c r="AH74" s="46">
        <f t="shared" ca="1" si="42"/>
        <v>0</v>
      </c>
      <c r="AI74" s="46">
        <f t="shared" ca="1" si="42"/>
        <v>0</v>
      </c>
      <c r="AJ74" s="46">
        <f t="shared" ca="1" si="42"/>
        <v>0</v>
      </c>
      <c r="AK74" s="46">
        <f t="shared" ca="1" si="42"/>
        <v>0</v>
      </c>
      <c r="AL74" s="46">
        <f t="shared" ca="1" si="42"/>
        <v>0</v>
      </c>
      <c r="AM74" s="46">
        <f t="shared" ca="1" si="42"/>
        <v>0</v>
      </c>
      <c r="AN74" s="46">
        <f t="shared" ca="1" si="42"/>
        <v>0</v>
      </c>
      <c r="AO74" s="46">
        <f t="shared" ca="1" si="42"/>
        <v>0</v>
      </c>
      <c r="AP74" s="46">
        <f t="shared" ca="1" si="42"/>
        <v>0</v>
      </c>
      <c r="AQ74" s="46">
        <f t="shared" ca="1" si="42"/>
        <v>0</v>
      </c>
      <c r="AR74" s="46">
        <f t="shared" ca="1" si="42"/>
        <v>0</v>
      </c>
      <c r="AS74" s="46">
        <f t="shared" ca="1" si="42"/>
        <v>0</v>
      </c>
      <c r="AT74" s="46">
        <f t="shared" ca="1" si="42"/>
        <v>0</v>
      </c>
      <c r="AU74" s="46">
        <f t="shared" ca="1" si="42"/>
        <v>0</v>
      </c>
      <c r="AV74" s="46">
        <f t="shared" ca="1" si="42"/>
        <v>0</v>
      </c>
      <c r="AW74" s="46">
        <f t="shared" ca="1" si="42"/>
        <v>0</v>
      </c>
      <c r="AX74" s="46">
        <f t="shared" ca="1" si="42"/>
        <v>0</v>
      </c>
      <c r="AY74" s="46">
        <f t="shared" ca="1" si="42"/>
        <v>0</v>
      </c>
      <c r="AZ74" s="46">
        <f t="shared" ca="1" si="42"/>
        <v>0</v>
      </c>
      <c r="BA74" s="46">
        <f t="shared" ca="1" si="42"/>
        <v>0</v>
      </c>
      <c r="BB74" s="46">
        <f t="shared" ca="1" si="42"/>
        <v>0</v>
      </c>
      <c r="BC74" s="46">
        <f t="shared" ca="1" si="42"/>
        <v>0</v>
      </c>
      <c r="BD74" s="46">
        <f t="shared" ca="1" si="42"/>
        <v>0</v>
      </c>
      <c r="BE74" s="46">
        <f t="shared" ca="1" si="42"/>
        <v>0</v>
      </c>
      <c r="BF74" s="46">
        <f t="shared" ca="1" si="42"/>
        <v>0</v>
      </c>
      <c r="BG74" s="46">
        <f t="shared" ca="1" si="42"/>
        <v>0</v>
      </c>
      <c r="BH74" s="46">
        <f t="shared" ca="1" si="42"/>
        <v>0</v>
      </c>
      <c r="BI74" s="46">
        <f t="shared" ca="1" si="42"/>
        <v>0</v>
      </c>
      <c r="BJ74" s="46">
        <f t="shared" ca="1" si="42"/>
        <v>0</v>
      </c>
      <c r="BK74" s="46">
        <f t="shared" ca="1" si="42"/>
        <v>0</v>
      </c>
      <c r="BL74" s="46">
        <f t="shared" ca="1" si="42"/>
        <v>0</v>
      </c>
      <c r="BM74" s="46">
        <f t="shared" ca="1" si="42"/>
        <v>0</v>
      </c>
      <c r="BN74" s="46">
        <f t="shared" ca="1" si="42"/>
        <v>0</v>
      </c>
      <c r="BO74" s="46">
        <f t="shared" ca="1" si="42"/>
        <v>0</v>
      </c>
      <c r="BP74" s="46">
        <f t="shared" ca="1" si="40"/>
        <v>0</v>
      </c>
      <c r="BQ74" s="46">
        <f t="shared" ca="1" si="40"/>
        <v>0</v>
      </c>
      <c r="BR74" s="46">
        <f t="shared" ca="1" si="40"/>
        <v>0</v>
      </c>
      <c r="BS74" s="46">
        <f t="shared" ca="1" si="40"/>
        <v>0</v>
      </c>
      <c r="BT74" s="46">
        <f t="shared" ca="1" si="40"/>
        <v>0</v>
      </c>
      <c r="BU74" s="46">
        <f t="shared" ca="1" si="40"/>
        <v>0</v>
      </c>
      <c r="BV74" s="46">
        <f t="shared" ca="1" si="40"/>
        <v>0</v>
      </c>
      <c r="BW74" s="46">
        <f t="shared" ca="1" si="40"/>
        <v>0</v>
      </c>
      <c r="BX74" s="46">
        <f t="shared" ca="1" si="40"/>
        <v>0</v>
      </c>
      <c r="BY74" s="46">
        <f t="shared" ca="1" si="40"/>
        <v>0</v>
      </c>
      <c r="BZ74" s="46">
        <f t="shared" ca="1" si="40"/>
        <v>0</v>
      </c>
      <c r="CA74" s="46">
        <f t="shared" ca="1" si="40"/>
        <v>0</v>
      </c>
      <c r="CB74" s="46">
        <f t="shared" ca="1" si="40"/>
        <v>0</v>
      </c>
      <c r="CC74" s="46">
        <f t="shared" ca="1" si="40"/>
        <v>0</v>
      </c>
      <c r="CD74" s="46">
        <f t="shared" ca="1" si="40"/>
        <v>0</v>
      </c>
      <c r="CE74" s="46">
        <f t="shared" ca="1" si="40"/>
        <v>0</v>
      </c>
      <c r="CF74" s="46">
        <f t="shared" ca="1" si="40"/>
        <v>0</v>
      </c>
      <c r="CG74" s="46">
        <f t="shared" ca="1" si="40"/>
        <v>0</v>
      </c>
      <c r="CH74" s="46">
        <f t="shared" ca="1" si="40"/>
        <v>0</v>
      </c>
      <c r="CI74" s="46">
        <f t="shared" ca="1" si="40"/>
        <v>0</v>
      </c>
      <c r="CJ74" s="46">
        <f t="shared" ca="1" si="40"/>
        <v>0</v>
      </c>
      <c r="CK74" s="46">
        <f t="shared" ca="1" si="40"/>
        <v>0</v>
      </c>
      <c r="CL74" s="46">
        <f t="shared" ca="1" si="40"/>
        <v>0</v>
      </c>
      <c r="CM74" s="46">
        <f t="shared" ca="1" si="40"/>
        <v>0</v>
      </c>
      <c r="CN74" s="46">
        <f t="shared" ca="1" si="40"/>
        <v>0</v>
      </c>
      <c r="CO74" s="1"/>
      <c r="CP74" s="1"/>
      <c r="CQ74" s="1"/>
      <c r="CR74" s="1"/>
      <c r="CS74" s="1"/>
      <c r="CT74" s="1"/>
      <c r="CU74" s="1"/>
    </row>
    <row r="75" spans="1:99" s="46" customFormat="1" ht="15" x14ac:dyDescent="0.15">
      <c r="A75" s="37" t="s">
        <v>88</v>
      </c>
      <c r="B75" s="37"/>
      <c r="C75" s="46">
        <f t="shared" ca="1" si="41"/>
        <v>0</v>
      </c>
      <c r="D75" s="46">
        <f t="shared" ca="1" si="42"/>
        <v>0</v>
      </c>
      <c r="E75" s="46">
        <f t="shared" ca="1" si="42"/>
        <v>0</v>
      </c>
      <c r="F75" s="46">
        <f t="shared" ca="1" si="42"/>
        <v>0</v>
      </c>
      <c r="G75" s="46">
        <f t="shared" ca="1" si="42"/>
        <v>0</v>
      </c>
      <c r="H75" s="46">
        <f t="shared" ca="1" si="42"/>
        <v>0</v>
      </c>
      <c r="I75" s="46">
        <f t="shared" ca="1" si="42"/>
        <v>0</v>
      </c>
      <c r="J75" s="46">
        <f t="shared" ca="1" si="42"/>
        <v>0</v>
      </c>
      <c r="K75" s="46">
        <f t="shared" ca="1" si="42"/>
        <v>0</v>
      </c>
      <c r="L75" s="46" t="e">
        <f t="shared" ca="1" si="42"/>
        <v>#DIV/0!</v>
      </c>
      <c r="M75" s="46">
        <f t="shared" ca="1" si="42"/>
        <v>5.1352568035750073E-3</v>
      </c>
      <c r="N75" s="46">
        <f t="shared" ca="1" si="42"/>
        <v>1.0057797792593149E-2</v>
      </c>
      <c r="O75" s="46">
        <f t="shared" ca="1" si="42"/>
        <v>1.4754846755037774E-2</v>
      </c>
      <c r="P75" s="46">
        <f t="shared" ca="1" si="42"/>
        <v>1.9212815602563701E-2</v>
      </c>
      <c r="Q75" s="46">
        <f t="shared" ca="1" si="42"/>
        <v>2.3417243155999759E-2</v>
      </c>
      <c r="R75" s="46">
        <f t="shared" ca="1" si="42"/>
        <v>2.7352725593846106E-2</v>
      </c>
      <c r="S75" s="46">
        <f t="shared" ca="1" si="42"/>
        <v>3.1002837625568186E-2</v>
      </c>
      <c r="T75" s="46">
        <f t="shared" ca="1" si="42"/>
        <v>3.4350043254486609E-2</v>
      </c>
      <c r="U75" s="46">
        <f t="shared" ca="1" si="42"/>
        <v>3.7375594767010578E-2</v>
      </c>
      <c r="V75" s="46">
        <f t="shared" ca="1" si="42"/>
        <v>4.0059418317110046E-2</v>
      </c>
      <c r="W75" s="46">
        <f t="shared" ca="1" si="42"/>
        <v>3.4888033660596729E-2</v>
      </c>
      <c r="X75" s="46">
        <f t="shared" ca="1" si="42"/>
        <v>2.9329630517140957E-2</v>
      </c>
      <c r="Y75" s="46">
        <f t="shared" ca="1" si="42"/>
        <v>2.3505410144864479E-2</v>
      </c>
      <c r="Z75" s="46">
        <f t="shared" ca="1" si="42"/>
        <v>1.7499759574897224E-2</v>
      </c>
      <c r="AA75" s="46">
        <f t="shared" ca="1" si="42"/>
        <v>1.1375821897224053E-2</v>
      </c>
      <c r="AB75" s="46">
        <f t="shared" ca="1" si="42"/>
        <v>5.240137737395718E-3</v>
      </c>
      <c r="AC75" s="46">
        <f t="shared" ca="1" si="42"/>
        <v>0</v>
      </c>
      <c r="AD75" s="46">
        <f t="shared" ca="1" si="42"/>
        <v>0</v>
      </c>
      <c r="AE75" s="46">
        <f t="shared" ca="1" si="42"/>
        <v>0</v>
      </c>
      <c r="AF75" s="46">
        <f t="shared" ca="1" si="42"/>
        <v>0</v>
      </c>
      <c r="AG75" s="46">
        <f t="shared" ca="1" si="42"/>
        <v>0</v>
      </c>
      <c r="AH75" s="46">
        <f t="shared" ca="1" si="42"/>
        <v>0</v>
      </c>
      <c r="AI75" s="46">
        <f t="shared" ca="1" si="42"/>
        <v>0</v>
      </c>
      <c r="AJ75" s="46">
        <f t="shared" ca="1" si="42"/>
        <v>0</v>
      </c>
      <c r="AK75" s="46">
        <f t="shared" ca="1" si="42"/>
        <v>0</v>
      </c>
      <c r="AL75" s="46">
        <f t="shared" ca="1" si="42"/>
        <v>0</v>
      </c>
      <c r="AM75" s="46">
        <f t="shared" ca="1" si="42"/>
        <v>0</v>
      </c>
      <c r="AN75" s="46">
        <f t="shared" ca="1" si="42"/>
        <v>0</v>
      </c>
      <c r="AO75" s="46">
        <f t="shared" ca="1" si="42"/>
        <v>0</v>
      </c>
      <c r="AP75" s="46">
        <f t="shared" ca="1" si="42"/>
        <v>0</v>
      </c>
      <c r="AQ75" s="46">
        <f t="shared" ca="1" si="42"/>
        <v>0</v>
      </c>
      <c r="AR75" s="46">
        <f t="shared" ca="1" si="42"/>
        <v>0</v>
      </c>
      <c r="AS75" s="46">
        <f t="shared" ca="1" si="42"/>
        <v>0</v>
      </c>
      <c r="AT75" s="46">
        <f t="shared" ca="1" si="42"/>
        <v>0</v>
      </c>
      <c r="AU75" s="46">
        <f t="shared" ca="1" si="42"/>
        <v>0</v>
      </c>
      <c r="AV75" s="46">
        <f t="shared" ca="1" si="42"/>
        <v>0</v>
      </c>
      <c r="AW75" s="46">
        <f t="shared" ca="1" si="42"/>
        <v>0</v>
      </c>
      <c r="AX75" s="46">
        <f t="shared" ca="1" si="42"/>
        <v>0</v>
      </c>
      <c r="AY75" s="46">
        <f t="shared" ca="1" si="42"/>
        <v>0</v>
      </c>
      <c r="AZ75" s="46">
        <f t="shared" ca="1" si="42"/>
        <v>0</v>
      </c>
      <c r="BA75" s="46">
        <f t="shared" ca="1" si="42"/>
        <v>0</v>
      </c>
      <c r="BB75" s="46">
        <f t="shared" ca="1" si="42"/>
        <v>0</v>
      </c>
      <c r="BC75" s="46">
        <f t="shared" ca="1" si="42"/>
        <v>0</v>
      </c>
      <c r="BD75" s="46">
        <f t="shared" ca="1" si="42"/>
        <v>0</v>
      </c>
      <c r="BE75" s="46">
        <f t="shared" ca="1" si="42"/>
        <v>0</v>
      </c>
      <c r="BF75" s="46">
        <f t="shared" ca="1" si="42"/>
        <v>0</v>
      </c>
      <c r="BG75" s="46">
        <f t="shared" ca="1" si="42"/>
        <v>0</v>
      </c>
      <c r="BH75" s="46">
        <f t="shared" ca="1" si="42"/>
        <v>0</v>
      </c>
      <c r="BI75" s="46">
        <f t="shared" ca="1" si="42"/>
        <v>0</v>
      </c>
      <c r="BJ75" s="46">
        <f t="shared" ca="1" si="42"/>
        <v>0</v>
      </c>
      <c r="BK75" s="46">
        <f t="shared" ca="1" si="42"/>
        <v>0</v>
      </c>
      <c r="BL75" s="46">
        <f t="shared" ca="1" si="42"/>
        <v>0</v>
      </c>
      <c r="BM75" s="46">
        <f t="shared" ca="1" si="42"/>
        <v>0</v>
      </c>
      <c r="BN75" s="46">
        <f t="shared" ca="1" si="42"/>
        <v>1.626135899241089E-2</v>
      </c>
      <c r="BO75" s="46">
        <f t="shared" ref="BO75:CN75" ca="1" si="43">BO59-(BO67*BO$79)</f>
        <v>3.6890666653530552E-2</v>
      </c>
      <c r="BP75" s="46">
        <f t="shared" ca="1" si="43"/>
        <v>5.7478685876825794E-2</v>
      </c>
      <c r="BQ75" s="46">
        <f t="shared" ca="1" si="43"/>
        <v>7.7994051140770848E-2</v>
      </c>
      <c r="BR75" s="46">
        <f t="shared" ca="1" si="43"/>
        <v>9.8407032566342617E-2</v>
      </c>
      <c r="BS75" s="46">
        <f t="shared" ca="1" si="43"/>
        <v>0.1186893240075613</v>
      </c>
      <c r="BT75" s="46">
        <f t="shared" ca="1" si="43"/>
        <v>0.13881385626651074</v>
      </c>
      <c r="BU75" s="46">
        <f t="shared" ca="1" si="43"/>
        <v>0.17339535744338219</v>
      </c>
      <c r="BV75" s="46">
        <f t="shared" ca="1" si="43"/>
        <v>0.20819073693240581</v>
      </c>
      <c r="BW75" s="46">
        <f t="shared" ca="1" si="43"/>
        <v>0.24313864066123675</v>
      </c>
      <c r="BX75" s="46">
        <f t="shared" ca="1" si="43"/>
        <v>0.27818116258982767</v>
      </c>
      <c r="BY75" s="46">
        <f t="shared" ca="1" si="43"/>
        <v>0.31326340410150999</v>
      </c>
      <c r="BZ75" s="46">
        <f t="shared" ca="1" si="43"/>
        <v>0.34833308718211498</v>
      </c>
      <c r="CA75" s="46">
        <f t="shared" ca="1" si="43"/>
        <v>0.38334021323003353</v>
      </c>
      <c r="CB75" s="46">
        <f t="shared" ca="1" si="43"/>
        <v>0.41823676067880111</v>
      </c>
      <c r="CC75" s="46">
        <f t="shared" ca="1" si="43"/>
        <v>0.45297641570660829</v>
      </c>
      <c r="CD75" s="46">
        <f t="shared" ca="1" si="43"/>
        <v>0.48751433120246024</v>
      </c>
      <c r="CE75" s="46">
        <f t="shared" ca="1" si="43"/>
        <v>0.53524663606095935</v>
      </c>
      <c r="CF75" s="46">
        <f t="shared" ca="1" si="43"/>
        <v>0.58319406482593272</v>
      </c>
      <c r="CG75" s="46">
        <f t="shared" ca="1" si="43"/>
        <v>0.631290437227779</v>
      </c>
      <c r="CH75" s="46">
        <f t="shared" ca="1" si="43"/>
        <v>0.67947255334602175</v>
      </c>
      <c r="CI75" s="46">
        <f t="shared" ca="1" si="43"/>
        <v>0.72767981260339698</v>
      </c>
      <c r="CJ75" s="46">
        <f t="shared" ca="1" si="43"/>
        <v>0.77585387521745308</v>
      </c>
      <c r="CK75" s="46">
        <f t="shared" ca="1" si="43"/>
        <v>0.82393835995507803</v>
      </c>
      <c r="CL75" s="46">
        <f t="shared" ca="1" si="43"/>
        <v>0.87187857298323324</v>
      </c>
      <c r="CM75" s="46">
        <f t="shared" ca="1" si="43"/>
        <v>0.91962126339172068</v>
      </c>
      <c r="CN75" s="46">
        <f t="shared" ca="1" si="43"/>
        <v>0.96711440161174167</v>
      </c>
      <c r="CO75" s="1"/>
      <c r="CP75" s="1"/>
      <c r="CQ75" s="1"/>
      <c r="CR75" s="1"/>
      <c r="CS75" s="1"/>
      <c r="CT75" s="1"/>
      <c r="CU75" s="1"/>
    </row>
    <row r="76" spans="1:99" s="46" customFormat="1" x14ac:dyDescent="0.15">
      <c r="A76" s="1"/>
      <c r="B76" s="1"/>
      <c r="CO76" s="1"/>
      <c r="CP76" s="1"/>
      <c r="CQ76" s="1"/>
      <c r="CR76" s="1"/>
      <c r="CS76" s="1"/>
      <c r="CT76" s="1"/>
      <c r="CU76" s="1"/>
    </row>
    <row r="77" spans="1:99" s="46" customFormat="1" x14ac:dyDescent="0.15">
      <c r="A77" s="36" t="s">
        <v>83</v>
      </c>
      <c r="B77" s="36"/>
      <c r="C77" s="46">
        <f t="shared" ref="C77:K77" ca="1" si="44">SUM(C46:C51)</f>
        <v>-5.1352714091239413</v>
      </c>
      <c r="D77" s="46">
        <f t="shared" ca="1" si="44"/>
        <v>-4.3849357531860962</v>
      </c>
      <c r="E77" s="46">
        <f t="shared" ca="1" si="44"/>
        <v>-3.6777929412032284</v>
      </c>
      <c r="F77" s="46">
        <f t="shared" ca="1" si="44"/>
        <v>-3.0142975856329421</v>
      </c>
      <c r="G77" s="46">
        <f t="shared" ca="1" si="44"/>
        <v>-2.395098795924862</v>
      </c>
      <c r="H77" s="46">
        <f t="shared" ca="1" si="44"/>
        <v>-1.8210390860721712</v>
      </c>
      <c r="I77" s="46">
        <f t="shared" ca="1" si="44"/>
        <v>-1.2931562814980979</v>
      </c>
      <c r="J77" s="46">
        <f t="shared" ca="1" si="44"/>
        <v>-0.81268836695336122</v>
      </c>
      <c r="K77" s="46">
        <f t="shared" ca="1" si="44"/>
        <v>-0.38108131150858743</v>
      </c>
      <c r="L77" s="46" t="e">
        <f t="shared" ref="L77:BW77" ca="1" si="45">SUM(L46:L51)</f>
        <v>#DIV/0!</v>
      </c>
      <c r="M77" s="46">
        <f t="shared" ca="1" si="45"/>
        <v>0.67490705776030557</v>
      </c>
      <c r="N77" s="46">
        <f t="shared" ca="1" si="45"/>
        <v>1.3056813540324519</v>
      </c>
      <c r="O77" s="46">
        <f t="shared" ca="1" si="45"/>
        <v>1.8925859065657147</v>
      </c>
      <c r="P77" s="46">
        <f t="shared" ca="1" si="45"/>
        <v>2.4357100094167792</v>
      </c>
      <c r="Q77" s="46">
        <f t="shared" ca="1" si="45"/>
        <v>2.9349762743741024</v>
      </c>
      <c r="R77" s="46">
        <f t="shared" ca="1" si="45"/>
        <v>3.3901453124462173</v>
      </c>
      <c r="S77" s="46">
        <f t="shared" ca="1" si="45"/>
        <v>3.8008182382221483</v>
      </c>
      <c r="T77" s="46">
        <f t="shared" ca="1" si="45"/>
        <v>4.166437115853256</v>
      </c>
      <c r="U77" s="46">
        <f t="shared" ca="1" si="45"/>
        <v>4.4862834080923077</v>
      </c>
      <c r="V77" s="46">
        <f t="shared" ca="1" si="45"/>
        <v>4.7594744364420727</v>
      </c>
      <c r="W77" s="46">
        <f t="shared" ca="1" si="45"/>
        <v>5.2109315449033256</v>
      </c>
      <c r="X77" s="46">
        <f t="shared" ca="1" si="45"/>
        <v>5.6384442828312613</v>
      </c>
      <c r="Y77" s="46">
        <f t="shared" ca="1" si="45"/>
        <v>6.0422758974233313</v>
      </c>
      <c r="Z77" s="46">
        <f t="shared" ca="1" si="45"/>
        <v>6.4226440594482996</v>
      </c>
      <c r="AA77" s="46">
        <f t="shared" ca="1" si="45"/>
        <v>6.779723182632754</v>
      </c>
      <c r="AB77" s="46">
        <f t="shared" ca="1" si="45"/>
        <v>7.1136464060906439</v>
      </c>
      <c r="AC77" s="46">
        <f t="shared" ca="1" si="45"/>
        <v>7.4245072712758766</v>
      </c>
      <c r="AD77" s="46">
        <f t="shared" ca="1" si="45"/>
        <v>7.7123611198332682</v>
      </c>
      <c r="AE77" s="46">
        <f t="shared" ca="1" si="45"/>
        <v>7.9772262342944433</v>
      </c>
      <c r="AF77" s="46">
        <f t="shared" ca="1" si="45"/>
        <v>8.2190847396850728</v>
      </c>
      <c r="AG77" s="46">
        <f t="shared" ca="1" si="45"/>
        <v>8.690718200642479</v>
      </c>
      <c r="AH77" s="46">
        <f t="shared" ca="1" si="45"/>
        <v>9.1464540562519847</v>
      </c>
      <c r="AI77" s="46">
        <f t="shared" ca="1" si="45"/>
        <v>9.5864318347962101</v>
      </c>
      <c r="AJ77" s="46">
        <f t="shared" ca="1" si="45"/>
        <v>10.010768952059687</v>
      </c>
      <c r="AK77" s="46">
        <f t="shared" ca="1" si="45"/>
        <v>10.419561741281679</v>
      </c>
      <c r="AL77" s="46">
        <f t="shared" ca="1" si="45"/>
        <v>10.812886360019192</v>
      </c>
      <c r="AM77" s="46">
        <f t="shared" ca="1" si="45"/>
        <v>11.190799584576881</v>
      </c>
      <c r="AN77" s="46">
        <f t="shared" ca="1" si="45"/>
        <v>11.553339501234518</v>
      </c>
      <c r="AO77" s="46">
        <f t="shared" ca="1" si="45"/>
        <v>11.900526102250918</v>
      </c>
      <c r="AP77" s="46">
        <f t="shared" ca="1" si="45"/>
        <v>12.232361793518065</v>
      </c>
      <c r="AQ77" s="46">
        <f t="shared" ca="1" si="45"/>
        <v>12.798358680348192</v>
      </c>
      <c r="AR77" s="46">
        <f t="shared" ca="1" si="45"/>
        <v>13.345562590148189</v>
      </c>
      <c r="AS77" s="46">
        <f t="shared" ca="1" si="45"/>
        <v>13.880192053999931</v>
      </c>
      <c r="AT77" s="46">
        <f t="shared" ca="1" si="45"/>
        <v>14.402371248430752</v>
      </c>
      <c r="AU77" s="46">
        <f t="shared" ca="1" si="45"/>
        <v>14.912208776813983</v>
      </c>
      <c r="AV77" s="46">
        <f t="shared" ca="1" si="45"/>
        <v>15.409798477434968</v>
      </c>
      <c r="AW77" s="46">
        <f t="shared" ca="1" si="45"/>
        <v>15.895220149416755</v>
      </c>
      <c r="AX77" s="46">
        <f t="shared" ca="1" si="45"/>
        <v>16.368540204022231</v>
      </c>
      <c r="AY77" s="46">
        <f t="shared" ca="1" si="45"/>
        <v>16.829812247946897</v>
      </c>
      <c r="AZ77" s="46">
        <f t="shared" ca="1" si="45"/>
        <v>17.231933911641416</v>
      </c>
      <c r="BA77" s="46">
        <f t="shared" ca="1" si="45"/>
        <v>17.690110346413817</v>
      </c>
      <c r="BB77" s="46">
        <f t="shared" ca="1" si="45"/>
        <v>18.131589093029334</v>
      </c>
      <c r="BC77" s="46">
        <f t="shared" ca="1" si="45"/>
        <v>18.556604901035335</v>
      </c>
      <c r="BD77" s="46">
        <f t="shared" ca="1" si="45"/>
        <v>18.96536914529003</v>
      </c>
      <c r="BE77" s="46">
        <f t="shared" ca="1" si="45"/>
        <v>19.358071096581202</v>
      </c>
      <c r="BF77" s="46">
        <f t="shared" ca="1" si="45"/>
        <v>19.734879063224298</v>
      </c>
      <c r="BG77" s="46">
        <f t="shared" ca="1" si="45"/>
        <v>20.09594141561168</v>
      </c>
      <c r="BH77" s="46">
        <f t="shared" ca="1" si="45"/>
        <v>20.441387504214767</v>
      </c>
      <c r="BI77" s="46">
        <f t="shared" ca="1" si="45"/>
        <v>20.771328480255768</v>
      </c>
      <c r="BJ77" s="46">
        <f t="shared" ca="1" si="45"/>
        <v>21.085858027140304</v>
      </c>
      <c r="BK77" s="46">
        <f t="shared" ca="1" si="45"/>
        <v>21.479363980335346</v>
      </c>
      <c r="BL77" s="46">
        <f t="shared" ca="1" si="45"/>
        <v>21.854540497206301</v>
      </c>
      <c r="BM77" s="46">
        <f t="shared" ca="1" si="45"/>
        <v>22.211666939378713</v>
      </c>
      <c r="BN77" s="46">
        <f t="shared" ca="1" si="45"/>
        <v>22.550997056061163</v>
      </c>
      <c r="BO77" s="46">
        <f t="shared" ca="1" si="45"/>
        <v>22.872760370309681</v>
      </c>
      <c r="BP77" s="46">
        <f t="shared" ca="1" si="45"/>
        <v>23.177163427032479</v>
      </c>
      <c r="BQ77" s="46">
        <f t="shared" ca="1" si="45"/>
        <v>23.464390915379145</v>
      </c>
      <c r="BR77" s="46">
        <f t="shared" ca="1" si="45"/>
        <v>23.734606676619556</v>
      </c>
      <c r="BS77" s="46">
        <f t="shared" ca="1" si="45"/>
        <v>23.987954607270499</v>
      </c>
      <c r="BT77" s="46">
        <f t="shared" ca="1" si="45"/>
        <v>24.224559466044102</v>
      </c>
      <c r="BU77" s="46">
        <f t="shared" ca="1" si="45"/>
        <v>24.705129130003478</v>
      </c>
      <c r="BV77" s="46">
        <f t="shared" ca="1" si="45"/>
        <v>25.166971112189373</v>
      </c>
      <c r="BW77" s="46">
        <f t="shared" ca="1" si="45"/>
        <v>25.610307712452748</v>
      </c>
      <c r="BX77" s="46">
        <f t="shared" ref="BX77:CN77" ca="1" si="46">SUM(BX46:BX51)</f>
        <v>26.035335600514586</v>
      </c>
      <c r="BY77" s="46">
        <f t="shared" ca="1" si="46"/>
        <v>26.442227069308117</v>
      </c>
      <c r="BZ77" s="46">
        <f t="shared" ca="1" si="46"/>
        <v>26.831131152628103</v>
      </c>
      <c r="CA77" s="46">
        <f t="shared" ca="1" si="46"/>
        <v>27.202174618870217</v>
      </c>
      <c r="CB77" s="46">
        <f t="shared" ca="1" si="46"/>
        <v>27.555462851151272</v>
      </c>
      <c r="CC77" s="46">
        <f t="shared" ca="1" si="46"/>
        <v>27.89108062279157</v>
      </c>
      <c r="CD77" s="46">
        <f t="shared" ca="1" si="46"/>
        <v>28.20909277598064</v>
      </c>
      <c r="CE77" s="46">
        <f t="shared" ca="1" si="46"/>
        <v>28.758830471037385</v>
      </c>
      <c r="CF77" s="46">
        <f t="shared" ca="1" si="46"/>
        <v>29.289916637671656</v>
      </c>
      <c r="CG77" s="46">
        <f t="shared" ca="1" si="46"/>
        <v>29.802544152519385</v>
      </c>
      <c r="CH77" s="46">
        <f t="shared" ca="1" si="46"/>
        <v>30.296881537592515</v>
      </c>
      <c r="CI77" s="46">
        <f t="shared" ca="1" si="46"/>
        <v>30.773074117875563</v>
      </c>
      <c r="CJ77" s="46">
        <f t="shared" ca="1" si="46"/>
        <v>31.231245052795664</v>
      </c>
      <c r="CK77" s="46">
        <f t="shared" ca="1" si="46"/>
        <v>31.671496252374475</v>
      </c>
      <c r="CL77" s="46">
        <f t="shared" ca="1" si="46"/>
        <v>32.093909187508501</v>
      </c>
      <c r="CM77" s="46">
        <f t="shared" ca="1" si="46"/>
        <v>32.498545602627267</v>
      </c>
      <c r="CN77" s="46">
        <f t="shared" ca="1" si="46"/>
        <v>32.885448137919099</v>
      </c>
      <c r="CO77" s="1"/>
      <c r="CP77" s="1"/>
      <c r="CQ77" s="1"/>
      <c r="CR77" s="1"/>
      <c r="CS77" s="1"/>
      <c r="CT77" s="1"/>
      <c r="CU77" s="1"/>
    </row>
    <row r="78" spans="1:99" s="46" customFormat="1" x14ac:dyDescent="0.15">
      <c r="A78" s="1" t="s">
        <v>82</v>
      </c>
      <c r="B78" s="1"/>
      <c r="C78" s="46">
        <f t="shared" ref="C78:K78" ca="1" si="47">SUM(C54:C59)</f>
        <v>8.1052549824166196</v>
      </c>
      <c r="D78" s="46">
        <f t="shared" ca="1" si="47"/>
        <v>7.3571949538954922</v>
      </c>
      <c r="E78" s="46">
        <f t="shared" ca="1" si="47"/>
        <v>6.5744689025495395</v>
      </c>
      <c r="F78" s="46">
        <f t="shared" ca="1" si="47"/>
        <v>5.7557658230831699</v>
      </c>
      <c r="G78" s="46">
        <f t="shared" ca="1" si="47"/>
        <v>4.8996697918903225</v>
      </c>
      <c r="H78" s="46">
        <f t="shared" ca="1" si="47"/>
        <v>4.0046498785080491</v>
      </c>
      <c r="I78" s="46">
        <f t="shared" ca="1" si="47"/>
        <v>3.0690486950723028</v>
      </c>
      <c r="J78" s="46">
        <f t="shared" ca="1" si="47"/>
        <v>2.0910693672549052</v>
      </c>
      <c r="K78" s="46">
        <f t="shared" ca="1" si="47"/>
        <v>1.0687606676079782</v>
      </c>
      <c r="L78" s="46" t="e">
        <f t="shared" ref="L78:BW78" ca="1" si="48">SUM(L54:L59)</f>
        <v>#DIV/0!</v>
      </c>
      <c r="M78" s="46">
        <f t="shared" ca="1" si="48"/>
        <v>1.4701911781422179</v>
      </c>
      <c r="N78" s="46">
        <f t="shared" ca="1" si="48"/>
        <v>2.9226872126197914</v>
      </c>
      <c r="O78" s="46">
        <f t="shared" ca="1" si="48"/>
        <v>4.3586976029603672</v>
      </c>
      <c r="P78" s="46">
        <f t="shared" ca="1" si="48"/>
        <v>5.7793216498889644</v>
      </c>
      <c r="Q78" s="46">
        <f t="shared" ca="1" si="48"/>
        <v>7.1855610391565259</v>
      </c>
      <c r="R78" s="46">
        <f t="shared" ca="1" si="48"/>
        <v>8.578330705080397</v>
      </c>
      <c r="S78" s="46">
        <f t="shared" ca="1" si="48"/>
        <v>9.9584682463788869</v>
      </c>
      <c r="T78" s="46">
        <f t="shared" ca="1" si="48"/>
        <v>11.326742117997242</v>
      </c>
      <c r="U78" s="46">
        <f t="shared" ca="1" si="48"/>
        <v>12.683858783484039</v>
      </c>
      <c r="V78" s="46">
        <f t="shared" ca="1" si="48"/>
        <v>14.030468980953042</v>
      </c>
      <c r="W78" s="46">
        <f t="shared" ca="1" si="48"/>
        <v>15.1341832743753</v>
      </c>
      <c r="X78" s="46">
        <f t="shared" ca="1" si="48"/>
        <v>16.226244173876744</v>
      </c>
      <c r="Y78" s="46">
        <f t="shared" ca="1" si="48"/>
        <v>17.307177344864265</v>
      </c>
      <c r="Z78" s="46">
        <f t="shared" ca="1" si="48"/>
        <v>18.385884678775394</v>
      </c>
      <c r="AA78" s="46">
        <f t="shared" ca="1" si="48"/>
        <v>19.494300861565101</v>
      </c>
      <c r="AB78" s="46">
        <f t="shared" ca="1" si="48"/>
        <v>20.593428069774198</v>
      </c>
      <c r="AC78" s="46">
        <f t="shared" ca="1" si="48"/>
        <v>21.686192781834485</v>
      </c>
      <c r="AD78" s="46">
        <f t="shared" ca="1" si="48"/>
        <v>22.785772076580404</v>
      </c>
      <c r="AE78" s="46">
        <f t="shared" ca="1" si="48"/>
        <v>23.877351081974425</v>
      </c>
      <c r="AF78" s="46">
        <f t="shared" ca="1" si="48"/>
        <v>24.96126373101567</v>
      </c>
      <c r="AG78" s="46">
        <f t="shared" ca="1" si="48"/>
        <v>26.019892861657432</v>
      </c>
      <c r="AH78" s="46">
        <f t="shared" ca="1" si="48"/>
        <v>27.071829795709029</v>
      </c>
      <c r="AI78" s="46">
        <f t="shared" ca="1" si="48"/>
        <v>28.117364595187105</v>
      </c>
      <c r="AJ78" s="46">
        <f t="shared" ca="1" si="48"/>
        <v>29.156770392336579</v>
      </c>
      <c r="AK78" s="46">
        <f t="shared" ca="1" si="48"/>
        <v>30.19030463596053</v>
      </c>
      <c r="AL78" s="46">
        <f t="shared" ca="1" si="48"/>
        <v>31.218210227072337</v>
      </c>
      <c r="AM78" s="46">
        <f t="shared" ca="1" si="48"/>
        <v>32.240716555351511</v>
      </c>
      <c r="AN78" s="46">
        <f t="shared" ca="1" si="48"/>
        <v>33.258040446526863</v>
      </c>
      <c r="AO78" s="46">
        <f t="shared" ca="1" si="48"/>
        <v>34.270387029630839</v>
      </c>
      <c r="AP78" s="46">
        <f t="shared" ca="1" si="48"/>
        <v>35.277950532044621</v>
      </c>
      <c r="AQ78" s="46">
        <f t="shared" ca="1" si="48"/>
        <v>36.346787399311623</v>
      </c>
      <c r="AR78" s="46">
        <f t="shared" ca="1" si="48"/>
        <v>37.403916507674353</v>
      </c>
      <c r="AS78" s="46">
        <f t="shared" ca="1" si="48"/>
        <v>38.455656721595133</v>
      </c>
      <c r="AT78" s="46">
        <f t="shared" ca="1" si="48"/>
        <v>39.502235283038814</v>
      </c>
      <c r="AU78" s="46">
        <f t="shared" ca="1" si="48"/>
        <v>40.543866685401127</v>
      </c>
      <c r="AV78" s="46">
        <f t="shared" ca="1" si="48"/>
        <v>41.58075357845339</v>
      </c>
      <c r="AW78" s="46">
        <f t="shared" ca="1" si="48"/>
        <v>42.613087595729098</v>
      </c>
      <c r="AX78" s="46">
        <f t="shared" ca="1" si="48"/>
        <v>43.641050112114826</v>
      </c>
      <c r="AY78" s="46">
        <f t="shared" ca="1" si="48"/>
        <v>44.664812938522772</v>
      </c>
      <c r="AZ78" s="46">
        <f t="shared" ca="1" si="48"/>
        <v>45.604084498644085</v>
      </c>
      <c r="BA78" s="46">
        <f t="shared" ca="1" si="48"/>
        <v>46.641434698360435</v>
      </c>
      <c r="BB78" s="46">
        <f t="shared" ca="1" si="48"/>
        <v>47.669733196589959</v>
      </c>
      <c r="BC78" s="46">
        <f t="shared" ca="1" si="48"/>
        <v>48.689336593374748</v>
      </c>
      <c r="BD78" s="46">
        <f t="shared" ca="1" si="48"/>
        <v>49.700581707097328</v>
      </c>
      <c r="BE78" s="46">
        <f t="shared" ca="1" si="48"/>
        <v>50.70378698366757</v>
      </c>
      <c r="BF78" s="46">
        <f t="shared" ca="1" si="48"/>
        <v>51.699253783678472</v>
      </c>
      <c r="BG78" s="46">
        <f t="shared" ca="1" si="48"/>
        <v>52.687267559924983</v>
      </c>
      <c r="BH78" s="46">
        <f t="shared" ca="1" si="48"/>
        <v>53.668098936240327</v>
      </c>
      <c r="BI78" s="46">
        <f t="shared" ca="1" si="48"/>
        <v>54.64200469735065</v>
      </c>
      <c r="BJ78" s="46">
        <f t="shared" ca="1" si="48"/>
        <v>55.609228698361839</v>
      </c>
      <c r="BK78" s="46">
        <f t="shared" ca="1" si="48"/>
        <v>56.599466007504901</v>
      </c>
      <c r="BL78" s="46">
        <f t="shared" ca="1" si="48"/>
        <v>57.578813183222216</v>
      </c>
      <c r="BM78" s="46">
        <f t="shared" ca="1" si="48"/>
        <v>58.547675038228363</v>
      </c>
      <c r="BN78" s="46">
        <f t="shared" ca="1" si="48"/>
        <v>59.549375081538805</v>
      </c>
      <c r="BO78" s="46">
        <f t="shared" ca="1" si="48"/>
        <v>60.553117941465771</v>
      </c>
      <c r="BP78" s="46">
        <f t="shared" ca="1" si="48"/>
        <v>61.547713563496934</v>
      </c>
      <c r="BQ78" s="46">
        <f t="shared" ca="1" si="48"/>
        <v>62.533486602132569</v>
      </c>
      <c r="BR78" s="46">
        <f t="shared" ca="1" si="48"/>
        <v>63.510745199107738</v>
      </c>
      <c r="BS78" s="46">
        <f t="shared" ca="1" si="48"/>
        <v>64.479782066126958</v>
      </c>
      <c r="BT78" s="46">
        <f t="shared" ca="1" si="48"/>
        <v>65.44087548099148</v>
      </c>
      <c r="BU78" s="46">
        <f t="shared" ca="1" si="48"/>
        <v>66.562076895969611</v>
      </c>
      <c r="BV78" s="46">
        <f t="shared" ca="1" si="48"/>
        <v>67.672969292447533</v>
      </c>
      <c r="BW78" s="46">
        <f t="shared" ca="1" si="48"/>
        <v>68.77393098877441</v>
      </c>
      <c r="BX78" s="46">
        <f t="shared" ref="BX78:CN78" ca="1" si="49">SUM(BX54:BX59)</f>
        <v>69.865319538808734</v>
      </c>
      <c r="BY78" s="46">
        <f t="shared" ca="1" si="49"/>
        <v>70.947473190143455</v>
      </c>
      <c r="BZ78" s="46">
        <f t="shared" ca="1" si="49"/>
        <v>72.020712217681776</v>
      </c>
      <c r="CA78" s="46">
        <f t="shared" ca="1" si="49"/>
        <v>73.085340145070603</v>
      </c>
      <c r="CB78" s="46">
        <f t="shared" ca="1" si="49"/>
        <v>74.14164486505814</v>
      </c>
      <c r="CC78" s="46">
        <f t="shared" ca="1" si="49"/>
        <v>75.189899668598855</v>
      </c>
      <c r="CD78" s="46">
        <f t="shared" ca="1" si="49"/>
        <v>76.230364191431107</v>
      </c>
      <c r="CE78" s="46">
        <f t="shared" ca="1" si="49"/>
        <v>77.429061367370153</v>
      </c>
      <c r="CF78" s="46">
        <f t="shared" ca="1" si="49"/>
        <v>78.61754211390506</v>
      </c>
      <c r="CG78" s="46">
        <f t="shared" ca="1" si="49"/>
        <v>79.796160237144406</v>
      </c>
      <c r="CH78" s="46">
        <f t="shared" ca="1" si="49"/>
        <v>80.965250044253636</v>
      </c>
      <c r="CI78" s="46">
        <f t="shared" ca="1" si="49"/>
        <v>82.125127703330634</v>
      </c>
      <c r="CJ78" s="46">
        <f t="shared" ca="1" si="49"/>
        <v>83.276092487819767</v>
      </c>
      <c r="CK78" s="46">
        <f t="shared" ca="1" si="49"/>
        <v>84.418427916960695</v>
      </c>
      <c r="CL78" s="46">
        <f t="shared" ca="1" si="49"/>
        <v>85.552402802456442</v>
      </c>
      <c r="CM78" s="46">
        <f t="shared" ca="1" si="49"/>
        <v>86.67827221040578</v>
      </c>
      <c r="CN78" s="46">
        <f t="shared" ca="1" si="49"/>
        <v>87.796278346548277</v>
      </c>
      <c r="CO78" s="1"/>
      <c r="CP78" s="1"/>
      <c r="CQ78" s="1"/>
      <c r="CR78" s="1"/>
      <c r="CS78" s="1"/>
      <c r="CT78" s="1"/>
      <c r="CU78" s="1"/>
    </row>
    <row r="79" spans="1:99" s="46" customFormat="1" x14ac:dyDescent="0.15">
      <c r="A79" s="1" t="s">
        <v>81</v>
      </c>
      <c r="B79" s="1"/>
      <c r="C79" s="46">
        <f t="shared" ref="C79:K79" ca="1" si="50">C78-C77</f>
        <v>13.240526391540561</v>
      </c>
      <c r="D79" s="46">
        <f t="shared" ca="1" si="50"/>
        <v>11.742130707081589</v>
      </c>
      <c r="E79" s="46">
        <f t="shared" ca="1" si="50"/>
        <v>10.252261843752768</v>
      </c>
      <c r="F79" s="46">
        <f t="shared" ca="1" si="50"/>
        <v>8.770063408716112</v>
      </c>
      <c r="G79" s="46">
        <f t="shared" ca="1" si="50"/>
        <v>7.2947685878151844</v>
      </c>
      <c r="H79" s="46">
        <f t="shared" ca="1" si="50"/>
        <v>5.8256889645802206</v>
      </c>
      <c r="I79" s="46">
        <f t="shared" ca="1" si="50"/>
        <v>4.3622049765704007</v>
      </c>
      <c r="J79" s="46">
        <f t="shared" ca="1" si="50"/>
        <v>2.9037577342082663</v>
      </c>
      <c r="K79" s="46">
        <f t="shared" ca="1" si="50"/>
        <v>1.4498419791165655</v>
      </c>
      <c r="L79" s="46" t="e">
        <f t="shared" ref="L79:BW79" ca="1" si="51">L78-L77</f>
        <v>#DIV/0!</v>
      </c>
      <c r="M79" s="46">
        <f t="shared" ca="1" si="51"/>
        <v>0.79528412038191232</v>
      </c>
      <c r="N79" s="46">
        <f t="shared" ca="1" si="51"/>
        <v>1.6170058585873395</v>
      </c>
      <c r="O79" s="46">
        <f t="shared" ca="1" si="51"/>
        <v>2.4661116963946528</v>
      </c>
      <c r="P79" s="46">
        <f t="shared" ca="1" si="51"/>
        <v>3.3436116404721852</v>
      </c>
      <c r="Q79" s="46">
        <f t="shared" ca="1" si="51"/>
        <v>4.250584764782424</v>
      </c>
      <c r="R79" s="46">
        <f t="shared" ca="1" si="51"/>
        <v>5.1881853926341801</v>
      </c>
      <c r="S79" s="46">
        <f t="shared" ca="1" si="51"/>
        <v>6.1576500081567387</v>
      </c>
      <c r="T79" s="46">
        <f t="shared" ca="1" si="51"/>
        <v>7.1603050021439856</v>
      </c>
      <c r="U79" s="46">
        <f t="shared" ca="1" si="51"/>
        <v>8.1975753753917324</v>
      </c>
      <c r="V79" s="46">
        <f t="shared" ca="1" si="51"/>
        <v>9.2709945445109696</v>
      </c>
      <c r="W79" s="46">
        <f t="shared" ca="1" si="51"/>
        <v>9.9232517294719749</v>
      </c>
      <c r="X79" s="46">
        <f t="shared" ca="1" si="51"/>
        <v>10.587799891045481</v>
      </c>
      <c r="Y79" s="46">
        <f t="shared" ca="1" si="51"/>
        <v>11.264901447440934</v>
      </c>
      <c r="Z79" s="46">
        <f t="shared" ca="1" si="51"/>
        <v>11.963240619327095</v>
      </c>
      <c r="AA79" s="46">
        <f t="shared" ca="1" si="51"/>
        <v>12.714577678932347</v>
      </c>
      <c r="AB79" s="46">
        <f t="shared" ca="1" si="51"/>
        <v>13.479781663683553</v>
      </c>
      <c r="AC79" s="46">
        <f t="shared" ca="1" si="51"/>
        <v>14.261685510558609</v>
      </c>
      <c r="AD79" s="46">
        <f t="shared" ca="1" si="51"/>
        <v>15.073410956747136</v>
      </c>
      <c r="AE79" s="46">
        <f t="shared" ca="1" si="51"/>
        <v>15.900124847679981</v>
      </c>
      <c r="AF79" s="46">
        <f t="shared" ca="1" si="51"/>
        <v>16.742178991330597</v>
      </c>
      <c r="AG79" s="46">
        <f t="shared" ca="1" si="51"/>
        <v>17.329174661014953</v>
      </c>
      <c r="AH79" s="46">
        <f t="shared" ca="1" si="51"/>
        <v>17.925375739457046</v>
      </c>
      <c r="AI79" s="46">
        <f t="shared" ca="1" si="51"/>
        <v>18.530932760390897</v>
      </c>
      <c r="AJ79" s="46">
        <f t="shared" ca="1" si="51"/>
        <v>19.146001440276891</v>
      </c>
      <c r="AK79" s="46">
        <f t="shared" ca="1" si="51"/>
        <v>19.77074289467885</v>
      </c>
      <c r="AL79" s="46">
        <f t="shared" ca="1" si="51"/>
        <v>20.405323867053145</v>
      </c>
      <c r="AM79" s="46">
        <f t="shared" ca="1" si="51"/>
        <v>21.049916970774632</v>
      </c>
      <c r="AN79" s="46">
        <f t="shared" ca="1" si="51"/>
        <v>21.704700945292345</v>
      </c>
      <c r="AO79" s="46">
        <f t="shared" ca="1" si="51"/>
        <v>22.369860927379921</v>
      </c>
      <c r="AP79" s="46">
        <f t="shared" ca="1" si="51"/>
        <v>23.045588738526554</v>
      </c>
      <c r="AQ79" s="46">
        <f t="shared" ca="1" si="51"/>
        <v>23.548428718963429</v>
      </c>
      <c r="AR79" s="46">
        <f t="shared" ca="1" si="51"/>
        <v>24.058353917526162</v>
      </c>
      <c r="AS79" s="46">
        <f t="shared" ca="1" si="51"/>
        <v>24.575464667595202</v>
      </c>
      <c r="AT79" s="46">
        <f t="shared" ca="1" si="51"/>
        <v>25.099864034608061</v>
      </c>
      <c r="AU79" s="46">
        <f t="shared" ca="1" si="51"/>
        <v>25.631657908587144</v>
      </c>
      <c r="AV79" s="46">
        <f t="shared" ca="1" si="51"/>
        <v>26.170955101018421</v>
      </c>
      <c r="AW79" s="46">
        <f t="shared" ca="1" si="51"/>
        <v>26.717867446312344</v>
      </c>
      <c r="AX79" s="46">
        <f t="shared" ca="1" si="51"/>
        <v>27.272509908092594</v>
      </c>
      <c r="AY79" s="46">
        <f t="shared" ca="1" si="51"/>
        <v>27.835000690575875</v>
      </c>
      <c r="AZ79" s="46">
        <f t="shared" ca="1" si="51"/>
        <v>28.372150587002668</v>
      </c>
      <c r="BA79" s="46">
        <f t="shared" ca="1" si="51"/>
        <v>28.951324351946617</v>
      </c>
      <c r="BB79" s="46">
        <f t="shared" ca="1" si="51"/>
        <v>29.538144103560626</v>
      </c>
      <c r="BC79" s="46">
        <f t="shared" ca="1" si="51"/>
        <v>30.132731692339412</v>
      </c>
      <c r="BD79" s="46">
        <f t="shared" ca="1" si="51"/>
        <v>30.735212561807298</v>
      </c>
      <c r="BE79" s="46">
        <f t="shared" ca="1" si="51"/>
        <v>31.345715887086367</v>
      </c>
      <c r="BF79" s="46">
        <f t="shared" ca="1" si="51"/>
        <v>31.964374720454174</v>
      </c>
      <c r="BG79" s="46">
        <f t="shared" ca="1" si="51"/>
        <v>32.5913261443133</v>
      </c>
      <c r="BH79" s="46">
        <f t="shared" ca="1" si="51"/>
        <v>33.22671143202556</v>
      </c>
      <c r="BI79" s="46">
        <f t="shared" ca="1" si="51"/>
        <v>33.870676217094882</v>
      </c>
      <c r="BJ79" s="46">
        <f t="shared" ca="1" si="51"/>
        <v>34.523370671221535</v>
      </c>
      <c r="BK79" s="46">
        <f t="shared" ca="1" si="51"/>
        <v>35.120102027169551</v>
      </c>
      <c r="BL79" s="46">
        <f t="shared" ca="1" si="51"/>
        <v>35.724272686015915</v>
      </c>
      <c r="BM79" s="46">
        <f t="shared" ca="1" si="51"/>
        <v>36.336008098849646</v>
      </c>
      <c r="BN79" s="46">
        <f t="shared" ca="1" si="51"/>
        <v>36.998378025477642</v>
      </c>
      <c r="BO79" s="46">
        <f t="shared" ca="1" si="51"/>
        <v>37.680357571156094</v>
      </c>
      <c r="BP79" s="46">
        <f t="shared" ca="1" si="51"/>
        <v>38.370550136464459</v>
      </c>
      <c r="BQ79" s="46">
        <f t="shared" ca="1" si="51"/>
        <v>39.069095686753428</v>
      </c>
      <c r="BR79" s="46">
        <f t="shared" ca="1" si="51"/>
        <v>39.776138522488182</v>
      </c>
      <c r="BS79" s="46">
        <f t="shared" ca="1" si="51"/>
        <v>40.491827458856463</v>
      </c>
      <c r="BT79" s="46">
        <f t="shared" ca="1" si="51"/>
        <v>41.216316014947381</v>
      </c>
      <c r="BU79" s="46">
        <f t="shared" ca="1" si="51"/>
        <v>41.856947765966133</v>
      </c>
      <c r="BV79" s="46">
        <f t="shared" ca="1" si="51"/>
        <v>42.50599818025816</v>
      </c>
      <c r="BW79" s="46">
        <f t="shared" ca="1" si="51"/>
        <v>43.163623276321658</v>
      </c>
      <c r="BX79" s="46">
        <f t="shared" ref="BX79:CN79" ca="1" si="52">BX78-BX77</f>
        <v>43.829983938294149</v>
      </c>
      <c r="BY79" s="46">
        <f t="shared" ca="1" si="52"/>
        <v>44.505246120835338</v>
      </c>
      <c r="BZ79" s="46">
        <f t="shared" ca="1" si="52"/>
        <v>45.189581065053673</v>
      </c>
      <c r="CA79" s="46">
        <f t="shared" ca="1" si="52"/>
        <v>45.883165526200386</v>
      </c>
      <c r="CB79" s="46">
        <f t="shared" ca="1" si="52"/>
        <v>46.586182013906864</v>
      </c>
      <c r="CC79" s="46">
        <f t="shared" ca="1" si="52"/>
        <v>47.298819045807285</v>
      </c>
      <c r="CD79" s="46">
        <f t="shared" ca="1" si="52"/>
        <v>48.021271415450471</v>
      </c>
      <c r="CE79" s="46">
        <f t="shared" ca="1" si="52"/>
        <v>48.670230896332768</v>
      </c>
      <c r="CF79" s="46">
        <f t="shared" ca="1" si="52"/>
        <v>49.327625476233408</v>
      </c>
      <c r="CG79" s="46">
        <f t="shared" ca="1" si="52"/>
        <v>49.993616084625017</v>
      </c>
      <c r="CH79" s="46">
        <f t="shared" ca="1" si="52"/>
        <v>50.668368506661125</v>
      </c>
      <c r="CI79" s="46">
        <f t="shared" ca="1" si="52"/>
        <v>51.352053585455067</v>
      </c>
      <c r="CJ79" s="46">
        <f t="shared" ca="1" si="52"/>
        <v>52.044847435024103</v>
      </c>
      <c r="CK79" s="46">
        <f t="shared" ca="1" si="52"/>
        <v>52.746931664586221</v>
      </c>
      <c r="CL79" s="46">
        <f t="shared" ca="1" si="52"/>
        <v>53.45849361494794</v>
      </c>
      <c r="CM79" s="46">
        <f t="shared" ca="1" si="52"/>
        <v>54.179726607778512</v>
      </c>
      <c r="CN79" s="46">
        <f t="shared" ca="1" si="52"/>
        <v>54.910830208629179</v>
      </c>
      <c r="CO79" s="1"/>
      <c r="CP79" s="1"/>
      <c r="CQ79" s="1"/>
      <c r="CR79" s="1"/>
      <c r="CS79" s="1"/>
      <c r="CT79" s="1"/>
      <c r="CU79" s="1"/>
    </row>
    <row r="80" spans="1:99" s="46" customFormat="1" x14ac:dyDescent="0.15">
      <c r="A80" s="1" t="s">
        <v>80</v>
      </c>
      <c r="B80" s="1"/>
      <c r="C80" s="46">
        <f t="shared" ref="C80:K80" ca="1" si="53">SUM(C70:C75)</f>
        <v>-5.1352714091239413</v>
      </c>
      <c r="D80" s="46">
        <f t="shared" ca="1" si="53"/>
        <v>-4.3849357531860971</v>
      </c>
      <c r="E80" s="46">
        <f t="shared" ca="1" si="53"/>
        <v>-3.6777929412032284</v>
      </c>
      <c r="F80" s="46">
        <f t="shared" ca="1" si="53"/>
        <v>-3.0142975856329421</v>
      </c>
      <c r="G80" s="46">
        <f t="shared" ca="1" si="53"/>
        <v>-2.3950987959248615</v>
      </c>
      <c r="H80" s="46">
        <f t="shared" ca="1" si="53"/>
        <v>-1.8210390860721717</v>
      </c>
      <c r="I80" s="46">
        <f t="shared" ca="1" si="53"/>
        <v>-1.2931562814980975</v>
      </c>
      <c r="J80" s="46">
        <f t="shared" ca="1" si="53"/>
        <v>-0.81268836695336155</v>
      </c>
      <c r="K80" s="46">
        <f t="shared" ca="1" si="53"/>
        <v>-0.38108131150858726</v>
      </c>
      <c r="L80" s="46" t="e">
        <f t="shared" ref="L80:BW80" ca="1" si="54">SUM(L70:L75)</f>
        <v>#DIV/0!</v>
      </c>
      <c r="M80" s="46">
        <f t="shared" ca="1" si="54"/>
        <v>0.67490705776030546</v>
      </c>
      <c r="N80" s="46">
        <f t="shared" ca="1" si="54"/>
        <v>1.3056813540324517</v>
      </c>
      <c r="O80" s="46">
        <f t="shared" ca="1" si="54"/>
        <v>1.8925859065657142</v>
      </c>
      <c r="P80" s="46">
        <f t="shared" ca="1" si="54"/>
        <v>2.4357100094167787</v>
      </c>
      <c r="Q80" s="46">
        <f t="shared" ca="1" si="54"/>
        <v>2.9349762743741019</v>
      </c>
      <c r="R80" s="46">
        <f t="shared" ca="1" si="54"/>
        <v>3.3901453124462164</v>
      </c>
      <c r="S80" s="46">
        <f t="shared" ca="1" si="54"/>
        <v>3.8008182382221483</v>
      </c>
      <c r="T80" s="46">
        <f t="shared" ca="1" si="54"/>
        <v>4.166437115853256</v>
      </c>
      <c r="U80" s="46">
        <f t="shared" ca="1" si="54"/>
        <v>4.4862834080923077</v>
      </c>
      <c r="V80" s="46">
        <f t="shared" ca="1" si="54"/>
        <v>4.7594744364420727</v>
      </c>
      <c r="W80" s="46">
        <f t="shared" ca="1" si="54"/>
        <v>5.2109315449033238</v>
      </c>
      <c r="X80" s="46">
        <f t="shared" ca="1" si="54"/>
        <v>5.6384442828312622</v>
      </c>
      <c r="Y80" s="46">
        <f t="shared" ca="1" si="54"/>
        <v>6.0422758974233322</v>
      </c>
      <c r="Z80" s="46">
        <f t="shared" ca="1" si="54"/>
        <v>6.4226440594482979</v>
      </c>
      <c r="AA80" s="46">
        <f t="shared" ca="1" si="54"/>
        <v>6.7797231826327531</v>
      </c>
      <c r="AB80" s="46">
        <f t="shared" ca="1" si="54"/>
        <v>7.1136464060906448</v>
      </c>
      <c r="AC80" s="46">
        <f t="shared" ca="1" si="54"/>
        <v>7.4245072712758748</v>
      </c>
      <c r="AD80" s="46">
        <f t="shared" ca="1" si="54"/>
        <v>7.7123611198332664</v>
      </c>
      <c r="AE80" s="46">
        <f t="shared" ca="1" si="54"/>
        <v>7.9772262342944433</v>
      </c>
      <c r="AF80" s="46">
        <f t="shared" ca="1" si="54"/>
        <v>8.2190847396850728</v>
      </c>
      <c r="AG80" s="46">
        <f t="shared" ca="1" si="54"/>
        <v>8.690718200642479</v>
      </c>
      <c r="AH80" s="46">
        <f t="shared" ca="1" si="54"/>
        <v>9.1464540562519847</v>
      </c>
      <c r="AI80" s="46">
        <f t="shared" ca="1" si="54"/>
        <v>9.5864318347962083</v>
      </c>
      <c r="AJ80" s="46">
        <f t="shared" ca="1" si="54"/>
        <v>10.010768952059689</v>
      </c>
      <c r="AK80" s="46">
        <f t="shared" ca="1" si="54"/>
        <v>10.419561741281679</v>
      </c>
      <c r="AL80" s="46">
        <f t="shared" ca="1" si="54"/>
        <v>10.812886360019192</v>
      </c>
      <c r="AM80" s="46">
        <f t="shared" ca="1" si="54"/>
        <v>11.190799584576881</v>
      </c>
      <c r="AN80" s="46">
        <f t="shared" ca="1" si="54"/>
        <v>11.553339501234516</v>
      </c>
      <c r="AO80" s="46">
        <f t="shared" ca="1" si="54"/>
        <v>11.900526102250918</v>
      </c>
      <c r="AP80" s="46">
        <f t="shared" ca="1" si="54"/>
        <v>12.232361793518066</v>
      </c>
      <c r="AQ80" s="46">
        <f t="shared" ca="1" si="54"/>
        <v>12.798358680348194</v>
      </c>
      <c r="AR80" s="46">
        <f t="shared" ca="1" si="54"/>
        <v>13.345562590148189</v>
      </c>
      <c r="AS80" s="46">
        <f t="shared" ca="1" si="54"/>
        <v>13.880192053999934</v>
      </c>
      <c r="AT80" s="46">
        <f t="shared" ca="1" si="54"/>
        <v>14.402371248430757</v>
      </c>
      <c r="AU80" s="46">
        <f t="shared" ca="1" si="54"/>
        <v>14.912208776813982</v>
      </c>
      <c r="AV80" s="46">
        <f t="shared" ca="1" si="54"/>
        <v>15.409798477434968</v>
      </c>
      <c r="AW80" s="46">
        <f t="shared" ca="1" si="54"/>
        <v>15.895220149416758</v>
      </c>
      <c r="AX80" s="46">
        <f t="shared" ca="1" si="54"/>
        <v>16.368540204022231</v>
      </c>
      <c r="AY80" s="46">
        <f t="shared" ca="1" si="54"/>
        <v>16.829812247946897</v>
      </c>
      <c r="AZ80" s="46">
        <f t="shared" ca="1" si="54"/>
        <v>17.231933911641416</v>
      </c>
      <c r="BA80" s="46">
        <f t="shared" ca="1" si="54"/>
        <v>17.690110346413814</v>
      </c>
      <c r="BB80" s="46">
        <f t="shared" ca="1" si="54"/>
        <v>18.131589093029334</v>
      </c>
      <c r="BC80" s="46">
        <f t="shared" ca="1" si="54"/>
        <v>18.556604901035335</v>
      </c>
      <c r="BD80" s="46">
        <f t="shared" ca="1" si="54"/>
        <v>18.96536914529003</v>
      </c>
      <c r="BE80" s="46">
        <f t="shared" ca="1" si="54"/>
        <v>19.358071096581202</v>
      </c>
      <c r="BF80" s="46">
        <f t="shared" ca="1" si="54"/>
        <v>19.734879063224302</v>
      </c>
      <c r="BG80" s="46">
        <f t="shared" ca="1" si="54"/>
        <v>20.095941415611684</v>
      </c>
      <c r="BH80" s="46">
        <f t="shared" ca="1" si="54"/>
        <v>20.441387504214767</v>
      </c>
      <c r="BI80" s="46">
        <f t="shared" ca="1" si="54"/>
        <v>20.771328480255768</v>
      </c>
      <c r="BJ80" s="46">
        <f t="shared" ca="1" si="54"/>
        <v>21.085858027140304</v>
      </c>
      <c r="BK80" s="46">
        <f t="shared" ca="1" si="54"/>
        <v>21.47936398033535</v>
      </c>
      <c r="BL80" s="46">
        <f t="shared" ca="1" si="54"/>
        <v>21.854540497206301</v>
      </c>
      <c r="BM80" s="46">
        <f t="shared" ca="1" si="54"/>
        <v>22.211666939378713</v>
      </c>
      <c r="BN80" s="46">
        <f t="shared" ca="1" si="54"/>
        <v>22.55099705606116</v>
      </c>
      <c r="BO80" s="46">
        <f t="shared" ca="1" si="54"/>
        <v>22.872760370309678</v>
      </c>
      <c r="BP80" s="46">
        <f t="shared" ca="1" si="54"/>
        <v>23.177163427032475</v>
      </c>
      <c r="BQ80" s="46">
        <f t="shared" ca="1" si="54"/>
        <v>23.464390915379141</v>
      </c>
      <c r="BR80" s="46">
        <f t="shared" ca="1" si="54"/>
        <v>23.734606676619556</v>
      </c>
      <c r="BS80" s="46">
        <f t="shared" ca="1" si="54"/>
        <v>23.987954607270492</v>
      </c>
      <c r="BT80" s="46">
        <f t="shared" ca="1" si="54"/>
        <v>24.224559466044095</v>
      </c>
      <c r="BU80" s="46">
        <f t="shared" ca="1" si="54"/>
        <v>24.705129130003478</v>
      </c>
      <c r="BV80" s="46">
        <f t="shared" ca="1" si="54"/>
        <v>25.166971112189376</v>
      </c>
      <c r="BW80" s="46">
        <f t="shared" ca="1" si="54"/>
        <v>25.610307712452755</v>
      </c>
      <c r="BX80" s="46">
        <f t="shared" ref="BX80:CN80" ca="1" si="55">SUM(BX70:BX75)</f>
        <v>26.035335600514586</v>
      </c>
      <c r="BY80" s="46">
        <f t="shared" ca="1" si="55"/>
        <v>26.44222706930811</v>
      </c>
      <c r="BZ80" s="46">
        <f t="shared" ca="1" si="55"/>
        <v>26.831131152628103</v>
      </c>
      <c r="CA80" s="46">
        <f t="shared" ca="1" si="55"/>
        <v>27.202174618870213</v>
      </c>
      <c r="CB80" s="46">
        <f t="shared" ca="1" si="55"/>
        <v>27.555462851151276</v>
      </c>
      <c r="CC80" s="46">
        <f t="shared" ca="1" si="55"/>
        <v>27.89108062279157</v>
      </c>
      <c r="CD80" s="46">
        <f t="shared" ca="1" si="55"/>
        <v>28.209092775980643</v>
      </c>
      <c r="CE80" s="46">
        <f t="shared" ca="1" si="55"/>
        <v>28.758830471037385</v>
      </c>
      <c r="CF80" s="46">
        <f t="shared" ca="1" si="55"/>
        <v>29.289916637671649</v>
      </c>
      <c r="CG80" s="46">
        <f t="shared" ca="1" si="55"/>
        <v>29.802544152519392</v>
      </c>
      <c r="CH80" s="46">
        <f t="shared" ca="1" si="55"/>
        <v>30.296881537592508</v>
      </c>
      <c r="CI80" s="46">
        <f t="shared" ca="1" si="55"/>
        <v>30.77307411787557</v>
      </c>
      <c r="CJ80" s="46">
        <f t="shared" ca="1" si="55"/>
        <v>31.231245052795668</v>
      </c>
      <c r="CK80" s="46">
        <f t="shared" ca="1" si="55"/>
        <v>31.671496252374475</v>
      </c>
      <c r="CL80" s="46">
        <f t="shared" ca="1" si="55"/>
        <v>32.093909187508494</v>
      </c>
      <c r="CM80" s="46">
        <f t="shared" ca="1" si="55"/>
        <v>32.49854560262726</v>
      </c>
      <c r="CN80" s="46">
        <f t="shared" ca="1" si="55"/>
        <v>32.885448137919099</v>
      </c>
      <c r="CO80" s="1"/>
      <c r="CP80" s="1"/>
      <c r="CQ80" s="1"/>
      <c r="CR80" s="1"/>
      <c r="CS80" s="1"/>
      <c r="CT80" s="1"/>
      <c r="CU80" s="1"/>
    </row>
    <row r="81" spans="1:99" s="46" customFormat="1" x14ac:dyDescent="0.15">
      <c r="A81" s="37"/>
      <c r="B81" s="37"/>
      <c r="CO81" s="1"/>
      <c r="CP81" s="1"/>
      <c r="CQ81" s="1"/>
      <c r="CR81" s="1"/>
      <c r="CS81" s="1"/>
      <c r="CT81" s="1"/>
      <c r="CU81" s="1"/>
    </row>
    <row r="82" spans="1:99" s="46" customFormat="1" x14ac:dyDescent="0.15">
      <c r="A82" s="37"/>
      <c r="B82" s="37"/>
      <c r="CO82" s="1"/>
      <c r="CP82" s="1"/>
      <c r="CQ82" s="1"/>
      <c r="CR82" s="1"/>
      <c r="CS82" s="1"/>
      <c r="CT82" s="1"/>
      <c r="CU82" s="1"/>
    </row>
    <row r="83" spans="1:99" s="46" customFormat="1" x14ac:dyDescent="0.15">
      <c r="A83" s="37"/>
      <c r="B83" s="37"/>
      <c r="CO83" s="1"/>
      <c r="CP83" s="1"/>
      <c r="CQ83" s="1"/>
      <c r="CR83" s="1"/>
      <c r="CS83" s="1"/>
      <c r="CT83" s="1"/>
      <c r="CU83" s="1"/>
    </row>
    <row r="84" spans="1:99" s="46" customFormat="1" x14ac:dyDescent="0.1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H84" s="1"/>
      <c r="AI84" s="1"/>
      <c r="AJ84" s="1"/>
      <c r="AK84" s="1"/>
      <c r="AL84" s="1"/>
      <c r="AM84" s="1"/>
      <c r="AN84" s="1"/>
      <c r="AO84" s="1"/>
      <c r="AP84" s="1"/>
      <c r="AR84" s="1"/>
      <c r="AS84" s="1"/>
      <c r="AT84" s="1"/>
      <c r="AU84" s="1"/>
      <c r="AV84" s="1"/>
      <c r="AW84" s="1"/>
      <c r="AX84" s="1"/>
      <c r="AY84" s="1"/>
      <c r="AZ84" s="1"/>
      <c r="BB84" s="1"/>
      <c r="BC84" s="1"/>
      <c r="BD84" s="1"/>
      <c r="BE84" s="1"/>
      <c r="BF84" s="1"/>
      <c r="BG84" s="1"/>
      <c r="BH84" s="1"/>
      <c r="BI84" s="1"/>
      <c r="BJ84" s="1"/>
      <c r="BL84" s="1"/>
      <c r="BM84" s="1"/>
      <c r="BN84" s="1"/>
      <c r="BO84" s="1"/>
      <c r="BP84" s="1"/>
      <c r="BQ84" s="1"/>
      <c r="BR84" s="1"/>
      <c r="BS84" s="1"/>
      <c r="BT84" s="1"/>
      <c r="BV84" s="1"/>
      <c r="BW84" s="1"/>
      <c r="BX84" s="1"/>
      <c r="BY84" s="1"/>
      <c r="BZ84" s="1"/>
      <c r="CA84" s="1"/>
      <c r="CB84" s="1"/>
      <c r="CC84" s="1"/>
      <c r="CD84" s="1"/>
      <c r="CM84" s="1"/>
      <c r="CN84" s="1"/>
      <c r="CO84" s="1"/>
      <c r="CP84" s="1"/>
      <c r="CQ84" s="1"/>
      <c r="CR84" s="1"/>
      <c r="CS84" s="1"/>
      <c r="CT84" s="1"/>
      <c r="CU84" s="1"/>
    </row>
    <row r="85" spans="1:99" x14ac:dyDescent="0.15">
      <c r="C85" s="46">
        <f t="shared" ref="C85:M85" ca="1" si="56">SUM(C46:C51)</f>
        <v>-5.1352714091239413</v>
      </c>
      <c r="D85" s="46">
        <f t="shared" ca="1" si="56"/>
        <v>-4.3849357531860962</v>
      </c>
      <c r="E85" s="46">
        <f t="shared" ca="1" si="56"/>
        <v>-3.6777929412032284</v>
      </c>
      <c r="F85" s="46">
        <f t="shared" ca="1" si="56"/>
        <v>-3.0142975856329421</v>
      </c>
      <c r="G85" s="46">
        <f t="shared" ca="1" si="56"/>
        <v>-2.395098795924862</v>
      </c>
      <c r="H85" s="46">
        <f t="shared" ca="1" si="56"/>
        <v>-1.8210390860721712</v>
      </c>
      <c r="I85" s="46">
        <f t="shared" ca="1" si="56"/>
        <v>-1.2931562814980979</v>
      </c>
      <c r="J85" s="46">
        <f t="shared" ca="1" si="56"/>
        <v>-0.81268836695336122</v>
      </c>
      <c r="K85" s="46">
        <f t="shared" ca="1" si="56"/>
        <v>-0.38108131150858743</v>
      </c>
      <c r="L85" s="46" t="e">
        <f t="shared" ca="1" si="56"/>
        <v>#DIV/0!</v>
      </c>
      <c r="M85" s="46">
        <f t="shared" ca="1" si="56"/>
        <v>0.67490705776030557</v>
      </c>
      <c r="N85" s="46">
        <f t="shared" ref="N85:BY85" ca="1" si="57">SUM(N46:N51)</f>
        <v>1.3056813540324519</v>
      </c>
      <c r="O85" s="46">
        <f t="shared" ca="1" si="57"/>
        <v>1.8925859065657147</v>
      </c>
      <c r="P85" s="46">
        <f t="shared" ca="1" si="57"/>
        <v>2.4357100094167792</v>
      </c>
      <c r="Q85" s="46">
        <f t="shared" ca="1" si="57"/>
        <v>2.9349762743741024</v>
      </c>
      <c r="R85" s="46">
        <f t="shared" ca="1" si="57"/>
        <v>3.3901453124462173</v>
      </c>
      <c r="S85" s="46">
        <f t="shared" ca="1" si="57"/>
        <v>3.8008182382221483</v>
      </c>
      <c r="T85" s="46">
        <f t="shared" ca="1" si="57"/>
        <v>4.166437115853256</v>
      </c>
      <c r="U85" s="46">
        <f t="shared" ca="1" si="57"/>
        <v>4.4862834080923077</v>
      </c>
      <c r="V85" s="46">
        <f t="shared" ca="1" si="57"/>
        <v>4.7594744364420727</v>
      </c>
      <c r="W85" s="46">
        <f t="shared" ca="1" si="57"/>
        <v>5.2109315449033256</v>
      </c>
      <c r="X85" s="46">
        <f t="shared" ca="1" si="57"/>
        <v>5.6384442828312613</v>
      </c>
      <c r="Y85" s="46">
        <f t="shared" ca="1" si="57"/>
        <v>6.0422758974233313</v>
      </c>
      <c r="Z85" s="46">
        <f t="shared" ca="1" si="57"/>
        <v>6.4226440594482996</v>
      </c>
      <c r="AA85" s="46">
        <f t="shared" ca="1" si="57"/>
        <v>6.779723182632754</v>
      </c>
      <c r="AB85" s="46">
        <f t="shared" ca="1" si="57"/>
        <v>7.1136464060906439</v>
      </c>
      <c r="AC85" s="46">
        <f t="shared" ca="1" si="57"/>
        <v>7.4245072712758766</v>
      </c>
      <c r="AD85" s="46">
        <f t="shared" ca="1" si="57"/>
        <v>7.7123611198332682</v>
      </c>
      <c r="AE85" s="46">
        <f t="shared" ca="1" si="57"/>
        <v>7.9772262342944433</v>
      </c>
      <c r="AF85" s="46">
        <f t="shared" ca="1" si="57"/>
        <v>8.2190847396850728</v>
      </c>
      <c r="AG85" s="46">
        <f t="shared" ca="1" si="57"/>
        <v>8.690718200642479</v>
      </c>
      <c r="AH85" s="46">
        <f t="shared" ca="1" si="57"/>
        <v>9.1464540562519847</v>
      </c>
      <c r="AI85" s="46">
        <f t="shared" ca="1" si="57"/>
        <v>9.5864318347962101</v>
      </c>
      <c r="AJ85" s="46">
        <f t="shared" ca="1" si="57"/>
        <v>10.010768952059687</v>
      </c>
      <c r="AK85" s="46">
        <f t="shared" ca="1" si="57"/>
        <v>10.419561741281679</v>
      </c>
      <c r="AL85" s="46">
        <f t="shared" ca="1" si="57"/>
        <v>10.812886360019192</v>
      </c>
      <c r="AM85" s="46">
        <f t="shared" ca="1" si="57"/>
        <v>11.190799584576881</v>
      </c>
      <c r="AN85" s="46">
        <f t="shared" ca="1" si="57"/>
        <v>11.553339501234518</v>
      </c>
      <c r="AO85" s="46">
        <f t="shared" ca="1" si="57"/>
        <v>11.900526102250918</v>
      </c>
      <c r="AP85" s="46">
        <f t="shared" ca="1" si="57"/>
        <v>12.232361793518065</v>
      </c>
      <c r="AQ85" s="46">
        <f t="shared" ca="1" si="57"/>
        <v>12.798358680348192</v>
      </c>
      <c r="AR85" s="46">
        <f t="shared" ca="1" si="57"/>
        <v>13.345562590148189</v>
      </c>
      <c r="AS85" s="46">
        <f t="shared" ca="1" si="57"/>
        <v>13.880192053999931</v>
      </c>
      <c r="AT85" s="46">
        <f t="shared" ca="1" si="57"/>
        <v>14.402371248430752</v>
      </c>
      <c r="AU85" s="46">
        <f t="shared" ca="1" si="57"/>
        <v>14.912208776813983</v>
      </c>
      <c r="AV85" s="46">
        <f t="shared" ca="1" si="57"/>
        <v>15.409798477434968</v>
      </c>
      <c r="AW85" s="46">
        <f t="shared" ca="1" si="57"/>
        <v>15.895220149416755</v>
      </c>
      <c r="AX85" s="46">
        <f t="shared" ca="1" si="57"/>
        <v>16.368540204022231</v>
      </c>
      <c r="AY85" s="46">
        <f t="shared" ca="1" si="57"/>
        <v>16.829812247946897</v>
      </c>
      <c r="AZ85" s="46">
        <f t="shared" ca="1" si="57"/>
        <v>17.231933911641416</v>
      </c>
      <c r="BA85" s="46">
        <f t="shared" ca="1" si="57"/>
        <v>17.690110346413817</v>
      </c>
      <c r="BB85" s="46">
        <f t="shared" ca="1" si="57"/>
        <v>18.131589093029334</v>
      </c>
      <c r="BC85" s="46">
        <f t="shared" ca="1" si="57"/>
        <v>18.556604901035335</v>
      </c>
      <c r="BD85" s="46">
        <f t="shared" ca="1" si="57"/>
        <v>18.96536914529003</v>
      </c>
      <c r="BE85" s="46">
        <f t="shared" ca="1" si="57"/>
        <v>19.358071096581202</v>
      </c>
      <c r="BF85" s="46">
        <f t="shared" ca="1" si="57"/>
        <v>19.734879063224298</v>
      </c>
      <c r="BG85" s="46">
        <f t="shared" ca="1" si="57"/>
        <v>20.09594141561168</v>
      </c>
      <c r="BH85" s="46">
        <f t="shared" ca="1" si="57"/>
        <v>20.441387504214767</v>
      </c>
      <c r="BI85" s="46">
        <f t="shared" ca="1" si="57"/>
        <v>20.771328480255768</v>
      </c>
      <c r="BJ85" s="46">
        <f t="shared" ca="1" si="57"/>
        <v>21.085858027140304</v>
      </c>
      <c r="BK85" s="46">
        <f t="shared" ca="1" si="57"/>
        <v>21.479363980335346</v>
      </c>
      <c r="BL85" s="46">
        <f t="shared" ca="1" si="57"/>
        <v>21.854540497206301</v>
      </c>
      <c r="BM85" s="46">
        <f t="shared" ca="1" si="57"/>
        <v>22.211666939378713</v>
      </c>
      <c r="BN85" s="46">
        <f t="shared" ca="1" si="57"/>
        <v>22.550997056061163</v>
      </c>
      <c r="BO85" s="46">
        <f t="shared" ca="1" si="57"/>
        <v>22.872760370309681</v>
      </c>
      <c r="BP85" s="46">
        <f t="shared" ca="1" si="57"/>
        <v>23.177163427032479</v>
      </c>
      <c r="BQ85" s="46">
        <f t="shared" ca="1" si="57"/>
        <v>23.464390915379145</v>
      </c>
      <c r="BR85" s="46">
        <f t="shared" ca="1" si="57"/>
        <v>23.734606676619556</v>
      </c>
      <c r="BS85" s="46">
        <f t="shared" ca="1" si="57"/>
        <v>23.987954607270499</v>
      </c>
      <c r="BT85" s="46">
        <f t="shared" ca="1" si="57"/>
        <v>24.224559466044102</v>
      </c>
      <c r="BU85" s="46">
        <f t="shared" ca="1" si="57"/>
        <v>24.705129130003478</v>
      </c>
      <c r="BV85" s="46">
        <f t="shared" ca="1" si="57"/>
        <v>25.166971112189373</v>
      </c>
      <c r="BW85" s="46">
        <f t="shared" ca="1" si="57"/>
        <v>25.610307712452748</v>
      </c>
      <c r="BX85" s="46">
        <f t="shared" ca="1" si="57"/>
        <v>26.035335600514586</v>
      </c>
      <c r="BY85" s="46">
        <f t="shared" ca="1" si="57"/>
        <v>26.442227069308117</v>
      </c>
      <c r="BZ85" s="46">
        <f t="shared" ref="BZ85:CN85" ca="1" si="58">SUM(BZ46:BZ51)</f>
        <v>26.831131152628103</v>
      </c>
      <c r="CA85" s="46">
        <f t="shared" ca="1" si="58"/>
        <v>27.202174618870217</v>
      </c>
      <c r="CB85" s="46">
        <f t="shared" ca="1" si="58"/>
        <v>27.555462851151272</v>
      </c>
      <c r="CC85" s="46">
        <f t="shared" ca="1" si="58"/>
        <v>27.89108062279157</v>
      </c>
      <c r="CD85" s="46">
        <f t="shared" ca="1" si="58"/>
        <v>28.20909277598064</v>
      </c>
      <c r="CE85" s="46">
        <f t="shared" ca="1" si="58"/>
        <v>28.758830471037385</v>
      </c>
      <c r="CF85" s="46">
        <f t="shared" ca="1" si="58"/>
        <v>29.289916637671656</v>
      </c>
      <c r="CG85" s="46">
        <f t="shared" ca="1" si="58"/>
        <v>29.802544152519385</v>
      </c>
      <c r="CH85" s="46">
        <f t="shared" ca="1" si="58"/>
        <v>30.296881537592515</v>
      </c>
      <c r="CI85" s="46">
        <f t="shared" ca="1" si="58"/>
        <v>30.773074117875563</v>
      </c>
      <c r="CJ85" s="46">
        <f t="shared" ca="1" si="58"/>
        <v>31.231245052795664</v>
      </c>
      <c r="CK85" s="46">
        <f t="shared" ca="1" si="58"/>
        <v>31.671496252374475</v>
      </c>
      <c r="CL85" s="46">
        <f t="shared" ca="1" si="58"/>
        <v>32.093909187508501</v>
      </c>
      <c r="CM85" s="46">
        <f t="shared" ca="1" si="58"/>
        <v>32.498545602627267</v>
      </c>
      <c r="CN85" s="46">
        <f t="shared" ca="1" si="58"/>
        <v>32.885448137919099</v>
      </c>
    </row>
    <row r="87" spans="1:99" s="46" customFormat="1" x14ac:dyDescent="0.15">
      <c r="A87" s="1"/>
      <c r="B87" s="1"/>
      <c r="C87" s="46">
        <f ca="1">WaterfallData!C83-WaterfallData!B83</f>
        <v>0.59285440444946147</v>
      </c>
      <c r="D87" s="46">
        <f ca="1">WaterfallData!D83-WaterfallData!C83</f>
        <v>0.59285440444946147</v>
      </c>
      <c r="E87" s="46">
        <f ca="1">WaterfallData!E83-WaterfallData!D83</f>
        <v>0.59285440444946147</v>
      </c>
      <c r="F87" s="46">
        <f ca="1">WaterfallData!F83-WaterfallData!E83</f>
        <v>0.59285440444946147</v>
      </c>
      <c r="G87" s="46">
        <f ca="1">WaterfallData!G83-WaterfallData!F83</f>
        <v>0.59285440444946147</v>
      </c>
      <c r="H87" s="46">
        <f ca="1">WaterfallData!H83-WaterfallData!G83</f>
        <v>0.59285440444946147</v>
      </c>
      <c r="I87" s="46">
        <f ca="1">WaterfallData!I83-WaterfallData!H83</f>
        <v>0.59285440444946147</v>
      </c>
      <c r="J87" s="46">
        <f ca="1">WaterfallData!J83-WaterfallData!I83</f>
        <v>0.59285440444946147</v>
      </c>
      <c r="K87" s="46">
        <f ca="1">WaterfallData!K83-WaterfallData!J83</f>
        <v>0.59285440444946147</v>
      </c>
      <c r="L87" s="46">
        <f ca="1">WaterfallData!L83-WaterfallData!K83</f>
        <v>0.59285440444947568</v>
      </c>
      <c r="M87" s="46">
        <f ca="1">WaterfallData!M83-WaterfallData!L83</f>
        <v>0.47594744364420194</v>
      </c>
      <c r="N87" s="46">
        <f ca="1">WaterfallData!N83-WaterfallData!M83</f>
        <v>0.47594744364420194</v>
      </c>
      <c r="O87" s="46">
        <f ca="1">WaterfallData!O83-WaterfallData!N83</f>
        <v>0.47594744364420194</v>
      </c>
      <c r="P87" s="46">
        <f ca="1">WaterfallData!P83-WaterfallData!O83</f>
        <v>0.47594744364420194</v>
      </c>
      <c r="Q87" s="46">
        <f ca="1">WaterfallData!Q83-WaterfallData!P83</f>
        <v>0.47594744364420194</v>
      </c>
      <c r="R87" s="46">
        <f ca="1">WaterfallData!R83-WaterfallData!Q83</f>
        <v>0.47594744364420194</v>
      </c>
      <c r="S87" s="46">
        <f ca="1">WaterfallData!S83-WaterfallData!R83</f>
        <v>0.47594744364420194</v>
      </c>
      <c r="T87" s="46">
        <f ca="1">WaterfallData!T83-WaterfallData!S83</f>
        <v>0.47594744364420194</v>
      </c>
      <c r="U87" s="46">
        <f ca="1">WaterfallData!U83-WaterfallData!T83</f>
        <v>0.47594744364420194</v>
      </c>
      <c r="V87" s="46">
        <f ca="1">WaterfallData!V83-WaterfallData!U83</f>
        <v>0.47594744364423747</v>
      </c>
      <c r="W87" s="46">
        <f ca="1">WaterfallData!W83-WaterfallData!V83</f>
        <v>0.34596103032429681</v>
      </c>
      <c r="X87" s="46">
        <f ca="1">WaterfallData!X83-WaterfallData!W83</f>
        <v>0.34596103032430392</v>
      </c>
      <c r="Y87" s="46">
        <f ca="1">WaterfallData!Y83-WaterfallData!X83</f>
        <v>0.34596103032430392</v>
      </c>
      <c r="Z87" s="46">
        <f ca="1">WaterfallData!Z83-WaterfallData!Y83</f>
        <v>0.34596103032430392</v>
      </c>
      <c r="AA87" s="46">
        <f ca="1">WaterfallData!AA83-WaterfallData!Z83</f>
        <v>0.34596103032430392</v>
      </c>
      <c r="AB87" s="46">
        <f ca="1">WaterfallData!AB83-WaterfallData!AA83</f>
        <v>0.34596103032430392</v>
      </c>
      <c r="AC87" s="46">
        <f ca="1">WaterfallData!AC83-WaterfallData!AB83</f>
        <v>0.34596103032430392</v>
      </c>
      <c r="AD87" s="46">
        <f ca="1">WaterfallData!AD83-WaterfallData!AC83</f>
        <v>0.34596103032430392</v>
      </c>
      <c r="AE87" s="46">
        <f ca="1">WaterfallData!AE83-WaterfallData!AD83</f>
        <v>0.34596103032430392</v>
      </c>
      <c r="AF87" s="46">
        <f ca="1">WaterfallData!AF83-WaterfallData!AE83</f>
        <v>0.3459610303242755</v>
      </c>
      <c r="AG87" s="46">
        <f ca="1">WaterfallData!AG83-WaterfallData!AF83</f>
        <v>0.4013277053833022</v>
      </c>
      <c r="AH87" s="46">
        <f ca="1">WaterfallData!AH83-WaterfallData!AG83</f>
        <v>0.4013277053833022</v>
      </c>
      <c r="AI87" s="46">
        <f ca="1">WaterfallData!AI83-WaterfallData!AH83</f>
        <v>0.4013277053833022</v>
      </c>
      <c r="AJ87" s="46">
        <f ca="1">WaterfallData!AJ83-WaterfallData!AI83</f>
        <v>0.4013277053833022</v>
      </c>
      <c r="AK87" s="46">
        <f ca="1">WaterfallData!AK83-WaterfallData!AJ83</f>
        <v>0.4013277053833022</v>
      </c>
      <c r="AL87" s="46">
        <f ca="1">WaterfallData!AL83-WaterfallData!AK83</f>
        <v>0.4013277053833022</v>
      </c>
      <c r="AM87" s="46">
        <f ca="1">WaterfallData!AM83-WaterfallData!AL83</f>
        <v>0.4013277053833022</v>
      </c>
      <c r="AN87" s="46">
        <f ca="1">WaterfallData!AN83-WaterfallData!AM83</f>
        <v>0.4013277053833022</v>
      </c>
      <c r="AO87" s="46">
        <f ca="1">WaterfallData!AO83-WaterfallData!AN83</f>
        <v>0.4013277053833022</v>
      </c>
      <c r="AP87" s="46">
        <f ca="1">WaterfallData!AP83-WaterfallData!AO83</f>
        <v>0.40132770538328799</v>
      </c>
      <c r="AQ87" s="46">
        <f ca="1">WaterfallData!AQ83-WaterfallData!AP83</f>
        <v>0.49995721181233677</v>
      </c>
      <c r="AR87" s="46">
        <f ca="1">WaterfallData!AR83-WaterfallData!AQ83</f>
        <v>0.49995721181233677</v>
      </c>
      <c r="AS87" s="46">
        <f ca="1">WaterfallData!AS83-WaterfallData!AR83</f>
        <v>0.49995721181233677</v>
      </c>
      <c r="AT87" s="46">
        <f ca="1">WaterfallData!AT83-WaterfallData!AS83</f>
        <v>0.49995721181233677</v>
      </c>
      <c r="AU87" s="46">
        <f ca="1">WaterfallData!AU83-WaterfallData!AT83</f>
        <v>0.49995721181233677</v>
      </c>
      <c r="AV87" s="46">
        <f ca="1">WaterfallData!AV83-WaterfallData!AU83</f>
        <v>0.49995721181233677</v>
      </c>
      <c r="AW87" s="46">
        <f ca="1">WaterfallData!AW83-WaterfallData!AV83</f>
        <v>0.49995721181233677</v>
      </c>
      <c r="AX87" s="46">
        <f ca="1">WaterfallData!AX83-WaterfallData!AW83</f>
        <v>0.49995721181233677</v>
      </c>
      <c r="AY87" s="46">
        <f ca="1">WaterfallData!AY83-WaterfallData!AX83</f>
        <v>0.49995721181233677</v>
      </c>
      <c r="AZ87" s="46">
        <f ca="1">WaterfallData!AZ83-WaterfallData!AY83</f>
        <v>0.49995721181233677</v>
      </c>
      <c r="BA87" s="46">
        <f ca="1">WaterfallData!BA83-WaterfallData!AZ83</f>
        <v>0.38539241154988702</v>
      </c>
      <c r="BB87" s="46">
        <f ca="1">WaterfallData!BB83-WaterfallData!BA83</f>
        <v>0.38539241154988702</v>
      </c>
      <c r="BC87" s="46">
        <f ca="1">WaterfallData!BC83-WaterfallData!BB83</f>
        <v>0.38539241154988702</v>
      </c>
      <c r="BD87" s="46">
        <f ca="1">WaterfallData!BD83-WaterfallData!BC83</f>
        <v>0.38539241154988702</v>
      </c>
      <c r="BE87" s="46">
        <f ca="1">WaterfallData!BE83-WaterfallData!BD83</f>
        <v>0.38539241154988702</v>
      </c>
      <c r="BF87" s="46">
        <f ca="1">WaterfallData!BF83-WaterfallData!BE83</f>
        <v>0.38539241154988702</v>
      </c>
      <c r="BG87" s="46">
        <f ca="1">WaterfallData!BG83-WaterfallData!BF83</f>
        <v>0.38539241154988702</v>
      </c>
      <c r="BH87" s="46">
        <f ca="1">WaterfallData!BH83-WaterfallData!BG83</f>
        <v>0.38539241154988702</v>
      </c>
      <c r="BI87" s="46">
        <f ca="1">WaterfallData!BI83-WaterfallData!BH83</f>
        <v>0.38539241154988702</v>
      </c>
      <c r="BJ87" s="46">
        <f ca="1">WaterfallData!BJ83-WaterfallData!BI83</f>
        <v>0.38539241154987991</v>
      </c>
      <c r="BK87" s="46">
        <f ca="1">WaterfallData!BK83-WaterfallData!BJ83</f>
        <v>0.3138701438903837</v>
      </c>
      <c r="BL87" s="46">
        <f ca="1">WaterfallData!BL83-WaterfallData!BK83</f>
        <v>0.3138701438903837</v>
      </c>
      <c r="BM87" s="46">
        <f ca="1">WaterfallData!BM83-WaterfallData!BL83</f>
        <v>0.3138701438903837</v>
      </c>
      <c r="BN87" s="46">
        <f ca="1">WaterfallData!BN83-WaterfallData!BM83</f>
        <v>0.3138701438903837</v>
      </c>
      <c r="BO87" s="46">
        <f ca="1">WaterfallData!BO83-WaterfallData!BN83</f>
        <v>0.3138701438903837</v>
      </c>
      <c r="BP87" s="46">
        <f ca="1">WaterfallData!BP83-WaterfallData!BO83</f>
        <v>0.3138701438903837</v>
      </c>
      <c r="BQ87" s="46">
        <f ca="1">WaterfallData!BQ83-WaterfallData!BP83</f>
        <v>0.3138701438903837</v>
      </c>
      <c r="BR87" s="46">
        <f ca="1">WaterfallData!BR83-WaterfallData!BQ83</f>
        <v>0.3138701438903837</v>
      </c>
    </row>
    <row r="89" spans="1:99" s="46" customFormat="1" x14ac:dyDescent="0.15">
      <c r="A89" s="1"/>
      <c r="B89" s="1"/>
      <c r="C89" s="46">
        <f ca="1">WaterfallData!L83-WaterfallData!B83</f>
        <v>5.9285440444946289</v>
      </c>
      <c r="D89" s="46">
        <f ca="1">WaterfallData!D83-WaterfallData!C83</f>
        <v>0.59285440444946147</v>
      </c>
      <c r="E89" s="46">
        <f ca="1">SUM($C87:F87)</f>
        <v>2.3714176177978459</v>
      </c>
      <c r="F89" s="46">
        <f ca="1">SUM($C87:G87)</f>
        <v>2.9642720222473073</v>
      </c>
      <c r="G89" s="46">
        <f ca="1">SUM($C87:H87)</f>
        <v>3.5571264266967688</v>
      </c>
      <c r="H89" s="46">
        <f ca="1">SUM($C87:I87)</f>
        <v>4.1499808311462303</v>
      </c>
      <c r="I89" s="46">
        <f ca="1">SUM($C87:J87)</f>
        <v>4.7428352355956918</v>
      </c>
      <c r="J89" s="46">
        <f ca="1">SUM($C87:K87)</f>
        <v>5.3356896400451532</v>
      </c>
      <c r="K89" s="46">
        <f ca="1">SUM($C87:L87)</f>
        <v>5.9285440444946289</v>
      </c>
      <c r="L89" s="46">
        <f ca="1">SUM($C87:M87)</f>
        <v>6.4044914881388308</v>
      </c>
      <c r="M89" s="46">
        <f ca="1">SUM($C87:N87)</f>
        <v>6.8804389317830328</v>
      </c>
      <c r="N89" s="46">
        <f ca="1">SUM($C87:O87)</f>
        <v>7.3563863754272347</v>
      </c>
      <c r="O89" s="46">
        <f ca="1">SUM($C87:P87)</f>
        <v>7.8323338190714367</v>
      </c>
      <c r="P89" s="46">
        <f ca="1">SUM($C87:Q87)</f>
        <v>8.3082812627156386</v>
      </c>
      <c r="Q89" s="46">
        <f ca="1">SUM($C87:R87)</f>
        <v>8.7842287063598405</v>
      </c>
      <c r="R89" s="46">
        <f ca="1">SUM($C87:S87)</f>
        <v>9.2601761500040425</v>
      </c>
      <c r="S89" s="46">
        <f ca="1">SUM($C87:T87)</f>
        <v>9.7361235936482444</v>
      </c>
      <c r="T89" s="46">
        <f ca="1">SUM($C87:U87)</f>
        <v>10.212071037292446</v>
      </c>
      <c r="U89" s="46">
        <f ca="1">SUM($C87:V87)</f>
        <v>10.688018480936684</v>
      </c>
      <c r="V89" s="46">
        <f ca="1">SUM($C87:W87)</f>
        <v>11.033979511260981</v>
      </c>
      <c r="W89" s="46">
        <f ca="1">SUM($C87:X87)</f>
        <v>11.379940541585285</v>
      </c>
      <c r="X89" s="46">
        <f ca="1">SUM($C87:Y87)</f>
        <v>11.725901571909588</v>
      </c>
      <c r="Y89" s="46">
        <f ca="1">SUM($C87:Z87)</f>
        <v>12.071862602233892</v>
      </c>
      <c r="Z89" s="46">
        <f ca="1">SUM($C87:AA87)</f>
        <v>12.417823632558196</v>
      </c>
      <c r="AA89" s="46">
        <f ca="1">SUM($C87:AB87)</f>
        <v>12.7637846628825</v>
      </c>
      <c r="AB89" s="46">
        <f ca="1">SUM($C87:AC87)</f>
        <v>13.109745693206804</v>
      </c>
      <c r="AC89" s="46">
        <f ca="1">SUM($C87:AD87)</f>
        <v>13.455706723531108</v>
      </c>
      <c r="AD89" s="46">
        <f ca="1">SUM($C87:AE87)</f>
        <v>13.801667753855412</v>
      </c>
      <c r="AE89" s="46">
        <f ca="1">SUM($C87:AF87)</f>
        <v>14.147628784179688</v>
      </c>
      <c r="AF89" s="46">
        <f ca="1">SUM($C87:AG87)</f>
        <v>14.54895648956299</v>
      </c>
      <c r="AG89" s="46">
        <f ca="1">SUM($C87:AH87)</f>
        <v>14.950284194946292</v>
      </c>
      <c r="AH89" s="46">
        <f ca="1">SUM($C87:AI87)</f>
        <v>15.351611900329594</v>
      </c>
      <c r="AI89" s="46">
        <f ca="1">SUM($C87:AJ87)</f>
        <v>15.752939605712896</v>
      </c>
      <c r="AJ89" s="46">
        <f ca="1">SUM($C87:AK87)</f>
        <v>16.154267311096199</v>
      </c>
      <c r="AK89" s="46">
        <f ca="1">SUM($C87:AL87)</f>
        <v>16.555595016479501</v>
      </c>
      <c r="AL89" s="46">
        <f ca="1">SUM($C87:AM87)</f>
        <v>16.956922721862803</v>
      </c>
      <c r="AM89" s="46">
        <f ca="1">SUM($C87:AN87)</f>
        <v>17.358250427246105</v>
      </c>
      <c r="AN89" s="46">
        <f ca="1">SUM($C87:AO87)</f>
        <v>17.759578132629407</v>
      </c>
      <c r="AO89" s="46">
        <f ca="1">SUM($C87:AP87)</f>
        <v>18.160905838012695</v>
      </c>
      <c r="AP89" s="46">
        <f ca="1">SUM($C87:AQ87)</f>
        <v>18.660863049825032</v>
      </c>
      <c r="AQ89" s="46">
        <f ca="1">SUM($C87:AR87)</f>
        <v>19.160820261637369</v>
      </c>
      <c r="AR89" s="46">
        <f ca="1">SUM($C87:AS87)</f>
        <v>19.660777473449706</v>
      </c>
      <c r="AS89" s="46">
        <f ca="1">SUM($C87:AT87)</f>
        <v>20.160734685262042</v>
      </c>
      <c r="AT89" s="46">
        <f ca="1">SUM($C87:AU87)</f>
        <v>20.660691897074379</v>
      </c>
      <c r="AU89" s="46">
        <f ca="1">SUM($C87:AV87)</f>
        <v>21.160649108886716</v>
      </c>
      <c r="AV89" s="46">
        <f ca="1">SUM($C87:AW87)</f>
        <v>21.660606320699053</v>
      </c>
      <c r="AW89" s="46">
        <f ca="1">SUM($C87:AX87)</f>
        <v>22.160563532511389</v>
      </c>
      <c r="AX89" s="46">
        <f ca="1">SUM($C87:AY87)</f>
        <v>22.660520744323726</v>
      </c>
      <c r="AY89" s="46">
        <f ca="1">SUM($C87:AZ87)</f>
        <v>23.160477956136063</v>
      </c>
      <c r="AZ89" s="46">
        <f ca="1">SUM($C87:BA87)</f>
        <v>23.54587036768595</v>
      </c>
      <c r="BA89" s="46">
        <f ca="1">SUM($C87:BB87)</f>
        <v>23.931262779235837</v>
      </c>
      <c r="BB89" s="46">
        <f ca="1">SUM($C87:BC87)</f>
        <v>24.316655190785724</v>
      </c>
      <c r="BC89" s="46">
        <f ca="1">SUM($C87:BD87)</f>
        <v>24.702047602335611</v>
      </c>
      <c r="BD89" s="46">
        <f ca="1">SUM($C87:BE87)</f>
        <v>25.087440013885498</v>
      </c>
      <c r="BE89" s="46">
        <f ca="1">SUM($C87:BF87)</f>
        <v>25.472832425435385</v>
      </c>
      <c r="BF89" s="46">
        <f ca="1">SUM($C87:BG87)</f>
        <v>25.858224836985272</v>
      </c>
      <c r="BG89" s="46">
        <f ca="1">SUM($C87:BH87)</f>
        <v>26.243617248535159</v>
      </c>
      <c r="BH89" s="46">
        <f ca="1">SUM($C87:BI87)</f>
        <v>26.629009660085046</v>
      </c>
      <c r="BI89" s="46">
        <f ca="1">SUM($C87:BJ87)</f>
        <v>27.014402071634926</v>
      </c>
      <c r="BJ89" s="46">
        <f ca="1">SUM($C87:BK87)</f>
        <v>27.32827221552531</v>
      </c>
      <c r="BK89" s="46">
        <f ca="1">SUM($C87:BL87)</f>
        <v>27.642142359415693</v>
      </c>
      <c r="BL89" s="46">
        <f ca="1">SUM($C87:BM87)</f>
        <v>27.956012503306077</v>
      </c>
      <c r="BM89" s="46">
        <f ca="1">SUM($C87:BN87)</f>
        <v>28.269882647196461</v>
      </c>
      <c r="BN89" s="46">
        <f ca="1">SUM($C87:BO87)</f>
        <v>28.583752791086845</v>
      </c>
      <c r="BO89" s="46">
        <f ca="1">SUM($C87:BP87)</f>
        <v>28.897622934977228</v>
      </c>
      <c r="BP89" s="46">
        <f ca="1">SUM($C87:BQ87)</f>
        <v>29.211493078867612</v>
      </c>
      <c r="BQ89" s="46">
        <f ca="1">SUM($C87:BR87)</f>
        <v>29.525363222757996</v>
      </c>
      <c r="BR89" s="46">
        <f ca="1">SUM($C87:BS87)</f>
        <v>29.525363222757996</v>
      </c>
      <c r="BS89" s="46">
        <f ca="1">SUM($C87:BT87)</f>
        <v>29.525363222757996</v>
      </c>
      <c r="BT89" s="46">
        <f ca="1">SUM($C87:BU87)</f>
        <v>29.525363222757996</v>
      </c>
      <c r="BU89" s="46">
        <f ca="1">SUM($C87:BV87)</f>
        <v>29.525363222757996</v>
      </c>
      <c r="BV89" s="46">
        <f ca="1">SUM($C87:BW87)</f>
        <v>29.525363222757996</v>
      </c>
      <c r="BW89" s="46">
        <f ca="1">SUM($C87:BX87)</f>
        <v>29.525363222757996</v>
      </c>
      <c r="BX89" s="46">
        <f ca="1">SUM($C87:BY87)</f>
        <v>29.525363222757996</v>
      </c>
      <c r="BY89" s="46">
        <f ca="1">SUM($C87:BZ87)</f>
        <v>29.525363222757996</v>
      </c>
      <c r="BZ89" s="46">
        <f ca="1">SUM($C87:CA87)</f>
        <v>29.525363222757996</v>
      </c>
      <c r="CA89" s="46">
        <f ca="1">SUM($C87:CB87)</f>
        <v>29.525363222757996</v>
      </c>
      <c r="CB89" s="46">
        <f ca="1">SUM($C87:CC87)</f>
        <v>29.525363222757996</v>
      </c>
      <c r="CC89" s="46">
        <f ca="1">SUM($C87:CD87)</f>
        <v>29.525363222757996</v>
      </c>
      <c r="CD89" s="46">
        <f ca="1">SUM($C87:CE87)</f>
        <v>29.525363222757996</v>
      </c>
      <c r="CE89" s="46">
        <f ca="1">SUM($C87:CF87)</f>
        <v>29.525363222757996</v>
      </c>
      <c r="CF89" s="46">
        <f ca="1">SUM($C87:CG87)</f>
        <v>29.525363222757996</v>
      </c>
      <c r="CG89" s="46">
        <f ca="1">SUM($C87:CH87)</f>
        <v>29.525363222757996</v>
      </c>
      <c r="CH89" s="46">
        <f ca="1">SUM($C87:CI87)</f>
        <v>29.525363222757996</v>
      </c>
      <c r="CI89" s="46">
        <f ca="1">SUM($C87:CJ87)</f>
        <v>29.525363222757996</v>
      </c>
      <c r="CJ89" s="46">
        <f ca="1">SUM($C87:CK87)</f>
        <v>29.525363222757996</v>
      </c>
      <c r="CK89" s="46">
        <f ca="1">SUM($C87:CL87)</f>
        <v>29.525363222757996</v>
      </c>
      <c r="CL89" s="46">
        <f ca="1">SUM($C87:CM87)</f>
        <v>29.525363222757996</v>
      </c>
      <c r="CM89" s="46">
        <f ca="1">SUM($C87:CN87)</f>
        <v>29.525363222757996</v>
      </c>
      <c r="CN89" s="46">
        <f ca="1">SUM($C87:CO87)</f>
        <v>29.525363222757996</v>
      </c>
    </row>
    <row r="91" spans="1:99" s="46" customFormat="1" x14ac:dyDescent="0.15">
      <c r="A91" s="1"/>
      <c r="B91" s="1"/>
    </row>
    <row r="92" spans="1:99" s="46" customFormat="1" x14ac:dyDescent="0.15">
      <c r="A92" s="46" t="s">
        <v>376</v>
      </c>
      <c r="C92" s="46">
        <f ca="1">WaterfallData!$C$83</f>
        <v>31.083483600616454</v>
      </c>
      <c r="D92" s="46">
        <f ca="1">WaterfallData!$C$83</f>
        <v>31.083483600616454</v>
      </c>
      <c r="E92" s="46">
        <f ca="1">WaterfallData!$C$83</f>
        <v>31.083483600616454</v>
      </c>
      <c r="F92" s="46">
        <f ca="1">WaterfallData!$C$83</f>
        <v>31.083483600616454</v>
      </c>
      <c r="G92" s="46">
        <f ca="1">WaterfallData!$C$83</f>
        <v>31.083483600616454</v>
      </c>
      <c r="H92" s="46">
        <f ca="1">WaterfallData!$C$83</f>
        <v>31.083483600616454</v>
      </c>
      <c r="I92" s="46">
        <f ca="1">WaterfallData!$C$83</f>
        <v>31.083483600616454</v>
      </c>
      <c r="J92" s="46">
        <f ca="1">WaterfallData!$C$83</f>
        <v>31.083483600616454</v>
      </c>
      <c r="K92" s="46">
        <f ca="1">WaterfallData!$C$83</f>
        <v>31.083483600616454</v>
      </c>
      <c r="L92" s="46">
        <f ca="1">WaterfallData!$C$83</f>
        <v>31.083483600616454</v>
      </c>
      <c r="M92" s="46">
        <f ca="1">WaterfallData!$C$83</f>
        <v>31.083483600616454</v>
      </c>
      <c r="N92" s="46">
        <f ca="1">WaterfallData!$C$83</f>
        <v>31.083483600616454</v>
      </c>
      <c r="O92" s="46">
        <f ca="1">WaterfallData!$C$83</f>
        <v>31.083483600616454</v>
      </c>
      <c r="P92" s="46">
        <f ca="1">WaterfallData!$C$83</f>
        <v>31.083483600616454</v>
      </c>
      <c r="Q92" s="46">
        <f ca="1">WaterfallData!$C$83</f>
        <v>31.083483600616454</v>
      </c>
      <c r="R92" s="46">
        <f ca="1">WaterfallData!$C$83</f>
        <v>31.083483600616454</v>
      </c>
      <c r="S92" s="46">
        <f ca="1">WaterfallData!$C$83</f>
        <v>31.083483600616454</v>
      </c>
      <c r="T92" s="46">
        <f ca="1">WaterfallData!$C$83</f>
        <v>31.083483600616454</v>
      </c>
      <c r="U92" s="46">
        <f ca="1">WaterfallData!$C$83</f>
        <v>31.083483600616454</v>
      </c>
      <c r="V92" s="46">
        <f ca="1">WaterfallData!$C$83</f>
        <v>31.083483600616454</v>
      </c>
      <c r="W92" s="46">
        <f ca="1">WaterfallData!$C$83</f>
        <v>31.083483600616454</v>
      </c>
      <c r="X92" s="46">
        <f ca="1">WaterfallData!$C$83</f>
        <v>31.083483600616454</v>
      </c>
      <c r="Y92" s="46">
        <f ca="1">WaterfallData!$C$83</f>
        <v>31.083483600616454</v>
      </c>
      <c r="Z92" s="46">
        <f ca="1">WaterfallData!$C$83</f>
        <v>31.083483600616454</v>
      </c>
      <c r="AA92" s="46">
        <f ca="1">WaterfallData!$C$83</f>
        <v>31.083483600616454</v>
      </c>
      <c r="AB92" s="46">
        <f ca="1">WaterfallData!$C$83</f>
        <v>31.083483600616454</v>
      </c>
      <c r="AC92" s="46">
        <f ca="1">WaterfallData!$C$83</f>
        <v>31.083483600616454</v>
      </c>
      <c r="AD92" s="46">
        <f ca="1">WaterfallData!$C$83</f>
        <v>31.083483600616454</v>
      </c>
      <c r="AE92" s="46">
        <f ca="1">WaterfallData!$C$83</f>
        <v>31.083483600616454</v>
      </c>
      <c r="AF92" s="46">
        <f ca="1">WaterfallData!$C$83</f>
        <v>31.083483600616454</v>
      </c>
      <c r="AG92" s="46">
        <f ca="1">WaterfallData!$C$83</f>
        <v>31.083483600616454</v>
      </c>
      <c r="AH92" s="46">
        <f ca="1">WaterfallData!$C$83</f>
        <v>31.083483600616454</v>
      </c>
      <c r="AI92" s="46">
        <f ca="1">WaterfallData!$C$83</f>
        <v>31.083483600616454</v>
      </c>
      <c r="AJ92" s="46">
        <f ca="1">WaterfallData!$C$83</f>
        <v>31.083483600616454</v>
      </c>
      <c r="AK92" s="46">
        <f ca="1">WaterfallData!$C$83</f>
        <v>31.083483600616454</v>
      </c>
      <c r="AL92" s="46">
        <f ca="1">WaterfallData!$C$83</f>
        <v>31.083483600616454</v>
      </c>
      <c r="AM92" s="46">
        <f ca="1">WaterfallData!$C$83</f>
        <v>31.083483600616454</v>
      </c>
      <c r="AN92" s="46">
        <f ca="1">WaterfallData!$C$83</f>
        <v>31.083483600616454</v>
      </c>
      <c r="AO92" s="46">
        <f ca="1">WaterfallData!$C$83</f>
        <v>31.083483600616454</v>
      </c>
      <c r="AP92" s="46">
        <f ca="1">WaterfallData!$C$83</f>
        <v>31.083483600616454</v>
      </c>
      <c r="AQ92" s="46">
        <f ca="1">WaterfallData!$C$83</f>
        <v>31.083483600616454</v>
      </c>
      <c r="AR92" s="46">
        <f ca="1">WaterfallData!$C$83</f>
        <v>31.083483600616454</v>
      </c>
      <c r="AS92" s="46">
        <f ca="1">WaterfallData!$C$83</f>
        <v>31.083483600616454</v>
      </c>
      <c r="AT92" s="46">
        <f ca="1">WaterfallData!$C$83</f>
        <v>31.083483600616454</v>
      </c>
      <c r="AU92" s="46">
        <f ca="1">WaterfallData!$C$83</f>
        <v>31.083483600616454</v>
      </c>
      <c r="AV92" s="46">
        <f ca="1">WaterfallData!$C$83</f>
        <v>31.083483600616454</v>
      </c>
      <c r="AW92" s="46">
        <f ca="1">WaterfallData!$C$83</f>
        <v>31.083483600616454</v>
      </c>
      <c r="AX92" s="46">
        <f ca="1">WaterfallData!$C$83</f>
        <v>31.083483600616454</v>
      </c>
      <c r="AY92" s="46">
        <f ca="1">WaterfallData!$C$83</f>
        <v>31.083483600616454</v>
      </c>
      <c r="AZ92" s="46">
        <f ca="1">WaterfallData!$C$83</f>
        <v>31.083483600616454</v>
      </c>
      <c r="BA92" s="46">
        <f ca="1">WaterfallData!$C$83</f>
        <v>31.083483600616454</v>
      </c>
      <c r="BB92" s="46">
        <f ca="1">WaterfallData!$C$83</f>
        <v>31.083483600616454</v>
      </c>
      <c r="BC92" s="46">
        <f ca="1">WaterfallData!$C$83</f>
        <v>31.083483600616454</v>
      </c>
      <c r="BD92" s="46">
        <f ca="1">WaterfallData!$C$83</f>
        <v>31.083483600616454</v>
      </c>
      <c r="BE92" s="46">
        <f ca="1">WaterfallData!$C$83</f>
        <v>31.083483600616454</v>
      </c>
      <c r="BF92" s="46">
        <f ca="1">WaterfallData!$C$83</f>
        <v>31.083483600616454</v>
      </c>
      <c r="BG92" s="46">
        <f ca="1">WaterfallData!$C$83</f>
        <v>31.083483600616454</v>
      </c>
      <c r="BH92" s="46">
        <f ca="1">WaterfallData!$C$83</f>
        <v>31.083483600616454</v>
      </c>
      <c r="BI92" s="46">
        <f ca="1">WaterfallData!$C$83</f>
        <v>31.083483600616454</v>
      </c>
      <c r="BJ92" s="46">
        <f ca="1">WaterfallData!$C$83</f>
        <v>31.083483600616454</v>
      </c>
      <c r="BK92" s="46">
        <f ca="1">WaterfallData!$C$83</f>
        <v>31.083483600616454</v>
      </c>
      <c r="BL92" s="46">
        <f ca="1">WaterfallData!$C$83</f>
        <v>31.083483600616454</v>
      </c>
      <c r="BM92" s="46">
        <f ca="1">WaterfallData!$C$83</f>
        <v>31.083483600616454</v>
      </c>
      <c r="BN92" s="46">
        <f ca="1">WaterfallData!$C$83</f>
        <v>31.083483600616454</v>
      </c>
      <c r="BO92" s="46">
        <f ca="1">WaterfallData!$C$83</f>
        <v>31.083483600616454</v>
      </c>
      <c r="BP92" s="46">
        <f ca="1">WaterfallData!$C$83</f>
        <v>31.083483600616454</v>
      </c>
      <c r="BQ92" s="46">
        <f ca="1">WaterfallData!$C$83</f>
        <v>31.083483600616454</v>
      </c>
      <c r="BR92" s="46">
        <f ca="1">WaterfallData!$C$83</f>
        <v>31.083483600616454</v>
      </c>
      <c r="BS92" s="46">
        <f ca="1">WaterfallData!$C$83</f>
        <v>31.083483600616454</v>
      </c>
      <c r="BT92" s="46">
        <f ca="1">WaterfallData!$C$83</f>
        <v>31.083483600616454</v>
      </c>
      <c r="BU92" s="46">
        <f ca="1">WaterfallData!$C$83</f>
        <v>31.083483600616454</v>
      </c>
      <c r="BV92" s="46">
        <f ca="1">WaterfallData!$C$83</f>
        <v>31.083483600616454</v>
      </c>
      <c r="BW92" s="46">
        <f ca="1">WaterfallData!$C$83</f>
        <v>31.083483600616454</v>
      </c>
      <c r="BX92" s="46">
        <f ca="1">WaterfallData!$C$83</f>
        <v>31.083483600616454</v>
      </c>
      <c r="BY92" s="46">
        <f ca="1">WaterfallData!$C$83</f>
        <v>31.083483600616454</v>
      </c>
      <c r="BZ92" s="46">
        <f ca="1">WaterfallData!$C$83</f>
        <v>31.083483600616454</v>
      </c>
      <c r="CA92" s="46">
        <f ca="1">WaterfallData!$C$83</f>
        <v>31.083483600616454</v>
      </c>
      <c r="CB92" s="46">
        <f ca="1">WaterfallData!$C$83</f>
        <v>31.083483600616454</v>
      </c>
      <c r="CC92" s="46">
        <f ca="1">WaterfallData!$C$83</f>
        <v>31.083483600616454</v>
      </c>
      <c r="CD92" s="46">
        <f ca="1">WaterfallData!$C$83</f>
        <v>31.083483600616454</v>
      </c>
      <c r="CE92" s="46">
        <f ca="1">WaterfallData!$C$83</f>
        <v>31.083483600616454</v>
      </c>
      <c r="CF92" s="46">
        <f ca="1">WaterfallData!$C$83</f>
        <v>31.083483600616454</v>
      </c>
      <c r="CG92" s="46">
        <f ca="1">WaterfallData!$C$83</f>
        <v>31.083483600616454</v>
      </c>
      <c r="CH92" s="46">
        <f ca="1">WaterfallData!$C$83</f>
        <v>31.083483600616454</v>
      </c>
      <c r="CI92" s="46">
        <f ca="1">WaterfallData!$C$83</f>
        <v>31.083483600616454</v>
      </c>
      <c r="CJ92" s="46">
        <f ca="1">WaterfallData!$C$83</f>
        <v>31.083483600616454</v>
      </c>
      <c r="CK92" s="46">
        <f ca="1">WaterfallData!$C$83</f>
        <v>31.083483600616454</v>
      </c>
      <c r="CL92" s="46">
        <f ca="1">WaterfallData!$C$83</f>
        <v>31.083483600616454</v>
      </c>
      <c r="CM92" s="46">
        <f ca="1">WaterfallData!$C$83</f>
        <v>31.083483600616454</v>
      </c>
      <c r="CN92" s="46">
        <f ca="1">WaterfallData!$C$83</f>
        <v>31.083483600616454</v>
      </c>
    </row>
    <row r="93" spans="1:99" s="46" customFormat="1" x14ac:dyDescent="0.15"/>
    <row r="94" spans="1:99" s="46" customFormat="1" x14ac:dyDescent="0.15">
      <c r="A94" s="46" t="s">
        <v>377</v>
      </c>
      <c r="C94" s="46">
        <f ca="1">C80+C92</f>
        <v>25.948212191492512</v>
      </c>
      <c r="D94" s="46">
        <f t="shared" ref="D94:BO94" ca="1" si="59">D80+D92</f>
        <v>26.698547847430355</v>
      </c>
      <c r="E94" s="46">
        <f t="shared" ca="1" si="59"/>
        <v>27.405690659413224</v>
      </c>
      <c r="F94" s="46">
        <f t="shared" ca="1" si="59"/>
        <v>28.069186014983512</v>
      </c>
      <c r="G94" s="46">
        <f t="shared" ca="1" si="59"/>
        <v>28.688384804691591</v>
      </c>
      <c r="H94" s="46">
        <f t="shared" ca="1" si="59"/>
        <v>29.262444514544281</v>
      </c>
      <c r="I94" s="46">
        <f t="shared" ca="1" si="59"/>
        <v>29.790327319118354</v>
      </c>
      <c r="J94" s="46">
        <f t="shared" ca="1" si="59"/>
        <v>30.270795233663094</v>
      </c>
      <c r="K94" s="46">
        <f t="shared" ca="1" si="59"/>
        <v>30.702402289107866</v>
      </c>
      <c r="L94" s="46" t="e">
        <f t="shared" ca="1" si="59"/>
        <v>#DIV/0!</v>
      </c>
      <c r="M94" s="46">
        <f t="shared" ca="1" si="59"/>
        <v>31.758390658376758</v>
      </c>
      <c r="N94" s="46">
        <f t="shared" ca="1" si="59"/>
        <v>32.389164954648905</v>
      </c>
      <c r="O94" s="46">
        <f t="shared" ca="1" si="59"/>
        <v>32.976069507182167</v>
      </c>
      <c r="P94" s="46">
        <f t="shared" ca="1" si="59"/>
        <v>33.519193610033234</v>
      </c>
      <c r="Q94" s="46">
        <f t="shared" ca="1" si="59"/>
        <v>34.018459874990555</v>
      </c>
      <c r="R94" s="46">
        <f t="shared" ca="1" si="59"/>
        <v>34.473628913062669</v>
      </c>
      <c r="S94" s="46">
        <f t="shared" ca="1" si="59"/>
        <v>34.884301838838603</v>
      </c>
      <c r="T94" s="46">
        <f t="shared" ca="1" si="59"/>
        <v>35.24992071646971</v>
      </c>
      <c r="U94" s="46">
        <f t="shared" ca="1" si="59"/>
        <v>35.569767008708759</v>
      </c>
      <c r="V94" s="46">
        <f t="shared" ca="1" si="59"/>
        <v>35.842958037058523</v>
      </c>
      <c r="W94" s="46">
        <f t="shared" ca="1" si="59"/>
        <v>36.294415145519778</v>
      </c>
      <c r="X94" s="46">
        <f t="shared" ca="1" si="59"/>
        <v>36.721927883447719</v>
      </c>
      <c r="Y94" s="46">
        <f t="shared" ca="1" si="59"/>
        <v>37.125759498039784</v>
      </c>
      <c r="Z94" s="46">
        <f t="shared" ca="1" si="59"/>
        <v>37.506127660064749</v>
      </c>
      <c r="AA94" s="46">
        <f t="shared" ca="1" si="59"/>
        <v>37.863206783249204</v>
      </c>
      <c r="AB94" s="46">
        <f t="shared" ca="1" si="59"/>
        <v>38.197130006707098</v>
      </c>
      <c r="AC94" s="46">
        <f t="shared" ca="1" si="59"/>
        <v>38.507990871892332</v>
      </c>
      <c r="AD94" s="46">
        <f t="shared" ca="1" si="59"/>
        <v>38.795844720449722</v>
      </c>
      <c r="AE94" s="46">
        <f t="shared" ca="1" si="59"/>
        <v>39.060709834910895</v>
      </c>
      <c r="AF94" s="46">
        <f t="shared" ca="1" si="59"/>
        <v>39.302568340301526</v>
      </c>
      <c r="AG94" s="46">
        <f t="shared" ca="1" si="59"/>
        <v>39.774201801258933</v>
      </c>
      <c r="AH94" s="46">
        <f t="shared" ca="1" si="59"/>
        <v>40.229937656868437</v>
      </c>
      <c r="AI94" s="46">
        <f t="shared" ca="1" si="59"/>
        <v>40.669915435412662</v>
      </c>
      <c r="AJ94" s="46">
        <f t="shared" ca="1" si="59"/>
        <v>41.094252552676139</v>
      </c>
      <c r="AK94" s="46">
        <f t="shared" ca="1" si="59"/>
        <v>41.50304534189813</v>
      </c>
      <c r="AL94" s="46">
        <f t="shared" ca="1" si="59"/>
        <v>41.896369960635646</v>
      </c>
      <c r="AM94" s="46">
        <f t="shared" ca="1" si="59"/>
        <v>42.274283185193333</v>
      </c>
      <c r="AN94" s="46">
        <f t="shared" ca="1" si="59"/>
        <v>42.636823101850972</v>
      </c>
      <c r="AO94" s="46">
        <f t="shared" ca="1" si="59"/>
        <v>42.984009702867368</v>
      </c>
      <c r="AP94" s="46">
        <f t="shared" ca="1" si="59"/>
        <v>43.31584539413452</v>
      </c>
      <c r="AQ94" s="46">
        <f t="shared" ca="1" si="59"/>
        <v>43.881842280964648</v>
      </c>
      <c r="AR94" s="46">
        <f t="shared" ca="1" si="59"/>
        <v>44.429046190764645</v>
      </c>
      <c r="AS94" s="46">
        <f t="shared" ca="1" si="59"/>
        <v>44.963675654616388</v>
      </c>
      <c r="AT94" s="46">
        <f t="shared" ca="1" si="59"/>
        <v>45.485854849047215</v>
      </c>
      <c r="AU94" s="46">
        <f t="shared" ca="1" si="59"/>
        <v>45.995692377430437</v>
      </c>
      <c r="AV94" s="46">
        <f t="shared" ca="1" si="59"/>
        <v>46.493282078051422</v>
      </c>
      <c r="AW94" s="46">
        <f t="shared" ca="1" si="59"/>
        <v>46.978703750033212</v>
      </c>
      <c r="AX94" s="46">
        <f t="shared" ca="1" si="59"/>
        <v>47.452023804638685</v>
      </c>
      <c r="AY94" s="46">
        <f t="shared" ca="1" si="59"/>
        <v>47.913295848563351</v>
      </c>
      <c r="AZ94" s="46">
        <f t="shared" ca="1" si="59"/>
        <v>48.315417512257866</v>
      </c>
      <c r="BA94" s="46">
        <f t="shared" ca="1" si="59"/>
        <v>48.773593947030264</v>
      </c>
      <c r="BB94" s="46">
        <f t="shared" ca="1" si="59"/>
        <v>49.215072693645787</v>
      </c>
      <c r="BC94" s="46">
        <f t="shared" ca="1" si="59"/>
        <v>49.640088501651789</v>
      </c>
      <c r="BD94" s="46">
        <f t="shared" ca="1" si="59"/>
        <v>50.048852745906487</v>
      </c>
      <c r="BE94" s="46">
        <f t="shared" ca="1" si="59"/>
        <v>50.44155469719766</v>
      </c>
      <c r="BF94" s="46">
        <f t="shared" ca="1" si="59"/>
        <v>50.818362663840759</v>
      </c>
      <c r="BG94" s="46">
        <f t="shared" ca="1" si="59"/>
        <v>51.179425016228137</v>
      </c>
      <c r="BH94" s="46">
        <f t="shared" ca="1" si="59"/>
        <v>51.52487110483122</v>
      </c>
      <c r="BI94" s="46">
        <f t="shared" ca="1" si="59"/>
        <v>51.854812080872222</v>
      </c>
      <c r="BJ94" s="46">
        <f t="shared" ca="1" si="59"/>
        <v>52.169341627756758</v>
      </c>
      <c r="BK94" s="46">
        <f t="shared" ca="1" si="59"/>
        <v>52.562847580951804</v>
      </c>
      <c r="BL94" s="46">
        <f t="shared" ca="1" si="59"/>
        <v>52.938024097822755</v>
      </c>
      <c r="BM94" s="46">
        <f t="shared" ca="1" si="59"/>
        <v>53.295150539995163</v>
      </c>
      <c r="BN94" s="46">
        <f t="shared" ca="1" si="59"/>
        <v>53.63448065667761</v>
      </c>
      <c r="BO94" s="46">
        <f t="shared" ca="1" si="59"/>
        <v>53.956243970926131</v>
      </c>
      <c r="BP94" s="46">
        <f t="shared" ref="BP94:CN94" ca="1" si="60">BP80+BP92</f>
        <v>54.260647027648929</v>
      </c>
      <c r="BQ94" s="46">
        <f t="shared" ca="1" si="60"/>
        <v>54.547874515995595</v>
      </c>
      <c r="BR94" s="46">
        <f t="shared" ca="1" si="60"/>
        <v>54.81809027723601</v>
      </c>
      <c r="BS94" s="46">
        <f t="shared" ca="1" si="60"/>
        <v>55.071438207886942</v>
      </c>
      <c r="BT94" s="46">
        <f t="shared" ca="1" si="60"/>
        <v>55.308043066660545</v>
      </c>
      <c r="BU94" s="46">
        <f t="shared" ca="1" si="60"/>
        <v>55.788612730619931</v>
      </c>
      <c r="BV94" s="46">
        <f t="shared" ca="1" si="60"/>
        <v>56.250454712805833</v>
      </c>
      <c r="BW94" s="46">
        <f t="shared" ca="1" si="60"/>
        <v>56.693791313069212</v>
      </c>
      <c r="BX94" s="46">
        <f t="shared" ca="1" si="60"/>
        <v>57.118819201131039</v>
      </c>
      <c r="BY94" s="46">
        <f t="shared" ca="1" si="60"/>
        <v>57.525710669924564</v>
      </c>
      <c r="BZ94" s="46">
        <f t="shared" ca="1" si="60"/>
        <v>57.914614753244557</v>
      </c>
      <c r="CA94" s="46">
        <f t="shared" ca="1" si="60"/>
        <v>58.285658219486663</v>
      </c>
      <c r="CB94" s="46">
        <f t="shared" ca="1" si="60"/>
        <v>58.63894645176773</v>
      </c>
      <c r="CC94" s="46">
        <f t="shared" ca="1" si="60"/>
        <v>58.974564223408024</v>
      </c>
      <c r="CD94" s="46">
        <f t="shared" ca="1" si="60"/>
        <v>59.292576376597097</v>
      </c>
      <c r="CE94" s="46">
        <f t="shared" ca="1" si="60"/>
        <v>59.842314071653838</v>
      </c>
      <c r="CF94" s="46">
        <f t="shared" ca="1" si="60"/>
        <v>60.373400238288099</v>
      </c>
      <c r="CG94" s="46">
        <f t="shared" ca="1" si="60"/>
        <v>60.886027753135849</v>
      </c>
      <c r="CH94" s="46">
        <f t="shared" ca="1" si="60"/>
        <v>61.380365138208958</v>
      </c>
      <c r="CI94" s="46">
        <f t="shared" ca="1" si="60"/>
        <v>61.856557718492027</v>
      </c>
      <c r="CJ94" s="46">
        <f t="shared" ca="1" si="60"/>
        <v>62.314728653412118</v>
      </c>
      <c r="CK94" s="46">
        <f t="shared" ca="1" si="60"/>
        <v>62.754979852990928</v>
      </c>
      <c r="CL94" s="46">
        <f t="shared" ca="1" si="60"/>
        <v>63.177392788124948</v>
      </c>
      <c r="CM94" s="46">
        <f t="shared" ca="1" si="60"/>
        <v>63.582029203243714</v>
      </c>
      <c r="CN94" s="46">
        <f t="shared" ca="1" si="60"/>
        <v>63.968931738535552</v>
      </c>
    </row>
    <row r="95" spans="1:99" s="46" customFormat="1" x14ac:dyDescent="0.15"/>
    <row r="97" spans="1:92" s="46" customFormat="1" x14ac:dyDescent="0.15">
      <c r="A97" s="1"/>
      <c r="B97" s="1"/>
    </row>
    <row r="98" spans="1:92" x14ac:dyDescent="0.15">
      <c r="A98" s="46" t="str">
        <f>WaterfallData!A85</f>
        <v>TIC</v>
      </c>
      <c r="B98" s="46">
        <f ca="1">WaterfallData!B85</f>
        <v>1.6196451683839161</v>
      </c>
      <c r="C98" s="46">
        <f ca="1">WaterfallData!C85</f>
        <v>1.6423196047544479</v>
      </c>
      <c r="D98" s="46">
        <f ca="1">WaterfallData!D85</f>
        <v>1.6649940411249797</v>
      </c>
      <c r="E98" s="46">
        <f ca="1">WaterfallData!E85</f>
        <v>1.6876684774955115</v>
      </c>
      <c r="F98" s="46">
        <f ca="1">WaterfallData!F85</f>
        <v>1.7103429138660433</v>
      </c>
      <c r="G98" s="46">
        <f ca="1">WaterfallData!G85</f>
        <v>1.7330173502365751</v>
      </c>
      <c r="H98" s="46">
        <f ca="1">WaterfallData!H85</f>
        <v>1.7556917866071069</v>
      </c>
      <c r="I98" s="46">
        <f ca="1">WaterfallData!I85</f>
        <v>1.7783662229776387</v>
      </c>
      <c r="J98" s="46">
        <f ca="1">WaterfallData!J85</f>
        <v>1.8010406593481705</v>
      </c>
      <c r="K98" s="46">
        <f ca="1">WaterfallData!K85</f>
        <v>1.8237150957187023</v>
      </c>
      <c r="L98" s="46">
        <f ca="1">WaterfallData!L85</f>
        <v>1.8463895320892334</v>
      </c>
      <c r="M98" s="46">
        <f ca="1">WaterfallData!M85</f>
        <v>1.8632360716660819</v>
      </c>
      <c r="N98" s="46">
        <f ca="1">WaterfallData!N85</f>
        <v>1.8800826112429303</v>
      </c>
      <c r="O98" s="46">
        <f ca="1">WaterfallData!O85</f>
        <v>1.8969291508197788</v>
      </c>
      <c r="P98" s="46">
        <f ca="1">WaterfallData!P85</f>
        <v>1.9137756903966272</v>
      </c>
      <c r="Q98" s="46">
        <f ca="1">WaterfallData!Q85</f>
        <v>1.9306222299734757</v>
      </c>
      <c r="R98" s="46">
        <f ca="1">WaterfallData!R85</f>
        <v>1.9474687695503241</v>
      </c>
      <c r="S98" s="46">
        <f ca="1">WaterfallData!S85</f>
        <v>1.9643153091271726</v>
      </c>
      <c r="T98" s="46">
        <f ca="1">WaterfallData!T85</f>
        <v>1.981161848704021</v>
      </c>
      <c r="U98" s="46">
        <f ca="1">WaterfallData!U85</f>
        <v>1.9980083882808695</v>
      </c>
      <c r="V98" s="46">
        <f ca="1">WaterfallData!V85</f>
        <v>2.014854927857717</v>
      </c>
      <c r="W98" s="46">
        <f ca="1">WaterfallData!W85</f>
        <v>2.023089228073756</v>
      </c>
      <c r="X98" s="46">
        <f ca="1">WaterfallData!X85</f>
        <v>2.031323528289795</v>
      </c>
      <c r="Y98" s="46">
        <f ca="1">WaterfallData!Y85</f>
        <v>2.039557828505834</v>
      </c>
      <c r="Z98" s="46">
        <f ca="1">WaterfallData!Z85</f>
        <v>2.047792128721873</v>
      </c>
      <c r="AA98" s="46">
        <f ca="1">WaterfallData!AA85</f>
        <v>2.056026428937912</v>
      </c>
      <c r="AB98" s="46">
        <f ca="1">WaterfallData!AB85</f>
        <v>2.064260729153951</v>
      </c>
      <c r="AC98" s="46">
        <f ca="1">WaterfallData!AC85</f>
        <v>2.07249502936999</v>
      </c>
      <c r="AD98" s="46">
        <f ca="1">WaterfallData!AD85</f>
        <v>2.080729329586029</v>
      </c>
      <c r="AE98" s="46">
        <f ca="1">WaterfallData!AE85</f>
        <v>2.088963629802068</v>
      </c>
      <c r="AF98" s="46">
        <f ca="1">WaterfallData!AF85</f>
        <v>2.0971979300181069</v>
      </c>
      <c r="AG98" s="46">
        <f ca="1">WaterfallData!AG85</f>
        <v>2.1167549530665077</v>
      </c>
      <c r="AH98" s="46">
        <f ca="1">WaterfallData!AH85</f>
        <v>2.1363119761149085</v>
      </c>
      <c r="AI98" s="46">
        <f ca="1">WaterfallData!AI85</f>
        <v>2.1558689991633093</v>
      </c>
      <c r="AJ98" s="46">
        <f ca="1">WaterfallData!AJ85</f>
        <v>2.1754260222117101</v>
      </c>
      <c r="AK98" s="46">
        <f ca="1">WaterfallData!AK85</f>
        <v>2.1949830452601109</v>
      </c>
      <c r="AL98" s="46">
        <f ca="1">WaterfallData!AL85</f>
        <v>2.2145400683085117</v>
      </c>
      <c r="AM98" s="46">
        <f ca="1">WaterfallData!AM85</f>
        <v>2.2340970913569125</v>
      </c>
      <c r="AN98" s="46">
        <f ca="1">WaterfallData!AN85</f>
        <v>2.2536541144053133</v>
      </c>
      <c r="AO98" s="46">
        <f ca="1">WaterfallData!AO85</f>
        <v>2.2732111374537141</v>
      </c>
      <c r="AP98" s="46">
        <f ca="1">WaterfallData!AP85</f>
        <v>2.2927681605021157</v>
      </c>
      <c r="AQ98" s="46">
        <f ca="1">WaterfallData!AQ85</f>
        <v>2.3170106848080954</v>
      </c>
      <c r="AR98" s="46">
        <f ca="1">WaterfallData!AR85</f>
        <v>2.3412532091140745</v>
      </c>
      <c r="AS98" s="46">
        <f ca="1">WaterfallData!AS85</f>
        <v>2.3654957334200537</v>
      </c>
      <c r="AT98" s="46">
        <f ca="1">WaterfallData!AT85</f>
        <v>2.3897382577260329</v>
      </c>
      <c r="AU98" s="46">
        <f ca="1">WaterfallData!AU85</f>
        <v>2.4139807820320121</v>
      </c>
      <c r="AV98" s="46">
        <f ca="1">WaterfallData!AV85</f>
        <v>2.4382233063379912</v>
      </c>
      <c r="AW98" s="46">
        <f ca="1">WaterfallData!AW85</f>
        <v>2.4624658306439704</v>
      </c>
      <c r="AX98" s="46">
        <f ca="1">WaterfallData!AX85</f>
        <v>2.4867083549499496</v>
      </c>
      <c r="AY98" s="46">
        <f ca="1">WaterfallData!AY85</f>
        <v>2.5109508792559287</v>
      </c>
      <c r="AZ98" s="46">
        <f ca="1">WaterfallData!AZ85</f>
        <v>2.5351934035619097</v>
      </c>
      <c r="BA98" s="46">
        <f ca="1">WaterfallData!BA85</f>
        <v>2.5452103098233536</v>
      </c>
      <c r="BB98" s="46">
        <f ca="1">WaterfallData!BB85</f>
        <v>2.5552272160847975</v>
      </c>
      <c r="BC98" s="46">
        <f ca="1">WaterfallData!BC85</f>
        <v>2.5652441223462414</v>
      </c>
      <c r="BD98" s="46">
        <f ca="1">WaterfallData!BD85</f>
        <v>2.5752610286076854</v>
      </c>
      <c r="BE98" s="46">
        <f ca="1">WaterfallData!BE85</f>
        <v>2.5852779348691293</v>
      </c>
      <c r="BF98" s="46">
        <f ca="1">WaterfallData!BF85</f>
        <v>2.5952948411305732</v>
      </c>
      <c r="BG98" s="46">
        <f ca="1">WaterfallData!BG85</f>
        <v>2.6053117473920171</v>
      </c>
      <c r="BH98" s="46">
        <f ca="1">WaterfallData!BH85</f>
        <v>2.615328653653461</v>
      </c>
      <c r="BI98" s="46">
        <f ca="1">WaterfallData!BI85</f>
        <v>2.6253455599149049</v>
      </c>
      <c r="BJ98" s="46">
        <f ca="1">WaterfallData!BJ85</f>
        <v>2.6353624661763506</v>
      </c>
      <c r="BK98" s="46">
        <f ca="1">WaterfallData!BK85</f>
        <v>2.6603376368681588</v>
      </c>
      <c r="BL98" s="46">
        <f ca="1">WaterfallData!BL85</f>
        <v>2.685312807559967</v>
      </c>
      <c r="BM98" s="46">
        <f ca="1">WaterfallData!BM85</f>
        <v>2.7102879782517753</v>
      </c>
      <c r="BN98" s="46">
        <f ca="1">WaterfallData!BN85</f>
        <v>2.7352631489435835</v>
      </c>
      <c r="BO98" s="46">
        <f ca="1">WaterfallData!BO85</f>
        <v>2.7602383196353917</v>
      </c>
      <c r="BP98" s="46">
        <f ca="1">WaterfallData!BP85</f>
        <v>2.7852134903271999</v>
      </c>
      <c r="BQ98" s="46">
        <f ca="1">WaterfallData!BQ85</f>
        <v>2.8101886610190081</v>
      </c>
      <c r="BR98" s="46">
        <f ca="1">WaterfallData!BR85</f>
        <v>2.8351638317108163</v>
      </c>
      <c r="BS98" s="46">
        <f ca="1">WaterfallData!BS85</f>
        <v>2.8601390024026245</v>
      </c>
      <c r="BT98" s="46">
        <f ca="1">WaterfallData!BT85</f>
        <v>2.8851141730944314</v>
      </c>
      <c r="BU98" s="46">
        <f ca="1">WaterfallData!BU85</f>
        <v>2.9290259460608161</v>
      </c>
      <c r="BV98" s="46">
        <f ca="1">WaterfallData!BV85</f>
        <v>2.9729377190272008</v>
      </c>
      <c r="BW98" s="46">
        <f ca="1">WaterfallData!BW85</f>
        <v>3.0168494919935855</v>
      </c>
      <c r="BX98" s="46">
        <f ca="1">WaterfallData!BX85</f>
        <v>3.0607612649599703</v>
      </c>
      <c r="BY98" s="46">
        <f ca="1">WaterfallData!BY85</f>
        <v>3.104673037926355</v>
      </c>
      <c r="BZ98" s="46">
        <f ca="1">WaterfallData!BZ85</f>
        <v>3.1485848108927397</v>
      </c>
      <c r="CA98" s="46">
        <f ca="1">WaterfallData!CA85</f>
        <v>3.1924965838591244</v>
      </c>
      <c r="CB98" s="46">
        <f ca="1">WaterfallData!CB85</f>
        <v>3.2364083568255091</v>
      </c>
      <c r="CC98" s="46">
        <f ca="1">WaterfallData!CC85</f>
        <v>3.2803201297918938</v>
      </c>
      <c r="CD98" s="46">
        <f ca="1">WaterfallData!CD85</f>
        <v>3.3242319027582803</v>
      </c>
      <c r="CE98" s="46">
        <f ca="1">WaterfallData!CE85</f>
        <v>3.363274308045705</v>
      </c>
      <c r="CF98" s="46">
        <f ca="1">WaterfallData!CF85</f>
        <v>3.4023167133331298</v>
      </c>
      <c r="CG98" s="46">
        <f ca="1">WaterfallData!CG85</f>
        <v>3.4413591186205545</v>
      </c>
      <c r="CH98" s="46">
        <f ca="1">WaterfallData!CH85</f>
        <v>3.4804015239079793</v>
      </c>
      <c r="CI98" s="46">
        <f ca="1">WaterfallData!CI85</f>
        <v>3.5194439291954041</v>
      </c>
      <c r="CJ98" s="46">
        <f ca="1">WaterfallData!CJ85</f>
        <v>3.5584863344828288</v>
      </c>
      <c r="CK98" s="46">
        <f ca="1">WaterfallData!CK85</f>
        <v>3.5975287397702536</v>
      </c>
      <c r="CL98" s="46">
        <f ca="1">WaterfallData!CL85</f>
        <v>3.6365711450576783</v>
      </c>
      <c r="CM98" s="46">
        <f ca="1">WaterfallData!CM85</f>
        <v>3.6756135503451031</v>
      </c>
      <c r="CN98" s="46">
        <f ca="1">WaterfallData!CN85</f>
        <v>3.7146559556325274</v>
      </c>
    </row>
    <row r="99" spans="1:92" s="46" customFormat="1" x14ac:dyDescent="0.15">
      <c r="A99" s="46" t="str">
        <f>WaterfallData!A86</f>
        <v>NIC (Net Industry Carbon)</v>
      </c>
      <c r="B99" s="46">
        <f ca="1">WaterfallData!B86</f>
        <v>1.6196451683839161</v>
      </c>
      <c r="C99" s="46">
        <f ca="1">WaterfallData!C86</f>
        <v>1.6423196047544479</v>
      </c>
      <c r="D99" s="46">
        <f ca="1">WaterfallData!D86</f>
        <v>1.6649940411249797</v>
      </c>
      <c r="E99" s="46">
        <f ca="1">WaterfallData!E86</f>
        <v>1.6876684774955115</v>
      </c>
      <c r="F99" s="46">
        <f ca="1">WaterfallData!F86</f>
        <v>1.7103429138660433</v>
      </c>
      <c r="G99" s="46">
        <f ca="1">WaterfallData!G86</f>
        <v>1.7330173502365751</v>
      </c>
      <c r="H99" s="46">
        <f ca="1">WaterfallData!H86</f>
        <v>1.7556917866071069</v>
      </c>
      <c r="I99" s="46">
        <f ca="1">WaterfallData!I86</f>
        <v>1.7783662229776387</v>
      </c>
      <c r="J99" s="46">
        <f ca="1">WaterfallData!J86</f>
        <v>1.8010406593481705</v>
      </c>
      <c r="K99" s="46">
        <f ca="1">WaterfallData!K86</f>
        <v>1.8237150957187023</v>
      </c>
      <c r="L99" s="46">
        <f ca="1">WaterfallData!L86</f>
        <v>1.8463895320892334</v>
      </c>
      <c r="M99" s="46">
        <f ca="1">WaterfallData!M86</f>
        <v>1.8632360716660819</v>
      </c>
      <c r="N99" s="46">
        <f ca="1">WaterfallData!N86</f>
        <v>1.8800826112429303</v>
      </c>
      <c r="O99" s="46">
        <f ca="1">WaterfallData!O86</f>
        <v>1.8969291508197788</v>
      </c>
      <c r="P99" s="46">
        <f ca="1">WaterfallData!P86</f>
        <v>1.9137756903966272</v>
      </c>
      <c r="Q99" s="46">
        <f ca="1">WaterfallData!Q86</f>
        <v>1.9306222299734757</v>
      </c>
      <c r="R99" s="46">
        <f ca="1">WaterfallData!R86</f>
        <v>1.9474687695503241</v>
      </c>
      <c r="S99" s="46">
        <f ca="1">WaterfallData!S86</f>
        <v>1.9643153091271726</v>
      </c>
      <c r="T99" s="46">
        <f ca="1">WaterfallData!T86</f>
        <v>1.981161848704021</v>
      </c>
      <c r="U99" s="46">
        <f ca="1">WaterfallData!U86</f>
        <v>1.9980083882808695</v>
      </c>
      <c r="V99" s="46">
        <f ca="1">WaterfallData!V86</f>
        <v>2.014854927857717</v>
      </c>
      <c r="W99" s="46">
        <f ca="1">WaterfallData!W86</f>
        <v>2.023089228073756</v>
      </c>
      <c r="X99" s="46">
        <f ca="1">WaterfallData!X86</f>
        <v>2.031323528289795</v>
      </c>
      <c r="Y99" s="46">
        <f ca="1">WaterfallData!Y86</f>
        <v>2.039557828505834</v>
      </c>
      <c r="Z99" s="46">
        <f ca="1">WaterfallData!Z86</f>
        <v>2.047792128721873</v>
      </c>
      <c r="AA99" s="46">
        <f ca="1">WaterfallData!AA86</f>
        <v>2.056026428937912</v>
      </c>
      <c r="AB99" s="46">
        <f ca="1">WaterfallData!AB86</f>
        <v>2.064260729153951</v>
      </c>
      <c r="AC99" s="46">
        <f ca="1">WaterfallData!AC86</f>
        <v>2.07249502936999</v>
      </c>
      <c r="AD99" s="46">
        <f ca="1">WaterfallData!AD86</f>
        <v>2.080729329586029</v>
      </c>
      <c r="AE99" s="46">
        <f ca="1">WaterfallData!AE86</f>
        <v>2.088963629802068</v>
      </c>
      <c r="AF99" s="46">
        <f ca="1">WaterfallData!AF86</f>
        <v>2.0971979300181069</v>
      </c>
      <c r="AG99" s="46">
        <f ca="1">WaterfallData!AG86</f>
        <v>2.1167549530665077</v>
      </c>
      <c r="AH99" s="46">
        <f ca="1">WaterfallData!AH86</f>
        <v>2.1363119761149085</v>
      </c>
      <c r="AI99" s="46">
        <f ca="1">WaterfallData!AI86</f>
        <v>2.1558689991633093</v>
      </c>
      <c r="AJ99" s="46">
        <f ca="1">WaterfallData!AJ86</f>
        <v>2.1754260222117101</v>
      </c>
      <c r="AK99" s="46">
        <f ca="1">WaterfallData!AK86</f>
        <v>2.1949830452601109</v>
      </c>
      <c r="AL99" s="46">
        <f ca="1">WaterfallData!AL86</f>
        <v>2.2145400683085117</v>
      </c>
      <c r="AM99" s="46">
        <f ca="1">WaterfallData!AM86</f>
        <v>2.2340970913569125</v>
      </c>
      <c r="AN99" s="46">
        <f ca="1">WaterfallData!AN86</f>
        <v>2.2536541144053133</v>
      </c>
      <c r="AO99" s="46">
        <f ca="1">WaterfallData!AO86</f>
        <v>2.2732111374537141</v>
      </c>
      <c r="AP99" s="46">
        <f ca="1">WaterfallData!AP86</f>
        <v>2.2927681605021157</v>
      </c>
      <c r="AQ99" s="46">
        <f ca="1">WaterfallData!AQ86</f>
        <v>2.3170106848080954</v>
      </c>
      <c r="AR99" s="46">
        <f ca="1">WaterfallData!AR86</f>
        <v>2.3412532091140745</v>
      </c>
      <c r="AS99" s="46">
        <f ca="1">WaterfallData!AS86</f>
        <v>2.3654957334200537</v>
      </c>
      <c r="AT99" s="46">
        <f ca="1">WaterfallData!AT86</f>
        <v>2.3897382577260329</v>
      </c>
      <c r="AU99" s="46">
        <f ca="1">WaterfallData!AU86</f>
        <v>2.4139807820320121</v>
      </c>
      <c r="AV99" s="46">
        <f ca="1">WaterfallData!AV86</f>
        <v>2.4382233063379912</v>
      </c>
      <c r="AW99" s="46">
        <f ca="1">WaterfallData!AW86</f>
        <v>2.4624658306439704</v>
      </c>
      <c r="AX99" s="46">
        <f ca="1">WaterfallData!AX86</f>
        <v>2.4867083549499496</v>
      </c>
      <c r="AY99" s="46">
        <f ca="1">WaterfallData!AY86</f>
        <v>2.5109508792559287</v>
      </c>
      <c r="AZ99" s="46">
        <f ca="1">WaterfallData!AZ86</f>
        <v>2.5351934035619097</v>
      </c>
      <c r="BA99" s="46">
        <f ca="1">WaterfallData!BA86</f>
        <v>2.5452103098233536</v>
      </c>
      <c r="BB99" s="46">
        <f ca="1">WaterfallData!BB86</f>
        <v>2.5552272160847975</v>
      </c>
      <c r="BC99" s="46">
        <f ca="1">WaterfallData!BC86</f>
        <v>2.5652441223462414</v>
      </c>
      <c r="BD99" s="46">
        <f ca="1">WaterfallData!BD86</f>
        <v>2.5752610286076854</v>
      </c>
      <c r="BE99" s="46">
        <f ca="1">WaterfallData!BE86</f>
        <v>2.5852779348691293</v>
      </c>
      <c r="BF99" s="46">
        <f ca="1">WaterfallData!BF86</f>
        <v>2.5952948411305732</v>
      </c>
      <c r="BG99" s="46">
        <f ca="1">WaterfallData!BG86</f>
        <v>2.6053117473920171</v>
      </c>
      <c r="BH99" s="46">
        <f ca="1">WaterfallData!BH86</f>
        <v>2.615328653653461</v>
      </c>
      <c r="BI99" s="46">
        <f ca="1">WaterfallData!BI86</f>
        <v>2.6253455599149049</v>
      </c>
      <c r="BJ99" s="46">
        <f ca="1">WaterfallData!BJ86</f>
        <v>2.6353624661763506</v>
      </c>
      <c r="BK99" s="46">
        <f ca="1">WaterfallData!BK86</f>
        <v>2.6603376368681588</v>
      </c>
      <c r="BL99" s="46">
        <f ca="1">WaterfallData!BL86</f>
        <v>2.685312807559967</v>
      </c>
      <c r="BM99" s="46">
        <f ca="1">WaterfallData!BM86</f>
        <v>2.7102879782517753</v>
      </c>
      <c r="BN99" s="46">
        <f ca="1">WaterfallData!BN86</f>
        <v>2.7352631489435835</v>
      </c>
      <c r="BO99" s="46">
        <f ca="1">WaterfallData!BO86</f>
        <v>2.7602383196353917</v>
      </c>
      <c r="BP99" s="46">
        <f ca="1">WaterfallData!BP86</f>
        <v>2.7852134903271999</v>
      </c>
      <c r="BQ99" s="46">
        <f ca="1">WaterfallData!BQ86</f>
        <v>2.8101886610190081</v>
      </c>
      <c r="BR99" s="46">
        <f ca="1">WaterfallData!BR86</f>
        <v>2.8351638317108163</v>
      </c>
      <c r="BS99" s="46">
        <f ca="1">WaterfallData!BS86</f>
        <v>2.8601390024026245</v>
      </c>
      <c r="BT99" s="46">
        <f ca="1">WaterfallData!BT86</f>
        <v>2.8851141730944314</v>
      </c>
      <c r="BU99" s="46">
        <f ca="1">WaterfallData!BU86</f>
        <v>2.9290259460608161</v>
      </c>
      <c r="BV99" s="46">
        <f ca="1">WaterfallData!BV86</f>
        <v>2.9729377190272008</v>
      </c>
      <c r="BW99" s="46">
        <f ca="1">WaterfallData!BW86</f>
        <v>3.0168494919935855</v>
      </c>
      <c r="BX99" s="46">
        <f ca="1">WaterfallData!BX86</f>
        <v>3.0607612649599703</v>
      </c>
      <c r="BY99" s="46">
        <f ca="1">WaterfallData!BY86</f>
        <v>3.104673037926355</v>
      </c>
      <c r="BZ99" s="46">
        <f ca="1">WaterfallData!BZ86</f>
        <v>3.1485848108927397</v>
      </c>
      <c r="CA99" s="46">
        <f ca="1">WaterfallData!CA86</f>
        <v>3.1924965838591244</v>
      </c>
      <c r="CB99" s="46">
        <f ca="1">WaterfallData!CB86</f>
        <v>3.2364083568255091</v>
      </c>
      <c r="CC99" s="46">
        <f ca="1">WaterfallData!CC86</f>
        <v>3.2803201297918938</v>
      </c>
      <c r="CD99" s="46">
        <f ca="1">WaterfallData!CD86</f>
        <v>3.3242319027582803</v>
      </c>
      <c r="CE99" s="46">
        <f ca="1">WaterfallData!CE86</f>
        <v>3.363274308045705</v>
      </c>
      <c r="CF99" s="46">
        <f ca="1">WaterfallData!CF86</f>
        <v>3.4023167133331298</v>
      </c>
      <c r="CG99" s="46">
        <f ca="1">WaterfallData!CG86</f>
        <v>3.4413591186205545</v>
      </c>
      <c r="CH99" s="46">
        <f ca="1">WaterfallData!CH86</f>
        <v>3.4804015239079793</v>
      </c>
      <c r="CI99" s="46">
        <f ca="1">WaterfallData!CI86</f>
        <v>3.5194439291954041</v>
      </c>
      <c r="CJ99" s="46">
        <f ca="1">WaterfallData!CJ86</f>
        <v>3.5584863344828288</v>
      </c>
      <c r="CK99" s="46">
        <f ca="1">WaterfallData!CK86</f>
        <v>3.5975287397702536</v>
      </c>
      <c r="CL99" s="46">
        <f ca="1">WaterfallData!CL86</f>
        <v>3.6365711450576783</v>
      </c>
      <c r="CM99" s="46">
        <f ca="1">WaterfallData!CM86</f>
        <v>3.6756135503451031</v>
      </c>
      <c r="CN99" s="46">
        <f ca="1">WaterfallData!CN86</f>
        <v>3.7146559556325274</v>
      </c>
    </row>
    <row r="100" spans="1:92" x14ac:dyDescent="0.15">
      <c r="A100" s="46" t="str">
        <f>WaterfallData!A87</f>
        <v>other gases</v>
      </c>
      <c r="B100" s="46">
        <f ca="1">WaterfallData!B87</f>
        <v>13.334865283349865</v>
      </c>
      <c r="C100" s="46">
        <f ca="1">WaterfallData!C87</f>
        <v>13.595352721688675</v>
      </c>
      <c r="D100" s="46">
        <f ca="1">WaterfallData!D87</f>
        <v>13.855840160027485</v>
      </c>
      <c r="E100" s="46">
        <f ca="1">WaterfallData!E87</f>
        <v>14.116327598366295</v>
      </c>
      <c r="F100" s="46">
        <f ca="1">WaterfallData!F87</f>
        <v>14.376815036705105</v>
      </c>
      <c r="G100" s="46">
        <f ca="1">WaterfallData!G87</f>
        <v>14.637302475043915</v>
      </c>
      <c r="H100" s="46">
        <f ca="1">WaterfallData!H87</f>
        <v>14.897789913382725</v>
      </c>
      <c r="I100" s="46">
        <f ca="1">WaterfallData!I87</f>
        <v>15.158277351721535</v>
      </c>
      <c r="J100" s="46">
        <f ca="1">WaterfallData!J87</f>
        <v>15.418764790060346</v>
      </c>
      <c r="K100" s="46">
        <f ca="1">WaterfallData!K87</f>
        <v>15.679252228399156</v>
      </c>
      <c r="L100" s="46">
        <f ca="1">WaterfallData!L87</f>
        <v>15.939739666737964</v>
      </c>
      <c r="M100" s="46">
        <f ca="1">WaterfallData!M87</f>
        <v>16.122186188327223</v>
      </c>
      <c r="N100" s="46">
        <f ca="1">WaterfallData!N87</f>
        <v>16.304632709916483</v>
      </c>
      <c r="O100" s="46">
        <f ca="1">WaterfallData!O87</f>
        <v>16.487079231505742</v>
      </c>
      <c r="P100" s="46">
        <f ca="1">WaterfallData!P87</f>
        <v>16.669525753095002</v>
      </c>
      <c r="Q100" s="46">
        <f ca="1">WaterfallData!Q87</f>
        <v>16.851972274684261</v>
      </c>
      <c r="R100" s="46">
        <f ca="1">WaterfallData!R87</f>
        <v>17.034418796273521</v>
      </c>
      <c r="S100" s="46">
        <f ca="1">WaterfallData!S87</f>
        <v>17.21686531786278</v>
      </c>
      <c r="T100" s="46">
        <f ca="1">WaterfallData!T87</f>
        <v>17.399311839452039</v>
      </c>
      <c r="U100" s="46">
        <f ca="1">WaterfallData!U87</f>
        <v>17.581758361041299</v>
      </c>
      <c r="V100" s="46">
        <f ca="1">WaterfallData!V87</f>
        <v>17.764204882630548</v>
      </c>
      <c r="W100" s="46">
        <f ca="1">WaterfallData!W87</f>
        <v>17.891256840003628</v>
      </c>
      <c r="X100" s="46">
        <f ca="1">WaterfallData!X87</f>
        <v>18.018308797376712</v>
      </c>
      <c r="Y100" s="46">
        <f ca="1">WaterfallData!Y87</f>
        <v>18.145360754749795</v>
      </c>
      <c r="Z100" s="46">
        <f ca="1">WaterfallData!Z87</f>
        <v>18.272412712122879</v>
      </c>
      <c r="AA100" s="46">
        <f ca="1">WaterfallData!AA87</f>
        <v>18.399464669495963</v>
      </c>
      <c r="AB100" s="46">
        <f ca="1">WaterfallData!AB87</f>
        <v>18.526516626869046</v>
      </c>
      <c r="AC100" s="46">
        <f ca="1">WaterfallData!AC87</f>
        <v>18.65356858424213</v>
      </c>
      <c r="AD100" s="46">
        <f ca="1">WaterfallData!AD87</f>
        <v>18.780620541615214</v>
      </c>
      <c r="AE100" s="46">
        <f ca="1">WaterfallData!AE87</f>
        <v>18.907672498988298</v>
      </c>
      <c r="AF100" s="46">
        <f ca="1">WaterfallData!AF87</f>
        <v>19.034724456361367</v>
      </c>
      <c r="AG100" s="46">
        <f ca="1">WaterfallData!AG87</f>
        <v>19.132057167126931</v>
      </c>
      <c r="AH100" s="46">
        <f ca="1">WaterfallData!AH87</f>
        <v>19.229389877892494</v>
      </c>
      <c r="AI100" s="46">
        <f ca="1">WaterfallData!AI87</f>
        <v>19.326722588658058</v>
      </c>
      <c r="AJ100" s="46">
        <f ca="1">WaterfallData!AJ87</f>
        <v>19.424055299423621</v>
      </c>
      <c r="AK100" s="46">
        <f ca="1">WaterfallData!AK87</f>
        <v>19.521388010189185</v>
      </c>
      <c r="AL100" s="46">
        <f ca="1">WaterfallData!AL87</f>
        <v>19.618720720954748</v>
      </c>
      <c r="AM100" s="46">
        <f ca="1">WaterfallData!AM87</f>
        <v>19.716053431720312</v>
      </c>
      <c r="AN100" s="46">
        <f ca="1">WaterfallData!AN87</f>
        <v>19.813386142485875</v>
      </c>
      <c r="AO100" s="46">
        <f ca="1">WaterfallData!AO87</f>
        <v>19.910718853251439</v>
      </c>
      <c r="AP100" s="46">
        <f ca="1">WaterfallData!AP87</f>
        <v>20.008051564016991</v>
      </c>
      <c r="AQ100" s="46">
        <f ca="1">WaterfallData!AQ87</f>
        <v>20.033222804662653</v>
      </c>
      <c r="AR100" s="46">
        <f ca="1">WaterfallData!AR87</f>
        <v>20.058394045308315</v>
      </c>
      <c r="AS100" s="46">
        <f ca="1">WaterfallData!AS87</f>
        <v>20.083565285953977</v>
      </c>
      <c r="AT100" s="46">
        <f ca="1">WaterfallData!AT87</f>
        <v>20.108736526599639</v>
      </c>
      <c r="AU100" s="46">
        <f ca="1">WaterfallData!AU87</f>
        <v>20.133907767245301</v>
      </c>
      <c r="AV100" s="46">
        <f ca="1">WaterfallData!AV87</f>
        <v>20.159079007890963</v>
      </c>
      <c r="AW100" s="46">
        <f ca="1">WaterfallData!AW87</f>
        <v>20.184250248536625</v>
      </c>
      <c r="AX100" s="46">
        <f ca="1">WaterfallData!AX87</f>
        <v>20.209421489182287</v>
      </c>
      <c r="AY100" s="46">
        <f ca="1">WaterfallData!AY87</f>
        <v>20.234592729827948</v>
      </c>
      <c r="AZ100" s="46">
        <f ca="1">WaterfallData!AZ87</f>
        <v>20.259763970473617</v>
      </c>
      <c r="BA100" s="46">
        <f ca="1">WaterfallData!BA87</f>
        <v>20.316264623295453</v>
      </c>
      <c r="BB100" s="46">
        <f ca="1">WaterfallData!BB87</f>
        <v>20.372765276117288</v>
      </c>
      <c r="BC100" s="46">
        <f ca="1">WaterfallData!BC87</f>
        <v>20.429265928939124</v>
      </c>
      <c r="BD100" s="46">
        <f ca="1">WaterfallData!BD87</f>
        <v>20.485766581760959</v>
      </c>
      <c r="BE100" s="46">
        <f ca="1">WaterfallData!BE87</f>
        <v>20.542267234582795</v>
      </c>
      <c r="BF100" s="46">
        <f ca="1">WaterfallData!BF87</f>
        <v>20.59876788740463</v>
      </c>
      <c r="BG100" s="46">
        <f ca="1">WaterfallData!BG87</f>
        <v>20.655268540226466</v>
      </c>
      <c r="BH100" s="46">
        <f ca="1">WaterfallData!BH87</f>
        <v>20.711769193048301</v>
      </c>
      <c r="BI100" s="46">
        <f ca="1">WaterfallData!BI87</f>
        <v>20.768269845870137</v>
      </c>
      <c r="BJ100" s="46">
        <f ca="1">WaterfallData!BJ87</f>
        <v>20.824770498691962</v>
      </c>
      <c r="BK100" s="46">
        <f ca="1">WaterfallData!BK87</f>
        <v>20.901965716265156</v>
      </c>
      <c r="BL100" s="46">
        <f ca="1">WaterfallData!BL87</f>
        <v>20.979160933838351</v>
      </c>
      <c r="BM100" s="46">
        <f ca="1">WaterfallData!BM87</f>
        <v>21.056356151411546</v>
      </c>
      <c r="BN100" s="46">
        <f ca="1">WaterfallData!BN87</f>
        <v>21.13355136898474</v>
      </c>
      <c r="BO100" s="46">
        <f ca="1">WaterfallData!BO87</f>
        <v>21.210746586557935</v>
      </c>
      <c r="BP100" s="46">
        <f ca="1">WaterfallData!BP87</f>
        <v>21.28794180413113</v>
      </c>
      <c r="BQ100" s="46">
        <f ca="1">WaterfallData!BQ87</f>
        <v>21.365137021704324</v>
      </c>
      <c r="BR100" s="46">
        <f ca="1">WaterfallData!BR87</f>
        <v>21.442332239277519</v>
      </c>
      <c r="BS100" s="46">
        <f ca="1">WaterfallData!BS87</f>
        <v>21.519527456850714</v>
      </c>
      <c r="BT100" s="46">
        <f ca="1">WaterfallData!BT87</f>
        <v>21.596722674423901</v>
      </c>
      <c r="BU100" s="46">
        <f ca="1">WaterfallData!BU87</f>
        <v>21.660614256164681</v>
      </c>
      <c r="BV100" s="46">
        <f ca="1">WaterfallData!BV87</f>
        <v>21.724505837905461</v>
      </c>
      <c r="BW100" s="46">
        <f ca="1">WaterfallData!BW87</f>
        <v>21.788397419646241</v>
      </c>
      <c r="BX100" s="46">
        <f ca="1">WaterfallData!BX87</f>
        <v>21.852289001387021</v>
      </c>
      <c r="BY100" s="46">
        <f ca="1">WaterfallData!BY87</f>
        <v>21.916180583127801</v>
      </c>
      <c r="BZ100" s="46">
        <f ca="1">WaterfallData!BZ87</f>
        <v>21.980072164868581</v>
      </c>
      <c r="CA100" s="46">
        <f ca="1">WaterfallData!CA87</f>
        <v>22.043963746609361</v>
      </c>
      <c r="CB100" s="46">
        <f ca="1">WaterfallData!CB87</f>
        <v>22.107855328350141</v>
      </c>
      <c r="CC100" s="46">
        <f ca="1">WaterfallData!CC87</f>
        <v>22.171746910090921</v>
      </c>
      <c r="CD100" s="46">
        <f ca="1">WaterfallData!CD87</f>
        <v>22.235638491831704</v>
      </c>
      <c r="CE100" s="46">
        <f ca="1">WaterfallData!CE87</f>
        <v>22.330059057769208</v>
      </c>
      <c r="CF100" s="46">
        <f ca="1">WaterfallData!CF87</f>
        <v>22.424479623706713</v>
      </c>
      <c r="CG100" s="46">
        <f ca="1">WaterfallData!CG87</f>
        <v>22.518900189644217</v>
      </c>
      <c r="CH100" s="46">
        <f ca="1">WaterfallData!CH87</f>
        <v>22.613320755581721</v>
      </c>
      <c r="CI100" s="46">
        <f ca="1">WaterfallData!CI87</f>
        <v>22.707741321519226</v>
      </c>
      <c r="CJ100" s="46">
        <f ca="1">WaterfallData!CJ87</f>
        <v>22.80216188745673</v>
      </c>
      <c r="CK100" s="46">
        <f ca="1">WaterfallData!CK87</f>
        <v>22.896582453394235</v>
      </c>
      <c r="CL100" s="46">
        <f ca="1">WaterfallData!CL87</f>
        <v>22.991003019331739</v>
      </c>
      <c r="CM100" s="46">
        <f ca="1">WaterfallData!CM87</f>
        <v>23.085423585269243</v>
      </c>
      <c r="CN100" s="46">
        <f ca="1">WaterfallData!CN87</f>
        <v>23.179844151206744</v>
      </c>
    </row>
    <row r="101" spans="1:92" s="46" customFormat="1" x14ac:dyDescent="0.15">
      <c r="A101" s="46" t="str">
        <f>WaterfallData!A88</f>
        <v>Land use</v>
      </c>
      <c r="B101" s="46">
        <f ca="1">WaterfallData!B88</f>
        <v>3.5023383199999998</v>
      </c>
      <c r="C101" s="46">
        <f ca="1">WaterfallData!C88</f>
        <v>3.6733500844</v>
      </c>
      <c r="D101" s="46">
        <f ca="1">WaterfallData!D88</f>
        <v>3.8443618488000002</v>
      </c>
      <c r="E101" s="46">
        <f ca="1">WaterfallData!E88</f>
        <v>4.0153736132000004</v>
      </c>
      <c r="F101" s="46">
        <f ca="1">WaterfallData!F88</f>
        <v>4.1863853776000006</v>
      </c>
      <c r="G101" s="46">
        <f ca="1">WaterfallData!G88</f>
        <v>4.3573971420000008</v>
      </c>
      <c r="H101" s="46">
        <f ca="1">WaterfallData!H88</f>
        <v>4.528408906400001</v>
      </c>
      <c r="I101" s="46">
        <f ca="1">WaterfallData!I88</f>
        <v>4.6994206708000013</v>
      </c>
      <c r="J101" s="46">
        <f ca="1">WaterfallData!J88</f>
        <v>4.8704324352000015</v>
      </c>
      <c r="K101" s="46">
        <f ca="1">WaterfallData!K88</f>
        <v>5.0414441996000017</v>
      </c>
      <c r="L101" s="46">
        <f ca="1">WaterfallData!L88</f>
        <v>5.2124559640000001</v>
      </c>
      <c r="M101" s="46">
        <f ca="1">WaterfallData!M88</f>
        <v>5.3193018330999999</v>
      </c>
      <c r="N101" s="46">
        <f ca="1">WaterfallData!N88</f>
        <v>5.4261477021999998</v>
      </c>
      <c r="O101" s="46">
        <f ca="1">WaterfallData!O88</f>
        <v>5.5329935712999996</v>
      </c>
      <c r="P101" s="46">
        <f ca="1">WaterfallData!P88</f>
        <v>5.6398394403999994</v>
      </c>
      <c r="Q101" s="46">
        <f ca="1">WaterfallData!Q88</f>
        <v>5.7466853094999992</v>
      </c>
      <c r="R101" s="46">
        <f ca="1">WaterfallData!R88</f>
        <v>5.8535311785999991</v>
      </c>
      <c r="S101" s="46">
        <f ca="1">WaterfallData!S88</f>
        <v>5.9603770476999989</v>
      </c>
      <c r="T101" s="46">
        <f ca="1">WaterfallData!T88</f>
        <v>6.0672229167999987</v>
      </c>
      <c r="U101" s="46">
        <f ca="1">WaterfallData!U88</f>
        <v>6.1740687858999985</v>
      </c>
      <c r="V101" s="46">
        <f ca="1">WaterfallData!V88</f>
        <v>6.2809146550000001</v>
      </c>
      <c r="W101" s="46">
        <f ca="1">WaterfallData!W88</f>
        <v>6.2706550759000006</v>
      </c>
      <c r="X101" s="46">
        <f ca="1">WaterfallData!X88</f>
        <v>6.2603954968000011</v>
      </c>
      <c r="Y101" s="46">
        <f ca="1">WaterfallData!Y88</f>
        <v>6.2501359177000015</v>
      </c>
      <c r="Z101" s="46">
        <f ca="1">WaterfallData!Z88</f>
        <v>6.239876338600002</v>
      </c>
      <c r="AA101" s="46">
        <f ca="1">WaterfallData!AA88</f>
        <v>6.2296167595000025</v>
      </c>
      <c r="AB101" s="46">
        <f ca="1">WaterfallData!AB88</f>
        <v>6.219357180400003</v>
      </c>
      <c r="AC101" s="46">
        <f ca="1">WaterfallData!AC88</f>
        <v>6.2090976013000034</v>
      </c>
      <c r="AD101" s="46">
        <f ca="1">WaterfallData!AD88</f>
        <v>6.1988380222000039</v>
      </c>
      <c r="AE101" s="46">
        <f ca="1">WaterfallData!AE88</f>
        <v>6.1885784431000044</v>
      </c>
      <c r="AF101" s="46">
        <f ca="1">WaterfallData!AF88</f>
        <v>6.1783188640000004</v>
      </c>
      <c r="AG101" s="46">
        <f ca="1">WaterfallData!AG88</f>
        <v>6.0651667623000005</v>
      </c>
      <c r="AH101" s="46">
        <f ca="1">WaterfallData!AH88</f>
        <v>5.9520146606000006</v>
      </c>
      <c r="AI101" s="46">
        <f ca="1">WaterfallData!AI88</f>
        <v>5.8388625589000007</v>
      </c>
      <c r="AJ101" s="46">
        <f ca="1">WaterfallData!AJ88</f>
        <v>5.7257104572000008</v>
      </c>
      <c r="AK101" s="46">
        <f ca="1">WaterfallData!AK88</f>
        <v>5.6125583555000009</v>
      </c>
      <c r="AL101" s="46">
        <f ca="1">WaterfallData!AL88</f>
        <v>5.499406253800001</v>
      </c>
      <c r="AM101" s="46">
        <f ca="1">WaterfallData!AM88</f>
        <v>5.3862541521000011</v>
      </c>
      <c r="AN101" s="46">
        <f ca="1">WaterfallData!AN88</f>
        <v>5.2731020504000012</v>
      </c>
      <c r="AO101" s="46">
        <f ca="1">WaterfallData!AO88</f>
        <v>5.1599499487000013</v>
      </c>
      <c r="AP101" s="46">
        <f ca="1">WaterfallData!AP88</f>
        <v>5.0467978469999997</v>
      </c>
      <c r="AQ101" s="46">
        <f ca="1">WaterfallData!AQ88</f>
        <v>4.6856494322</v>
      </c>
      <c r="AR101" s="46">
        <f ca="1">WaterfallData!AR88</f>
        <v>4.3245010174000003</v>
      </c>
      <c r="AS101" s="46">
        <f ca="1">WaterfallData!AS88</f>
        <v>3.9633526026000001</v>
      </c>
      <c r="AT101" s="46">
        <f ca="1">WaterfallData!AT88</f>
        <v>3.6022041878</v>
      </c>
      <c r="AU101" s="46">
        <f ca="1">WaterfallData!AU88</f>
        <v>3.2410557729999998</v>
      </c>
      <c r="AV101" s="46">
        <f ca="1">WaterfallData!AV88</f>
        <v>2.8799073581999997</v>
      </c>
      <c r="AW101" s="46">
        <f ca="1">WaterfallData!AW88</f>
        <v>2.5187589433999995</v>
      </c>
      <c r="AX101" s="46">
        <f ca="1">WaterfallData!AX88</f>
        <v>2.1576105285999994</v>
      </c>
      <c r="AY101" s="46">
        <f ca="1">WaterfallData!AY88</f>
        <v>1.7964621137999994</v>
      </c>
      <c r="AZ101" s="46">
        <f ca="1">WaterfallData!AZ88</f>
        <v>1.4353136990000002</v>
      </c>
      <c r="BA101" s="46">
        <f ca="1">WaterfallData!BA88</f>
        <v>1.3644087569200001</v>
      </c>
      <c r="BB101" s="46">
        <f ca="1">WaterfallData!BB88</f>
        <v>1.29350381484</v>
      </c>
      <c r="BC101" s="46">
        <f ca="1">WaterfallData!BC88</f>
        <v>1.2225988727599999</v>
      </c>
      <c r="BD101" s="46">
        <f ca="1">WaterfallData!BD88</f>
        <v>1.1516939306799998</v>
      </c>
      <c r="BE101" s="46">
        <f ca="1">WaterfallData!BE88</f>
        <v>1.0807889885999997</v>
      </c>
      <c r="BF101" s="46">
        <f ca="1">WaterfallData!BF88</f>
        <v>1.0098840465199996</v>
      </c>
      <c r="BG101" s="46">
        <f ca="1">WaterfallData!BG88</f>
        <v>0.93897910443999966</v>
      </c>
      <c r="BH101" s="46">
        <f ca="1">WaterfallData!BH88</f>
        <v>0.86807416235999968</v>
      </c>
      <c r="BI101" s="46">
        <f ca="1">WaterfallData!BI88</f>
        <v>0.7971692202799997</v>
      </c>
      <c r="BJ101" s="46">
        <f ca="1">WaterfallData!BJ88</f>
        <v>0.72626427820000006</v>
      </c>
      <c r="BK101" s="46">
        <f ca="1">WaterfallData!BK88</f>
        <v>0.74505921066000003</v>
      </c>
      <c r="BL101" s="46">
        <f ca="1">WaterfallData!BL88</f>
        <v>0.76385414312</v>
      </c>
      <c r="BM101" s="46">
        <f ca="1">WaterfallData!BM88</f>
        <v>0.78264907557999996</v>
      </c>
      <c r="BN101" s="46">
        <f ca="1">WaterfallData!BN88</f>
        <v>0.80144400803999993</v>
      </c>
      <c r="BO101" s="46">
        <f ca="1">WaterfallData!BO88</f>
        <v>0.8202389404999999</v>
      </c>
      <c r="BP101" s="46">
        <f ca="1">WaterfallData!BP88</f>
        <v>0.83903387295999987</v>
      </c>
      <c r="BQ101" s="46">
        <f ca="1">WaterfallData!BQ88</f>
        <v>0.85782880541999984</v>
      </c>
      <c r="BR101" s="46">
        <f ca="1">WaterfallData!BR88</f>
        <v>0.87662373787999981</v>
      </c>
      <c r="BS101" s="46">
        <f ca="1">WaterfallData!BS88</f>
        <v>0.89541867033999978</v>
      </c>
      <c r="BT101" s="46">
        <f ca="1">WaterfallData!BT88</f>
        <v>0.91421360279999997</v>
      </c>
      <c r="BU101" s="46">
        <f ca="1">WaterfallData!BU88</f>
        <v>0.81124705181000001</v>
      </c>
      <c r="BV101" s="46">
        <f ca="1">WaterfallData!BV88</f>
        <v>0.70828050082000005</v>
      </c>
      <c r="BW101" s="46">
        <f ca="1">WaterfallData!BW88</f>
        <v>0.60531394983000009</v>
      </c>
      <c r="BX101" s="46">
        <f ca="1">WaterfallData!BX88</f>
        <v>0.50234739884000013</v>
      </c>
      <c r="BY101" s="46">
        <f ca="1">WaterfallData!BY88</f>
        <v>0.39938084785000011</v>
      </c>
      <c r="BZ101" s="46">
        <f ca="1">WaterfallData!BZ88</f>
        <v>0.29641429686000009</v>
      </c>
      <c r="CA101" s="46">
        <f ca="1">WaterfallData!CA88</f>
        <v>0.19344774587000008</v>
      </c>
      <c r="CB101" s="46">
        <f ca="1">WaterfallData!CB88</f>
        <v>9.0481194880000074E-2</v>
      </c>
      <c r="CC101" s="46">
        <f ca="1">WaterfallData!CC88</f>
        <v>-1.2485356109999929E-2</v>
      </c>
      <c r="CD101" s="46">
        <f ca="1">WaterfallData!CD88</f>
        <v>-0.1154519071</v>
      </c>
      <c r="CE101" s="46">
        <f ca="1">WaterfallData!CE88</f>
        <v>-0.15657316892000001</v>
      </c>
      <c r="CF101" s="46">
        <f ca="1">WaterfallData!CF88</f>
        <v>-0.19769443074000001</v>
      </c>
      <c r="CG101" s="46">
        <f ca="1">WaterfallData!CG88</f>
        <v>-0.23881569256000001</v>
      </c>
      <c r="CH101" s="46">
        <f ca="1">WaterfallData!CH88</f>
        <v>-0.27993695438000005</v>
      </c>
      <c r="CI101" s="46">
        <f ca="1">WaterfallData!CI88</f>
        <v>-0.32105821620000008</v>
      </c>
      <c r="CJ101" s="46">
        <f ca="1">WaterfallData!CJ88</f>
        <v>-0.36217947802000011</v>
      </c>
      <c r="CK101" s="46">
        <f ca="1">WaterfallData!CK88</f>
        <v>-0.40330073984000014</v>
      </c>
      <c r="CL101" s="46">
        <f ca="1">WaterfallData!CL88</f>
        <v>-0.44442200166000018</v>
      </c>
      <c r="CM101" s="46">
        <f ca="1">WaterfallData!CM88</f>
        <v>-0.48554326348000021</v>
      </c>
      <c r="CN101" s="46">
        <f ca="1">WaterfallData!CN88</f>
        <v>-0.52666452530000007</v>
      </c>
    </row>
    <row r="102" spans="1:92" s="46" customFormat="1" x14ac:dyDescent="0.15"/>
    <row r="103" spans="1:92" s="46" customFormat="1" x14ac:dyDescent="0.15">
      <c r="A103" s="46" t="str">
        <f>WaterfallData!A94</f>
        <v>Fossil Energy CCS</v>
      </c>
      <c r="B103" s="46">
        <f ca="1">WaterfallData!B94</f>
        <v>0</v>
      </c>
      <c r="C103" s="46">
        <f ca="1">WaterfallData!C94</f>
        <v>0</v>
      </c>
      <c r="D103" s="46">
        <f ca="1">WaterfallData!D94</f>
        <v>0</v>
      </c>
      <c r="E103" s="46">
        <f ca="1">WaterfallData!E94</f>
        <v>0</v>
      </c>
      <c r="F103" s="46">
        <f ca="1">WaterfallData!F94</f>
        <v>0</v>
      </c>
      <c r="G103" s="46">
        <f ca="1">WaterfallData!G94</f>
        <v>0</v>
      </c>
      <c r="H103" s="46">
        <f ca="1">WaterfallData!H94</f>
        <v>0</v>
      </c>
      <c r="I103" s="46">
        <f ca="1">WaterfallData!I94</f>
        <v>0</v>
      </c>
      <c r="J103" s="46">
        <f ca="1">WaterfallData!J94</f>
        <v>0</v>
      </c>
      <c r="K103" s="46">
        <f ca="1">WaterfallData!K94</f>
        <v>0</v>
      </c>
      <c r="L103" s="46">
        <f ca="1">WaterfallData!L94</f>
        <v>0</v>
      </c>
      <c r="M103" s="46">
        <f ca="1">WaterfallData!M94</f>
        <v>0</v>
      </c>
      <c r="N103" s="46">
        <f ca="1">WaterfallData!N94</f>
        <v>0</v>
      </c>
      <c r="O103" s="46">
        <f ca="1">WaterfallData!O94</f>
        <v>0</v>
      </c>
      <c r="P103" s="46">
        <f ca="1">WaterfallData!P94</f>
        <v>0</v>
      </c>
      <c r="Q103" s="46">
        <f ca="1">WaterfallData!Q94</f>
        <v>0</v>
      </c>
      <c r="R103" s="46">
        <f ca="1">WaterfallData!R94</f>
        <v>0</v>
      </c>
      <c r="S103" s="46">
        <f ca="1">WaterfallData!S94</f>
        <v>0</v>
      </c>
      <c r="T103" s="46">
        <f ca="1">WaterfallData!T94</f>
        <v>0</v>
      </c>
      <c r="U103" s="46">
        <f ca="1">WaterfallData!U94</f>
        <v>0</v>
      </c>
      <c r="V103" s="46">
        <f ca="1">WaterfallData!V94</f>
        <v>0</v>
      </c>
      <c r="W103" s="46">
        <f ca="1">WaterfallData!W94</f>
        <v>0</v>
      </c>
      <c r="X103" s="46">
        <f ca="1">WaterfallData!X94</f>
        <v>0</v>
      </c>
      <c r="Y103" s="46">
        <f ca="1">WaterfallData!Y94</f>
        <v>0</v>
      </c>
      <c r="Z103" s="46">
        <f ca="1">WaterfallData!Z94</f>
        <v>0</v>
      </c>
      <c r="AA103" s="46">
        <f ca="1">WaterfallData!AA94</f>
        <v>0</v>
      </c>
      <c r="AB103" s="46">
        <f ca="1">WaterfallData!AB94</f>
        <v>0</v>
      </c>
      <c r="AC103" s="46">
        <f ca="1">WaterfallData!AC94</f>
        <v>0</v>
      </c>
      <c r="AD103" s="46">
        <f ca="1">WaterfallData!AD94</f>
        <v>0</v>
      </c>
      <c r="AE103" s="46">
        <f ca="1">WaterfallData!AE94</f>
        <v>0</v>
      </c>
      <c r="AF103" s="46">
        <f ca="1">WaterfallData!AF94</f>
        <v>0</v>
      </c>
      <c r="AG103" s="46">
        <f ca="1">WaterfallData!AG94</f>
        <v>0</v>
      </c>
      <c r="AH103" s="46">
        <f ca="1">WaterfallData!AH94</f>
        <v>0</v>
      </c>
      <c r="AI103" s="46">
        <f ca="1">WaterfallData!AI94</f>
        <v>0</v>
      </c>
      <c r="AJ103" s="46">
        <f ca="1">WaterfallData!AJ94</f>
        <v>0</v>
      </c>
      <c r="AK103" s="46">
        <f ca="1">WaterfallData!AK94</f>
        <v>0</v>
      </c>
      <c r="AL103" s="46">
        <f ca="1">WaterfallData!AL94</f>
        <v>0</v>
      </c>
      <c r="AM103" s="46">
        <f ca="1">WaterfallData!AM94</f>
        <v>0</v>
      </c>
      <c r="AN103" s="46">
        <f ca="1">WaterfallData!AN94</f>
        <v>0</v>
      </c>
      <c r="AO103" s="46">
        <f ca="1">WaterfallData!AO94</f>
        <v>0</v>
      </c>
      <c r="AP103" s="46">
        <f ca="1">WaterfallData!AP94</f>
        <v>0</v>
      </c>
      <c r="AQ103" s="46">
        <f ca="1">WaterfallData!AQ94</f>
        <v>0</v>
      </c>
      <c r="AR103" s="46">
        <f ca="1">WaterfallData!AR94</f>
        <v>0</v>
      </c>
      <c r="AS103" s="46">
        <f ca="1">WaterfallData!AS94</f>
        <v>0</v>
      </c>
      <c r="AT103" s="46">
        <f ca="1">WaterfallData!AT94</f>
        <v>0</v>
      </c>
      <c r="AU103" s="46">
        <f ca="1">WaterfallData!AU94</f>
        <v>0</v>
      </c>
      <c r="AV103" s="46">
        <f ca="1">WaterfallData!AV94</f>
        <v>0</v>
      </c>
      <c r="AW103" s="46">
        <f ca="1">WaterfallData!AW94</f>
        <v>0</v>
      </c>
      <c r="AX103" s="46">
        <f ca="1">WaterfallData!AX94</f>
        <v>0</v>
      </c>
      <c r="AY103" s="46">
        <f ca="1">WaterfallData!AY94</f>
        <v>0</v>
      </c>
      <c r="AZ103" s="46">
        <f ca="1">WaterfallData!AZ94</f>
        <v>0</v>
      </c>
      <c r="BA103" s="46">
        <f ca="1">WaterfallData!BA94</f>
        <v>0</v>
      </c>
      <c r="BB103" s="46">
        <f ca="1">WaterfallData!BB94</f>
        <v>0</v>
      </c>
      <c r="BC103" s="46">
        <f ca="1">WaterfallData!BC94</f>
        <v>0</v>
      </c>
      <c r="BD103" s="46">
        <f ca="1">WaterfallData!BD94</f>
        <v>0</v>
      </c>
      <c r="BE103" s="46">
        <f ca="1">WaterfallData!BE94</f>
        <v>0</v>
      </c>
      <c r="BF103" s="46">
        <f ca="1">WaterfallData!BF94</f>
        <v>0</v>
      </c>
      <c r="BG103" s="46">
        <f ca="1">WaterfallData!BG94</f>
        <v>0</v>
      </c>
      <c r="BH103" s="46">
        <f ca="1">WaterfallData!BH94</f>
        <v>0</v>
      </c>
      <c r="BI103" s="46">
        <f ca="1">WaterfallData!BI94</f>
        <v>0</v>
      </c>
      <c r="BJ103" s="46">
        <f ca="1">WaterfallData!BJ94</f>
        <v>0</v>
      </c>
      <c r="BK103" s="46">
        <f ca="1">WaterfallData!BK94</f>
        <v>0</v>
      </c>
      <c r="BL103" s="46">
        <f ca="1">WaterfallData!BL94</f>
        <v>0</v>
      </c>
      <c r="BM103" s="46">
        <f ca="1">WaterfallData!BM94</f>
        <v>0</v>
      </c>
      <c r="BN103" s="46">
        <f ca="1">WaterfallData!BN94</f>
        <v>0</v>
      </c>
      <c r="BO103" s="46">
        <f ca="1">WaterfallData!BO94</f>
        <v>0</v>
      </c>
      <c r="BP103" s="46">
        <f ca="1">WaterfallData!BP94</f>
        <v>0</v>
      </c>
      <c r="BQ103" s="46">
        <f ca="1">WaterfallData!BQ94</f>
        <v>0</v>
      </c>
      <c r="BR103" s="46">
        <f ca="1">WaterfallData!BR94</f>
        <v>0</v>
      </c>
      <c r="BS103" s="46">
        <f ca="1">WaterfallData!BS94</f>
        <v>0</v>
      </c>
      <c r="BT103" s="46">
        <f ca="1">WaterfallData!BT94</f>
        <v>0</v>
      </c>
      <c r="BU103" s="46">
        <f ca="1">WaterfallData!BU94</f>
        <v>0</v>
      </c>
      <c r="BV103" s="46">
        <f ca="1">WaterfallData!BV94</f>
        <v>0</v>
      </c>
      <c r="BW103" s="46">
        <f ca="1">WaterfallData!BW94</f>
        <v>0</v>
      </c>
      <c r="BX103" s="46">
        <f ca="1">WaterfallData!BX94</f>
        <v>0</v>
      </c>
      <c r="BY103" s="46">
        <f ca="1">WaterfallData!BY94</f>
        <v>0</v>
      </c>
      <c r="BZ103" s="46">
        <f ca="1">WaterfallData!BZ94</f>
        <v>0</v>
      </c>
      <c r="CA103" s="46">
        <f ca="1">WaterfallData!CA94</f>
        <v>0</v>
      </c>
      <c r="CB103" s="46">
        <f ca="1">WaterfallData!CB94</f>
        <v>0</v>
      </c>
      <c r="CC103" s="46">
        <f ca="1">WaterfallData!CC94</f>
        <v>0</v>
      </c>
      <c r="CD103" s="46">
        <f ca="1">WaterfallData!CD94</f>
        <v>0</v>
      </c>
      <c r="CE103" s="46">
        <f ca="1">WaterfallData!CE94</f>
        <v>0</v>
      </c>
      <c r="CF103" s="46">
        <f ca="1">WaterfallData!CF94</f>
        <v>0</v>
      </c>
      <c r="CG103" s="46">
        <f ca="1">WaterfallData!CG94</f>
        <v>0</v>
      </c>
      <c r="CH103" s="46">
        <f ca="1">WaterfallData!CH94</f>
        <v>0</v>
      </c>
      <c r="CI103" s="46">
        <f ca="1">WaterfallData!CI94</f>
        <v>0</v>
      </c>
      <c r="CJ103" s="46">
        <f ca="1">WaterfallData!CJ94</f>
        <v>0</v>
      </c>
      <c r="CK103" s="46">
        <f ca="1">WaterfallData!CK94</f>
        <v>0</v>
      </c>
      <c r="CL103" s="46">
        <f ca="1">WaterfallData!CL94</f>
        <v>0</v>
      </c>
      <c r="CM103" s="46">
        <f ca="1">WaterfallData!CM94</f>
        <v>0</v>
      </c>
      <c r="CN103" s="46">
        <f ca="1">WaterfallData!CN94</f>
        <v>0</v>
      </c>
    </row>
    <row r="104" spans="1:92" s="46" customFormat="1" x14ac:dyDescent="0.15">
      <c r="A104" s="46" t="str">
        <f>WaterfallData!A95</f>
        <v>Fossil Industry CCS</v>
      </c>
      <c r="B104" s="46">
        <f ca="1">WaterfallData!B95</f>
        <v>0</v>
      </c>
      <c r="C104" s="46">
        <f ca="1">WaterfallData!C95</f>
        <v>0</v>
      </c>
      <c r="D104" s="46">
        <f ca="1">WaterfallData!D95</f>
        <v>0</v>
      </c>
      <c r="E104" s="46">
        <f ca="1">WaterfallData!E95</f>
        <v>0</v>
      </c>
      <c r="F104" s="46">
        <f ca="1">WaterfallData!F95</f>
        <v>0</v>
      </c>
      <c r="G104" s="46">
        <f ca="1">WaterfallData!G95</f>
        <v>0</v>
      </c>
      <c r="H104" s="46">
        <f ca="1">WaterfallData!H95</f>
        <v>0</v>
      </c>
      <c r="I104" s="46">
        <f ca="1">WaterfallData!I95</f>
        <v>0</v>
      </c>
      <c r="J104" s="46">
        <f ca="1">WaterfallData!J95</f>
        <v>0</v>
      </c>
      <c r="K104" s="46">
        <f ca="1">WaterfallData!K95</f>
        <v>0</v>
      </c>
      <c r="L104" s="46">
        <f ca="1">WaterfallData!L95</f>
        <v>0</v>
      </c>
      <c r="M104" s="46">
        <f ca="1">WaterfallData!M95</f>
        <v>0</v>
      </c>
      <c r="N104" s="46">
        <f ca="1">WaterfallData!N95</f>
        <v>0</v>
      </c>
      <c r="O104" s="46">
        <f ca="1">WaterfallData!O95</f>
        <v>0</v>
      </c>
      <c r="P104" s="46">
        <f ca="1">WaterfallData!P95</f>
        <v>0</v>
      </c>
      <c r="Q104" s="46">
        <f ca="1">WaterfallData!Q95</f>
        <v>0</v>
      </c>
      <c r="R104" s="46">
        <f ca="1">WaterfallData!R95</f>
        <v>0</v>
      </c>
      <c r="S104" s="46">
        <f ca="1">WaterfallData!S95</f>
        <v>0</v>
      </c>
      <c r="T104" s="46">
        <f ca="1">WaterfallData!T95</f>
        <v>0</v>
      </c>
      <c r="U104" s="46">
        <f ca="1">WaterfallData!U95</f>
        <v>0</v>
      </c>
      <c r="V104" s="46">
        <f ca="1">WaterfallData!V95</f>
        <v>0</v>
      </c>
      <c r="W104" s="46">
        <f ca="1">WaterfallData!W95</f>
        <v>0</v>
      </c>
      <c r="X104" s="46">
        <f ca="1">WaterfallData!X95</f>
        <v>0</v>
      </c>
      <c r="Y104" s="46">
        <f ca="1">WaterfallData!Y95</f>
        <v>0</v>
      </c>
      <c r="Z104" s="46">
        <f ca="1">WaterfallData!Z95</f>
        <v>0</v>
      </c>
      <c r="AA104" s="46">
        <f ca="1">WaterfallData!AA95</f>
        <v>0</v>
      </c>
      <c r="AB104" s="46">
        <f ca="1">WaterfallData!AB95</f>
        <v>0</v>
      </c>
      <c r="AC104" s="46">
        <f ca="1">WaterfallData!AC95</f>
        <v>0</v>
      </c>
      <c r="AD104" s="46">
        <f ca="1">WaterfallData!AD95</f>
        <v>0</v>
      </c>
      <c r="AE104" s="46">
        <f ca="1">WaterfallData!AE95</f>
        <v>0</v>
      </c>
      <c r="AF104" s="46">
        <f ca="1">WaterfallData!AF95</f>
        <v>0</v>
      </c>
      <c r="AG104" s="46">
        <f ca="1">WaterfallData!AG95</f>
        <v>0</v>
      </c>
      <c r="AH104" s="46">
        <f ca="1">WaterfallData!AH95</f>
        <v>0</v>
      </c>
      <c r="AI104" s="46">
        <f ca="1">WaterfallData!AI95</f>
        <v>0</v>
      </c>
      <c r="AJ104" s="46">
        <f ca="1">WaterfallData!AJ95</f>
        <v>0</v>
      </c>
      <c r="AK104" s="46">
        <f ca="1">WaterfallData!AK95</f>
        <v>0</v>
      </c>
      <c r="AL104" s="46">
        <f ca="1">WaterfallData!AL95</f>
        <v>0</v>
      </c>
      <c r="AM104" s="46">
        <f ca="1">WaterfallData!AM95</f>
        <v>0</v>
      </c>
      <c r="AN104" s="46">
        <f ca="1">WaterfallData!AN95</f>
        <v>0</v>
      </c>
      <c r="AO104" s="46">
        <f ca="1">WaterfallData!AO95</f>
        <v>0</v>
      </c>
      <c r="AP104" s="46">
        <f ca="1">WaterfallData!AP95</f>
        <v>0</v>
      </c>
      <c r="AQ104" s="46">
        <f ca="1">WaterfallData!AQ95</f>
        <v>0</v>
      </c>
      <c r="AR104" s="46">
        <f ca="1">WaterfallData!AR95</f>
        <v>0</v>
      </c>
      <c r="AS104" s="46">
        <f ca="1">WaterfallData!AS95</f>
        <v>0</v>
      </c>
      <c r="AT104" s="46">
        <f ca="1">WaterfallData!AT95</f>
        <v>0</v>
      </c>
      <c r="AU104" s="46">
        <f ca="1">WaterfallData!AU95</f>
        <v>0</v>
      </c>
      <c r="AV104" s="46">
        <f ca="1">WaterfallData!AV95</f>
        <v>0</v>
      </c>
      <c r="AW104" s="46">
        <f ca="1">WaterfallData!AW95</f>
        <v>0</v>
      </c>
      <c r="AX104" s="46">
        <f ca="1">WaterfallData!AX95</f>
        <v>0</v>
      </c>
      <c r="AY104" s="46">
        <f ca="1">WaterfallData!AY95</f>
        <v>0</v>
      </c>
      <c r="AZ104" s="46">
        <f ca="1">WaterfallData!AZ95</f>
        <v>0</v>
      </c>
      <c r="BA104" s="46">
        <f ca="1">WaterfallData!BA95</f>
        <v>0</v>
      </c>
      <c r="BB104" s="46">
        <f ca="1">WaterfallData!BB95</f>
        <v>0</v>
      </c>
      <c r="BC104" s="46">
        <f ca="1">WaterfallData!BC95</f>
        <v>0</v>
      </c>
      <c r="BD104" s="46">
        <f ca="1">WaterfallData!BD95</f>
        <v>0</v>
      </c>
      <c r="BE104" s="46">
        <f ca="1">WaterfallData!BE95</f>
        <v>0</v>
      </c>
      <c r="BF104" s="46">
        <f ca="1">WaterfallData!BF95</f>
        <v>0</v>
      </c>
      <c r="BG104" s="46">
        <f ca="1">WaterfallData!BG95</f>
        <v>0</v>
      </c>
      <c r="BH104" s="46">
        <f ca="1">WaterfallData!BH95</f>
        <v>0</v>
      </c>
      <c r="BI104" s="46">
        <f ca="1">WaterfallData!BI95</f>
        <v>0</v>
      </c>
      <c r="BJ104" s="46">
        <f ca="1">WaterfallData!BJ95</f>
        <v>0</v>
      </c>
      <c r="BK104" s="46">
        <f ca="1">WaterfallData!BK95</f>
        <v>0</v>
      </c>
      <c r="BL104" s="46">
        <f ca="1">WaterfallData!BL95</f>
        <v>0</v>
      </c>
      <c r="BM104" s="46">
        <f ca="1">WaterfallData!BM95</f>
        <v>0</v>
      </c>
      <c r="BN104" s="46">
        <f ca="1">WaterfallData!BN95</f>
        <v>0</v>
      </c>
      <c r="BO104" s="46">
        <f ca="1">WaterfallData!BO95</f>
        <v>0</v>
      </c>
      <c r="BP104" s="46">
        <f ca="1">WaterfallData!BP95</f>
        <v>0</v>
      </c>
      <c r="BQ104" s="46">
        <f ca="1">WaterfallData!BQ95</f>
        <v>0</v>
      </c>
      <c r="BR104" s="46">
        <f ca="1">WaterfallData!BR95</f>
        <v>0</v>
      </c>
      <c r="BS104" s="46">
        <f ca="1">WaterfallData!BS95</f>
        <v>0</v>
      </c>
      <c r="BT104" s="46">
        <f ca="1">WaterfallData!BT95</f>
        <v>0</v>
      </c>
      <c r="BU104" s="46">
        <f ca="1">WaterfallData!BU95</f>
        <v>0</v>
      </c>
      <c r="BV104" s="46">
        <f ca="1">WaterfallData!BV95</f>
        <v>0</v>
      </c>
      <c r="BW104" s="46">
        <f ca="1">WaterfallData!BW95</f>
        <v>0</v>
      </c>
      <c r="BX104" s="46">
        <f ca="1">WaterfallData!BX95</f>
        <v>0</v>
      </c>
      <c r="BY104" s="46">
        <f ca="1">WaterfallData!BY95</f>
        <v>0</v>
      </c>
      <c r="BZ104" s="46">
        <f ca="1">WaterfallData!BZ95</f>
        <v>0</v>
      </c>
      <c r="CA104" s="46">
        <f ca="1">WaterfallData!CA95</f>
        <v>0</v>
      </c>
      <c r="CB104" s="46">
        <f ca="1">WaterfallData!CB95</f>
        <v>0</v>
      </c>
      <c r="CC104" s="46">
        <f ca="1">WaterfallData!CC95</f>
        <v>0</v>
      </c>
      <c r="CD104" s="46">
        <f ca="1">WaterfallData!CD95</f>
        <v>0</v>
      </c>
      <c r="CE104" s="46">
        <f ca="1">WaterfallData!CE95</f>
        <v>0</v>
      </c>
      <c r="CF104" s="46">
        <f ca="1">WaterfallData!CF95</f>
        <v>0</v>
      </c>
      <c r="CG104" s="46">
        <f ca="1">WaterfallData!CG95</f>
        <v>0</v>
      </c>
      <c r="CH104" s="46">
        <f ca="1">WaterfallData!CH95</f>
        <v>0</v>
      </c>
      <c r="CI104" s="46">
        <f ca="1">WaterfallData!CI95</f>
        <v>0</v>
      </c>
      <c r="CJ104" s="46">
        <f ca="1">WaterfallData!CJ95</f>
        <v>0</v>
      </c>
      <c r="CK104" s="46">
        <f ca="1">WaterfallData!CK95</f>
        <v>0</v>
      </c>
      <c r="CL104" s="46">
        <f ca="1">WaterfallData!CL95</f>
        <v>0</v>
      </c>
      <c r="CM104" s="46">
        <f ca="1">WaterfallData!CM95</f>
        <v>0</v>
      </c>
      <c r="CN104" s="46">
        <f ca="1">WaterfallData!CN95</f>
        <v>0</v>
      </c>
    </row>
    <row r="105" spans="1:92" s="46" customFormat="1" x14ac:dyDescent="0.15">
      <c r="A105" s="46" t="str">
        <f>WaterfallData!A96</f>
        <v>Biomass Energy CCS</v>
      </c>
      <c r="B105" s="46">
        <f ca="1">WaterfallData!B96</f>
        <v>0</v>
      </c>
      <c r="C105" s="46">
        <f ca="1">WaterfallData!C96</f>
        <v>0</v>
      </c>
      <c r="D105" s="46">
        <f ca="1">WaterfallData!D96</f>
        <v>0</v>
      </c>
      <c r="E105" s="46">
        <f ca="1">WaterfallData!E96</f>
        <v>0</v>
      </c>
      <c r="F105" s="46">
        <f ca="1">WaterfallData!F96</f>
        <v>0</v>
      </c>
      <c r="G105" s="46">
        <f ca="1">WaterfallData!G96</f>
        <v>0</v>
      </c>
      <c r="H105" s="46">
        <f ca="1">WaterfallData!H96</f>
        <v>0</v>
      </c>
      <c r="I105" s="46">
        <f ca="1">WaterfallData!I96</f>
        <v>0</v>
      </c>
      <c r="J105" s="46">
        <f ca="1">WaterfallData!J96</f>
        <v>0</v>
      </c>
      <c r="K105" s="46">
        <f ca="1">WaterfallData!K96</f>
        <v>0</v>
      </c>
      <c r="L105" s="46">
        <f ca="1">WaterfallData!L96</f>
        <v>0</v>
      </c>
      <c r="M105" s="46">
        <f ca="1">WaterfallData!M96</f>
        <v>0</v>
      </c>
      <c r="N105" s="46">
        <f ca="1">WaterfallData!N96</f>
        <v>0</v>
      </c>
      <c r="O105" s="46">
        <f ca="1">WaterfallData!O96</f>
        <v>0</v>
      </c>
      <c r="P105" s="46">
        <f ca="1">WaterfallData!P96</f>
        <v>0</v>
      </c>
      <c r="Q105" s="46">
        <f ca="1">WaterfallData!Q96</f>
        <v>0</v>
      </c>
      <c r="R105" s="46">
        <f ca="1">WaterfallData!R96</f>
        <v>0</v>
      </c>
      <c r="S105" s="46">
        <f ca="1">WaterfallData!S96</f>
        <v>0</v>
      </c>
      <c r="T105" s="46">
        <f ca="1">WaterfallData!T96</f>
        <v>0</v>
      </c>
      <c r="U105" s="46">
        <f ca="1">WaterfallData!U96</f>
        <v>0</v>
      </c>
      <c r="V105" s="46">
        <f ca="1">WaterfallData!V96</f>
        <v>0</v>
      </c>
      <c r="W105" s="46">
        <f ca="1">WaterfallData!W96</f>
        <v>0</v>
      </c>
      <c r="X105" s="46">
        <f ca="1">WaterfallData!X96</f>
        <v>0</v>
      </c>
      <c r="Y105" s="46">
        <f ca="1">WaterfallData!Y96</f>
        <v>0</v>
      </c>
      <c r="Z105" s="46">
        <f ca="1">WaterfallData!Z96</f>
        <v>0</v>
      </c>
      <c r="AA105" s="46">
        <f ca="1">WaterfallData!AA96</f>
        <v>0</v>
      </c>
      <c r="AB105" s="46">
        <f ca="1">WaterfallData!AB96</f>
        <v>0</v>
      </c>
      <c r="AC105" s="46">
        <f ca="1">WaterfallData!AC96</f>
        <v>0</v>
      </c>
      <c r="AD105" s="46">
        <f ca="1">WaterfallData!AD96</f>
        <v>0</v>
      </c>
      <c r="AE105" s="46">
        <f ca="1">WaterfallData!AE96</f>
        <v>0</v>
      </c>
      <c r="AF105" s="46">
        <f ca="1">WaterfallData!AF96</f>
        <v>0</v>
      </c>
      <c r="AG105" s="46">
        <f ca="1">WaterfallData!AG96</f>
        <v>0</v>
      </c>
      <c r="AH105" s="46">
        <f ca="1">WaterfallData!AH96</f>
        <v>0</v>
      </c>
      <c r="AI105" s="46">
        <f ca="1">WaterfallData!AI96</f>
        <v>0</v>
      </c>
      <c r="AJ105" s="46">
        <f ca="1">WaterfallData!AJ96</f>
        <v>0</v>
      </c>
      <c r="AK105" s="46">
        <f ca="1">WaterfallData!AK96</f>
        <v>0</v>
      </c>
      <c r="AL105" s="46">
        <f ca="1">WaterfallData!AL96</f>
        <v>0</v>
      </c>
      <c r="AM105" s="46">
        <f ca="1">WaterfallData!AM96</f>
        <v>0</v>
      </c>
      <c r="AN105" s="46">
        <f ca="1">WaterfallData!AN96</f>
        <v>0</v>
      </c>
      <c r="AO105" s="46">
        <f ca="1">WaterfallData!AO96</f>
        <v>0</v>
      </c>
      <c r="AP105" s="46">
        <f ca="1">WaterfallData!AP96</f>
        <v>0</v>
      </c>
      <c r="AQ105" s="46">
        <f ca="1">WaterfallData!AQ96</f>
        <v>0</v>
      </c>
      <c r="AR105" s="46">
        <f ca="1">WaterfallData!AR96</f>
        <v>0</v>
      </c>
      <c r="AS105" s="46">
        <f ca="1">WaterfallData!AS96</f>
        <v>0</v>
      </c>
      <c r="AT105" s="46">
        <f ca="1">WaterfallData!AT96</f>
        <v>0</v>
      </c>
      <c r="AU105" s="46">
        <f ca="1">WaterfallData!AU96</f>
        <v>0</v>
      </c>
      <c r="AV105" s="46">
        <f ca="1">WaterfallData!AV96</f>
        <v>0</v>
      </c>
      <c r="AW105" s="46">
        <f ca="1">WaterfallData!AW96</f>
        <v>0</v>
      </c>
      <c r="AX105" s="46">
        <f ca="1">WaterfallData!AX96</f>
        <v>0</v>
      </c>
      <c r="AY105" s="46">
        <f ca="1">WaterfallData!AY96</f>
        <v>0</v>
      </c>
      <c r="AZ105" s="46">
        <f ca="1">WaterfallData!AZ96</f>
        <v>0</v>
      </c>
      <c r="BA105" s="46">
        <f ca="1">WaterfallData!BA96</f>
        <v>0</v>
      </c>
      <c r="BB105" s="46">
        <f ca="1">WaterfallData!BB96</f>
        <v>0</v>
      </c>
      <c r="BC105" s="46">
        <f ca="1">WaterfallData!BC96</f>
        <v>0</v>
      </c>
      <c r="BD105" s="46">
        <f ca="1">WaterfallData!BD96</f>
        <v>0</v>
      </c>
      <c r="BE105" s="46">
        <f ca="1">WaterfallData!BE96</f>
        <v>0</v>
      </c>
      <c r="BF105" s="46">
        <f ca="1">WaterfallData!BF96</f>
        <v>0</v>
      </c>
      <c r="BG105" s="46">
        <f ca="1">WaterfallData!BG96</f>
        <v>0</v>
      </c>
      <c r="BH105" s="46">
        <f ca="1">WaterfallData!BH96</f>
        <v>0</v>
      </c>
      <c r="BI105" s="46">
        <f ca="1">WaterfallData!BI96</f>
        <v>0</v>
      </c>
      <c r="BJ105" s="46">
        <f ca="1">WaterfallData!BJ96</f>
        <v>0</v>
      </c>
      <c r="BK105" s="46">
        <f ca="1">WaterfallData!BK96</f>
        <v>0</v>
      </c>
      <c r="BL105" s="46">
        <f ca="1">WaterfallData!BL96</f>
        <v>0</v>
      </c>
      <c r="BM105" s="46">
        <f ca="1">WaterfallData!BM96</f>
        <v>0</v>
      </c>
      <c r="BN105" s="46">
        <f ca="1">WaterfallData!BN96</f>
        <v>0</v>
      </c>
      <c r="BO105" s="46">
        <f ca="1">WaterfallData!BO96</f>
        <v>0</v>
      </c>
      <c r="BP105" s="46">
        <f ca="1">WaterfallData!BP96</f>
        <v>0</v>
      </c>
      <c r="BQ105" s="46">
        <f ca="1">WaterfallData!BQ96</f>
        <v>0</v>
      </c>
      <c r="BR105" s="46">
        <f ca="1">WaterfallData!BR96</f>
        <v>0</v>
      </c>
      <c r="BS105" s="46">
        <f ca="1">WaterfallData!BS96</f>
        <v>0</v>
      </c>
      <c r="BT105" s="46">
        <f ca="1">WaterfallData!BT96</f>
        <v>0</v>
      </c>
      <c r="BU105" s="46">
        <f ca="1">WaterfallData!BU96</f>
        <v>0</v>
      </c>
      <c r="BV105" s="46">
        <f ca="1">WaterfallData!BV96</f>
        <v>0</v>
      </c>
      <c r="BW105" s="46">
        <f ca="1">WaterfallData!BW96</f>
        <v>0</v>
      </c>
      <c r="BX105" s="46">
        <f ca="1">WaterfallData!BX96</f>
        <v>0</v>
      </c>
      <c r="BY105" s="46">
        <f ca="1">WaterfallData!BY96</f>
        <v>0</v>
      </c>
      <c r="BZ105" s="46">
        <f ca="1">WaterfallData!BZ96</f>
        <v>0</v>
      </c>
      <c r="CA105" s="46">
        <f ca="1">WaterfallData!CA96</f>
        <v>0</v>
      </c>
      <c r="CB105" s="46">
        <f ca="1">WaterfallData!CB96</f>
        <v>0</v>
      </c>
      <c r="CC105" s="46">
        <f ca="1">WaterfallData!CC96</f>
        <v>0</v>
      </c>
      <c r="CD105" s="46">
        <f ca="1">WaterfallData!CD96</f>
        <v>0</v>
      </c>
      <c r="CE105" s="46">
        <f ca="1">WaterfallData!CE96</f>
        <v>0</v>
      </c>
      <c r="CF105" s="46">
        <f ca="1">WaterfallData!CF96</f>
        <v>0</v>
      </c>
      <c r="CG105" s="46">
        <f ca="1">WaterfallData!CG96</f>
        <v>0</v>
      </c>
      <c r="CH105" s="46">
        <f ca="1">WaterfallData!CH96</f>
        <v>0</v>
      </c>
      <c r="CI105" s="46">
        <f ca="1">WaterfallData!CI96</f>
        <v>0</v>
      </c>
      <c r="CJ105" s="46">
        <f ca="1">WaterfallData!CJ96</f>
        <v>0</v>
      </c>
      <c r="CK105" s="46">
        <f ca="1">WaterfallData!CK96</f>
        <v>0</v>
      </c>
      <c r="CL105" s="46">
        <f ca="1">WaterfallData!CL96</f>
        <v>0</v>
      </c>
      <c r="CM105" s="46">
        <f ca="1">WaterfallData!CM96</f>
        <v>0</v>
      </c>
      <c r="CN105" s="46">
        <f ca="1">WaterfallData!CN96</f>
        <v>0</v>
      </c>
    </row>
    <row r="106" spans="1:92" x14ac:dyDescent="0.15">
      <c r="A106" s="46" t="str">
        <f>WaterfallData!A97</f>
        <v>Biomass Industry CCS</v>
      </c>
      <c r="B106" s="46">
        <f ca="1">WaterfallData!B97</f>
        <v>0</v>
      </c>
      <c r="C106" s="46">
        <f ca="1">WaterfallData!C97</f>
        <v>0</v>
      </c>
      <c r="D106" s="46">
        <f ca="1">WaterfallData!D97</f>
        <v>0</v>
      </c>
      <c r="E106" s="46">
        <f ca="1">WaterfallData!E97</f>
        <v>0</v>
      </c>
      <c r="F106" s="46">
        <f ca="1">WaterfallData!F97</f>
        <v>0</v>
      </c>
      <c r="G106" s="46">
        <f ca="1">WaterfallData!G97</f>
        <v>0</v>
      </c>
      <c r="H106" s="46">
        <f ca="1">WaterfallData!H97</f>
        <v>0</v>
      </c>
      <c r="I106" s="46">
        <f ca="1">WaterfallData!I97</f>
        <v>0</v>
      </c>
      <c r="J106" s="46">
        <f ca="1">WaterfallData!J97</f>
        <v>0</v>
      </c>
      <c r="K106" s="46">
        <f ca="1">WaterfallData!K97</f>
        <v>0</v>
      </c>
      <c r="L106" s="46">
        <f ca="1">WaterfallData!L97</f>
        <v>0</v>
      </c>
      <c r="M106" s="46">
        <f ca="1">WaterfallData!M97</f>
        <v>0</v>
      </c>
      <c r="N106" s="46">
        <f ca="1">WaterfallData!N97</f>
        <v>0</v>
      </c>
      <c r="O106" s="46">
        <f ca="1">WaterfallData!O97</f>
        <v>0</v>
      </c>
      <c r="P106" s="46">
        <f ca="1">WaterfallData!P97</f>
        <v>0</v>
      </c>
      <c r="Q106" s="46">
        <f ca="1">WaterfallData!Q97</f>
        <v>0</v>
      </c>
      <c r="R106" s="46">
        <f ca="1">WaterfallData!R97</f>
        <v>0</v>
      </c>
      <c r="S106" s="46">
        <f ca="1">WaterfallData!S97</f>
        <v>0</v>
      </c>
      <c r="T106" s="46">
        <f ca="1">WaterfallData!T97</f>
        <v>0</v>
      </c>
      <c r="U106" s="46">
        <f ca="1">WaterfallData!U97</f>
        <v>0</v>
      </c>
      <c r="V106" s="46">
        <f ca="1">WaterfallData!V97</f>
        <v>0</v>
      </c>
      <c r="W106" s="46">
        <f ca="1">WaterfallData!W97</f>
        <v>0</v>
      </c>
      <c r="X106" s="46">
        <f ca="1">WaterfallData!X97</f>
        <v>0</v>
      </c>
      <c r="Y106" s="46">
        <f ca="1">WaterfallData!Y97</f>
        <v>0</v>
      </c>
      <c r="Z106" s="46">
        <f ca="1">WaterfallData!Z97</f>
        <v>0</v>
      </c>
      <c r="AA106" s="46">
        <f ca="1">WaterfallData!AA97</f>
        <v>0</v>
      </c>
      <c r="AB106" s="46">
        <f ca="1">WaterfallData!AB97</f>
        <v>0</v>
      </c>
      <c r="AC106" s="46">
        <f ca="1">WaterfallData!AC97</f>
        <v>0</v>
      </c>
      <c r="AD106" s="46">
        <f ca="1">WaterfallData!AD97</f>
        <v>0</v>
      </c>
      <c r="AE106" s="46">
        <f ca="1">WaterfallData!AE97</f>
        <v>0</v>
      </c>
      <c r="AF106" s="46">
        <f ca="1">WaterfallData!AF97</f>
        <v>0</v>
      </c>
      <c r="AG106" s="46">
        <f ca="1">WaterfallData!AG97</f>
        <v>0</v>
      </c>
      <c r="AH106" s="46">
        <f ca="1">WaterfallData!AH97</f>
        <v>0</v>
      </c>
      <c r="AI106" s="46">
        <f ca="1">WaterfallData!AI97</f>
        <v>0</v>
      </c>
      <c r="AJ106" s="46">
        <f ca="1">WaterfallData!AJ97</f>
        <v>0</v>
      </c>
      <c r="AK106" s="46">
        <f ca="1">WaterfallData!AK97</f>
        <v>0</v>
      </c>
      <c r="AL106" s="46">
        <f ca="1">WaterfallData!AL97</f>
        <v>0</v>
      </c>
      <c r="AM106" s="46">
        <f ca="1">WaterfallData!AM97</f>
        <v>0</v>
      </c>
      <c r="AN106" s="46">
        <f ca="1">WaterfallData!AN97</f>
        <v>0</v>
      </c>
      <c r="AO106" s="46">
        <f ca="1">WaterfallData!AO97</f>
        <v>0</v>
      </c>
      <c r="AP106" s="46">
        <f ca="1">WaterfallData!AP97</f>
        <v>0</v>
      </c>
      <c r="AQ106" s="46">
        <f ca="1">WaterfallData!AQ97</f>
        <v>0</v>
      </c>
      <c r="AR106" s="46">
        <f ca="1">WaterfallData!AR97</f>
        <v>0</v>
      </c>
      <c r="AS106" s="46">
        <f ca="1">WaterfallData!AS97</f>
        <v>0</v>
      </c>
      <c r="AT106" s="46">
        <f ca="1">WaterfallData!AT97</f>
        <v>0</v>
      </c>
      <c r="AU106" s="46">
        <f ca="1">WaterfallData!AU97</f>
        <v>0</v>
      </c>
      <c r="AV106" s="46">
        <f ca="1">WaterfallData!AV97</f>
        <v>0</v>
      </c>
      <c r="AW106" s="46">
        <f ca="1">WaterfallData!AW97</f>
        <v>0</v>
      </c>
      <c r="AX106" s="46">
        <f ca="1">WaterfallData!AX97</f>
        <v>0</v>
      </c>
      <c r="AY106" s="46">
        <f ca="1">WaterfallData!AY97</f>
        <v>0</v>
      </c>
      <c r="AZ106" s="46">
        <f ca="1">WaterfallData!AZ97</f>
        <v>0</v>
      </c>
      <c r="BA106" s="46">
        <f ca="1">WaterfallData!BA97</f>
        <v>0</v>
      </c>
      <c r="BB106" s="46">
        <f ca="1">WaterfallData!BB97</f>
        <v>0</v>
      </c>
      <c r="BC106" s="46">
        <f ca="1">WaterfallData!BC97</f>
        <v>0</v>
      </c>
      <c r="BD106" s="46">
        <f ca="1">WaterfallData!BD97</f>
        <v>0</v>
      </c>
      <c r="BE106" s="46">
        <f ca="1">WaterfallData!BE97</f>
        <v>0</v>
      </c>
      <c r="BF106" s="46">
        <f ca="1">WaterfallData!BF97</f>
        <v>0</v>
      </c>
      <c r="BG106" s="46">
        <f ca="1">WaterfallData!BG97</f>
        <v>0</v>
      </c>
      <c r="BH106" s="46">
        <f ca="1">WaterfallData!BH97</f>
        <v>0</v>
      </c>
      <c r="BI106" s="46">
        <f ca="1">WaterfallData!BI97</f>
        <v>0</v>
      </c>
      <c r="BJ106" s="46">
        <f ca="1">WaterfallData!BJ97</f>
        <v>0</v>
      </c>
      <c r="BK106" s="46">
        <f ca="1">WaterfallData!BK97</f>
        <v>0</v>
      </c>
      <c r="BL106" s="46">
        <f ca="1">WaterfallData!BL97</f>
        <v>0</v>
      </c>
      <c r="BM106" s="46">
        <f ca="1">WaterfallData!BM97</f>
        <v>0</v>
      </c>
      <c r="BN106" s="46">
        <f ca="1">WaterfallData!BN97</f>
        <v>0</v>
      </c>
      <c r="BO106" s="46">
        <f ca="1">WaterfallData!BO97</f>
        <v>0</v>
      </c>
      <c r="BP106" s="46">
        <f ca="1">WaterfallData!BP97</f>
        <v>0</v>
      </c>
      <c r="BQ106" s="46">
        <f ca="1">WaterfallData!BQ97</f>
        <v>0</v>
      </c>
      <c r="BR106" s="46">
        <f ca="1">WaterfallData!BR97</f>
        <v>0</v>
      </c>
      <c r="BS106" s="46">
        <f ca="1">WaterfallData!BS97</f>
        <v>0</v>
      </c>
      <c r="BT106" s="46">
        <f ca="1">WaterfallData!BT97</f>
        <v>0</v>
      </c>
      <c r="BU106" s="46">
        <f ca="1">WaterfallData!BU97</f>
        <v>0</v>
      </c>
      <c r="BV106" s="46">
        <f ca="1">WaterfallData!BV97</f>
        <v>0</v>
      </c>
      <c r="BW106" s="46">
        <f ca="1">WaterfallData!BW97</f>
        <v>0</v>
      </c>
      <c r="BX106" s="46">
        <f ca="1">WaterfallData!BX97</f>
        <v>0</v>
      </c>
      <c r="BY106" s="46">
        <f ca="1">WaterfallData!BY97</f>
        <v>0</v>
      </c>
      <c r="BZ106" s="46">
        <f ca="1">WaterfallData!BZ97</f>
        <v>0</v>
      </c>
      <c r="CA106" s="46">
        <f ca="1">WaterfallData!CA97</f>
        <v>0</v>
      </c>
      <c r="CB106" s="46">
        <f ca="1">WaterfallData!CB97</f>
        <v>0</v>
      </c>
      <c r="CC106" s="46">
        <f ca="1">WaterfallData!CC97</f>
        <v>0</v>
      </c>
      <c r="CD106" s="46">
        <f ca="1">WaterfallData!CD97</f>
        <v>0</v>
      </c>
      <c r="CE106" s="46">
        <f ca="1">WaterfallData!CE97</f>
        <v>0</v>
      </c>
      <c r="CF106" s="46">
        <f ca="1">WaterfallData!CF97</f>
        <v>0</v>
      </c>
      <c r="CG106" s="46">
        <f ca="1">WaterfallData!CG97</f>
        <v>0</v>
      </c>
      <c r="CH106" s="46">
        <f ca="1">WaterfallData!CH97</f>
        <v>0</v>
      </c>
      <c r="CI106" s="46">
        <f ca="1">WaterfallData!CI97</f>
        <v>0</v>
      </c>
      <c r="CJ106" s="46">
        <f ca="1">WaterfallData!CJ97</f>
        <v>0</v>
      </c>
      <c r="CK106" s="46">
        <f ca="1">WaterfallData!CK97</f>
        <v>0</v>
      </c>
      <c r="CL106" s="46">
        <f ca="1">WaterfallData!CL97</f>
        <v>0</v>
      </c>
      <c r="CM106" s="46">
        <f ca="1">WaterfallData!CM97</f>
        <v>0</v>
      </c>
      <c r="CN106" s="46">
        <f ca="1">WaterfallData!CN97</f>
        <v>0</v>
      </c>
    </row>
    <row r="107" spans="1:92" s="46" customFormat="1" x14ac:dyDescent="0.15">
      <c r="A107" s="46" t="str">
        <f>WaterfallData!A98</f>
        <v>Net emissions (CO2 + other gases)</v>
      </c>
      <c r="B107" s="46">
        <f ca="1">WaterfallData!B98</f>
        <v>48.947477967900774</v>
      </c>
      <c r="C107" s="46">
        <f ca="1">WaterfallData!C98</f>
        <v>49.994506011459578</v>
      </c>
      <c r="D107" s="46">
        <f ca="1">WaterfallData!D98</f>
        <v>51.041534055018381</v>
      </c>
      <c r="E107" s="46">
        <f ca="1">WaterfallData!E98</f>
        <v>52.088562098577185</v>
      </c>
      <c r="F107" s="46">
        <f ca="1">WaterfallData!F98</f>
        <v>53.135590142135989</v>
      </c>
      <c r="G107" s="46">
        <f ca="1">WaterfallData!G98</f>
        <v>54.182618185694793</v>
      </c>
      <c r="H107" s="46">
        <f ca="1">WaterfallData!H98</f>
        <v>55.229646229253596</v>
      </c>
      <c r="I107" s="46">
        <f ca="1">WaterfallData!I98</f>
        <v>56.2766742728124</v>
      </c>
      <c r="J107" s="46">
        <f ca="1">WaterfallData!J98</f>
        <v>57.323702316371204</v>
      </c>
      <c r="K107" s="46">
        <f ca="1">WaterfallData!K98</f>
        <v>58.370730359930008</v>
      </c>
      <c r="L107" s="46">
        <f ca="1">WaterfallData!L98</f>
        <v>59.417758403488818</v>
      </c>
      <c r="M107" s="46">
        <f ca="1">WaterfallData!M98</f>
        <v>60.199844777399129</v>
      </c>
      <c r="N107" s="46">
        <f ca="1">WaterfallData!N98</f>
        <v>60.981931151309439</v>
      </c>
      <c r="O107" s="46">
        <f ca="1">WaterfallData!O98</f>
        <v>61.764017525219749</v>
      </c>
      <c r="P107" s="46">
        <f ca="1">WaterfallData!P98</f>
        <v>62.54610389913006</v>
      </c>
      <c r="Q107" s="46">
        <f ca="1">WaterfallData!Q98</f>
        <v>63.32819027304037</v>
      </c>
      <c r="R107" s="46">
        <f ca="1">WaterfallData!R98</f>
        <v>64.11027664695068</v>
      </c>
      <c r="S107" s="46">
        <f ca="1">WaterfallData!S98</f>
        <v>64.892363020860998</v>
      </c>
      <c r="T107" s="46">
        <f ca="1">WaterfallData!T98</f>
        <v>65.674449394771315</v>
      </c>
      <c r="U107" s="46">
        <f ca="1">WaterfallData!U98</f>
        <v>66.456535768681633</v>
      </c>
      <c r="V107" s="46">
        <f ca="1">WaterfallData!V98</f>
        <v>67.23862214259195</v>
      </c>
      <c r="W107" s="46">
        <f ca="1">WaterfallData!W98</f>
        <v>67.709609851405375</v>
      </c>
      <c r="X107" s="46">
        <f ca="1">WaterfallData!X98</f>
        <v>68.1805975602188</v>
      </c>
      <c r="Y107" s="46">
        <f ca="1">WaterfallData!Y98</f>
        <v>68.651585269032225</v>
      </c>
      <c r="Z107" s="46">
        <f ca="1">WaterfallData!Z98</f>
        <v>69.12257297784565</v>
      </c>
      <c r="AA107" s="46">
        <f ca="1">WaterfallData!AA98</f>
        <v>69.593560686659075</v>
      </c>
      <c r="AB107" s="46">
        <f ca="1">WaterfallData!AB98</f>
        <v>70.064548395472499</v>
      </c>
      <c r="AC107" s="46">
        <f ca="1">WaterfallData!AC98</f>
        <v>70.535536104285924</v>
      </c>
      <c r="AD107" s="46">
        <f ca="1">WaterfallData!AD98</f>
        <v>71.006523813099349</v>
      </c>
      <c r="AE107" s="46">
        <f ca="1">WaterfallData!AE98</f>
        <v>71.477511521912774</v>
      </c>
      <c r="AF107" s="46">
        <f ca="1">WaterfallData!AF98</f>
        <v>71.948499230726156</v>
      </c>
      <c r="AG107" s="46">
        <f ca="1">WaterfallData!AG98</f>
        <v>72.353564568223419</v>
      </c>
      <c r="AH107" s="46">
        <f ca="1">WaterfallData!AH98</f>
        <v>72.758629905720682</v>
      </c>
      <c r="AI107" s="46">
        <f ca="1">WaterfallData!AI98</f>
        <v>73.163695243217944</v>
      </c>
      <c r="AJ107" s="46">
        <f ca="1">WaterfallData!AJ98</f>
        <v>73.568760580715207</v>
      </c>
      <c r="AK107" s="46">
        <f ca="1">WaterfallData!AK98</f>
        <v>73.973825918212469</v>
      </c>
      <c r="AL107" s="46">
        <f ca="1">WaterfallData!AL98</f>
        <v>74.378891255709732</v>
      </c>
      <c r="AM107" s="46">
        <f ca="1">WaterfallData!AM98</f>
        <v>74.783956593206995</v>
      </c>
      <c r="AN107" s="46">
        <f ca="1">WaterfallData!AN98</f>
        <v>75.189021930704257</v>
      </c>
      <c r="AO107" s="46">
        <f ca="1">WaterfallData!AO98</f>
        <v>75.59408726820152</v>
      </c>
      <c r="AP107" s="46">
        <f ca="1">WaterfallData!AP98</f>
        <v>75.999152605698796</v>
      </c>
      <c r="AQ107" s="46">
        <f ca="1">WaterfallData!AQ98</f>
        <v>76.187375167662779</v>
      </c>
      <c r="AR107" s="46">
        <f ca="1">WaterfallData!AR98</f>
        <v>76.375597729626762</v>
      </c>
      <c r="AS107" s="46">
        <f ca="1">WaterfallData!AS98</f>
        <v>76.563820291590744</v>
      </c>
      <c r="AT107" s="46">
        <f ca="1">WaterfallData!AT98</f>
        <v>76.752042853554727</v>
      </c>
      <c r="AU107" s="46">
        <f ca="1">WaterfallData!AU98</f>
        <v>76.940265415518709</v>
      </c>
      <c r="AV107" s="46">
        <f ca="1">WaterfallData!AV98</f>
        <v>77.128487977482692</v>
      </c>
      <c r="AW107" s="46">
        <f ca="1">WaterfallData!AW98</f>
        <v>77.316710539446674</v>
      </c>
      <c r="AX107" s="46">
        <f ca="1">WaterfallData!AX98</f>
        <v>77.504933101410657</v>
      </c>
      <c r="AY107" s="46">
        <f ca="1">WaterfallData!AY98</f>
        <v>77.69315566337464</v>
      </c>
      <c r="AZ107" s="46">
        <f ca="1">WaterfallData!AZ98</f>
        <v>77.88137822533858</v>
      </c>
      <c r="BA107" s="46">
        <f ca="1">WaterfallData!BA98</f>
        <v>78.262383253891741</v>
      </c>
      <c r="BB107" s="46">
        <f ca="1">WaterfallData!BB98</f>
        <v>78.643388282444903</v>
      </c>
      <c r="BC107" s="46">
        <f ca="1">WaterfallData!BC98</f>
        <v>79.024393310998065</v>
      </c>
      <c r="BD107" s="46">
        <f ca="1">WaterfallData!BD98</f>
        <v>79.405398339551226</v>
      </c>
      <c r="BE107" s="46">
        <f ca="1">WaterfallData!BE98</f>
        <v>79.786403368104388</v>
      </c>
      <c r="BF107" s="46">
        <f ca="1">WaterfallData!BF98</f>
        <v>80.167408396657549</v>
      </c>
      <c r="BG107" s="46">
        <f ca="1">WaterfallData!BG98</f>
        <v>80.548413425210711</v>
      </c>
      <c r="BH107" s="46">
        <f ca="1">WaterfallData!BH98</f>
        <v>80.929418453763873</v>
      </c>
      <c r="BI107" s="46">
        <f ca="1">WaterfallData!BI98</f>
        <v>81.310423482317034</v>
      </c>
      <c r="BJ107" s="46">
        <f ca="1">WaterfallData!BJ98</f>
        <v>81.691428510870224</v>
      </c>
      <c r="BK107" s="46">
        <f ca="1">WaterfallData!BK98</f>
        <v>82.126263975485614</v>
      </c>
      <c r="BL107" s="46">
        <f ca="1">WaterfallData!BL98</f>
        <v>82.561099440101003</v>
      </c>
      <c r="BM107" s="46">
        <f ca="1">WaterfallData!BM98</f>
        <v>82.995934904716393</v>
      </c>
      <c r="BN107" s="46">
        <f ca="1">WaterfallData!BN98</f>
        <v>83.430770369331782</v>
      </c>
      <c r="BO107" s="46">
        <f ca="1">WaterfallData!BO98</f>
        <v>83.865605833947171</v>
      </c>
      <c r="BP107" s="46">
        <f ca="1">WaterfallData!BP98</f>
        <v>84.300441298562561</v>
      </c>
      <c r="BQ107" s="46">
        <f ca="1">WaterfallData!BQ98</f>
        <v>84.73527676317795</v>
      </c>
      <c r="BR107" s="46">
        <f ca="1">WaterfallData!BR98</f>
        <v>85.170112227793339</v>
      </c>
      <c r="BS107" s="46">
        <f ca="1">WaterfallData!BS98</f>
        <v>85.604947692408729</v>
      </c>
      <c r="BT107" s="46">
        <f ca="1">WaterfallData!BT98</f>
        <v>86.039783157024061</v>
      </c>
      <c r="BU107" s="46">
        <f ca="1">WaterfallData!BU98</f>
        <v>86.443073291734876</v>
      </c>
      <c r="BV107" s="46">
        <f ca="1">WaterfallData!BV98</f>
        <v>86.846363426445691</v>
      </c>
      <c r="BW107" s="46">
        <f ca="1">WaterfallData!BW98</f>
        <v>87.249653561156506</v>
      </c>
      <c r="BX107" s="46">
        <f ca="1">WaterfallData!BX98</f>
        <v>87.652943695867322</v>
      </c>
      <c r="BY107" s="46">
        <f ca="1">WaterfallData!BY98</f>
        <v>88.056233830578137</v>
      </c>
      <c r="BZ107" s="46">
        <f ca="1">WaterfallData!BZ98</f>
        <v>88.459523965288952</v>
      </c>
      <c r="CA107" s="46">
        <f ca="1">WaterfallData!CA98</f>
        <v>88.862814099999767</v>
      </c>
      <c r="CB107" s="46">
        <f ca="1">WaterfallData!CB98</f>
        <v>89.266104234710582</v>
      </c>
      <c r="CC107" s="46">
        <f ca="1">WaterfallData!CC98</f>
        <v>89.669394369421397</v>
      </c>
      <c r="CD107" s="46">
        <f ca="1">WaterfallData!CD98</f>
        <v>90.072684504132255</v>
      </c>
      <c r="CE107" s="46">
        <f ca="1">WaterfallData!CE98</f>
        <v>90.632661749731028</v>
      </c>
      <c r="CF107" s="46">
        <f ca="1">WaterfallData!CF98</f>
        <v>91.192638995329801</v>
      </c>
      <c r="CG107" s="46">
        <f ca="1">WaterfallData!CG98</f>
        <v>91.752616240928575</v>
      </c>
      <c r="CH107" s="46">
        <f ca="1">WaterfallData!CH98</f>
        <v>92.312593486527348</v>
      </c>
      <c r="CI107" s="46">
        <f ca="1">WaterfallData!CI98</f>
        <v>92.872570732126121</v>
      </c>
      <c r="CJ107" s="46">
        <f ca="1">WaterfallData!CJ98</f>
        <v>93.432547977724894</v>
      </c>
      <c r="CK107" s="46">
        <f ca="1">WaterfallData!CK98</f>
        <v>93.992525223323668</v>
      </c>
      <c r="CL107" s="46">
        <f ca="1">WaterfallData!CL98</f>
        <v>94.552502468922441</v>
      </c>
      <c r="CM107" s="46">
        <f ca="1">WaterfallData!CM98</f>
        <v>95.112479714521214</v>
      </c>
      <c r="CN107" s="46">
        <f ca="1">WaterfallData!CN98</f>
        <v>95.672456960119973</v>
      </c>
    </row>
    <row r="108" spans="1:92" x14ac:dyDescent="0.15">
      <c r="A108" s="46" t="str">
        <f>WaterfallData!A99</f>
        <v>Total Anthropogenic Emissions Ref</v>
      </c>
      <c r="B108" s="46">
        <f ca="1">WaterfallData!B99</f>
        <v>48.947477967900774</v>
      </c>
      <c r="C108" s="46">
        <f ca="1">WaterfallData!C99</f>
        <v>49.994506011459578</v>
      </c>
      <c r="D108" s="46">
        <f ca="1">WaterfallData!D99</f>
        <v>51.041534055018381</v>
      </c>
      <c r="E108" s="46">
        <f ca="1">WaterfallData!E99</f>
        <v>52.088562098577185</v>
      </c>
      <c r="F108" s="46">
        <f ca="1">WaterfallData!F99</f>
        <v>53.135590142135989</v>
      </c>
      <c r="G108" s="46">
        <f ca="1">WaterfallData!G99</f>
        <v>54.182618185694793</v>
      </c>
      <c r="H108" s="46">
        <f ca="1">WaterfallData!H99</f>
        <v>55.229646229253596</v>
      </c>
      <c r="I108" s="46">
        <f ca="1">WaterfallData!I99</f>
        <v>56.2766742728124</v>
      </c>
      <c r="J108" s="46">
        <f ca="1">WaterfallData!J99</f>
        <v>57.323702316371204</v>
      </c>
      <c r="K108" s="46">
        <f ca="1">WaterfallData!K99</f>
        <v>58.370730359930008</v>
      </c>
      <c r="L108" s="46">
        <f ca="1">WaterfallData!L99</f>
        <v>59.417758403488818</v>
      </c>
      <c r="M108" s="46">
        <f ca="1">WaterfallData!M99</f>
        <v>60.199844777399129</v>
      </c>
      <c r="N108" s="46">
        <f ca="1">WaterfallData!N99</f>
        <v>60.981931151309439</v>
      </c>
      <c r="O108" s="46">
        <f ca="1">WaterfallData!O99</f>
        <v>61.764017525219749</v>
      </c>
      <c r="P108" s="46">
        <f ca="1">WaterfallData!P99</f>
        <v>62.54610389913006</v>
      </c>
      <c r="Q108" s="46">
        <f ca="1">WaterfallData!Q99</f>
        <v>63.32819027304037</v>
      </c>
      <c r="R108" s="46">
        <f ca="1">WaterfallData!R99</f>
        <v>64.11027664695068</v>
      </c>
      <c r="S108" s="46">
        <f ca="1">WaterfallData!S99</f>
        <v>64.892363020860998</v>
      </c>
      <c r="T108" s="46">
        <f ca="1">WaterfallData!T99</f>
        <v>65.674449394771315</v>
      </c>
      <c r="U108" s="46">
        <f ca="1">WaterfallData!U99</f>
        <v>66.456535768681633</v>
      </c>
      <c r="V108" s="46">
        <f ca="1">WaterfallData!V99</f>
        <v>67.23862214259195</v>
      </c>
      <c r="W108" s="46">
        <f ca="1">WaterfallData!W99</f>
        <v>67.709609851405375</v>
      </c>
      <c r="X108" s="46">
        <f ca="1">WaterfallData!X99</f>
        <v>68.1805975602188</v>
      </c>
      <c r="Y108" s="46">
        <f ca="1">WaterfallData!Y99</f>
        <v>68.651585269032225</v>
      </c>
      <c r="Z108" s="46">
        <f ca="1">WaterfallData!Z99</f>
        <v>69.12257297784565</v>
      </c>
      <c r="AA108" s="46">
        <f ca="1">WaterfallData!AA99</f>
        <v>69.593560686659075</v>
      </c>
      <c r="AB108" s="46">
        <f ca="1">WaterfallData!AB99</f>
        <v>70.064548395472499</v>
      </c>
      <c r="AC108" s="46">
        <f ca="1">WaterfallData!AC99</f>
        <v>70.535536104285924</v>
      </c>
      <c r="AD108" s="46">
        <f ca="1">WaterfallData!AD99</f>
        <v>71.006523813099349</v>
      </c>
      <c r="AE108" s="46">
        <f ca="1">WaterfallData!AE99</f>
        <v>71.477511521912774</v>
      </c>
      <c r="AF108" s="46">
        <f ca="1">WaterfallData!AF99</f>
        <v>71.948499230726156</v>
      </c>
      <c r="AG108" s="46">
        <f ca="1">WaterfallData!AG99</f>
        <v>72.353564568223419</v>
      </c>
      <c r="AH108" s="46">
        <f ca="1">WaterfallData!AH99</f>
        <v>72.758629905720682</v>
      </c>
      <c r="AI108" s="46">
        <f ca="1">WaterfallData!AI99</f>
        <v>73.163695243217944</v>
      </c>
      <c r="AJ108" s="46">
        <f ca="1">WaterfallData!AJ99</f>
        <v>73.568760580715207</v>
      </c>
      <c r="AK108" s="46">
        <f ca="1">WaterfallData!AK99</f>
        <v>73.973825918212469</v>
      </c>
      <c r="AL108" s="46">
        <f ca="1">WaterfallData!AL99</f>
        <v>74.378891255709732</v>
      </c>
      <c r="AM108" s="46">
        <f ca="1">WaterfallData!AM99</f>
        <v>74.783956593206995</v>
      </c>
      <c r="AN108" s="46">
        <f ca="1">WaterfallData!AN99</f>
        <v>75.189021930704257</v>
      </c>
      <c r="AO108" s="46">
        <f ca="1">WaterfallData!AO99</f>
        <v>75.59408726820152</v>
      </c>
      <c r="AP108" s="46">
        <f ca="1">WaterfallData!AP99</f>
        <v>75.999152605698796</v>
      </c>
      <c r="AQ108" s="46">
        <f ca="1">WaterfallData!AQ99</f>
        <v>76.187375167662779</v>
      </c>
      <c r="AR108" s="46">
        <f ca="1">WaterfallData!AR99</f>
        <v>76.375597729626762</v>
      </c>
      <c r="AS108" s="46">
        <f ca="1">WaterfallData!AS99</f>
        <v>76.563820291590744</v>
      </c>
      <c r="AT108" s="46">
        <f ca="1">WaterfallData!AT99</f>
        <v>76.752042853554727</v>
      </c>
      <c r="AU108" s="46">
        <f ca="1">WaterfallData!AU99</f>
        <v>76.940265415518709</v>
      </c>
      <c r="AV108" s="46">
        <f ca="1">WaterfallData!AV99</f>
        <v>77.128487977482692</v>
      </c>
      <c r="AW108" s="46">
        <f ca="1">WaterfallData!AW99</f>
        <v>77.316710539446674</v>
      </c>
      <c r="AX108" s="46">
        <f ca="1">WaterfallData!AX99</f>
        <v>77.504933101410657</v>
      </c>
      <c r="AY108" s="46">
        <f ca="1">WaterfallData!AY99</f>
        <v>77.69315566337464</v>
      </c>
      <c r="AZ108" s="46">
        <f ca="1">WaterfallData!AZ99</f>
        <v>77.88137822533858</v>
      </c>
      <c r="BA108" s="46">
        <f ca="1">WaterfallData!BA99</f>
        <v>78.262383253891741</v>
      </c>
      <c r="BB108" s="46">
        <f ca="1">WaterfallData!BB99</f>
        <v>78.643388282444903</v>
      </c>
      <c r="BC108" s="46">
        <f ca="1">WaterfallData!BC99</f>
        <v>79.024393310998065</v>
      </c>
      <c r="BD108" s="46">
        <f ca="1">WaterfallData!BD99</f>
        <v>79.405398339551226</v>
      </c>
      <c r="BE108" s="46">
        <f ca="1">WaterfallData!BE99</f>
        <v>79.786403368104388</v>
      </c>
      <c r="BF108" s="46">
        <f ca="1">WaterfallData!BF99</f>
        <v>80.167408396657549</v>
      </c>
      <c r="BG108" s="46">
        <f ca="1">WaterfallData!BG99</f>
        <v>80.548413425210711</v>
      </c>
      <c r="BH108" s="46">
        <f ca="1">WaterfallData!BH99</f>
        <v>80.929418453763873</v>
      </c>
      <c r="BI108" s="46">
        <f ca="1">WaterfallData!BI99</f>
        <v>81.310423482317034</v>
      </c>
      <c r="BJ108" s="46">
        <f ca="1">WaterfallData!BJ99</f>
        <v>81.691428510870224</v>
      </c>
      <c r="BK108" s="46">
        <f ca="1">WaterfallData!BK99</f>
        <v>82.126263975485614</v>
      </c>
      <c r="BL108" s="46">
        <f ca="1">WaterfallData!BL99</f>
        <v>82.561099440101003</v>
      </c>
      <c r="BM108" s="46">
        <f ca="1">WaterfallData!BM99</f>
        <v>82.995934904716393</v>
      </c>
      <c r="BN108" s="46">
        <f ca="1">WaterfallData!BN99</f>
        <v>83.430770369331782</v>
      </c>
      <c r="BO108" s="46">
        <f ca="1">WaterfallData!BO99</f>
        <v>83.865605833947171</v>
      </c>
      <c r="BP108" s="46">
        <f ca="1">WaterfallData!BP99</f>
        <v>84.300441298562561</v>
      </c>
      <c r="BQ108" s="46">
        <f ca="1">WaterfallData!BQ99</f>
        <v>84.73527676317795</v>
      </c>
      <c r="BR108" s="46">
        <f ca="1">WaterfallData!BR99</f>
        <v>85.170112227793339</v>
      </c>
      <c r="BS108" s="46">
        <f ca="1">WaterfallData!BS99</f>
        <v>85.604947692408729</v>
      </c>
      <c r="BT108" s="46">
        <f ca="1">WaterfallData!BT99</f>
        <v>86.039783157024061</v>
      </c>
      <c r="BU108" s="46">
        <f ca="1">WaterfallData!BU99</f>
        <v>86.443073291734876</v>
      </c>
      <c r="BV108" s="46">
        <f ca="1">WaterfallData!BV99</f>
        <v>86.846363426445691</v>
      </c>
      <c r="BW108" s="46">
        <f ca="1">WaterfallData!BW99</f>
        <v>87.249653561156506</v>
      </c>
      <c r="BX108" s="46">
        <f ca="1">WaterfallData!BX99</f>
        <v>87.652943695867322</v>
      </c>
      <c r="BY108" s="46">
        <f ca="1">WaterfallData!BY99</f>
        <v>88.056233830578137</v>
      </c>
      <c r="BZ108" s="46">
        <f ca="1">WaterfallData!BZ99</f>
        <v>88.459523965288952</v>
      </c>
      <c r="CA108" s="46">
        <f ca="1">WaterfallData!CA99</f>
        <v>88.862814099999767</v>
      </c>
      <c r="CB108" s="46">
        <f ca="1">WaterfallData!CB99</f>
        <v>89.266104234710582</v>
      </c>
      <c r="CC108" s="46">
        <f ca="1">WaterfallData!CC99</f>
        <v>89.669394369421397</v>
      </c>
      <c r="CD108" s="46">
        <f ca="1">WaterfallData!CD99</f>
        <v>90.072684504132255</v>
      </c>
      <c r="CE108" s="46">
        <f ca="1">WaterfallData!CE99</f>
        <v>90.632661749731028</v>
      </c>
      <c r="CF108" s="46">
        <f ca="1">WaterfallData!CF99</f>
        <v>91.192638995329801</v>
      </c>
      <c r="CG108" s="46">
        <f ca="1">WaterfallData!CG99</f>
        <v>91.752616240928575</v>
      </c>
      <c r="CH108" s="46">
        <f ca="1">WaterfallData!CH99</f>
        <v>92.312593486527348</v>
      </c>
      <c r="CI108" s="46">
        <f ca="1">WaterfallData!CI99</f>
        <v>92.872570732126121</v>
      </c>
      <c r="CJ108" s="46">
        <f ca="1">WaterfallData!CJ99</f>
        <v>93.432547977724894</v>
      </c>
      <c r="CK108" s="46">
        <f ca="1">WaterfallData!CK99</f>
        <v>93.992525223323668</v>
      </c>
      <c r="CL108" s="46">
        <f ca="1">WaterfallData!CL99</f>
        <v>94.552502468922441</v>
      </c>
      <c r="CM108" s="46">
        <f ca="1">WaterfallData!CM99</f>
        <v>95.112479714521214</v>
      </c>
      <c r="CN108" s="46">
        <f ca="1">WaterfallData!CN99</f>
        <v>95.672456960119973</v>
      </c>
    </row>
    <row r="109" spans="1:92" s="46" customFormat="1" x14ac:dyDescent="0.15"/>
    <row r="110" spans="1:92" x14ac:dyDescent="0.15">
      <c r="A110" s="46"/>
      <c r="B110" s="46"/>
    </row>
    <row r="111" spans="1:92" s="46" customFormat="1" x14ac:dyDescent="0.15"/>
    <row r="112" spans="1:92" s="46" customFormat="1" x14ac:dyDescent="0.15"/>
    <row r="113" spans="1:92" s="46" customFormat="1" x14ac:dyDescent="0.15">
      <c r="A113" s="46" t="str">
        <f>A98</f>
        <v>TIC</v>
      </c>
      <c r="C113" s="46">
        <f ca="1">C98-$L98</f>
        <v>-0.20406992733478546</v>
      </c>
      <c r="D113" s="46">
        <f t="shared" ref="D113:BO113" ca="1" si="61">D98-$L98</f>
        <v>-0.18139549096425367</v>
      </c>
      <c r="E113" s="46">
        <f t="shared" ca="1" si="61"/>
        <v>-0.15872105459372188</v>
      </c>
      <c r="F113" s="46">
        <f t="shared" ca="1" si="61"/>
        <v>-0.13604661822319009</v>
      </c>
      <c r="G113" s="46">
        <f t="shared" ca="1" si="61"/>
        <v>-0.11337218185265829</v>
      </c>
      <c r="H113" s="46">
        <f t="shared" ca="1" si="61"/>
        <v>-9.0697745482126502E-2</v>
      </c>
      <c r="I113" s="46">
        <f t="shared" ca="1" si="61"/>
        <v>-6.802330911159471E-2</v>
      </c>
      <c r="J113" s="46">
        <f t="shared" ca="1" si="61"/>
        <v>-4.5348872741062918E-2</v>
      </c>
      <c r="K113" s="46">
        <f t="shared" ca="1" si="61"/>
        <v>-2.2674436370531126E-2</v>
      </c>
      <c r="L113" s="46">
        <f t="shared" ca="1" si="61"/>
        <v>0</v>
      </c>
      <c r="M113" s="46">
        <f t="shared" ca="1" si="61"/>
        <v>1.6846539576848452E-2</v>
      </c>
      <c r="N113" s="46">
        <f t="shared" ca="1" si="61"/>
        <v>3.3693079153696903E-2</v>
      </c>
      <c r="O113" s="46">
        <f t="shared" ca="1" si="61"/>
        <v>5.0539618730545355E-2</v>
      </c>
      <c r="P113" s="46">
        <f t="shared" ca="1" si="61"/>
        <v>6.7386158307393806E-2</v>
      </c>
      <c r="Q113" s="46">
        <f t="shared" ca="1" si="61"/>
        <v>8.4232697884242258E-2</v>
      </c>
      <c r="R113" s="46">
        <f t="shared" ca="1" si="61"/>
        <v>0.10107923746109071</v>
      </c>
      <c r="S113" s="46">
        <f t="shared" ca="1" si="61"/>
        <v>0.11792577703793916</v>
      </c>
      <c r="T113" s="46">
        <f t="shared" ca="1" si="61"/>
        <v>0.13477231661478761</v>
      </c>
      <c r="U113" s="46">
        <f t="shared" ca="1" si="61"/>
        <v>0.15161885619163606</v>
      </c>
      <c r="V113" s="46">
        <f t="shared" ca="1" si="61"/>
        <v>0.16846539576848363</v>
      </c>
      <c r="W113" s="46">
        <f t="shared" ca="1" si="61"/>
        <v>0.17669969598452262</v>
      </c>
      <c r="X113" s="46">
        <f t="shared" ca="1" si="61"/>
        <v>0.18493399620056161</v>
      </c>
      <c r="Y113" s="46">
        <f t="shared" ca="1" si="61"/>
        <v>0.1931682964166006</v>
      </c>
      <c r="Z113" s="46">
        <f t="shared" ca="1" si="61"/>
        <v>0.2014025966326396</v>
      </c>
      <c r="AA113" s="46">
        <f t="shared" ca="1" si="61"/>
        <v>0.20963689684867859</v>
      </c>
      <c r="AB113" s="46">
        <f t="shared" ca="1" si="61"/>
        <v>0.21787119706471758</v>
      </c>
      <c r="AC113" s="46">
        <f t="shared" ca="1" si="61"/>
        <v>0.22610549728075657</v>
      </c>
      <c r="AD113" s="46">
        <f t="shared" ca="1" si="61"/>
        <v>0.23433979749679557</v>
      </c>
      <c r="AE113" s="46">
        <f t="shared" ca="1" si="61"/>
        <v>0.24257409771283456</v>
      </c>
      <c r="AF113" s="46">
        <f t="shared" ca="1" si="61"/>
        <v>0.25080839792887355</v>
      </c>
      <c r="AG113" s="46">
        <f t="shared" ca="1" si="61"/>
        <v>0.27036542097727434</v>
      </c>
      <c r="AH113" s="46">
        <f t="shared" ca="1" si="61"/>
        <v>0.28992244402567513</v>
      </c>
      <c r="AI113" s="46">
        <f t="shared" ca="1" si="61"/>
        <v>0.30947946707407592</v>
      </c>
      <c r="AJ113" s="46">
        <f t="shared" ca="1" si="61"/>
        <v>0.32903649012247671</v>
      </c>
      <c r="AK113" s="46">
        <f t="shared" ca="1" si="61"/>
        <v>0.3485935131708775</v>
      </c>
      <c r="AL113" s="46">
        <f t="shared" ca="1" si="61"/>
        <v>0.36815053621927829</v>
      </c>
      <c r="AM113" s="46">
        <f t="shared" ca="1" si="61"/>
        <v>0.38770755926767908</v>
      </c>
      <c r="AN113" s="46">
        <f t="shared" ca="1" si="61"/>
        <v>0.40726458231607987</v>
      </c>
      <c r="AO113" s="46">
        <f t="shared" ca="1" si="61"/>
        <v>0.42682160536448066</v>
      </c>
      <c r="AP113" s="46">
        <f t="shared" ca="1" si="61"/>
        <v>0.44637862841288234</v>
      </c>
      <c r="AQ113" s="46">
        <f t="shared" ca="1" si="61"/>
        <v>0.47062115271886196</v>
      </c>
      <c r="AR113" s="46">
        <f t="shared" ca="1" si="61"/>
        <v>0.49486367702484113</v>
      </c>
      <c r="AS113" s="46">
        <f t="shared" ca="1" si="61"/>
        <v>0.5191062013308203</v>
      </c>
      <c r="AT113" s="46">
        <f t="shared" ca="1" si="61"/>
        <v>0.54334872563679948</v>
      </c>
      <c r="AU113" s="46">
        <f t="shared" ca="1" si="61"/>
        <v>0.56759124994277865</v>
      </c>
      <c r="AV113" s="46">
        <f t="shared" ca="1" si="61"/>
        <v>0.59183377424875783</v>
      </c>
      <c r="AW113" s="46">
        <f t="shared" ca="1" si="61"/>
        <v>0.616076298554737</v>
      </c>
      <c r="AX113" s="46">
        <f t="shared" ca="1" si="61"/>
        <v>0.64031882286071617</v>
      </c>
      <c r="AY113" s="46">
        <f t="shared" ca="1" si="61"/>
        <v>0.66456134716669535</v>
      </c>
      <c r="AZ113" s="46">
        <f t="shared" ca="1" si="61"/>
        <v>0.6888038714726763</v>
      </c>
      <c r="BA113" s="46">
        <f t="shared" ca="1" si="61"/>
        <v>0.69882077773412021</v>
      </c>
      <c r="BB113" s="46">
        <f t="shared" ca="1" si="61"/>
        <v>0.70883768399556413</v>
      </c>
      <c r="BC113" s="46">
        <f t="shared" ca="1" si="61"/>
        <v>0.71885459025700804</v>
      </c>
      <c r="BD113" s="46">
        <f t="shared" ca="1" si="61"/>
        <v>0.72887149651845196</v>
      </c>
      <c r="BE113" s="46">
        <f t="shared" ca="1" si="61"/>
        <v>0.73888840277989587</v>
      </c>
      <c r="BF113" s="46">
        <f t="shared" ca="1" si="61"/>
        <v>0.74890530904133978</v>
      </c>
      <c r="BG113" s="46">
        <f t="shared" ca="1" si="61"/>
        <v>0.7589222153027837</v>
      </c>
      <c r="BH113" s="46">
        <f t="shared" ca="1" si="61"/>
        <v>0.76893912156422761</v>
      </c>
      <c r="BI113" s="46">
        <f t="shared" ca="1" si="61"/>
        <v>0.77895602782567153</v>
      </c>
      <c r="BJ113" s="46">
        <f t="shared" ca="1" si="61"/>
        <v>0.78897293408711722</v>
      </c>
      <c r="BK113" s="46">
        <f t="shared" ca="1" si="61"/>
        <v>0.81394810477892543</v>
      </c>
      <c r="BL113" s="46">
        <f t="shared" ca="1" si="61"/>
        <v>0.83892327547073364</v>
      </c>
      <c r="BM113" s="46">
        <f t="shared" ca="1" si="61"/>
        <v>0.86389844616254186</v>
      </c>
      <c r="BN113" s="46">
        <f t="shared" ca="1" si="61"/>
        <v>0.88887361685435007</v>
      </c>
      <c r="BO113" s="46">
        <f t="shared" ca="1" si="61"/>
        <v>0.91384878754615828</v>
      </c>
      <c r="BP113" s="46">
        <f t="shared" ref="BP113:CN113" ca="1" si="62">BP98-$L98</f>
        <v>0.93882395823796649</v>
      </c>
      <c r="BQ113" s="46">
        <f t="shared" ca="1" si="62"/>
        <v>0.96379912892977471</v>
      </c>
      <c r="BR113" s="46">
        <f t="shared" ca="1" si="62"/>
        <v>0.98877429962158292</v>
      </c>
      <c r="BS113" s="46">
        <f t="shared" ca="1" si="62"/>
        <v>1.0137494703133911</v>
      </c>
      <c r="BT113" s="46">
        <f t="shared" ca="1" si="62"/>
        <v>1.038724641005198</v>
      </c>
      <c r="BU113" s="46">
        <f t="shared" ca="1" si="62"/>
        <v>1.0826364139715827</v>
      </c>
      <c r="BV113" s="46">
        <f t="shared" ca="1" si="62"/>
        <v>1.1265481869379674</v>
      </c>
      <c r="BW113" s="46">
        <f t="shared" ca="1" si="62"/>
        <v>1.1704599599043521</v>
      </c>
      <c r="BX113" s="46">
        <f t="shared" ca="1" si="62"/>
        <v>1.2143717328707369</v>
      </c>
      <c r="BY113" s="46">
        <f t="shared" ca="1" si="62"/>
        <v>1.2582835058371216</v>
      </c>
      <c r="BZ113" s="46">
        <f t="shared" ca="1" si="62"/>
        <v>1.3021952788035063</v>
      </c>
      <c r="CA113" s="46">
        <f t="shared" ca="1" si="62"/>
        <v>1.346107051769891</v>
      </c>
      <c r="CB113" s="46">
        <f t="shared" ca="1" si="62"/>
        <v>1.3900188247362757</v>
      </c>
      <c r="CC113" s="46">
        <f t="shared" ca="1" si="62"/>
        <v>1.4339305977026604</v>
      </c>
      <c r="CD113" s="46">
        <f t="shared" ca="1" si="62"/>
        <v>1.4778423706690469</v>
      </c>
      <c r="CE113" s="46">
        <f t="shared" ca="1" si="62"/>
        <v>1.5168847759564716</v>
      </c>
      <c r="CF113" s="46">
        <f t="shared" ca="1" si="62"/>
        <v>1.5559271812438964</v>
      </c>
      <c r="CG113" s="46">
        <f t="shared" ca="1" si="62"/>
        <v>1.5949695865313211</v>
      </c>
      <c r="CH113" s="46">
        <f t="shared" ca="1" si="62"/>
        <v>1.6340119918187459</v>
      </c>
      <c r="CI113" s="46">
        <f t="shared" ca="1" si="62"/>
        <v>1.6730543971061707</v>
      </c>
      <c r="CJ113" s="46">
        <f t="shared" ca="1" si="62"/>
        <v>1.7120968023935954</v>
      </c>
      <c r="CK113" s="46">
        <f t="shared" ca="1" si="62"/>
        <v>1.7511392076810202</v>
      </c>
      <c r="CL113" s="46">
        <f t="shared" ca="1" si="62"/>
        <v>1.7901816129684449</v>
      </c>
      <c r="CM113" s="46">
        <f t="shared" ca="1" si="62"/>
        <v>1.8292240182558697</v>
      </c>
      <c r="CN113" s="46">
        <f t="shared" ca="1" si="62"/>
        <v>1.868266423543294</v>
      </c>
    </row>
    <row r="114" spans="1:92" s="46" customFormat="1" x14ac:dyDescent="0.15"/>
    <row r="115" spans="1:92" s="46" customFormat="1" x14ac:dyDescent="0.15">
      <c r="A115" s="46" t="str">
        <f>A100</f>
        <v>other gases</v>
      </c>
      <c r="C115" s="46">
        <f t="shared" ref="C115:C120" ca="1" si="63">C100-$L100</f>
        <v>-2.3443869450492887</v>
      </c>
      <c r="D115" s="46">
        <f t="shared" ref="D115:BO115" ca="1" si="64">D100-$L100</f>
        <v>-2.0838995067104786</v>
      </c>
      <c r="E115" s="46">
        <f t="shared" ca="1" si="64"/>
        <v>-1.8234120683716686</v>
      </c>
      <c r="F115" s="46">
        <f t="shared" ca="1" si="64"/>
        <v>-1.5629246300328585</v>
      </c>
      <c r="G115" s="46">
        <f t="shared" ca="1" si="64"/>
        <v>-1.3024371916940485</v>
      </c>
      <c r="H115" s="46">
        <f t="shared" ca="1" si="64"/>
        <v>-1.0419497533552384</v>
      </c>
      <c r="I115" s="46">
        <f t="shared" ca="1" si="64"/>
        <v>-0.78146231501642838</v>
      </c>
      <c r="J115" s="46">
        <f t="shared" ca="1" si="64"/>
        <v>-0.52097487667761833</v>
      </c>
      <c r="K115" s="46">
        <f t="shared" ca="1" si="64"/>
        <v>-0.26048743833880827</v>
      </c>
      <c r="L115" s="46">
        <f t="shared" ca="1" si="64"/>
        <v>0</v>
      </c>
      <c r="M115" s="46">
        <f t="shared" ca="1" si="64"/>
        <v>0.18244652158925945</v>
      </c>
      <c r="N115" s="46">
        <f t="shared" ca="1" si="64"/>
        <v>0.36489304317851889</v>
      </c>
      <c r="O115" s="46">
        <f t="shared" ca="1" si="64"/>
        <v>0.54733956476777834</v>
      </c>
      <c r="P115" s="46">
        <f t="shared" ca="1" si="64"/>
        <v>0.72978608635703779</v>
      </c>
      <c r="Q115" s="46">
        <f t="shared" ca="1" si="64"/>
        <v>0.91223260794629724</v>
      </c>
      <c r="R115" s="46">
        <f t="shared" ca="1" si="64"/>
        <v>1.0946791295355567</v>
      </c>
      <c r="S115" s="46">
        <f t="shared" ca="1" si="64"/>
        <v>1.2771256511248161</v>
      </c>
      <c r="T115" s="46">
        <f t="shared" ca="1" si="64"/>
        <v>1.4595721727140756</v>
      </c>
      <c r="U115" s="46">
        <f t="shared" ca="1" si="64"/>
        <v>1.642018694303335</v>
      </c>
      <c r="V115" s="46">
        <f t="shared" ca="1" si="64"/>
        <v>1.8244652158925838</v>
      </c>
      <c r="W115" s="46">
        <f t="shared" ca="1" si="64"/>
        <v>1.951517173265664</v>
      </c>
      <c r="X115" s="46">
        <f t="shared" ca="1" si="64"/>
        <v>2.0785691306387477</v>
      </c>
      <c r="Y115" s="46">
        <f t="shared" ca="1" si="64"/>
        <v>2.2056210880118314</v>
      </c>
      <c r="Z115" s="46">
        <f t="shared" ca="1" si="64"/>
        <v>2.3326730453849152</v>
      </c>
      <c r="AA115" s="46">
        <f t="shared" ca="1" si="64"/>
        <v>2.4597250027579989</v>
      </c>
      <c r="AB115" s="46">
        <f t="shared" ca="1" si="64"/>
        <v>2.5867769601310826</v>
      </c>
      <c r="AC115" s="46">
        <f t="shared" ca="1" si="64"/>
        <v>2.7138289175041663</v>
      </c>
      <c r="AD115" s="46">
        <f t="shared" ca="1" si="64"/>
        <v>2.8408808748772501</v>
      </c>
      <c r="AE115" s="46">
        <f t="shared" ca="1" si="64"/>
        <v>2.9679328322503338</v>
      </c>
      <c r="AF115" s="46">
        <f t="shared" ca="1" si="64"/>
        <v>3.0949847896234033</v>
      </c>
      <c r="AG115" s="46">
        <f t="shared" ca="1" si="64"/>
        <v>3.1923175003889668</v>
      </c>
      <c r="AH115" s="46">
        <f t="shared" ca="1" si="64"/>
        <v>3.2896502111545303</v>
      </c>
      <c r="AI115" s="46">
        <f t="shared" ca="1" si="64"/>
        <v>3.3869829219200938</v>
      </c>
      <c r="AJ115" s="46">
        <f t="shared" ca="1" si="64"/>
        <v>3.4843156326856572</v>
      </c>
      <c r="AK115" s="46">
        <f t="shared" ca="1" si="64"/>
        <v>3.5816483434512207</v>
      </c>
      <c r="AL115" s="46">
        <f t="shared" ca="1" si="64"/>
        <v>3.6789810542167842</v>
      </c>
      <c r="AM115" s="46">
        <f t="shared" ca="1" si="64"/>
        <v>3.7763137649823477</v>
      </c>
      <c r="AN115" s="46">
        <f t="shared" ca="1" si="64"/>
        <v>3.8736464757479112</v>
      </c>
      <c r="AO115" s="46">
        <f t="shared" ca="1" si="64"/>
        <v>3.9709791865134747</v>
      </c>
      <c r="AP115" s="46">
        <f t="shared" ca="1" si="64"/>
        <v>4.0683118972790275</v>
      </c>
      <c r="AQ115" s="46">
        <f t="shared" ca="1" si="64"/>
        <v>4.0934831379246894</v>
      </c>
      <c r="AR115" s="46">
        <f t="shared" ca="1" si="64"/>
        <v>4.1186543785703513</v>
      </c>
      <c r="AS115" s="46">
        <f t="shared" ca="1" si="64"/>
        <v>4.1438256192160132</v>
      </c>
      <c r="AT115" s="46">
        <f t="shared" ca="1" si="64"/>
        <v>4.1689968598616751</v>
      </c>
      <c r="AU115" s="46">
        <f t="shared" ca="1" si="64"/>
        <v>4.194168100507337</v>
      </c>
      <c r="AV115" s="46">
        <f t="shared" ca="1" si="64"/>
        <v>4.2193393411529989</v>
      </c>
      <c r="AW115" s="46">
        <f t="shared" ca="1" si="64"/>
        <v>4.2445105817986608</v>
      </c>
      <c r="AX115" s="46">
        <f t="shared" ca="1" si="64"/>
        <v>4.2696818224443227</v>
      </c>
      <c r="AY115" s="46">
        <f t="shared" ca="1" si="64"/>
        <v>4.2948530630899846</v>
      </c>
      <c r="AZ115" s="46">
        <f t="shared" ca="1" si="64"/>
        <v>4.3200243037356536</v>
      </c>
      <c r="BA115" s="46">
        <f t="shared" ca="1" si="64"/>
        <v>4.3765249565574891</v>
      </c>
      <c r="BB115" s="46">
        <f t="shared" ca="1" si="64"/>
        <v>4.4330256093793245</v>
      </c>
      <c r="BC115" s="46">
        <f t="shared" ca="1" si="64"/>
        <v>4.48952626220116</v>
      </c>
      <c r="BD115" s="46">
        <f t="shared" ca="1" si="64"/>
        <v>4.5460269150229955</v>
      </c>
      <c r="BE115" s="46">
        <f t="shared" ca="1" si="64"/>
        <v>4.602527567844831</v>
      </c>
      <c r="BF115" s="46">
        <f t="shared" ca="1" si="64"/>
        <v>4.6590282206666664</v>
      </c>
      <c r="BG115" s="46">
        <f t="shared" ca="1" si="64"/>
        <v>4.7155288734885019</v>
      </c>
      <c r="BH115" s="46">
        <f t="shared" ca="1" si="64"/>
        <v>4.7720295263103374</v>
      </c>
      <c r="BI115" s="46">
        <f t="shared" ca="1" si="64"/>
        <v>4.8285301791321729</v>
      </c>
      <c r="BJ115" s="46">
        <f t="shared" ca="1" si="64"/>
        <v>4.8850308319539977</v>
      </c>
      <c r="BK115" s="46">
        <f t="shared" ca="1" si="64"/>
        <v>4.9622260495271924</v>
      </c>
      <c r="BL115" s="46">
        <f t="shared" ca="1" si="64"/>
        <v>5.0394212671003871</v>
      </c>
      <c r="BM115" s="46">
        <f t="shared" ca="1" si="64"/>
        <v>5.1166164846735818</v>
      </c>
      <c r="BN115" s="46">
        <f t="shared" ca="1" si="64"/>
        <v>5.1938117022467765</v>
      </c>
      <c r="BO115" s="46">
        <f t="shared" ca="1" si="64"/>
        <v>5.2710069198199712</v>
      </c>
      <c r="BP115" s="46">
        <f t="shared" ref="BP115:CN115" ca="1" si="65">BP100-$L100</f>
        <v>5.3482021373931659</v>
      </c>
      <c r="BQ115" s="46">
        <f t="shared" ca="1" si="65"/>
        <v>5.4253973549663606</v>
      </c>
      <c r="BR115" s="46">
        <f t="shared" ca="1" si="65"/>
        <v>5.5025925725395552</v>
      </c>
      <c r="BS115" s="46">
        <f t="shared" ca="1" si="65"/>
        <v>5.5797877901127499</v>
      </c>
      <c r="BT115" s="46">
        <f t="shared" ca="1" si="65"/>
        <v>5.6569830076859375</v>
      </c>
      <c r="BU115" s="46">
        <f t="shared" ca="1" si="65"/>
        <v>5.7208745894267174</v>
      </c>
      <c r="BV115" s="46">
        <f t="shared" ca="1" si="65"/>
        <v>5.7847661711674974</v>
      </c>
      <c r="BW115" s="46">
        <f t="shared" ca="1" si="65"/>
        <v>5.8486577529082773</v>
      </c>
      <c r="BX115" s="46">
        <f t="shared" ca="1" si="65"/>
        <v>5.9125493346490572</v>
      </c>
      <c r="BY115" s="46">
        <f t="shared" ca="1" si="65"/>
        <v>5.9764409163898371</v>
      </c>
      <c r="BZ115" s="46">
        <f t="shared" ca="1" si="65"/>
        <v>6.040332498130617</v>
      </c>
      <c r="CA115" s="46">
        <f t="shared" ca="1" si="65"/>
        <v>6.1042240798713969</v>
      </c>
      <c r="CB115" s="46">
        <f t="shared" ca="1" si="65"/>
        <v>6.1681156616121768</v>
      </c>
      <c r="CC115" s="46">
        <f t="shared" ca="1" si="65"/>
        <v>6.2320072433529567</v>
      </c>
      <c r="CD115" s="46">
        <f t="shared" ca="1" si="65"/>
        <v>6.2958988250937402</v>
      </c>
      <c r="CE115" s="46">
        <f t="shared" ca="1" si="65"/>
        <v>6.3903193910312446</v>
      </c>
      <c r="CF115" s="46">
        <f t="shared" ca="1" si="65"/>
        <v>6.4847399569687489</v>
      </c>
      <c r="CG115" s="46">
        <f t="shared" ca="1" si="65"/>
        <v>6.5791605229062533</v>
      </c>
      <c r="CH115" s="46">
        <f t="shared" ca="1" si="65"/>
        <v>6.6735810888437577</v>
      </c>
      <c r="CI115" s="46">
        <f t="shared" ca="1" si="65"/>
        <v>6.768001654781262</v>
      </c>
      <c r="CJ115" s="46">
        <f t="shared" ca="1" si="65"/>
        <v>6.8624222207187664</v>
      </c>
      <c r="CK115" s="46">
        <f t="shared" ca="1" si="65"/>
        <v>6.9568427866562708</v>
      </c>
      <c r="CL115" s="46">
        <f t="shared" ca="1" si="65"/>
        <v>7.0512633525937751</v>
      </c>
      <c r="CM115" s="46">
        <f t="shared" ca="1" si="65"/>
        <v>7.1456839185312795</v>
      </c>
      <c r="CN115" s="46">
        <f t="shared" ca="1" si="65"/>
        <v>7.2401044844687803</v>
      </c>
    </row>
    <row r="116" spans="1:92" s="46" customFormat="1" x14ac:dyDescent="0.15">
      <c r="A116" s="46" t="str">
        <f>A101</f>
        <v>Land use</v>
      </c>
      <c r="C116" s="46">
        <f t="shared" ca="1" si="63"/>
        <v>-1.5391058796000001</v>
      </c>
      <c r="D116" s="46">
        <f t="shared" ref="D116:BO116" ca="1" si="66">D101-$L101</f>
        <v>-1.3680941151999999</v>
      </c>
      <c r="E116" s="46">
        <f t="shared" ca="1" si="66"/>
        <v>-1.1970823507999997</v>
      </c>
      <c r="F116" s="46">
        <f t="shared" ca="1" si="66"/>
        <v>-1.0260705863999995</v>
      </c>
      <c r="G116" s="46">
        <f t="shared" ca="1" si="66"/>
        <v>-0.85505882199999927</v>
      </c>
      <c r="H116" s="46">
        <f t="shared" ca="1" si="66"/>
        <v>-0.68404705759999906</v>
      </c>
      <c r="I116" s="46">
        <f t="shared" ca="1" si="66"/>
        <v>-0.51303529319999885</v>
      </c>
      <c r="J116" s="46">
        <f t="shared" ca="1" si="66"/>
        <v>-0.34202352879999864</v>
      </c>
      <c r="K116" s="46">
        <f t="shared" ca="1" si="66"/>
        <v>-0.17101176439999843</v>
      </c>
      <c r="L116" s="46">
        <f t="shared" ca="1" si="66"/>
        <v>0</v>
      </c>
      <c r="M116" s="46">
        <f t="shared" ca="1" si="66"/>
        <v>0.10684586909999982</v>
      </c>
      <c r="N116" s="46">
        <f t="shared" ca="1" si="66"/>
        <v>0.21369173819999965</v>
      </c>
      <c r="O116" s="46">
        <f t="shared" ca="1" si="66"/>
        <v>0.32053760729999947</v>
      </c>
      <c r="P116" s="46">
        <f t="shared" ca="1" si="66"/>
        <v>0.4273834763999993</v>
      </c>
      <c r="Q116" s="46">
        <f t="shared" ca="1" si="66"/>
        <v>0.53422934549999912</v>
      </c>
      <c r="R116" s="46">
        <f t="shared" ca="1" si="66"/>
        <v>0.64107521459999894</v>
      </c>
      <c r="S116" s="46">
        <f t="shared" ca="1" si="66"/>
        <v>0.74792108369999877</v>
      </c>
      <c r="T116" s="46">
        <f t="shared" ca="1" si="66"/>
        <v>0.85476695279999859</v>
      </c>
      <c r="U116" s="46">
        <f t="shared" ca="1" si="66"/>
        <v>0.96161282189999842</v>
      </c>
      <c r="V116" s="46">
        <f t="shared" ca="1" si="66"/>
        <v>1.068458691</v>
      </c>
      <c r="W116" s="46">
        <f t="shared" ca="1" si="66"/>
        <v>1.0581991119000005</v>
      </c>
      <c r="X116" s="46">
        <f t="shared" ca="1" si="66"/>
        <v>1.047939532800001</v>
      </c>
      <c r="Y116" s="46">
        <f t="shared" ca="1" si="66"/>
        <v>1.0376799537000014</v>
      </c>
      <c r="Z116" s="46">
        <f t="shared" ca="1" si="66"/>
        <v>1.0274203746000019</v>
      </c>
      <c r="AA116" s="46">
        <f t="shared" ca="1" si="66"/>
        <v>1.0171607955000024</v>
      </c>
      <c r="AB116" s="46">
        <f t="shared" ca="1" si="66"/>
        <v>1.0069012164000029</v>
      </c>
      <c r="AC116" s="46">
        <f t="shared" ca="1" si="66"/>
        <v>0.99664163730000332</v>
      </c>
      <c r="AD116" s="46">
        <f t="shared" ca="1" si="66"/>
        <v>0.9863820582000038</v>
      </c>
      <c r="AE116" s="46">
        <f t="shared" ca="1" si="66"/>
        <v>0.97612247910000427</v>
      </c>
      <c r="AF116" s="46">
        <f t="shared" ca="1" si="66"/>
        <v>0.9658629000000003</v>
      </c>
      <c r="AG116" s="46">
        <f t="shared" ca="1" si="66"/>
        <v>0.85271079830000041</v>
      </c>
      <c r="AH116" s="46">
        <f t="shared" ca="1" si="66"/>
        <v>0.73955869660000051</v>
      </c>
      <c r="AI116" s="46">
        <f t="shared" ca="1" si="66"/>
        <v>0.62640659490000061</v>
      </c>
      <c r="AJ116" s="46">
        <f t="shared" ca="1" si="66"/>
        <v>0.51325449320000072</v>
      </c>
      <c r="AK116" s="46">
        <f t="shared" ca="1" si="66"/>
        <v>0.40010239150000082</v>
      </c>
      <c r="AL116" s="46">
        <f t="shared" ca="1" si="66"/>
        <v>0.28695028980000092</v>
      </c>
      <c r="AM116" s="46">
        <f t="shared" ca="1" si="66"/>
        <v>0.17379818810000103</v>
      </c>
      <c r="AN116" s="46">
        <f t="shared" ca="1" si="66"/>
        <v>6.0646086400001131E-2</v>
      </c>
      <c r="AO116" s="46">
        <f t="shared" ca="1" si="66"/>
        <v>-5.2506015299998765E-2</v>
      </c>
      <c r="AP116" s="46">
        <f t="shared" ca="1" si="66"/>
        <v>-0.16565811700000044</v>
      </c>
      <c r="AQ116" s="46">
        <f t="shared" ca="1" si="66"/>
        <v>-0.52680653180000014</v>
      </c>
      <c r="AR116" s="46">
        <f t="shared" ca="1" si="66"/>
        <v>-0.88795494659999985</v>
      </c>
      <c r="AS116" s="46">
        <f t="shared" ca="1" si="66"/>
        <v>-1.2491033614</v>
      </c>
      <c r="AT116" s="46">
        <f t="shared" ca="1" si="66"/>
        <v>-1.6102517762000002</v>
      </c>
      <c r="AU116" s="46">
        <f t="shared" ca="1" si="66"/>
        <v>-1.9714001910000003</v>
      </c>
      <c r="AV116" s="46">
        <f t="shared" ca="1" si="66"/>
        <v>-2.3325486058000005</v>
      </c>
      <c r="AW116" s="46">
        <f t="shared" ca="1" si="66"/>
        <v>-2.6936970206000006</v>
      </c>
      <c r="AX116" s="46">
        <f t="shared" ca="1" si="66"/>
        <v>-3.0548454354000008</v>
      </c>
      <c r="AY116" s="46">
        <f t="shared" ca="1" si="66"/>
        <v>-3.4159938502000005</v>
      </c>
      <c r="AZ116" s="46">
        <f t="shared" ca="1" si="66"/>
        <v>-3.7771422650000002</v>
      </c>
      <c r="BA116" s="46">
        <f t="shared" ca="1" si="66"/>
        <v>-3.84804720708</v>
      </c>
      <c r="BB116" s="46">
        <f t="shared" ca="1" si="66"/>
        <v>-3.9189521491599999</v>
      </c>
      <c r="BC116" s="46">
        <f t="shared" ca="1" si="66"/>
        <v>-3.9898570912400002</v>
      </c>
      <c r="BD116" s="46">
        <f t="shared" ca="1" si="66"/>
        <v>-4.0607620333200005</v>
      </c>
      <c r="BE116" s="46">
        <f t="shared" ca="1" si="66"/>
        <v>-4.1316669753999999</v>
      </c>
      <c r="BF116" s="46">
        <f t="shared" ca="1" si="66"/>
        <v>-4.2025719174800003</v>
      </c>
      <c r="BG116" s="46">
        <f t="shared" ca="1" si="66"/>
        <v>-4.2734768595600006</v>
      </c>
      <c r="BH116" s="46">
        <f t="shared" ca="1" si="66"/>
        <v>-4.3443818016400009</v>
      </c>
      <c r="BI116" s="46">
        <f t="shared" ca="1" si="66"/>
        <v>-4.4152867437200003</v>
      </c>
      <c r="BJ116" s="46">
        <f t="shared" ca="1" si="66"/>
        <v>-4.4861916857999997</v>
      </c>
      <c r="BK116" s="46">
        <f t="shared" ca="1" si="66"/>
        <v>-4.4673967533400001</v>
      </c>
      <c r="BL116" s="46">
        <f t="shared" ca="1" si="66"/>
        <v>-4.4486018208800004</v>
      </c>
      <c r="BM116" s="46">
        <f t="shared" ca="1" si="66"/>
        <v>-4.4298068884199999</v>
      </c>
      <c r="BN116" s="46">
        <f t="shared" ca="1" si="66"/>
        <v>-4.4110119559600003</v>
      </c>
      <c r="BO116" s="46">
        <f t="shared" ca="1" si="66"/>
        <v>-4.3922170235000006</v>
      </c>
      <c r="BP116" s="46">
        <f t="shared" ref="BP116:CN116" ca="1" si="67">BP101-$L101</f>
        <v>-4.3734220910400001</v>
      </c>
      <c r="BQ116" s="46">
        <f t="shared" ca="1" si="67"/>
        <v>-4.3546271585800005</v>
      </c>
      <c r="BR116" s="46">
        <f t="shared" ca="1" si="67"/>
        <v>-4.33583222612</v>
      </c>
      <c r="BS116" s="46">
        <f t="shared" ca="1" si="67"/>
        <v>-4.3170372936600003</v>
      </c>
      <c r="BT116" s="46">
        <f t="shared" ca="1" si="67"/>
        <v>-4.2982423611999998</v>
      </c>
      <c r="BU116" s="46">
        <f t="shared" ca="1" si="67"/>
        <v>-4.4012089121900004</v>
      </c>
      <c r="BV116" s="46">
        <f t="shared" ca="1" si="67"/>
        <v>-4.5041754631800002</v>
      </c>
      <c r="BW116" s="46">
        <f t="shared" ca="1" si="67"/>
        <v>-4.6071420141699999</v>
      </c>
      <c r="BX116" s="46">
        <f t="shared" ca="1" si="67"/>
        <v>-4.7101085651599996</v>
      </c>
      <c r="BY116" s="46">
        <f t="shared" ca="1" si="67"/>
        <v>-4.8130751161500003</v>
      </c>
      <c r="BZ116" s="46">
        <f t="shared" ca="1" si="67"/>
        <v>-4.91604166714</v>
      </c>
      <c r="CA116" s="46">
        <f t="shared" ca="1" si="67"/>
        <v>-5.0190082181299998</v>
      </c>
      <c r="CB116" s="46">
        <f t="shared" ca="1" si="67"/>
        <v>-5.1219747691200004</v>
      </c>
      <c r="CC116" s="46">
        <f t="shared" ca="1" si="67"/>
        <v>-5.2249413201100001</v>
      </c>
      <c r="CD116" s="46">
        <f t="shared" ca="1" si="67"/>
        <v>-5.3279078710999999</v>
      </c>
      <c r="CE116" s="46">
        <f t="shared" ca="1" si="67"/>
        <v>-5.3690291329199997</v>
      </c>
      <c r="CF116" s="46">
        <f t="shared" ca="1" si="67"/>
        <v>-5.4101503947400005</v>
      </c>
      <c r="CG116" s="46">
        <f t="shared" ca="1" si="67"/>
        <v>-5.4512716565600003</v>
      </c>
      <c r="CH116" s="46">
        <f t="shared" ca="1" si="67"/>
        <v>-5.4923929183800002</v>
      </c>
      <c r="CI116" s="46">
        <f t="shared" ca="1" si="67"/>
        <v>-5.5335141802000001</v>
      </c>
      <c r="CJ116" s="46">
        <f t="shared" ca="1" si="67"/>
        <v>-5.5746354420199999</v>
      </c>
      <c r="CK116" s="46">
        <f t="shared" ca="1" si="67"/>
        <v>-5.6157567038400007</v>
      </c>
      <c r="CL116" s="46">
        <f t="shared" ca="1" si="67"/>
        <v>-5.6568779656600006</v>
      </c>
      <c r="CM116" s="46">
        <f t="shared" ca="1" si="67"/>
        <v>-5.6979992274800004</v>
      </c>
      <c r="CN116" s="46">
        <f t="shared" ca="1" si="67"/>
        <v>-5.7391204893000003</v>
      </c>
    </row>
    <row r="117" spans="1:92" x14ac:dyDescent="0.15">
      <c r="A117" s="46" t="str">
        <f>A103</f>
        <v>Fossil Energy CCS</v>
      </c>
      <c r="C117" s="46">
        <f t="shared" si="63"/>
        <v>0</v>
      </c>
      <c r="D117" s="46">
        <f t="shared" ref="D117:BO117" si="68">D102-$L102</f>
        <v>0</v>
      </c>
      <c r="E117" s="46">
        <f t="shared" si="68"/>
        <v>0</v>
      </c>
      <c r="F117" s="46">
        <f t="shared" si="68"/>
        <v>0</v>
      </c>
      <c r="G117" s="46">
        <f t="shared" si="68"/>
        <v>0</v>
      </c>
      <c r="H117" s="46">
        <f t="shared" si="68"/>
        <v>0</v>
      </c>
      <c r="I117" s="46">
        <f t="shared" si="68"/>
        <v>0</v>
      </c>
      <c r="J117" s="46">
        <f t="shared" si="68"/>
        <v>0</v>
      </c>
      <c r="K117" s="46">
        <f t="shared" si="68"/>
        <v>0</v>
      </c>
      <c r="L117" s="46">
        <f t="shared" si="68"/>
        <v>0</v>
      </c>
      <c r="M117" s="46">
        <f t="shared" si="68"/>
        <v>0</v>
      </c>
      <c r="N117" s="46">
        <f t="shared" si="68"/>
        <v>0</v>
      </c>
      <c r="O117" s="46">
        <f t="shared" si="68"/>
        <v>0</v>
      </c>
      <c r="P117" s="46">
        <f t="shared" si="68"/>
        <v>0</v>
      </c>
      <c r="Q117" s="46">
        <f t="shared" si="68"/>
        <v>0</v>
      </c>
      <c r="R117" s="46">
        <f t="shared" si="68"/>
        <v>0</v>
      </c>
      <c r="S117" s="46">
        <f t="shared" si="68"/>
        <v>0</v>
      </c>
      <c r="T117" s="46">
        <f t="shared" si="68"/>
        <v>0</v>
      </c>
      <c r="U117" s="46">
        <f t="shared" si="68"/>
        <v>0</v>
      </c>
      <c r="V117" s="46">
        <f t="shared" si="68"/>
        <v>0</v>
      </c>
      <c r="W117" s="46">
        <f t="shared" si="68"/>
        <v>0</v>
      </c>
      <c r="X117" s="46">
        <f t="shared" si="68"/>
        <v>0</v>
      </c>
      <c r="Y117" s="46">
        <f t="shared" si="68"/>
        <v>0</v>
      </c>
      <c r="Z117" s="46">
        <f t="shared" si="68"/>
        <v>0</v>
      </c>
      <c r="AA117" s="46">
        <f t="shared" si="68"/>
        <v>0</v>
      </c>
      <c r="AB117" s="46">
        <f t="shared" si="68"/>
        <v>0</v>
      </c>
      <c r="AC117" s="46">
        <f t="shared" si="68"/>
        <v>0</v>
      </c>
      <c r="AD117" s="46">
        <f t="shared" si="68"/>
        <v>0</v>
      </c>
      <c r="AE117" s="46">
        <f t="shared" si="68"/>
        <v>0</v>
      </c>
      <c r="AF117" s="46">
        <f t="shared" si="68"/>
        <v>0</v>
      </c>
      <c r="AG117" s="46">
        <f t="shared" si="68"/>
        <v>0</v>
      </c>
      <c r="AH117" s="46">
        <f t="shared" si="68"/>
        <v>0</v>
      </c>
      <c r="AI117" s="46">
        <f t="shared" si="68"/>
        <v>0</v>
      </c>
      <c r="AJ117" s="46">
        <f t="shared" si="68"/>
        <v>0</v>
      </c>
      <c r="AK117" s="46">
        <f t="shared" si="68"/>
        <v>0</v>
      </c>
      <c r="AL117" s="46">
        <f t="shared" si="68"/>
        <v>0</v>
      </c>
      <c r="AM117" s="46">
        <f t="shared" si="68"/>
        <v>0</v>
      </c>
      <c r="AN117" s="46">
        <f t="shared" si="68"/>
        <v>0</v>
      </c>
      <c r="AO117" s="46">
        <f t="shared" si="68"/>
        <v>0</v>
      </c>
      <c r="AP117" s="46">
        <f t="shared" si="68"/>
        <v>0</v>
      </c>
      <c r="AQ117" s="46">
        <f t="shared" si="68"/>
        <v>0</v>
      </c>
      <c r="AR117" s="46">
        <f t="shared" si="68"/>
        <v>0</v>
      </c>
      <c r="AS117" s="46">
        <f t="shared" si="68"/>
        <v>0</v>
      </c>
      <c r="AT117" s="46">
        <f t="shared" si="68"/>
        <v>0</v>
      </c>
      <c r="AU117" s="46">
        <f t="shared" si="68"/>
        <v>0</v>
      </c>
      <c r="AV117" s="46">
        <f t="shared" si="68"/>
        <v>0</v>
      </c>
      <c r="AW117" s="46">
        <f t="shared" si="68"/>
        <v>0</v>
      </c>
      <c r="AX117" s="46">
        <f t="shared" si="68"/>
        <v>0</v>
      </c>
      <c r="AY117" s="46">
        <f t="shared" si="68"/>
        <v>0</v>
      </c>
      <c r="AZ117" s="46">
        <f t="shared" si="68"/>
        <v>0</v>
      </c>
      <c r="BA117" s="46">
        <f t="shared" si="68"/>
        <v>0</v>
      </c>
      <c r="BB117" s="46">
        <f t="shared" si="68"/>
        <v>0</v>
      </c>
      <c r="BC117" s="46">
        <f t="shared" si="68"/>
        <v>0</v>
      </c>
      <c r="BD117" s="46">
        <f t="shared" si="68"/>
        <v>0</v>
      </c>
      <c r="BE117" s="46">
        <f t="shared" si="68"/>
        <v>0</v>
      </c>
      <c r="BF117" s="46">
        <f t="shared" si="68"/>
        <v>0</v>
      </c>
      <c r="BG117" s="46">
        <f t="shared" si="68"/>
        <v>0</v>
      </c>
      <c r="BH117" s="46">
        <f t="shared" si="68"/>
        <v>0</v>
      </c>
      <c r="BI117" s="46">
        <f t="shared" si="68"/>
        <v>0</v>
      </c>
      <c r="BJ117" s="46">
        <f t="shared" si="68"/>
        <v>0</v>
      </c>
      <c r="BK117" s="46">
        <f t="shared" si="68"/>
        <v>0</v>
      </c>
      <c r="BL117" s="46">
        <f t="shared" si="68"/>
        <v>0</v>
      </c>
      <c r="BM117" s="46">
        <f t="shared" si="68"/>
        <v>0</v>
      </c>
      <c r="BN117" s="46">
        <f t="shared" si="68"/>
        <v>0</v>
      </c>
      <c r="BO117" s="46">
        <f t="shared" si="68"/>
        <v>0</v>
      </c>
      <c r="BP117" s="46">
        <f t="shared" ref="BP117:CN117" si="69">BP102-$L102</f>
        <v>0</v>
      </c>
      <c r="BQ117" s="46">
        <f t="shared" si="69"/>
        <v>0</v>
      </c>
      <c r="BR117" s="46">
        <f t="shared" si="69"/>
        <v>0</v>
      </c>
      <c r="BS117" s="46">
        <f t="shared" si="69"/>
        <v>0</v>
      </c>
      <c r="BT117" s="46">
        <f t="shared" si="69"/>
        <v>0</v>
      </c>
      <c r="BU117" s="46">
        <f t="shared" si="69"/>
        <v>0</v>
      </c>
      <c r="BV117" s="46">
        <f t="shared" si="69"/>
        <v>0</v>
      </c>
      <c r="BW117" s="46">
        <f t="shared" si="69"/>
        <v>0</v>
      </c>
      <c r="BX117" s="46">
        <f t="shared" si="69"/>
        <v>0</v>
      </c>
      <c r="BY117" s="46">
        <f t="shared" si="69"/>
        <v>0</v>
      </c>
      <c r="BZ117" s="46">
        <f t="shared" si="69"/>
        <v>0</v>
      </c>
      <c r="CA117" s="46">
        <f t="shared" si="69"/>
        <v>0</v>
      </c>
      <c r="CB117" s="46">
        <f t="shared" si="69"/>
        <v>0</v>
      </c>
      <c r="CC117" s="46">
        <f t="shared" si="69"/>
        <v>0</v>
      </c>
      <c r="CD117" s="46">
        <f t="shared" si="69"/>
        <v>0</v>
      </c>
      <c r="CE117" s="46">
        <f t="shared" si="69"/>
        <v>0</v>
      </c>
      <c r="CF117" s="46">
        <f t="shared" si="69"/>
        <v>0</v>
      </c>
      <c r="CG117" s="46">
        <f t="shared" si="69"/>
        <v>0</v>
      </c>
      <c r="CH117" s="46">
        <f t="shared" si="69"/>
        <v>0</v>
      </c>
      <c r="CI117" s="46">
        <f t="shared" si="69"/>
        <v>0</v>
      </c>
      <c r="CJ117" s="46">
        <f t="shared" si="69"/>
        <v>0</v>
      </c>
      <c r="CK117" s="46">
        <f t="shared" si="69"/>
        <v>0</v>
      </c>
      <c r="CL117" s="46">
        <f t="shared" si="69"/>
        <v>0</v>
      </c>
      <c r="CM117" s="46">
        <f t="shared" si="69"/>
        <v>0</v>
      </c>
      <c r="CN117" s="46">
        <f t="shared" si="69"/>
        <v>0</v>
      </c>
    </row>
    <row r="118" spans="1:92" s="46" customFormat="1" x14ac:dyDescent="0.15">
      <c r="A118" s="46" t="str">
        <f t="shared" ref="A118:A120" si="70">A104</f>
        <v>Fossil Industry CCS</v>
      </c>
      <c r="B118" s="1"/>
      <c r="C118" s="46">
        <f t="shared" ca="1" si="63"/>
        <v>0</v>
      </c>
      <c r="D118" s="46">
        <f t="shared" ref="D118:BO118" ca="1" si="71">D103-$L103</f>
        <v>0</v>
      </c>
      <c r="E118" s="46">
        <f t="shared" ca="1" si="71"/>
        <v>0</v>
      </c>
      <c r="F118" s="46">
        <f t="shared" ca="1" si="71"/>
        <v>0</v>
      </c>
      <c r="G118" s="46">
        <f t="shared" ca="1" si="71"/>
        <v>0</v>
      </c>
      <c r="H118" s="46">
        <f t="shared" ca="1" si="71"/>
        <v>0</v>
      </c>
      <c r="I118" s="46">
        <f t="shared" ca="1" si="71"/>
        <v>0</v>
      </c>
      <c r="J118" s="46">
        <f t="shared" ca="1" si="71"/>
        <v>0</v>
      </c>
      <c r="K118" s="46">
        <f t="shared" ca="1" si="71"/>
        <v>0</v>
      </c>
      <c r="L118" s="46">
        <f t="shared" ca="1" si="71"/>
        <v>0</v>
      </c>
      <c r="M118" s="46">
        <f t="shared" ca="1" si="71"/>
        <v>0</v>
      </c>
      <c r="N118" s="46">
        <f t="shared" ca="1" si="71"/>
        <v>0</v>
      </c>
      <c r="O118" s="46">
        <f t="shared" ca="1" si="71"/>
        <v>0</v>
      </c>
      <c r="P118" s="46">
        <f t="shared" ca="1" si="71"/>
        <v>0</v>
      </c>
      <c r="Q118" s="46">
        <f t="shared" ca="1" si="71"/>
        <v>0</v>
      </c>
      <c r="R118" s="46">
        <f t="shared" ca="1" si="71"/>
        <v>0</v>
      </c>
      <c r="S118" s="46">
        <f t="shared" ca="1" si="71"/>
        <v>0</v>
      </c>
      <c r="T118" s="46">
        <f t="shared" ca="1" si="71"/>
        <v>0</v>
      </c>
      <c r="U118" s="46">
        <f t="shared" ca="1" si="71"/>
        <v>0</v>
      </c>
      <c r="V118" s="46">
        <f t="shared" ca="1" si="71"/>
        <v>0</v>
      </c>
      <c r="W118" s="46">
        <f t="shared" ca="1" si="71"/>
        <v>0</v>
      </c>
      <c r="X118" s="46">
        <f t="shared" ca="1" si="71"/>
        <v>0</v>
      </c>
      <c r="Y118" s="46">
        <f t="shared" ca="1" si="71"/>
        <v>0</v>
      </c>
      <c r="Z118" s="46">
        <f t="shared" ca="1" si="71"/>
        <v>0</v>
      </c>
      <c r="AA118" s="46">
        <f t="shared" ca="1" si="71"/>
        <v>0</v>
      </c>
      <c r="AB118" s="46">
        <f t="shared" ca="1" si="71"/>
        <v>0</v>
      </c>
      <c r="AC118" s="46">
        <f t="shared" ca="1" si="71"/>
        <v>0</v>
      </c>
      <c r="AD118" s="46">
        <f t="shared" ca="1" si="71"/>
        <v>0</v>
      </c>
      <c r="AE118" s="46">
        <f t="shared" ca="1" si="71"/>
        <v>0</v>
      </c>
      <c r="AF118" s="46">
        <f t="shared" ca="1" si="71"/>
        <v>0</v>
      </c>
      <c r="AG118" s="46">
        <f t="shared" ca="1" si="71"/>
        <v>0</v>
      </c>
      <c r="AH118" s="46">
        <f t="shared" ca="1" si="71"/>
        <v>0</v>
      </c>
      <c r="AI118" s="46">
        <f t="shared" ca="1" si="71"/>
        <v>0</v>
      </c>
      <c r="AJ118" s="46">
        <f t="shared" ca="1" si="71"/>
        <v>0</v>
      </c>
      <c r="AK118" s="46">
        <f t="shared" ca="1" si="71"/>
        <v>0</v>
      </c>
      <c r="AL118" s="46">
        <f t="shared" ca="1" si="71"/>
        <v>0</v>
      </c>
      <c r="AM118" s="46">
        <f t="shared" ca="1" si="71"/>
        <v>0</v>
      </c>
      <c r="AN118" s="46">
        <f t="shared" ca="1" si="71"/>
        <v>0</v>
      </c>
      <c r="AO118" s="46">
        <f t="shared" ca="1" si="71"/>
        <v>0</v>
      </c>
      <c r="AP118" s="46">
        <f t="shared" ca="1" si="71"/>
        <v>0</v>
      </c>
      <c r="AQ118" s="46">
        <f t="shared" ca="1" si="71"/>
        <v>0</v>
      </c>
      <c r="AR118" s="46">
        <f t="shared" ca="1" si="71"/>
        <v>0</v>
      </c>
      <c r="AS118" s="46">
        <f t="shared" ca="1" si="71"/>
        <v>0</v>
      </c>
      <c r="AT118" s="46">
        <f t="shared" ca="1" si="71"/>
        <v>0</v>
      </c>
      <c r="AU118" s="46">
        <f t="shared" ca="1" si="71"/>
        <v>0</v>
      </c>
      <c r="AV118" s="46">
        <f t="shared" ca="1" si="71"/>
        <v>0</v>
      </c>
      <c r="AW118" s="46">
        <f t="shared" ca="1" si="71"/>
        <v>0</v>
      </c>
      <c r="AX118" s="46">
        <f t="shared" ca="1" si="71"/>
        <v>0</v>
      </c>
      <c r="AY118" s="46">
        <f t="shared" ca="1" si="71"/>
        <v>0</v>
      </c>
      <c r="AZ118" s="46">
        <f t="shared" ca="1" si="71"/>
        <v>0</v>
      </c>
      <c r="BA118" s="46">
        <f t="shared" ca="1" si="71"/>
        <v>0</v>
      </c>
      <c r="BB118" s="46">
        <f t="shared" ca="1" si="71"/>
        <v>0</v>
      </c>
      <c r="BC118" s="46">
        <f t="shared" ca="1" si="71"/>
        <v>0</v>
      </c>
      <c r="BD118" s="46">
        <f t="shared" ca="1" si="71"/>
        <v>0</v>
      </c>
      <c r="BE118" s="46">
        <f t="shared" ca="1" si="71"/>
        <v>0</v>
      </c>
      <c r="BF118" s="46">
        <f t="shared" ca="1" si="71"/>
        <v>0</v>
      </c>
      <c r="BG118" s="46">
        <f t="shared" ca="1" si="71"/>
        <v>0</v>
      </c>
      <c r="BH118" s="46">
        <f t="shared" ca="1" si="71"/>
        <v>0</v>
      </c>
      <c r="BI118" s="46">
        <f t="shared" ca="1" si="71"/>
        <v>0</v>
      </c>
      <c r="BJ118" s="46">
        <f t="shared" ca="1" si="71"/>
        <v>0</v>
      </c>
      <c r="BK118" s="46">
        <f t="shared" ca="1" si="71"/>
        <v>0</v>
      </c>
      <c r="BL118" s="46">
        <f t="shared" ca="1" si="71"/>
        <v>0</v>
      </c>
      <c r="BM118" s="46">
        <f t="shared" ca="1" si="71"/>
        <v>0</v>
      </c>
      <c r="BN118" s="46">
        <f t="shared" ca="1" si="71"/>
        <v>0</v>
      </c>
      <c r="BO118" s="46">
        <f t="shared" ca="1" si="71"/>
        <v>0</v>
      </c>
      <c r="BP118" s="46">
        <f t="shared" ref="BP118:CN118" ca="1" si="72">BP103-$L103</f>
        <v>0</v>
      </c>
      <c r="BQ118" s="46">
        <f t="shared" ca="1" si="72"/>
        <v>0</v>
      </c>
      <c r="BR118" s="46">
        <f t="shared" ca="1" si="72"/>
        <v>0</v>
      </c>
      <c r="BS118" s="46">
        <f t="shared" ca="1" si="72"/>
        <v>0</v>
      </c>
      <c r="BT118" s="46">
        <f t="shared" ca="1" si="72"/>
        <v>0</v>
      </c>
      <c r="BU118" s="46">
        <f t="shared" ca="1" si="72"/>
        <v>0</v>
      </c>
      <c r="BV118" s="46">
        <f t="shared" ca="1" si="72"/>
        <v>0</v>
      </c>
      <c r="BW118" s="46">
        <f t="shared" ca="1" si="72"/>
        <v>0</v>
      </c>
      <c r="BX118" s="46">
        <f t="shared" ca="1" si="72"/>
        <v>0</v>
      </c>
      <c r="BY118" s="46">
        <f t="shared" ca="1" si="72"/>
        <v>0</v>
      </c>
      <c r="BZ118" s="46">
        <f t="shared" ca="1" si="72"/>
        <v>0</v>
      </c>
      <c r="CA118" s="46">
        <f t="shared" ca="1" si="72"/>
        <v>0</v>
      </c>
      <c r="CB118" s="46">
        <f t="shared" ca="1" si="72"/>
        <v>0</v>
      </c>
      <c r="CC118" s="46">
        <f t="shared" ca="1" si="72"/>
        <v>0</v>
      </c>
      <c r="CD118" s="46">
        <f t="shared" ca="1" si="72"/>
        <v>0</v>
      </c>
      <c r="CE118" s="46">
        <f t="shared" ca="1" si="72"/>
        <v>0</v>
      </c>
      <c r="CF118" s="46">
        <f t="shared" ca="1" si="72"/>
        <v>0</v>
      </c>
      <c r="CG118" s="46">
        <f t="shared" ca="1" si="72"/>
        <v>0</v>
      </c>
      <c r="CH118" s="46">
        <f t="shared" ca="1" si="72"/>
        <v>0</v>
      </c>
      <c r="CI118" s="46">
        <f t="shared" ca="1" si="72"/>
        <v>0</v>
      </c>
      <c r="CJ118" s="46">
        <f t="shared" ca="1" si="72"/>
        <v>0</v>
      </c>
      <c r="CK118" s="46">
        <f t="shared" ca="1" si="72"/>
        <v>0</v>
      </c>
      <c r="CL118" s="46">
        <f t="shared" ca="1" si="72"/>
        <v>0</v>
      </c>
      <c r="CM118" s="46">
        <f t="shared" ca="1" si="72"/>
        <v>0</v>
      </c>
      <c r="CN118" s="46">
        <f t="shared" ca="1" si="72"/>
        <v>0</v>
      </c>
    </row>
    <row r="119" spans="1:92" x14ac:dyDescent="0.15">
      <c r="A119" s="46" t="str">
        <f t="shared" si="70"/>
        <v>Biomass Energy CCS</v>
      </c>
      <c r="C119" s="46">
        <f t="shared" ca="1" si="63"/>
        <v>0</v>
      </c>
      <c r="D119" s="46">
        <f t="shared" ref="D119:BO119" ca="1" si="73">D104-$L104</f>
        <v>0</v>
      </c>
      <c r="E119" s="46">
        <f t="shared" ca="1" si="73"/>
        <v>0</v>
      </c>
      <c r="F119" s="46">
        <f t="shared" ca="1" si="73"/>
        <v>0</v>
      </c>
      <c r="G119" s="46">
        <f t="shared" ca="1" si="73"/>
        <v>0</v>
      </c>
      <c r="H119" s="46">
        <f t="shared" ca="1" si="73"/>
        <v>0</v>
      </c>
      <c r="I119" s="46">
        <f t="shared" ca="1" si="73"/>
        <v>0</v>
      </c>
      <c r="J119" s="46">
        <f t="shared" ca="1" si="73"/>
        <v>0</v>
      </c>
      <c r="K119" s="46">
        <f t="shared" ca="1" si="73"/>
        <v>0</v>
      </c>
      <c r="L119" s="46">
        <f t="shared" ca="1" si="73"/>
        <v>0</v>
      </c>
      <c r="M119" s="46">
        <f t="shared" ca="1" si="73"/>
        <v>0</v>
      </c>
      <c r="N119" s="46">
        <f t="shared" ca="1" si="73"/>
        <v>0</v>
      </c>
      <c r="O119" s="46">
        <f t="shared" ca="1" si="73"/>
        <v>0</v>
      </c>
      <c r="P119" s="46">
        <f t="shared" ca="1" si="73"/>
        <v>0</v>
      </c>
      <c r="Q119" s="46">
        <f t="shared" ca="1" si="73"/>
        <v>0</v>
      </c>
      <c r="R119" s="46">
        <f t="shared" ca="1" si="73"/>
        <v>0</v>
      </c>
      <c r="S119" s="46">
        <f t="shared" ca="1" si="73"/>
        <v>0</v>
      </c>
      <c r="T119" s="46">
        <f t="shared" ca="1" si="73"/>
        <v>0</v>
      </c>
      <c r="U119" s="46">
        <f t="shared" ca="1" si="73"/>
        <v>0</v>
      </c>
      <c r="V119" s="46">
        <f t="shared" ca="1" si="73"/>
        <v>0</v>
      </c>
      <c r="W119" s="46">
        <f t="shared" ca="1" si="73"/>
        <v>0</v>
      </c>
      <c r="X119" s="46">
        <f t="shared" ca="1" si="73"/>
        <v>0</v>
      </c>
      <c r="Y119" s="46">
        <f t="shared" ca="1" si="73"/>
        <v>0</v>
      </c>
      <c r="Z119" s="46">
        <f t="shared" ca="1" si="73"/>
        <v>0</v>
      </c>
      <c r="AA119" s="46">
        <f t="shared" ca="1" si="73"/>
        <v>0</v>
      </c>
      <c r="AB119" s="46">
        <f t="shared" ca="1" si="73"/>
        <v>0</v>
      </c>
      <c r="AC119" s="46">
        <f t="shared" ca="1" si="73"/>
        <v>0</v>
      </c>
      <c r="AD119" s="46">
        <f t="shared" ca="1" si="73"/>
        <v>0</v>
      </c>
      <c r="AE119" s="46">
        <f t="shared" ca="1" si="73"/>
        <v>0</v>
      </c>
      <c r="AF119" s="46">
        <f t="shared" ca="1" si="73"/>
        <v>0</v>
      </c>
      <c r="AG119" s="46">
        <f t="shared" ca="1" si="73"/>
        <v>0</v>
      </c>
      <c r="AH119" s="46">
        <f t="shared" ca="1" si="73"/>
        <v>0</v>
      </c>
      <c r="AI119" s="46">
        <f t="shared" ca="1" si="73"/>
        <v>0</v>
      </c>
      <c r="AJ119" s="46">
        <f t="shared" ca="1" si="73"/>
        <v>0</v>
      </c>
      <c r="AK119" s="46">
        <f t="shared" ca="1" si="73"/>
        <v>0</v>
      </c>
      <c r="AL119" s="46">
        <f t="shared" ca="1" si="73"/>
        <v>0</v>
      </c>
      <c r="AM119" s="46">
        <f t="shared" ca="1" si="73"/>
        <v>0</v>
      </c>
      <c r="AN119" s="46">
        <f t="shared" ca="1" si="73"/>
        <v>0</v>
      </c>
      <c r="AO119" s="46">
        <f t="shared" ca="1" si="73"/>
        <v>0</v>
      </c>
      <c r="AP119" s="46">
        <f t="shared" ca="1" si="73"/>
        <v>0</v>
      </c>
      <c r="AQ119" s="46">
        <f t="shared" ca="1" si="73"/>
        <v>0</v>
      </c>
      <c r="AR119" s="46">
        <f t="shared" ca="1" si="73"/>
        <v>0</v>
      </c>
      <c r="AS119" s="46">
        <f t="shared" ca="1" si="73"/>
        <v>0</v>
      </c>
      <c r="AT119" s="46">
        <f t="shared" ca="1" si="73"/>
        <v>0</v>
      </c>
      <c r="AU119" s="46">
        <f t="shared" ca="1" si="73"/>
        <v>0</v>
      </c>
      <c r="AV119" s="46">
        <f t="shared" ca="1" si="73"/>
        <v>0</v>
      </c>
      <c r="AW119" s="46">
        <f t="shared" ca="1" si="73"/>
        <v>0</v>
      </c>
      <c r="AX119" s="46">
        <f t="shared" ca="1" si="73"/>
        <v>0</v>
      </c>
      <c r="AY119" s="46">
        <f t="shared" ca="1" si="73"/>
        <v>0</v>
      </c>
      <c r="AZ119" s="46">
        <f t="shared" ca="1" si="73"/>
        <v>0</v>
      </c>
      <c r="BA119" s="46">
        <f t="shared" ca="1" si="73"/>
        <v>0</v>
      </c>
      <c r="BB119" s="46">
        <f t="shared" ca="1" si="73"/>
        <v>0</v>
      </c>
      <c r="BC119" s="46">
        <f t="shared" ca="1" si="73"/>
        <v>0</v>
      </c>
      <c r="BD119" s="46">
        <f t="shared" ca="1" si="73"/>
        <v>0</v>
      </c>
      <c r="BE119" s="46">
        <f t="shared" ca="1" si="73"/>
        <v>0</v>
      </c>
      <c r="BF119" s="46">
        <f t="shared" ca="1" si="73"/>
        <v>0</v>
      </c>
      <c r="BG119" s="46">
        <f t="shared" ca="1" si="73"/>
        <v>0</v>
      </c>
      <c r="BH119" s="46">
        <f t="shared" ca="1" si="73"/>
        <v>0</v>
      </c>
      <c r="BI119" s="46">
        <f t="shared" ca="1" si="73"/>
        <v>0</v>
      </c>
      <c r="BJ119" s="46">
        <f t="shared" ca="1" si="73"/>
        <v>0</v>
      </c>
      <c r="BK119" s="46">
        <f t="shared" ca="1" si="73"/>
        <v>0</v>
      </c>
      <c r="BL119" s="46">
        <f t="shared" ca="1" si="73"/>
        <v>0</v>
      </c>
      <c r="BM119" s="46">
        <f t="shared" ca="1" si="73"/>
        <v>0</v>
      </c>
      <c r="BN119" s="46">
        <f t="shared" ca="1" si="73"/>
        <v>0</v>
      </c>
      <c r="BO119" s="46">
        <f t="shared" ca="1" si="73"/>
        <v>0</v>
      </c>
      <c r="BP119" s="46">
        <f t="shared" ref="BP119:CN119" ca="1" si="74">BP104-$L104</f>
        <v>0</v>
      </c>
      <c r="BQ119" s="46">
        <f t="shared" ca="1" si="74"/>
        <v>0</v>
      </c>
      <c r="BR119" s="46">
        <f t="shared" ca="1" si="74"/>
        <v>0</v>
      </c>
      <c r="BS119" s="46">
        <f t="shared" ca="1" si="74"/>
        <v>0</v>
      </c>
      <c r="BT119" s="46">
        <f t="shared" ca="1" si="74"/>
        <v>0</v>
      </c>
      <c r="BU119" s="46">
        <f t="shared" ca="1" si="74"/>
        <v>0</v>
      </c>
      <c r="BV119" s="46">
        <f t="shared" ca="1" si="74"/>
        <v>0</v>
      </c>
      <c r="BW119" s="46">
        <f t="shared" ca="1" si="74"/>
        <v>0</v>
      </c>
      <c r="BX119" s="46">
        <f t="shared" ca="1" si="74"/>
        <v>0</v>
      </c>
      <c r="BY119" s="46">
        <f t="shared" ca="1" si="74"/>
        <v>0</v>
      </c>
      <c r="BZ119" s="46">
        <f t="shared" ca="1" si="74"/>
        <v>0</v>
      </c>
      <c r="CA119" s="46">
        <f t="shared" ca="1" si="74"/>
        <v>0</v>
      </c>
      <c r="CB119" s="46">
        <f t="shared" ca="1" si="74"/>
        <v>0</v>
      </c>
      <c r="CC119" s="46">
        <f t="shared" ca="1" si="74"/>
        <v>0</v>
      </c>
      <c r="CD119" s="46">
        <f t="shared" ca="1" si="74"/>
        <v>0</v>
      </c>
      <c r="CE119" s="46">
        <f t="shared" ca="1" si="74"/>
        <v>0</v>
      </c>
      <c r="CF119" s="46">
        <f t="shared" ca="1" si="74"/>
        <v>0</v>
      </c>
      <c r="CG119" s="46">
        <f t="shared" ca="1" si="74"/>
        <v>0</v>
      </c>
      <c r="CH119" s="46">
        <f t="shared" ca="1" si="74"/>
        <v>0</v>
      </c>
      <c r="CI119" s="46">
        <f t="shared" ca="1" si="74"/>
        <v>0</v>
      </c>
      <c r="CJ119" s="46">
        <f t="shared" ca="1" si="74"/>
        <v>0</v>
      </c>
      <c r="CK119" s="46">
        <f t="shared" ca="1" si="74"/>
        <v>0</v>
      </c>
      <c r="CL119" s="46">
        <f t="shared" ca="1" si="74"/>
        <v>0</v>
      </c>
      <c r="CM119" s="46">
        <f t="shared" ca="1" si="74"/>
        <v>0</v>
      </c>
      <c r="CN119" s="46">
        <f t="shared" ca="1" si="74"/>
        <v>0</v>
      </c>
    </row>
    <row r="120" spans="1:92" s="46" customFormat="1" x14ac:dyDescent="0.15">
      <c r="A120" s="46" t="str">
        <f t="shared" si="70"/>
        <v>Biomass Industry CCS</v>
      </c>
      <c r="B120" s="1"/>
      <c r="C120" s="46">
        <f t="shared" ca="1" si="63"/>
        <v>0</v>
      </c>
      <c r="D120" s="46">
        <f t="shared" ref="D120:BO120" ca="1" si="75">D105-$L105</f>
        <v>0</v>
      </c>
      <c r="E120" s="46">
        <f t="shared" ca="1" si="75"/>
        <v>0</v>
      </c>
      <c r="F120" s="46">
        <f t="shared" ca="1" si="75"/>
        <v>0</v>
      </c>
      <c r="G120" s="46">
        <f t="shared" ca="1" si="75"/>
        <v>0</v>
      </c>
      <c r="H120" s="46">
        <f t="shared" ca="1" si="75"/>
        <v>0</v>
      </c>
      <c r="I120" s="46">
        <f t="shared" ca="1" si="75"/>
        <v>0</v>
      </c>
      <c r="J120" s="46">
        <f t="shared" ca="1" si="75"/>
        <v>0</v>
      </c>
      <c r="K120" s="46">
        <f t="shared" ca="1" si="75"/>
        <v>0</v>
      </c>
      <c r="L120" s="46">
        <f t="shared" ca="1" si="75"/>
        <v>0</v>
      </c>
      <c r="M120" s="46">
        <f t="shared" ca="1" si="75"/>
        <v>0</v>
      </c>
      <c r="N120" s="46">
        <f t="shared" ca="1" si="75"/>
        <v>0</v>
      </c>
      <c r="O120" s="46">
        <f t="shared" ca="1" si="75"/>
        <v>0</v>
      </c>
      <c r="P120" s="46">
        <f t="shared" ca="1" si="75"/>
        <v>0</v>
      </c>
      <c r="Q120" s="46">
        <f t="shared" ca="1" si="75"/>
        <v>0</v>
      </c>
      <c r="R120" s="46">
        <f t="shared" ca="1" si="75"/>
        <v>0</v>
      </c>
      <c r="S120" s="46">
        <f t="shared" ca="1" si="75"/>
        <v>0</v>
      </c>
      <c r="T120" s="46">
        <f t="shared" ca="1" si="75"/>
        <v>0</v>
      </c>
      <c r="U120" s="46">
        <f t="shared" ca="1" si="75"/>
        <v>0</v>
      </c>
      <c r="V120" s="46">
        <f t="shared" ca="1" si="75"/>
        <v>0</v>
      </c>
      <c r="W120" s="46">
        <f t="shared" ca="1" si="75"/>
        <v>0</v>
      </c>
      <c r="X120" s="46">
        <f t="shared" ca="1" si="75"/>
        <v>0</v>
      </c>
      <c r="Y120" s="46">
        <f t="shared" ca="1" si="75"/>
        <v>0</v>
      </c>
      <c r="Z120" s="46">
        <f t="shared" ca="1" si="75"/>
        <v>0</v>
      </c>
      <c r="AA120" s="46">
        <f t="shared" ca="1" si="75"/>
        <v>0</v>
      </c>
      <c r="AB120" s="46">
        <f t="shared" ca="1" si="75"/>
        <v>0</v>
      </c>
      <c r="AC120" s="46">
        <f t="shared" ca="1" si="75"/>
        <v>0</v>
      </c>
      <c r="AD120" s="46">
        <f t="shared" ca="1" si="75"/>
        <v>0</v>
      </c>
      <c r="AE120" s="46">
        <f t="shared" ca="1" si="75"/>
        <v>0</v>
      </c>
      <c r="AF120" s="46">
        <f t="shared" ca="1" si="75"/>
        <v>0</v>
      </c>
      <c r="AG120" s="46">
        <f t="shared" ca="1" si="75"/>
        <v>0</v>
      </c>
      <c r="AH120" s="46">
        <f t="shared" ca="1" si="75"/>
        <v>0</v>
      </c>
      <c r="AI120" s="46">
        <f t="shared" ca="1" si="75"/>
        <v>0</v>
      </c>
      <c r="AJ120" s="46">
        <f t="shared" ca="1" si="75"/>
        <v>0</v>
      </c>
      <c r="AK120" s="46">
        <f t="shared" ca="1" si="75"/>
        <v>0</v>
      </c>
      <c r="AL120" s="46">
        <f t="shared" ca="1" si="75"/>
        <v>0</v>
      </c>
      <c r="AM120" s="46">
        <f t="shared" ca="1" si="75"/>
        <v>0</v>
      </c>
      <c r="AN120" s="46">
        <f t="shared" ca="1" si="75"/>
        <v>0</v>
      </c>
      <c r="AO120" s="46">
        <f t="shared" ca="1" si="75"/>
        <v>0</v>
      </c>
      <c r="AP120" s="46">
        <f t="shared" ca="1" si="75"/>
        <v>0</v>
      </c>
      <c r="AQ120" s="46">
        <f t="shared" ca="1" si="75"/>
        <v>0</v>
      </c>
      <c r="AR120" s="46">
        <f t="shared" ca="1" si="75"/>
        <v>0</v>
      </c>
      <c r="AS120" s="46">
        <f t="shared" ca="1" si="75"/>
        <v>0</v>
      </c>
      <c r="AT120" s="46">
        <f t="shared" ca="1" si="75"/>
        <v>0</v>
      </c>
      <c r="AU120" s="46">
        <f t="shared" ca="1" si="75"/>
        <v>0</v>
      </c>
      <c r="AV120" s="46">
        <f t="shared" ca="1" si="75"/>
        <v>0</v>
      </c>
      <c r="AW120" s="46">
        <f t="shared" ca="1" si="75"/>
        <v>0</v>
      </c>
      <c r="AX120" s="46">
        <f t="shared" ca="1" si="75"/>
        <v>0</v>
      </c>
      <c r="AY120" s="46">
        <f t="shared" ca="1" si="75"/>
        <v>0</v>
      </c>
      <c r="AZ120" s="46">
        <f t="shared" ca="1" si="75"/>
        <v>0</v>
      </c>
      <c r="BA120" s="46">
        <f t="shared" ca="1" si="75"/>
        <v>0</v>
      </c>
      <c r="BB120" s="46">
        <f t="shared" ca="1" si="75"/>
        <v>0</v>
      </c>
      <c r="BC120" s="46">
        <f t="shared" ca="1" si="75"/>
        <v>0</v>
      </c>
      <c r="BD120" s="46">
        <f t="shared" ca="1" si="75"/>
        <v>0</v>
      </c>
      <c r="BE120" s="46">
        <f t="shared" ca="1" si="75"/>
        <v>0</v>
      </c>
      <c r="BF120" s="46">
        <f t="shared" ca="1" si="75"/>
        <v>0</v>
      </c>
      <c r="BG120" s="46">
        <f t="shared" ca="1" si="75"/>
        <v>0</v>
      </c>
      <c r="BH120" s="46">
        <f t="shared" ca="1" si="75"/>
        <v>0</v>
      </c>
      <c r="BI120" s="46">
        <f t="shared" ca="1" si="75"/>
        <v>0</v>
      </c>
      <c r="BJ120" s="46">
        <f t="shared" ca="1" si="75"/>
        <v>0</v>
      </c>
      <c r="BK120" s="46">
        <f t="shared" ca="1" si="75"/>
        <v>0</v>
      </c>
      <c r="BL120" s="46">
        <f t="shared" ca="1" si="75"/>
        <v>0</v>
      </c>
      <c r="BM120" s="46">
        <f t="shared" ca="1" si="75"/>
        <v>0</v>
      </c>
      <c r="BN120" s="46">
        <f t="shared" ca="1" si="75"/>
        <v>0</v>
      </c>
      <c r="BO120" s="46">
        <f t="shared" ca="1" si="75"/>
        <v>0</v>
      </c>
      <c r="BP120" s="46">
        <f t="shared" ref="BP120:CN120" ca="1" si="76">BP105-$L105</f>
        <v>0</v>
      </c>
      <c r="BQ120" s="46">
        <f t="shared" ca="1" si="76"/>
        <v>0</v>
      </c>
      <c r="BR120" s="46">
        <f t="shared" ca="1" si="76"/>
        <v>0</v>
      </c>
      <c r="BS120" s="46">
        <f t="shared" ca="1" si="76"/>
        <v>0</v>
      </c>
      <c r="BT120" s="46">
        <f t="shared" ca="1" si="76"/>
        <v>0</v>
      </c>
      <c r="BU120" s="46">
        <f t="shared" ca="1" si="76"/>
        <v>0</v>
      </c>
      <c r="BV120" s="46">
        <f t="shared" ca="1" si="76"/>
        <v>0</v>
      </c>
      <c r="BW120" s="46">
        <f t="shared" ca="1" si="76"/>
        <v>0</v>
      </c>
      <c r="BX120" s="46">
        <f t="shared" ca="1" si="76"/>
        <v>0</v>
      </c>
      <c r="BY120" s="46">
        <f t="shared" ca="1" si="76"/>
        <v>0</v>
      </c>
      <c r="BZ120" s="46">
        <f t="shared" ca="1" si="76"/>
        <v>0</v>
      </c>
      <c r="CA120" s="46">
        <f t="shared" ca="1" si="76"/>
        <v>0</v>
      </c>
      <c r="CB120" s="46">
        <f t="shared" ca="1" si="76"/>
        <v>0</v>
      </c>
      <c r="CC120" s="46">
        <f t="shared" ca="1" si="76"/>
        <v>0</v>
      </c>
      <c r="CD120" s="46">
        <f t="shared" ca="1" si="76"/>
        <v>0</v>
      </c>
      <c r="CE120" s="46">
        <f t="shared" ca="1" si="76"/>
        <v>0</v>
      </c>
      <c r="CF120" s="46">
        <f t="shared" ca="1" si="76"/>
        <v>0</v>
      </c>
      <c r="CG120" s="46">
        <f t="shared" ca="1" si="76"/>
        <v>0</v>
      </c>
      <c r="CH120" s="46">
        <f t="shared" ca="1" si="76"/>
        <v>0</v>
      </c>
      <c r="CI120" s="46">
        <f t="shared" ca="1" si="76"/>
        <v>0</v>
      </c>
      <c r="CJ120" s="46">
        <f t="shared" ca="1" si="76"/>
        <v>0</v>
      </c>
      <c r="CK120" s="46">
        <f t="shared" ca="1" si="76"/>
        <v>0</v>
      </c>
      <c r="CL120" s="46">
        <f t="shared" ca="1" si="76"/>
        <v>0</v>
      </c>
      <c r="CM120" s="46">
        <f t="shared" ca="1" si="76"/>
        <v>0</v>
      </c>
      <c r="CN120" s="46">
        <f t="shared" ca="1" si="76"/>
        <v>0</v>
      </c>
    </row>
    <row r="121" spans="1:92" x14ac:dyDescent="0.15">
      <c r="CM121" s="46"/>
      <c r="CN121" s="46"/>
    </row>
    <row r="122" spans="1:92" s="46" customFormat="1" x14ac:dyDescent="0.15">
      <c r="A122" s="1" t="s">
        <v>378</v>
      </c>
      <c r="B122" s="1"/>
      <c r="C122" s="46">
        <f ca="1">SUM(C46:C51)+SUM(C113:C120)</f>
        <v>-9.2228341611080147</v>
      </c>
      <c r="D122" s="46">
        <f t="shared" ref="D122:BO122" ca="1" si="77">SUM(D46:D51)+SUM(D113:D120)</f>
        <v>-8.0183248660608282</v>
      </c>
      <c r="E122" s="46">
        <f t="shared" ca="1" si="77"/>
        <v>-6.8570084149686181</v>
      </c>
      <c r="F122" s="46">
        <f t="shared" ca="1" si="77"/>
        <v>-5.7393394202889905</v>
      </c>
      <c r="G122" s="46">
        <f t="shared" ca="1" si="77"/>
        <v>-4.665966991471568</v>
      </c>
      <c r="H122" s="46">
        <f t="shared" ca="1" si="77"/>
        <v>-3.6377336425095352</v>
      </c>
      <c r="I122" s="46">
        <f t="shared" ca="1" si="77"/>
        <v>-2.6556771988261199</v>
      </c>
      <c r="J122" s="46">
        <f t="shared" ca="1" si="77"/>
        <v>-1.7210356451720412</v>
      </c>
      <c r="K122" s="46">
        <f t="shared" ca="1" si="77"/>
        <v>-0.83525495061792521</v>
      </c>
      <c r="L122" s="46" t="e">
        <f t="shared" ca="1" si="77"/>
        <v>#DIV/0!</v>
      </c>
      <c r="M122" s="46">
        <f t="shared" ca="1" si="77"/>
        <v>0.9810459880264133</v>
      </c>
      <c r="N122" s="46">
        <f t="shared" ca="1" si="77"/>
        <v>1.9179592145646673</v>
      </c>
      <c r="O122" s="46">
        <f t="shared" ca="1" si="77"/>
        <v>2.8110026973640379</v>
      </c>
      <c r="P122" s="46">
        <f t="shared" ca="1" si="77"/>
        <v>3.6602657304812101</v>
      </c>
      <c r="Q122" s="46">
        <f t="shared" ca="1" si="77"/>
        <v>4.4656709257046412</v>
      </c>
      <c r="R122" s="46">
        <f t="shared" ca="1" si="77"/>
        <v>5.2269788940428636</v>
      </c>
      <c r="S122" s="46">
        <f t="shared" ca="1" si="77"/>
        <v>5.9437907500849025</v>
      </c>
      <c r="T122" s="46">
        <f t="shared" ca="1" si="77"/>
        <v>6.6155485579821178</v>
      </c>
      <c r="U122" s="46">
        <f t="shared" ca="1" si="77"/>
        <v>7.241533780487277</v>
      </c>
      <c r="V122" s="46">
        <f t="shared" ca="1" si="77"/>
        <v>7.8208637391031406</v>
      </c>
      <c r="W122" s="46">
        <f t="shared" ca="1" si="77"/>
        <v>8.3973475260535118</v>
      </c>
      <c r="X122" s="46">
        <f t="shared" ca="1" si="77"/>
        <v>8.949886942470572</v>
      </c>
      <c r="Y122" s="46">
        <f t="shared" ca="1" si="77"/>
        <v>9.4787452355517647</v>
      </c>
      <c r="Z122" s="46">
        <f t="shared" ca="1" si="77"/>
        <v>9.9841400760658559</v>
      </c>
      <c r="AA122" s="46">
        <f t="shared" ca="1" si="77"/>
        <v>10.466245877739434</v>
      </c>
      <c r="AB122" s="46">
        <f t="shared" ca="1" si="77"/>
        <v>10.925195779686447</v>
      </c>
      <c r="AC122" s="46">
        <f t="shared" ca="1" si="77"/>
        <v>11.361083323360802</v>
      </c>
      <c r="AD122" s="46">
        <f t="shared" ca="1" si="77"/>
        <v>11.773963850407318</v>
      </c>
      <c r="AE122" s="46">
        <f t="shared" ca="1" si="77"/>
        <v>12.163855643357616</v>
      </c>
      <c r="AF122" s="46">
        <f t="shared" ca="1" si="77"/>
        <v>12.53074082723735</v>
      </c>
      <c r="AG122" s="46">
        <f t="shared" ca="1" si="77"/>
        <v>13.006111920308721</v>
      </c>
      <c r="AH122" s="46">
        <f t="shared" ca="1" si="77"/>
        <v>13.46558540803219</v>
      </c>
      <c r="AI122" s="46">
        <f t="shared" ca="1" si="77"/>
        <v>13.909300818690379</v>
      </c>
      <c r="AJ122" s="46">
        <f t="shared" ca="1" si="77"/>
        <v>14.337375568067822</v>
      </c>
      <c r="AK122" s="46">
        <f t="shared" ca="1" si="77"/>
        <v>14.749905989403779</v>
      </c>
      <c r="AL122" s="46">
        <f t="shared" ca="1" si="77"/>
        <v>15.146968240255255</v>
      </c>
      <c r="AM122" s="46">
        <f t="shared" ca="1" si="77"/>
        <v>15.52861909692691</v>
      </c>
      <c r="AN122" s="46">
        <f t="shared" ca="1" si="77"/>
        <v>15.894896645698509</v>
      </c>
      <c r="AO122" s="46">
        <f t="shared" ca="1" si="77"/>
        <v>16.245820878828873</v>
      </c>
      <c r="AP122" s="46">
        <f t="shared" ca="1" si="77"/>
        <v>16.581394202209975</v>
      </c>
      <c r="AQ122" s="46">
        <f t="shared" ca="1" si="77"/>
        <v>16.835656439191744</v>
      </c>
      <c r="AR122" s="46">
        <f t="shared" ca="1" si="77"/>
        <v>17.07112569914338</v>
      </c>
      <c r="AS122" s="46">
        <f t="shared" ca="1" si="77"/>
        <v>17.294020513146766</v>
      </c>
      <c r="AT122" s="46">
        <f t="shared" ca="1" si="77"/>
        <v>17.504465057729227</v>
      </c>
      <c r="AU122" s="46">
        <f t="shared" ca="1" si="77"/>
        <v>17.702567936264099</v>
      </c>
      <c r="AV122" s="46">
        <f t="shared" ca="1" si="77"/>
        <v>17.888422987036726</v>
      </c>
      <c r="AW122" s="46">
        <f t="shared" ca="1" si="77"/>
        <v>18.062110009170151</v>
      </c>
      <c r="AX122" s="46">
        <f t="shared" ca="1" si="77"/>
        <v>18.22369541392727</v>
      </c>
      <c r="AY122" s="46">
        <f t="shared" ca="1" si="77"/>
        <v>18.373232808003578</v>
      </c>
      <c r="AZ122" s="46">
        <f t="shared" ca="1" si="77"/>
        <v>18.463619821849747</v>
      </c>
      <c r="BA122" s="46">
        <f t="shared" ca="1" si="77"/>
        <v>18.917408873625426</v>
      </c>
      <c r="BB122" s="46">
        <f t="shared" ca="1" si="77"/>
        <v>19.354500237244224</v>
      </c>
      <c r="BC122" s="46">
        <f t="shared" ca="1" si="77"/>
        <v>19.775128662253504</v>
      </c>
      <c r="BD122" s="46">
        <f t="shared" ca="1" si="77"/>
        <v>20.179505523511477</v>
      </c>
      <c r="BE122" s="46">
        <f t="shared" ca="1" si="77"/>
        <v>20.567820091805928</v>
      </c>
      <c r="BF122" s="46">
        <f t="shared" ca="1" si="77"/>
        <v>20.940240675452305</v>
      </c>
      <c r="BG122" s="46">
        <f t="shared" ca="1" si="77"/>
        <v>21.296915644842965</v>
      </c>
      <c r="BH122" s="46">
        <f t="shared" ca="1" si="77"/>
        <v>21.63797435044933</v>
      </c>
      <c r="BI122" s="46">
        <f t="shared" ca="1" si="77"/>
        <v>21.963527943493613</v>
      </c>
      <c r="BJ122" s="46">
        <f t="shared" ca="1" si="77"/>
        <v>22.27367010738142</v>
      </c>
      <c r="BK122" s="46">
        <f t="shared" ca="1" si="77"/>
        <v>22.788141381301465</v>
      </c>
      <c r="BL122" s="46">
        <f t="shared" ca="1" si="77"/>
        <v>23.284283218897421</v>
      </c>
      <c r="BM122" s="46">
        <f t="shared" ca="1" si="77"/>
        <v>23.762374981794835</v>
      </c>
      <c r="BN122" s="46">
        <f t="shared" ca="1" si="77"/>
        <v>24.222670419202288</v>
      </c>
      <c r="BO122" s="46">
        <f t="shared" ca="1" si="77"/>
        <v>24.665399054175808</v>
      </c>
      <c r="BP122" s="46">
        <f t="shared" ref="BP122:CN122" ca="1" si="78">SUM(BP46:BP51)+SUM(BP113:BP120)</f>
        <v>25.090767431623611</v>
      </c>
      <c r="BQ122" s="46">
        <f t="shared" ca="1" si="78"/>
        <v>25.498960240695279</v>
      </c>
      <c r="BR122" s="46">
        <f t="shared" ca="1" si="78"/>
        <v>25.890141322660696</v>
      </c>
      <c r="BS122" s="46">
        <f t="shared" ca="1" si="78"/>
        <v>26.264454574036641</v>
      </c>
      <c r="BT122" s="46">
        <f t="shared" ca="1" si="78"/>
        <v>26.622024753535236</v>
      </c>
      <c r="BU122" s="46">
        <f t="shared" ca="1" si="78"/>
        <v>27.107431221211776</v>
      </c>
      <c r="BV122" s="46">
        <f t="shared" ca="1" si="78"/>
        <v>27.574110007114836</v>
      </c>
      <c r="BW122" s="46">
        <f t="shared" ca="1" si="78"/>
        <v>28.02228341109538</v>
      </c>
      <c r="BX122" s="46">
        <f t="shared" ca="1" si="78"/>
        <v>28.452148102874379</v>
      </c>
      <c r="BY122" s="46">
        <f t="shared" ca="1" si="78"/>
        <v>28.863876375385075</v>
      </c>
      <c r="BZ122" s="46">
        <f t="shared" ca="1" si="78"/>
        <v>29.257617262422226</v>
      </c>
      <c r="CA122" s="46">
        <f t="shared" ca="1" si="78"/>
        <v>29.633497532381504</v>
      </c>
      <c r="CB122" s="46">
        <f t="shared" ca="1" si="78"/>
        <v>29.991622568379725</v>
      </c>
      <c r="CC122" s="46">
        <f t="shared" ca="1" si="78"/>
        <v>30.332077143737187</v>
      </c>
      <c r="CD122" s="46">
        <f t="shared" ca="1" si="78"/>
        <v>30.654926100643426</v>
      </c>
      <c r="CE122" s="46">
        <f t="shared" ca="1" si="78"/>
        <v>31.297005505105101</v>
      </c>
      <c r="CF122" s="46">
        <f t="shared" ca="1" si="78"/>
        <v>31.920433381144299</v>
      </c>
      <c r="CG122" s="46">
        <f t="shared" ca="1" si="78"/>
        <v>32.525402605396955</v>
      </c>
      <c r="CH122" s="46">
        <f t="shared" ca="1" si="78"/>
        <v>33.11208169987502</v>
      </c>
      <c r="CI122" s="46">
        <f t="shared" ca="1" si="78"/>
        <v>33.680615989562995</v>
      </c>
      <c r="CJ122" s="46">
        <f t="shared" ca="1" si="78"/>
        <v>34.231128633888027</v>
      </c>
      <c r="CK122" s="46">
        <f t="shared" ca="1" si="78"/>
        <v>34.763721542871764</v>
      </c>
      <c r="CL122" s="46">
        <f t="shared" ca="1" si="78"/>
        <v>35.278476187410718</v>
      </c>
      <c r="CM122" s="46">
        <f t="shared" ca="1" si="78"/>
        <v>35.775454311934418</v>
      </c>
      <c r="CN122" s="46">
        <f t="shared" ca="1" si="78"/>
        <v>36.254698556631169</v>
      </c>
    </row>
    <row r="123" spans="1:92" s="46" customFormat="1" x14ac:dyDescent="0.15">
      <c r="C123" s="46">
        <f ca="1">C108-$L108</f>
        <v>-9.4232523920292408</v>
      </c>
      <c r="D123" s="46">
        <f t="shared" ref="D123:BO123" ca="1" si="79">D108-$L108</f>
        <v>-8.3762243484704371</v>
      </c>
      <c r="E123" s="46">
        <f t="shared" ca="1" si="79"/>
        <v>-7.3291963049116333</v>
      </c>
      <c r="F123" s="46">
        <f t="shared" ca="1" si="79"/>
        <v>-6.2821682613528296</v>
      </c>
      <c r="G123" s="46">
        <f t="shared" ca="1" si="79"/>
        <v>-5.2351402177940258</v>
      </c>
      <c r="H123" s="46">
        <f t="shared" ca="1" si="79"/>
        <v>-4.1881121742352221</v>
      </c>
      <c r="I123" s="46">
        <f t="shared" ca="1" si="79"/>
        <v>-3.1410841306764183</v>
      </c>
      <c r="J123" s="46">
        <f t="shared" ca="1" si="79"/>
        <v>-2.0940560871176146</v>
      </c>
      <c r="K123" s="46">
        <f t="shared" ca="1" si="79"/>
        <v>-1.0470280435588109</v>
      </c>
      <c r="L123" s="46">
        <f t="shared" ca="1" si="79"/>
        <v>0</v>
      </c>
      <c r="M123" s="46">
        <f t="shared" ca="1" si="79"/>
        <v>0.78208637391031033</v>
      </c>
      <c r="N123" s="46">
        <f t="shared" ca="1" si="79"/>
        <v>1.5641727478206207</v>
      </c>
      <c r="O123" s="46">
        <f t="shared" ca="1" si="79"/>
        <v>2.346259121730931</v>
      </c>
      <c r="P123" s="46">
        <f t="shared" ca="1" si="79"/>
        <v>3.1283454956412413</v>
      </c>
      <c r="Q123" s="46">
        <f t="shared" ca="1" si="79"/>
        <v>3.9104318695515516</v>
      </c>
      <c r="R123" s="46">
        <f t="shared" ca="1" si="79"/>
        <v>4.692518243461862</v>
      </c>
      <c r="S123" s="46">
        <f t="shared" ca="1" si="79"/>
        <v>5.4746046173721794</v>
      </c>
      <c r="T123" s="46">
        <f t="shared" ca="1" si="79"/>
        <v>6.2566909912824968</v>
      </c>
      <c r="U123" s="46">
        <f t="shared" ca="1" si="79"/>
        <v>7.0387773651928143</v>
      </c>
      <c r="V123" s="46">
        <f t="shared" ca="1" si="79"/>
        <v>7.8208637391031317</v>
      </c>
      <c r="W123" s="46">
        <f t="shared" ca="1" si="79"/>
        <v>8.2918514479165566</v>
      </c>
      <c r="X123" s="46">
        <f t="shared" ca="1" si="79"/>
        <v>8.7628391567299815</v>
      </c>
      <c r="Y123" s="46">
        <f t="shared" ca="1" si="79"/>
        <v>9.2338268655434064</v>
      </c>
      <c r="Z123" s="46">
        <f t="shared" ca="1" si="79"/>
        <v>9.7048145743568313</v>
      </c>
      <c r="AA123" s="46">
        <f t="shared" ca="1" si="79"/>
        <v>10.175802283170256</v>
      </c>
      <c r="AB123" s="46">
        <f t="shared" ca="1" si="79"/>
        <v>10.646789991983681</v>
      </c>
      <c r="AC123" s="46">
        <f t="shared" ca="1" si="79"/>
        <v>11.117777700797106</v>
      </c>
      <c r="AD123" s="46">
        <f t="shared" ca="1" si="79"/>
        <v>11.588765409610531</v>
      </c>
      <c r="AE123" s="46">
        <f t="shared" ca="1" si="79"/>
        <v>12.059753118423956</v>
      </c>
      <c r="AF123" s="46">
        <f t="shared" ca="1" si="79"/>
        <v>12.530740827237338</v>
      </c>
      <c r="AG123" s="46">
        <f t="shared" ca="1" si="79"/>
        <v>12.935806164734601</v>
      </c>
      <c r="AH123" s="46">
        <f t="shared" ca="1" si="79"/>
        <v>13.340871502231863</v>
      </c>
      <c r="AI123" s="46">
        <f t="shared" ca="1" si="79"/>
        <v>13.745936839729126</v>
      </c>
      <c r="AJ123" s="46">
        <f t="shared" ca="1" si="79"/>
        <v>14.151002177226388</v>
      </c>
      <c r="AK123" s="46">
        <f t="shared" ca="1" si="79"/>
        <v>14.556067514723651</v>
      </c>
      <c r="AL123" s="46">
        <f t="shared" ca="1" si="79"/>
        <v>14.961132852220913</v>
      </c>
      <c r="AM123" s="46">
        <f t="shared" ca="1" si="79"/>
        <v>15.366198189718176</v>
      </c>
      <c r="AN123" s="46">
        <f t="shared" ca="1" si="79"/>
        <v>15.771263527215439</v>
      </c>
      <c r="AO123" s="46">
        <f t="shared" ca="1" si="79"/>
        <v>16.176328864712701</v>
      </c>
      <c r="AP123" s="46">
        <f t="shared" ca="1" si="79"/>
        <v>16.581394202209978</v>
      </c>
      <c r="AQ123" s="46">
        <f t="shared" ca="1" si="79"/>
        <v>16.769616764173961</v>
      </c>
      <c r="AR123" s="46">
        <f t="shared" ca="1" si="79"/>
        <v>16.957839326137943</v>
      </c>
      <c r="AS123" s="46">
        <f t="shared" ca="1" si="79"/>
        <v>17.146061888101926</v>
      </c>
      <c r="AT123" s="46">
        <f t="shared" ca="1" si="79"/>
        <v>17.334284450065908</v>
      </c>
      <c r="AU123" s="46">
        <f t="shared" ca="1" si="79"/>
        <v>17.522507012029891</v>
      </c>
      <c r="AV123" s="46">
        <f t="shared" ca="1" si="79"/>
        <v>17.710729573993873</v>
      </c>
      <c r="AW123" s="46">
        <f t="shared" ca="1" si="79"/>
        <v>17.898952135957856</v>
      </c>
      <c r="AX123" s="46">
        <f t="shared" ca="1" si="79"/>
        <v>18.087174697921839</v>
      </c>
      <c r="AY123" s="46">
        <f t="shared" ca="1" si="79"/>
        <v>18.275397259885821</v>
      </c>
      <c r="AZ123" s="46">
        <f t="shared" ca="1" si="79"/>
        <v>18.463619821849761</v>
      </c>
      <c r="BA123" s="46">
        <f t="shared" ca="1" si="79"/>
        <v>18.844624850402923</v>
      </c>
      <c r="BB123" s="46">
        <f t="shared" ca="1" si="79"/>
        <v>19.225629878956084</v>
      </c>
      <c r="BC123" s="46">
        <f t="shared" ca="1" si="79"/>
        <v>19.606634907509246</v>
      </c>
      <c r="BD123" s="46">
        <f t="shared" ca="1" si="79"/>
        <v>19.987639936062408</v>
      </c>
      <c r="BE123" s="46">
        <f t="shared" ca="1" si="79"/>
        <v>20.368644964615569</v>
      </c>
      <c r="BF123" s="46">
        <f t="shared" ca="1" si="79"/>
        <v>20.749649993168731</v>
      </c>
      <c r="BG123" s="46">
        <f t="shared" ca="1" si="79"/>
        <v>21.130655021721893</v>
      </c>
      <c r="BH123" s="46">
        <f t="shared" ca="1" si="79"/>
        <v>21.511660050275054</v>
      </c>
      <c r="BI123" s="46">
        <f t="shared" ca="1" si="79"/>
        <v>21.892665078828216</v>
      </c>
      <c r="BJ123" s="46">
        <f t="shared" ca="1" si="79"/>
        <v>22.273670107381406</v>
      </c>
      <c r="BK123" s="46">
        <f t="shared" ca="1" si="79"/>
        <v>22.708505571996795</v>
      </c>
      <c r="BL123" s="46">
        <f t="shared" ca="1" si="79"/>
        <v>23.143341036612185</v>
      </c>
      <c r="BM123" s="46">
        <f t="shared" ca="1" si="79"/>
        <v>23.578176501227574</v>
      </c>
      <c r="BN123" s="46">
        <f t="shared" ca="1" si="79"/>
        <v>24.013011965842963</v>
      </c>
      <c r="BO123" s="46">
        <f t="shared" ca="1" si="79"/>
        <v>24.447847430458353</v>
      </c>
      <c r="BP123" s="46">
        <f t="shared" ref="BP123:CN123" ca="1" si="80">BP108-$L108</f>
        <v>24.882682895073742</v>
      </c>
      <c r="BQ123" s="46">
        <f t="shared" ca="1" si="80"/>
        <v>25.317518359689132</v>
      </c>
      <c r="BR123" s="46">
        <f t="shared" ca="1" si="80"/>
        <v>25.752353824304521</v>
      </c>
      <c r="BS123" s="46">
        <f t="shared" ca="1" si="80"/>
        <v>26.18718928891991</v>
      </c>
      <c r="BT123" s="46">
        <f t="shared" ca="1" si="80"/>
        <v>26.622024753535243</v>
      </c>
      <c r="BU123" s="46">
        <f t="shared" ca="1" si="80"/>
        <v>27.025314888246058</v>
      </c>
      <c r="BV123" s="46">
        <f t="shared" ca="1" si="80"/>
        <v>27.428605022956873</v>
      </c>
      <c r="BW123" s="46">
        <f t="shared" ca="1" si="80"/>
        <v>27.831895157667688</v>
      </c>
      <c r="BX123" s="46">
        <f t="shared" ca="1" si="80"/>
        <v>28.235185292378503</v>
      </c>
      <c r="BY123" s="46">
        <f t="shared" ca="1" si="80"/>
        <v>28.638475427089318</v>
      </c>
      <c r="BZ123" s="46">
        <f t="shared" ca="1" si="80"/>
        <v>29.041765561800133</v>
      </c>
      <c r="CA123" s="46">
        <f t="shared" ca="1" si="80"/>
        <v>29.445055696510948</v>
      </c>
      <c r="CB123" s="46">
        <f t="shared" ca="1" si="80"/>
        <v>29.848345831221764</v>
      </c>
      <c r="CC123" s="46">
        <f t="shared" ca="1" si="80"/>
        <v>30.251635965932579</v>
      </c>
      <c r="CD123" s="46">
        <f t="shared" ca="1" si="80"/>
        <v>30.654926100643436</v>
      </c>
      <c r="CE123" s="46">
        <f t="shared" ca="1" si="80"/>
        <v>31.21490334624221</v>
      </c>
      <c r="CF123" s="46">
        <f t="shared" ca="1" si="80"/>
        <v>31.774880591840983</v>
      </c>
      <c r="CG123" s="46">
        <f t="shared" ca="1" si="80"/>
        <v>32.334857837439756</v>
      </c>
      <c r="CH123" s="46">
        <f t="shared" ca="1" si="80"/>
        <v>32.894835083038529</v>
      </c>
      <c r="CI123" s="46">
        <f t="shared" ca="1" si="80"/>
        <v>33.454812328637303</v>
      </c>
      <c r="CJ123" s="46">
        <f t="shared" ca="1" si="80"/>
        <v>34.014789574236076</v>
      </c>
      <c r="CK123" s="46">
        <f t="shared" ca="1" si="80"/>
        <v>34.574766819834849</v>
      </c>
      <c r="CL123" s="46">
        <f t="shared" ca="1" si="80"/>
        <v>35.134744065433622</v>
      </c>
      <c r="CM123" s="46">
        <f t="shared" ca="1" si="80"/>
        <v>35.694721311032396</v>
      </c>
      <c r="CN123" s="46">
        <f t="shared" ca="1" si="80"/>
        <v>36.254698556631155</v>
      </c>
    </row>
    <row r="124" spans="1:92" s="46" customFormat="1" x14ac:dyDescent="0.15"/>
    <row r="125" spans="1:92" s="46" customFormat="1" x14ac:dyDescent="0.15"/>
    <row r="126" spans="1:92" s="46" customFormat="1" x14ac:dyDescent="0.15"/>
    <row r="128" spans="1:92" s="46" customFormat="1" x14ac:dyDescent="0.15">
      <c r="A128" s="1"/>
      <c r="B128" s="1"/>
    </row>
    <row r="130" spans="1:2" s="46" customFormat="1" x14ac:dyDescent="0.15">
      <c r="A130" s="1"/>
      <c r="B130" s="1"/>
    </row>
    <row r="132" spans="1:2" s="46" customFormat="1" x14ac:dyDescent="0.15">
      <c r="A132" s="1"/>
      <c r="B132" s="1"/>
    </row>
    <row r="134" spans="1:2" s="46" customFormat="1" x14ac:dyDescent="0.15"/>
    <row r="135" spans="1:2" s="46" customFormat="1" x14ac:dyDescent="0.15"/>
    <row r="136" spans="1:2" s="46" customFormat="1" x14ac:dyDescent="0.15"/>
    <row r="137" spans="1:2" s="46" customFormat="1" x14ac:dyDescent="0.15"/>
    <row r="138" spans="1:2" s="46" customFormat="1" x14ac:dyDescent="0.15"/>
  </sheetData>
  <pageMargins left="0.75" right="0.75" top="1" bottom="1" header="0.5" footer="0.5"/>
  <pageSetup orientation="portrait" horizontalDpi="0" verticalDpi="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0F84FE-768F-0340-9E52-F67E4D441A81}">
  <sheetPr codeName="Sheet19"/>
  <dimension ref="A1:Q37"/>
  <sheetViews>
    <sheetView workbookViewId="0">
      <selection activeCell="A20" sqref="A20:XFD37"/>
    </sheetView>
  </sheetViews>
  <sheetFormatPr baseColWidth="10" defaultRowHeight="16" x14ac:dyDescent="0.2"/>
  <cols>
    <col min="1" max="1" width="18.83203125" customWidth="1"/>
    <col min="7" max="17" width="10.83203125" style="25"/>
  </cols>
  <sheetData>
    <row r="1" spans="1:17" x14ac:dyDescent="0.2">
      <c r="A1" t="s">
        <v>110</v>
      </c>
      <c r="B1">
        <v>27.9</v>
      </c>
      <c r="C1" s="243" t="s">
        <v>493</v>
      </c>
    </row>
    <row r="2" spans="1:17" x14ac:dyDescent="0.2">
      <c r="A2" t="s">
        <v>111</v>
      </c>
      <c r="B2">
        <v>273</v>
      </c>
    </row>
    <row r="3" spans="1:17" x14ac:dyDescent="0.2">
      <c r="A3" t="s">
        <v>489</v>
      </c>
      <c r="B3">
        <v>1530</v>
      </c>
    </row>
    <row r="4" spans="1:17" x14ac:dyDescent="0.2">
      <c r="A4" t="s">
        <v>490</v>
      </c>
      <c r="B4" s="35">
        <v>7380</v>
      </c>
    </row>
    <row r="5" spans="1:17" x14ac:dyDescent="0.2">
      <c r="A5" t="s">
        <v>491</v>
      </c>
      <c r="B5">
        <v>25200</v>
      </c>
    </row>
    <row r="6" spans="1:17" s="184" customFormat="1" x14ac:dyDescent="0.2">
      <c r="G6" s="184">
        <f>'Ref Data'!G13</f>
        <v>2005</v>
      </c>
      <c r="H6" s="184">
        <f>'Ref Data'!H13</f>
        <v>2010</v>
      </c>
      <c r="I6" s="184">
        <f>'Ref Data'!I13</f>
        <v>2020</v>
      </c>
      <c r="J6" s="184">
        <f>'Ref Data'!J13</f>
        <v>2030</v>
      </c>
      <c r="K6" s="184">
        <f>'Ref Data'!K13</f>
        <v>2040</v>
      </c>
      <c r="L6" s="184">
        <f>'Ref Data'!L13</f>
        <v>2050</v>
      </c>
      <c r="M6" s="184">
        <f>'Ref Data'!M13</f>
        <v>2060</v>
      </c>
      <c r="N6" s="184">
        <f>'Ref Data'!N13</f>
        <v>2070</v>
      </c>
      <c r="O6" s="184">
        <f>'Ref Data'!O13</f>
        <v>2080</v>
      </c>
      <c r="P6" s="184">
        <f>'Ref Data'!P13</f>
        <v>2090</v>
      </c>
      <c r="Q6" s="184">
        <f>'Ref Data'!Q13</f>
        <v>2100</v>
      </c>
    </row>
    <row r="7" spans="1:17" x14ac:dyDescent="0.2">
      <c r="A7" t="s">
        <v>37</v>
      </c>
    </row>
    <row r="8" spans="1:17" x14ac:dyDescent="0.2">
      <c r="A8" s="47" t="s">
        <v>26</v>
      </c>
      <c r="B8" s="35" t="s">
        <v>24</v>
      </c>
      <c r="G8" s="25">
        <f ca="1">'Ref Data'!G14*$B$1</f>
        <v>8882.7765942599999</v>
      </c>
      <c r="H8" s="25">
        <f ca="1">'Ref Data'!H14*$B$1</f>
        <v>9717.4163993399998</v>
      </c>
      <c r="I8" s="25">
        <f ca="1">'Ref Data'!I14*$B$1</f>
        <v>11043.60979599</v>
      </c>
      <c r="J8" s="25">
        <f ca="1">'Ref Data'!J14*$B$1</f>
        <v>12046.946348429999</v>
      </c>
      <c r="K8" s="25">
        <f ca="1">'Ref Data'!K14*$B$1</f>
        <v>12589.155531539998</v>
      </c>
      <c r="L8" s="25">
        <f ca="1">'Ref Data'!L14*$B$1</f>
        <v>12915.783406709999</v>
      </c>
      <c r="M8" s="25">
        <f ca="1">'Ref Data'!M14*$B$1</f>
        <v>12759.48193464</v>
      </c>
      <c r="N8" s="25">
        <f ca="1">'Ref Data'!N14*$B$1</f>
        <v>12784.285243889999</v>
      </c>
      <c r="O8" s="25">
        <f ca="1">'Ref Data'!O14*$B$1</f>
        <v>12880.305588149999</v>
      </c>
      <c r="P8" s="25">
        <f ca="1">'Ref Data'!P14*$B$1</f>
        <v>12964.12308621</v>
      </c>
      <c r="Q8" s="25">
        <f ca="1">'Ref Data'!Q14*$B$1</f>
        <v>13513.331112659998</v>
      </c>
    </row>
    <row r="9" spans="1:17" x14ac:dyDescent="0.2">
      <c r="A9" s="47" t="s">
        <v>21</v>
      </c>
      <c r="B9" s="35" t="s">
        <v>24</v>
      </c>
      <c r="G9" s="25">
        <f ca="1">'Ref Data'!G20*(10^-3)*$B$2</f>
        <v>2500.2643676010002</v>
      </c>
      <c r="H9" s="25">
        <f ca="1">'Ref Data'!H20*(10^-3)*$B$2</f>
        <v>2684.9729568480002</v>
      </c>
      <c r="I9" s="25">
        <f ca="1">'Ref Data'!I20*(10^-3)*$B$2</f>
        <v>3052.8433899600004</v>
      </c>
      <c r="J9" s="25">
        <f ca="1">'Ref Data'!J20*(10^-3)*$B$2</f>
        <v>3409.19429214</v>
      </c>
      <c r="K9" s="25">
        <f ca="1">'Ref Data'!K20*(10^-3)*$B$2</f>
        <v>3639.6452164799998</v>
      </c>
      <c r="L9" s="25">
        <f ca="1">'Ref Data'!L20*(10^-3)*$B$2</f>
        <v>3785.2416993299998</v>
      </c>
      <c r="M9" s="25">
        <f ca="1">'Ref Data'!M20*(10^-3)*$B$2</f>
        <v>3700.40569353</v>
      </c>
      <c r="N9" s="25">
        <f ca="1">'Ref Data'!N20*(10^-3)*$B$2</f>
        <v>3694.0733329499999</v>
      </c>
      <c r="O9" s="25">
        <f ca="1">'Ref Data'!O20*(10^-3)*$B$2</f>
        <v>3752.2246179600002</v>
      </c>
      <c r="P9" s="25">
        <f ca="1">'Ref Data'!P20*(10^-3)*$B$2</f>
        <v>3752.1378967799997</v>
      </c>
      <c r="Q9" s="25">
        <f ca="1">'Ref Data'!Q20*(10^-3)*$B$2</f>
        <v>3764.6295905399998</v>
      </c>
    </row>
    <row r="10" spans="1:17" x14ac:dyDescent="0.2">
      <c r="A10" s="20" t="s">
        <v>23</v>
      </c>
      <c r="B10" s="20" t="s">
        <v>22</v>
      </c>
      <c r="G10" s="25">
        <f ca="1">SUM(G26:G28)</f>
        <v>716.00806204788205</v>
      </c>
      <c r="H10" s="25">
        <f t="shared" ref="H10:Q10" ca="1" si="0">SUM(H26:H28)</f>
        <v>932.47592716186512</v>
      </c>
      <c r="I10" s="25">
        <f ca="1">SUM(I26:I28)</f>
        <v>1843.2864807879637</v>
      </c>
      <c r="J10" s="25">
        <f t="shared" ca="1" si="0"/>
        <v>2308.0642420605468</v>
      </c>
      <c r="K10" s="25">
        <f t="shared" ca="1" si="0"/>
        <v>2805.9237083413695</v>
      </c>
      <c r="L10" s="25">
        <f t="shared" ca="1" si="0"/>
        <v>3307.0264579769896</v>
      </c>
      <c r="M10" s="25">
        <f t="shared" ca="1" si="0"/>
        <v>3799.8763423036194</v>
      </c>
      <c r="N10" s="25">
        <f t="shared" ca="1" si="0"/>
        <v>4346.41192185196</v>
      </c>
      <c r="O10" s="25">
        <f t="shared" ca="1" si="0"/>
        <v>4964.1924683139032</v>
      </c>
      <c r="P10" s="25">
        <f t="shared" ca="1" si="0"/>
        <v>5519.3775088417042</v>
      </c>
      <c r="Q10" s="25">
        <f t="shared" ca="1" si="0"/>
        <v>5901.8834480067435</v>
      </c>
    </row>
    <row r="11" spans="1:17" x14ac:dyDescent="0.2">
      <c r="A11" s="20" t="s">
        <v>112</v>
      </c>
      <c r="B11" s="20"/>
      <c r="G11" s="25">
        <f ca="1">SUM(G8:G10)</f>
        <v>12099.049023908881</v>
      </c>
      <c r="H11" s="25">
        <f t="shared" ref="H11:Q11" ca="1" si="1">SUM(H8:H10)</f>
        <v>13334.865283349865</v>
      </c>
      <c r="I11" s="25">
        <f t="shared" ca="1" si="1"/>
        <v>15939.739666737963</v>
      </c>
      <c r="J11" s="25">
        <f t="shared" ca="1" si="1"/>
        <v>17764.204882630547</v>
      </c>
      <c r="K11" s="25">
        <f t="shared" ca="1" si="1"/>
        <v>19034.724456361368</v>
      </c>
      <c r="L11" s="25">
        <f t="shared" ca="1" si="1"/>
        <v>20008.051564016991</v>
      </c>
      <c r="M11" s="25">
        <f t="shared" ca="1" si="1"/>
        <v>20259.763970473618</v>
      </c>
      <c r="N11" s="25">
        <f t="shared" ca="1" si="1"/>
        <v>20824.77049869196</v>
      </c>
      <c r="O11" s="25">
        <f t="shared" ca="1" si="1"/>
        <v>21596.722674423901</v>
      </c>
      <c r="P11" s="25">
        <f t="shared" ca="1" si="1"/>
        <v>22235.638491831705</v>
      </c>
      <c r="Q11" s="25">
        <f t="shared" ca="1" si="1"/>
        <v>23179.844151206744</v>
      </c>
    </row>
    <row r="13" spans="1:17" x14ac:dyDescent="0.2">
      <c r="A13" t="s">
        <v>38</v>
      </c>
    </row>
    <row r="14" spans="1:17" x14ac:dyDescent="0.2">
      <c r="A14" s="26" t="s">
        <v>26</v>
      </c>
      <c r="B14" t="s">
        <v>24</v>
      </c>
      <c r="G14" s="25">
        <f ca="1">'Int Data'!G14*$B$1</f>
        <v>8901.2187927246086</v>
      </c>
      <c r="H14" s="25">
        <f ca="1">'Int Data'!H14*$B$1</f>
        <v>9759.8326080322258</v>
      </c>
      <c r="I14" s="25">
        <f ca="1">'Int Data'!I14*$B$1</f>
        <v>8374.7289001464833</v>
      </c>
      <c r="J14" s="25">
        <f ca="1">'Int Data'!J14*$B$1</f>
        <v>5636.3049041748045</v>
      </c>
      <c r="K14" s="25">
        <f ca="1">'Int Data'!K14*$B$1</f>
        <v>3948.0202880859374</v>
      </c>
      <c r="L14" s="25">
        <f ca="1">'Int Data'!L14*$B$1</f>
        <v>2979.0614959716795</v>
      </c>
      <c r="M14" s="25">
        <f ca="1">'Int Data'!M14*$B$1</f>
        <v>2395.8844024658201</v>
      </c>
      <c r="N14" s="25">
        <f ca="1">'Int Data'!N14*$B$1</f>
        <v>1916.8867927551269</v>
      </c>
      <c r="O14" s="25">
        <f ca="1">'Int Data'!O14*$B$1</f>
        <v>1544.6935512542723</v>
      </c>
      <c r="P14" s="25">
        <f ca="1">'Int Data'!P14*$B$1</f>
        <v>1223.4445449829102</v>
      </c>
      <c r="Q14" s="25">
        <f ca="1">'Int Data'!Q14*$B$1</f>
        <v>935.04645195007322</v>
      </c>
    </row>
    <row r="15" spans="1:17" x14ac:dyDescent="0.2">
      <c r="A15" s="26" t="s">
        <v>21</v>
      </c>
      <c r="B15" t="s">
        <v>24</v>
      </c>
      <c r="G15" s="25">
        <f ca="1">'Int Data'!G20*(10^-3)*$B$2</f>
        <v>2500.8837781265347</v>
      </c>
      <c r="H15" s="25">
        <f ca="1">'Int Data'!H20*(10^-3)*$B$2</f>
        <v>2683.2770661627283</v>
      </c>
      <c r="I15" s="25">
        <f ca="1">'Int Data'!I20*(10^-3)*$B$2</f>
        <v>2449.6247717928577</v>
      </c>
      <c r="J15" s="25">
        <f ca="1">'Int Data'!J20*(10^-3)*$B$2</f>
        <v>1935.471204550269</v>
      </c>
      <c r="K15" s="25">
        <f ca="1">'Int Data'!K20*(10^-3)*$B$2</f>
        <v>1555.7775068999158</v>
      </c>
      <c r="L15" s="25">
        <f ca="1">'Int Data'!L20*(10^-3)*$B$2</f>
        <v>1307.82880848121</v>
      </c>
      <c r="M15" s="25">
        <f ca="1">'Int Data'!M20*(10^-3)*$B$2</f>
        <v>1195.3025065099459</v>
      </c>
      <c r="N15" s="25">
        <f ca="1">'Int Data'!N20*(10^-3)*$B$2</f>
        <v>1072.3460373051983</v>
      </c>
      <c r="O15" s="25">
        <f ca="1">'Int Data'!O20*(10^-3)*$B$2</f>
        <v>973.69782248835224</v>
      </c>
      <c r="P15" s="25">
        <f ca="1">'Int Data'!P20*(10^-3)*$B$2</f>
        <v>893.53965429732307</v>
      </c>
      <c r="Q15" s="25">
        <f ca="1">'Int Data'!Q20*(10^-3)*$B$2</f>
        <v>828.03132289429061</v>
      </c>
    </row>
    <row r="16" spans="1:17" x14ac:dyDescent="0.2">
      <c r="A16" s="20" t="s">
        <v>23</v>
      </c>
      <c r="B16" s="20" t="s">
        <v>22</v>
      </c>
      <c r="G16" s="25">
        <f ca="1">SUM(G35:G37)</f>
        <v>716.00806200419993</v>
      </c>
      <c r="H16" s="25">
        <f t="shared" ref="H16:Q16" ca="1" si="2">SUM(H35:H37)</f>
        <v>932.47592717520001</v>
      </c>
      <c r="I16" s="25">
        <f t="shared" ca="1" si="2"/>
        <v>1315.1628329580003</v>
      </c>
      <c r="J16" s="25">
        <f t="shared" ca="1" si="2"/>
        <v>305.08214273784</v>
      </c>
      <c r="K16" s="25">
        <f t="shared" ca="1" si="2"/>
        <v>183.74736182129999</v>
      </c>
      <c r="L16" s="25">
        <f t="shared" ca="1" si="2"/>
        <v>177.90746247936002</v>
      </c>
      <c r="M16" s="25">
        <f t="shared" ca="1" si="2"/>
        <v>181.19765880558003</v>
      </c>
      <c r="N16" s="25">
        <f t="shared" ca="1" si="2"/>
        <v>189.81763809102</v>
      </c>
      <c r="O16" s="25">
        <f t="shared" ca="1" si="2"/>
        <v>190.63521173843998</v>
      </c>
      <c r="P16" s="25">
        <f t="shared" ca="1" si="2"/>
        <v>190.60874161254</v>
      </c>
      <c r="Q16" s="25">
        <f t="shared" ca="1" si="2"/>
        <v>190.70078779602002</v>
      </c>
    </row>
    <row r="17" spans="1:17" x14ac:dyDescent="0.2">
      <c r="A17" t="s">
        <v>112</v>
      </c>
      <c r="G17" s="25">
        <f ca="1">SUM(G14:G16)</f>
        <v>12118.110632855343</v>
      </c>
      <c r="H17" s="25">
        <f t="shared" ref="H17:Q17" ca="1" si="3">SUM(H14:H16)</f>
        <v>13375.585601370156</v>
      </c>
      <c r="I17" s="25">
        <f t="shared" ca="1" si="3"/>
        <v>12139.516504897341</v>
      </c>
      <c r="J17" s="25">
        <f t="shared" ca="1" si="3"/>
        <v>7876.8582514629134</v>
      </c>
      <c r="K17" s="25">
        <f t="shared" ca="1" si="3"/>
        <v>5687.545156807153</v>
      </c>
      <c r="L17" s="25">
        <f t="shared" ca="1" si="3"/>
        <v>4464.7977669322499</v>
      </c>
      <c r="M17" s="25">
        <f t="shared" ca="1" si="3"/>
        <v>3772.384567781346</v>
      </c>
      <c r="N17" s="25">
        <f t="shared" ca="1" si="3"/>
        <v>3179.0504681513448</v>
      </c>
      <c r="O17" s="25">
        <f t="shared" ca="1" si="3"/>
        <v>2709.0265854810646</v>
      </c>
      <c r="P17" s="25">
        <f t="shared" ca="1" si="3"/>
        <v>2307.5929408927732</v>
      </c>
      <c r="Q17" s="25">
        <f t="shared" ca="1" si="3"/>
        <v>1953.7785626403838</v>
      </c>
    </row>
    <row r="20" spans="1:17" x14ac:dyDescent="0.2">
      <c r="A20" s="21" t="s">
        <v>492</v>
      </c>
    </row>
    <row r="21" spans="1:17" x14ac:dyDescent="0.2">
      <c r="A21" t="s">
        <v>37</v>
      </c>
      <c r="B21" s="243"/>
    </row>
    <row r="22" spans="1:17" x14ac:dyDescent="0.2">
      <c r="A22" s="265" t="s">
        <v>468</v>
      </c>
      <c r="B22" s="265" t="s">
        <v>469</v>
      </c>
      <c r="G22" s="25">
        <f ca="1">'Ref Data'!G37</f>
        <v>290.04389364624024</v>
      </c>
      <c r="H22" s="25">
        <f ca="1">'Ref Data'!H37</f>
        <v>396.79837426757808</v>
      </c>
      <c r="I22" s="25">
        <f ca="1">'Ref Data'!I37</f>
        <v>927.09073095703116</v>
      </c>
      <c r="J22" s="25">
        <f ca="1">'Ref Data'!J37</f>
        <v>1255.4633876953123</v>
      </c>
      <c r="K22" s="25">
        <f ca="1">'Ref Data'!K37</f>
        <v>1595.4535063476562</v>
      </c>
      <c r="L22" s="25">
        <f ca="1">'Ref Data'!L37</f>
        <v>1929.9403652343749</v>
      </c>
      <c r="M22" s="25">
        <f ca="1">'Ref Data'!M37</f>
        <v>2248.7633781738282</v>
      </c>
      <c r="N22" s="25">
        <f ca="1">'Ref Data'!N37</f>
        <v>2598.1130317382813</v>
      </c>
      <c r="O22" s="25">
        <f ca="1">'Ref Data'!O37</f>
        <v>2998.5659677734375</v>
      </c>
      <c r="P22" s="25">
        <f ca="1">'Ref Data'!P37</f>
        <v>3362.2719140624999</v>
      </c>
      <c r="Q22" s="25">
        <f ca="1">'Ref Data'!Q37</f>
        <v>3605.5406381835937</v>
      </c>
    </row>
    <row r="23" spans="1:17" x14ac:dyDescent="0.2">
      <c r="A23" s="265" t="s">
        <v>488</v>
      </c>
      <c r="B23" s="265" t="s">
        <v>471</v>
      </c>
      <c r="G23" s="25">
        <f ca="1">'Ref Data'!G38</f>
        <v>15.615990486145021</v>
      </c>
      <c r="H23" s="25">
        <f ca="1">'Ref Data'!H38</f>
        <v>21.531364974975588</v>
      </c>
      <c r="I23" s="25">
        <f ca="1">'Ref Data'!I38</f>
        <v>32.175522537231444</v>
      </c>
      <c r="J23" s="25">
        <f ca="1">'Ref Data'!J38</f>
        <v>24.915504913330079</v>
      </c>
      <c r="K23" s="25">
        <f ca="1">'Ref Data'!K38</f>
        <v>20.269089431762698</v>
      </c>
      <c r="L23" s="25">
        <f ca="1">'Ref Data'!L38</f>
        <v>17.295389785766602</v>
      </c>
      <c r="M23" s="25">
        <f ca="1">'Ref Data'!M38</f>
        <v>15.392227821350099</v>
      </c>
      <c r="N23" s="25">
        <f ca="1">'Ref Data'!N38</f>
        <v>14.174203834533692</v>
      </c>
      <c r="O23" s="25">
        <f ca="1">'Ref Data'!O38</f>
        <v>13.394665145874024</v>
      </c>
      <c r="P23" s="25">
        <f ca="1">'Ref Data'!P38</f>
        <v>12.008823280334473</v>
      </c>
      <c r="Q23" s="25">
        <f ca="1">'Ref Data'!Q38</f>
        <v>12.008823280334473</v>
      </c>
    </row>
    <row r="24" spans="1:17" x14ac:dyDescent="0.2">
      <c r="A24" s="265" t="s">
        <v>472</v>
      </c>
      <c r="B24" s="265" t="s">
        <v>473</v>
      </c>
      <c r="G24" s="25">
        <f ca="1">'Ref Data'!G39</f>
        <v>6.2299561500549316</v>
      </c>
      <c r="H24" s="25">
        <f ca="1">'Ref Data'!H39</f>
        <v>6.6060690879821777</v>
      </c>
      <c r="I24" s="25">
        <f ca="1">'Ref Data'!I39</f>
        <v>7.4358057975769043</v>
      </c>
      <c r="J24" s="25">
        <f ca="1">'Ref Data'!J39</f>
        <v>8.0686044692993164</v>
      </c>
      <c r="K24" s="25">
        <f ca="1">'Ref Data'!K39</f>
        <v>8.5434112548828125</v>
      </c>
      <c r="L24" s="25">
        <f ca="1">'Ref Data'!L39</f>
        <v>8.9911794662475586</v>
      </c>
      <c r="M24" s="25">
        <f ca="1">'Ref Data'!M39</f>
        <v>9.748957633972168</v>
      </c>
      <c r="N24" s="25">
        <f ca="1">'Ref Data'!N39</f>
        <v>10.583069801330566</v>
      </c>
      <c r="O24" s="25">
        <f ca="1">'Ref Data'!O39</f>
        <v>11.013250350952148</v>
      </c>
      <c r="P24" s="25">
        <f ca="1">'Ref Data'!P39</f>
        <v>11.368109703063965</v>
      </c>
      <c r="Q24" s="25">
        <f ca="1">'Ref Data'!Q39</f>
        <v>11.777029991149902</v>
      </c>
    </row>
    <row r="26" spans="1:17" x14ac:dyDescent="0.2">
      <c r="A26" s="265" t="s">
        <v>468</v>
      </c>
      <c r="B26" s="265" t="s">
        <v>22</v>
      </c>
      <c r="G26" s="25">
        <f t="shared" ref="G26:Q26" ca="1" si="4">G22*$B3/1000</f>
        <v>443.76715727874756</v>
      </c>
      <c r="H26" s="25">
        <f t="shared" ca="1" si="4"/>
        <v>607.10151262939439</v>
      </c>
      <c r="I26" s="25">
        <f t="shared" ca="1" si="4"/>
        <v>1418.4488183642577</v>
      </c>
      <c r="J26" s="25">
        <f t="shared" ca="1" si="4"/>
        <v>1920.8589831738279</v>
      </c>
      <c r="K26" s="25">
        <f t="shared" ca="1" si="4"/>
        <v>2441.043864711914</v>
      </c>
      <c r="L26" s="25">
        <f t="shared" ca="1" si="4"/>
        <v>2952.8087588085937</v>
      </c>
      <c r="M26" s="25">
        <f t="shared" ca="1" si="4"/>
        <v>3440.607968605957</v>
      </c>
      <c r="N26" s="25">
        <f t="shared" ca="1" si="4"/>
        <v>3975.1129385595705</v>
      </c>
      <c r="O26" s="25">
        <f t="shared" ca="1" si="4"/>
        <v>4587.8059306933592</v>
      </c>
      <c r="P26" s="25">
        <f t="shared" ca="1" si="4"/>
        <v>5144.2760285156246</v>
      </c>
      <c r="Q26" s="25">
        <f t="shared" ca="1" si="4"/>
        <v>5516.4771764208981</v>
      </c>
    </row>
    <row r="27" spans="1:17" x14ac:dyDescent="0.2">
      <c r="A27" s="265" t="s">
        <v>488</v>
      </c>
      <c r="B27" s="265" t="s">
        <v>22</v>
      </c>
      <c r="G27" s="25">
        <f t="shared" ref="G27:Q27" ca="1" si="5">G23*$B4/1000</f>
        <v>115.24600978775025</v>
      </c>
      <c r="H27" s="25">
        <f t="shared" ca="1" si="5"/>
        <v>158.90147351531985</v>
      </c>
      <c r="I27" s="25">
        <f t="shared" ca="1" si="5"/>
        <v>237.45535632476808</v>
      </c>
      <c r="J27" s="25">
        <f t="shared" ca="1" si="5"/>
        <v>183.87642626037598</v>
      </c>
      <c r="K27" s="25">
        <f t="shared" ca="1" si="5"/>
        <v>149.5858800064087</v>
      </c>
      <c r="L27" s="25">
        <f t="shared" ca="1" si="5"/>
        <v>127.63997661895752</v>
      </c>
      <c r="M27" s="25">
        <f t="shared" ca="1" si="5"/>
        <v>113.59464132156373</v>
      </c>
      <c r="N27" s="25">
        <f t="shared" ca="1" si="5"/>
        <v>104.60562429885864</v>
      </c>
      <c r="O27" s="25">
        <f t="shared" ca="1" si="5"/>
        <v>98.85262877655029</v>
      </c>
      <c r="P27" s="25">
        <f t="shared" ca="1" si="5"/>
        <v>88.625115808868415</v>
      </c>
      <c r="Q27" s="25">
        <f t="shared" ca="1" si="5"/>
        <v>88.625115808868415</v>
      </c>
    </row>
    <row r="28" spans="1:17" x14ac:dyDescent="0.2">
      <c r="A28" s="265" t="s">
        <v>472</v>
      </c>
      <c r="B28" s="265" t="s">
        <v>22</v>
      </c>
      <c r="G28" s="25">
        <f t="shared" ref="G28:Q28" ca="1" si="6">G24*$B5/1000</f>
        <v>156.99489498138428</v>
      </c>
      <c r="H28" s="25">
        <f t="shared" ca="1" si="6"/>
        <v>166.47294101715087</v>
      </c>
      <c r="I28" s="25">
        <f t="shared" ca="1" si="6"/>
        <v>187.38230609893799</v>
      </c>
      <c r="J28" s="25">
        <f t="shared" ca="1" si="6"/>
        <v>203.32883262634277</v>
      </c>
      <c r="K28" s="25">
        <f t="shared" ca="1" si="6"/>
        <v>215.29396362304686</v>
      </c>
      <c r="L28" s="25">
        <f t="shared" ca="1" si="6"/>
        <v>226.57772254943848</v>
      </c>
      <c r="M28" s="25">
        <f t="shared" ca="1" si="6"/>
        <v>245.67373237609863</v>
      </c>
      <c r="N28" s="25">
        <f t="shared" ca="1" si="6"/>
        <v>266.6933589935303</v>
      </c>
      <c r="O28" s="25">
        <f t="shared" ca="1" si="6"/>
        <v>277.53390884399414</v>
      </c>
      <c r="P28" s="25">
        <f t="shared" ca="1" si="6"/>
        <v>286.47636451721189</v>
      </c>
      <c r="Q28" s="25">
        <f t="shared" ca="1" si="6"/>
        <v>296.78115577697753</v>
      </c>
    </row>
    <row r="30" spans="1:17" x14ac:dyDescent="0.2">
      <c r="A30" t="s">
        <v>38</v>
      </c>
    </row>
    <row r="31" spans="1:17" x14ac:dyDescent="0.2">
      <c r="A31" s="265" t="s">
        <v>468</v>
      </c>
      <c r="B31" s="265" t="s">
        <v>469</v>
      </c>
      <c r="G31" s="25">
        <f ca="1">'Int Data'!G37</f>
        <v>290.04389359999999</v>
      </c>
      <c r="H31" s="25">
        <f ca="1">'Int Data'!H37</f>
        <v>396.79837429999998</v>
      </c>
      <c r="I31" s="25">
        <f ca="1">'Int Data'!I37</f>
        <v>683.75276389999999</v>
      </c>
      <c r="J31" s="25">
        <f ca="1">'Int Data'!J37</f>
        <v>124.937376</v>
      </c>
      <c r="K31" s="25">
        <f ca="1">'Int Data'!K37</f>
        <v>60.681841509999998</v>
      </c>
      <c r="L31" s="25">
        <f ca="1">'Int Data'!L37</f>
        <v>71.076768040000005</v>
      </c>
      <c r="M31" s="25">
        <f ca="1">'Int Data'!M37</f>
        <v>80.232269740000007</v>
      </c>
      <c r="N31" s="25">
        <f ca="1">'Int Data'!N37</f>
        <v>89.804999859999995</v>
      </c>
      <c r="O31" s="25">
        <f ca="1">'Int Data'!O37</f>
        <v>94.967953629999997</v>
      </c>
      <c r="P31" s="25">
        <f ca="1">'Int Data'!P37</f>
        <v>99.826566790000001</v>
      </c>
      <c r="Q31" s="25">
        <f ca="1">'Int Data'!Q37</f>
        <v>104.55012840000001</v>
      </c>
    </row>
    <row r="32" spans="1:17" x14ac:dyDescent="0.2">
      <c r="A32" s="20" t="s">
        <v>470</v>
      </c>
      <c r="B32" s="265" t="s">
        <v>471</v>
      </c>
      <c r="G32" s="25">
        <f ca="1">'Int Data'!G38</f>
        <v>15.61599049</v>
      </c>
      <c r="H32" s="25">
        <f ca="1">'Int Data'!H38</f>
        <v>21.531364969999998</v>
      </c>
      <c r="I32" s="25">
        <f ca="1">'Int Data'!I38</f>
        <v>23.500637510000001</v>
      </c>
      <c r="J32" s="25">
        <f ca="1">'Int Data'!J38</f>
        <v>7.9309986879999999</v>
      </c>
      <c r="K32" s="25">
        <f ca="1">'Int Data'!K38</f>
        <v>5.5999055100000001</v>
      </c>
      <c r="L32" s="25">
        <f ca="1">'Int Data'!L38</f>
        <v>3.7801835920000002</v>
      </c>
      <c r="M32" s="25">
        <f ca="1">'Int Data'!M38</f>
        <v>2.8038905810000001</v>
      </c>
      <c r="N32" s="25">
        <f ca="1">'Int Data'!N38</f>
        <v>2.2508874890000001</v>
      </c>
      <c r="O32" s="25">
        <f ca="1">'Int Data'!O38</f>
        <v>1.835669303</v>
      </c>
      <c r="P32" s="25">
        <f ca="1">'Int Data'!P38</f>
        <v>1.451285148</v>
      </c>
      <c r="Q32" s="25">
        <f ca="1">'Int Data'!Q38</f>
        <v>1.1943981889999999</v>
      </c>
    </row>
    <row r="33" spans="1:17" x14ac:dyDescent="0.2">
      <c r="A33" s="265" t="s">
        <v>472</v>
      </c>
      <c r="B33" s="265" t="s">
        <v>473</v>
      </c>
      <c r="G33" s="25">
        <f ca="1">'Int Data'!G39</f>
        <v>6.2299561499999996</v>
      </c>
      <c r="H33" s="25">
        <f ca="1">'Int Data'!H39</f>
        <v>6.6060690879999999</v>
      </c>
      <c r="I33" s="25">
        <f ca="1">'Int Data'!I39</f>
        <v>3.7931110860000001</v>
      </c>
      <c r="J33" s="25">
        <f ca="1">'Int Data'!J39</f>
        <v>2.198301077</v>
      </c>
      <c r="K33" s="25">
        <f ca="1">'Int Data'!K39</f>
        <v>1.967334986</v>
      </c>
      <c r="L33" s="25">
        <f ca="1">'Int Data'!L39</f>
        <v>1.6373909710000001</v>
      </c>
      <c r="M33" s="25">
        <f ca="1">'Int Data'!M39</f>
        <v>1.497998953</v>
      </c>
      <c r="N33" s="25">
        <f ca="1">'Int Data'!N39</f>
        <v>1.4208110570000001</v>
      </c>
      <c r="O33" s="25">
        <f ca="1">'Int Data'!O39</f>
        <v>1.2613890169999999</v>
      </c>
      <c r="P33" s="25">
        <f ca="1">'Int Data'!P39</f>
        <v>1.077921033</v>
      </c>
      <c r="Q33" s="25">
        <f ca="1">'Int Data'!Q39</f>
        <v>0.87001717099999998</v>
      </c>
    </row>
    <row r="34" spans="1:17" x14ac:dyDescent="0.2">
      <c r="A34" s="255"/>
    </row>
    <row r="35" spans="1:17" x14ac:dyDescent="0.2">
      <c r="A35" s="265" t="s">
        <v>468</v>
      </c>
      <c r="B35" s="265" t="s">
        <v>22</v>
      </c>
      <c r="G35" s="25">
        <f t="shared" ref="G35:Q35" ca="1" si="7">G31*$B3/1000</f>
        <v>443.76715720799996</v>
      </c>
      <c r="H35" s="25">
        <f t="shared" ca="1" si="7"/>
        <v>607.10151267899994</v>
      </c>
      <c r="I35" s="25">
        <f t="shared" ca="1" si="7"/>
        <v>1046.1417287670001</v>
      </c>
      <c r="J35" s="25">
        <f t="shared" ca="1" si="7"/>
        <v>191.15418528000001</v>
      </c>
      <c r="K35" s="25">
        <f t="shared" ca="1" si="7"/>
        <v>92.843217510299993</v>
      </c>
      <c r="L35" s="25">
        <f t="shared" ca="1" si="7"/>
        <v>108.7474551012</v>
      </c>
      <c r="M35" s="25">
        <f t="shared" ca="1" si="7"/>
        <v>122.75537270220001</v>
      </c>
      <c r="N35" s="25">
        <f t="shared" ca="1" si="7"/>
        <v>137.4016497858</v>
      </c>
      <c r="O35" s="25">
        <f t="shared" ca="1" si="7"/>
        <v>145.30096905389999</v>
      </c>
      <c r="P35" s="25">
        <f t="shared" ca="1" si="7"/>
        <v>152.7346471887</v>
      </c>
      <c r="Q35" s="25">
        <f t="shared" ca="1" si="7"/>
        <v>159.96169645200001</v>
      </c>
    </row>
    <row r="36" spans="1:17" x14ac:dyDescent="0.2">
      <c r="A36" s="265" t="s">
        <v>488</v>
      </c>
      <c r="B36" s="265" t="s">
        <v>22</v>
      </c>
      <c r="G36" s="25">
        <f t="shared" ref="G36:Q36" ca="1" si="8">G32*$B4/1000</f>
        <v>115.24600981619999</v>
      </c>
      <c r="H36" s="25">
        <f t="shared" ca="1" si="8"/>
        <v>158.90147347859997</v>
      </c>
      <c r="I36" s="25">
        <f t="shared" ca="1" si="8"/>
        <v>173.43470482380002</v>
      </c>
      <c r="J36" s="25">
        <f t="shared" ca="1" si="8"/>
        <v>58.530770317440002</v>
      </c>
      <c r="K36" s="25">
        <f t="shared" ca="1" si="8"/>
        <v>41.327302663799998</v>
      </c>
      <c r="L36" s="25">
        <f t="shared" ca="1" si="8"/>
        <v>27.89775490896</v>
      </c>
      <c r="M36" s="25">
        <f t="shared" ca="1" si="8"/>
        <v>20.692712487780003</v>
      </c>
      <c r="N36" s="25">
        <f t="shared" ca="1" si="8"/>
        <v>16.61154966882</v>
      </c>
      <c r="O36" s="25">
        <f t="shared" ca="1" si="8"/>
        <v>13.54723945614</v>
      </c>
      <c r="P36" s="25">
        <f t="shared" ca="1" si="8"/>
        <v>10.71048439224</v>
      </c>
      <c r="Q36" s="25">
        <f t="shared" ca="1" si="8"/>
        <v>8.8146586348200007</v>
      </c>
    </row>
    <row r="37" spans="1:17" x14ac:dyDescent="0.2">
      <c r="A37" s="265" t="s">
        <v>472</v>
      </c>
      <c r="B37" s="265" t="s">
        <v>22</v>
      </c>
      <c r="G37" s="25">
        <f t="shared" ref="G37:Q37" ca="1" si="9">G33*$B5/1000</f>
        <v>156.99489497999997</v>
      </c>
      <c r="H37" s="25">
        <f t="shared" ca="1" si="9"/>
        <v>166.47294101760002</v>
      </c>
      <c r="I37" s="25">
        <f t="shared" ca="1" si="9"/>
        <v>95.586399367200002</v>
      </c>
      <c r="J37" s="25">
        <f t="shared" ca="1" si="9"/>
        <v>55.3971871404</v>
      </c>
      <c r="K37" s="25">
        <f t="shared" ca="1" si="9"/>
        <v>49.576841647200006</v>
      </c>
      <c r="L37" s="25">
        <f t="shared" ca="1" si="9"/>
        <v>41.2622524692</v>
      </c>
      <c r="M37" s="25">
        <f t="shared" ca="1" si="9"/>
        <v>37.749573615599999</v>
      </c>
      <c r="N37" s="25">
        <f t="shared" ca="1" si="9"/>
        <v>35.8044386364</v>
      </c>
      <c r="O37" s="25">
        <f t="shared" ca="1" si="9"/>
        <v>31.787003228399996</v>
      </c>
      <c r="P37" s="25">
        <f t="shared" ca="1" si="9"/>
        <v>27.163610031600001</v>
      </c>
      <c r="Q37" s="25">
        <f t="shared" ca="1" si="9"/>
        <v>21.924432709199998</v>
      </c>
    </row>
  </sheetData>
  <pageMargins left="0.7" right="0.7" top="0.75" bottom="0.75" header="0.3" footer="0.3"/>
  <pageSetup orientation="portrait" horizontalDpi="0" verticalDpi="0"/>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DF81C7-0E2E-A647-A754-9898C98DE61B}">
  <sheetPr codeName="Sheet20"/>
  <dimension ref="A2:M245"/>
  <sheetViews>
    <sheetView topLeftCell="A29" zoomScale="125" zoomScaleNormal="125" zoomScalePageLayoutView="125" workbookViewId="0">
      <selection activeCell="C41" sqref="C41"/>
    </sheetView>
  </sheetViews>
  <sheetFormatPr baseColWidth="10" defaultRowHeight="13" x14ac:dyDescent="0.15"/>
  <cols>
    <col min="1" max="1" width="25.33203125" style="1" customWidth="1"/>
    <col min="2" max="2" width="30.1640625" style="46" customWidth="1"/>
    <col min="3" max="13" width="10.83203125" style="46"/>
    <col min="14" max="16384" width="10.83203125" style="1"/>
  </cols>
  <sheetData>
    <row r="2" spans="1:11" s="186" customFormat="1" ht="16" x14ac:dyDescent="0.2">
      <c r="A2" s="187" t="s">
        <v>38</v>
      </c>
      <c r="B2" s="188">
        <f>'Int Data'!H13</f>
        <v>2010</v>
      </c>
      <c r="C2" s="188">
        <f>'Int Data'!I13</f>
        <v>2020</v>
      </c>
      <c r="D2" s="188">
        <f>'Int Data'!J13</f>
        <v>2030</v>
      </c>
      <c r="E2" s="188">
        <f>'Int Data'!K13</f>
        <v>2040</v>
      </c>
      <c r="F2" s="188">
        <f>'Int Data'!L13</f>
        <v>2050</v>
      </c>
      <c r="G2" s="188">
        <f>'Int Data'!M13</f>
        <v>2060</v>
      </c>
      <c r="H2" s="188">
        <f>'Int Data'!N13</f>
        <v>2070</v>
      </c>
      <c r="I2" s="188">
        <f>'Int Data'!O13</f>
        <v>2080</v>
      </c>
      <c r="J2" s="188">
        <f>'Int Data'!P13</f>
        <v>2090</v>
      </c>
      <c r="K2" s="188">
        <f>'Int Data'!Q13</f>
        <v>2100</v>
      </c>
    </row>
    <row r="5" spans="1:11" x14ac:dyDescent="0.15">
      <c r="A5" s="1" t="s">
        <v>54</v>
      </c>
      <c r="B5" s="46">
        <f ca="1">ExpKayaFactorsInt!E8</f>
        <v>30.597844759623207</v>
      </c>
      <c r="C5" s="46">
        <f ca="1">ExpKayaFactorsInt!F8</f>
        <v>29.128967761993408</v>
      </c>
      <c r="D5" s="46">
        <f ca="1">ExpKayaFactorsInt!G8</f>
        <v>18.847594581065653</v>
      </c>
      <c r="E5" s="46">
        <f ca="1">ExpKayaFactorsInt!H8</f>
        <v>9.1376930535379106</v>
      </c>
      <c r="F5" s="46">
        <f ca="1">ExpKayaFactorsInt!I8</f>
        <v>5.6197562094130271</v>
      </c>
      <c r="G5" s="46">
        <f ca="1">ExpKayaFactorsInt!J8</f>
        <v>4.3530673105136266</v>
      </c>
      <c r="H5" s="46">
        <f ca="1">ExpKayaFactorsInt!K8</f>
        <v>3.6279843954183288</v>
      </c>
      <c r="I5" s="46">
        <f ca="1">ExpKayaFactorsInt!L8</f>
        <v>3.0518660400685649</v>
      </c>
      <c r="J5" s="46">
        <f ca="1">ExpKayaFactorsInt!M8</f>
        <v>2.8461342476017908</v>
      </c>
      <c r="K5" s="46">
        <f ca="1">ExpKayaFactorsInt!N8</f>
        <v>3.0131356737814112</v>
      </c>
    </row>
    <row r="8" spans="1:11" x14ac:dyDescent="0.15">
      <c r="A8" s="1" t="s">
        <v>332</v>
      </c>
      <c r="B8" s="46">
        <f ca="1">IndustryEmissionsAccountingInt!E6*10^-3</f>
        <v>1.6191182434558868</v>
      </c>
      <c r="C8" s="46">
        <f ca="1">IndustryEmissionsAccountingInt!F6*10^-3</f>
        <v>1.5973499715328217</v>
      </c>
      <c r="D8" s="46">
        <f ca="1">IndustryEmissionsAccountingInt!G6*10^-3</f>
        <v>1.0346255103747048</v>
      </c>
      <c r="E8" s="46">
        <f ca="1">IndustryEmissionsAccountingInt!H6*10^-3</f>
        <v>0.37991800904273987</v>
      </c>
      <c r="F8" s="46">
        <f ca="1">IndustryEmissionsAccountingInt!I6*10^-3</f>
        <v>0.29163538167874015</v>
      </c>
      <c r="G8" s="46">
        <f ca="1">IndustryEmissionsAccountingInt!J6*10^-3</f>
        <v>0.25273287047942478</v>
      </c>
      <c r="H8" s="46">
        <f ca="1">IndustryEmissionsAccountingInt!K6*10^-3</f>
        <v>0.26527233421802521</v>
      </c>
      <c r="I8" s="46">
        <f ca="1">IndustryEmissionsAccountingInt!L6*10^-3</f>
        <v>0.28689598043759662</v>
      </c>
      <c r="J8" s="46">
        <f ca="1">IndustryEmissionsAccountingInt!M6*10^-3</f>
        <v>0.28421726326147712</v>
      </c>
      <c r="K8" s="46">
        <f ca="1">IndustryEmissionsAccountingInt!N6*10^-3</f>
        <v>0.28882528841495514</v>
      </c>
    </row>
    <row r="11" spans="1:11" x14ac:dyDescent="0.15">
      <c r="A11" s="1" t="s">
        <v>109</v>
      </c>
      <c r="B11" s="46">
        <f ca="1">OtherGases!H17*10^-3</f>
        <v>13.375585601370156</v>
      </c>
      <c r="C11" s="46">
        <f ca="1">OtherGases!I17*10^-3</f>
        <v>12.139516504897342</v>
      </c>
      <c r="D11" s="46">
        <f ca="1">OtherGases!J17*10^-3</f>
        <v>7.876858251462914</v>
      </c>
      <c r="E11" s="46">
        <f ca="1">OtherGases!K17*10^-3</f>
        <v>5.6875451568071531</v>
      </c>
      <c r="F11" s="46">
        <f ca="1">OtherGases!L17*10^-3</f>
        <v>4.4647977669322501</v>
      </c>
      <c r="G11" s="46">
        <f ca="1">OtherGases!M17*10^-3</f>
        <v>3.7723845677813461</v>
      </c>
      <c r="H11" s="46">
        <f ca="1">OtherGases!N17*10^-3</f>
        <v>3.179050468151345</v>
      </c>
      <c r="I11" s="46">
        <f ca="1">OtherGases!O17*10^-3</f>
        <v>2.7090265854810647</v>
      </c>
      <c r="J11" s="46">
        <f ca="1">OtherGases!P17*10^-3</f>
        <v>2.3075929408927731</v>
      </c>
      <c r="K11" s="46">
        <f ca="1">OtherGases!Q17*10^-3</f>
        <v>1.9537785626403839</v>
      </c>
    </row>
    <row r="14" spans="1:11" x14ac:dyDescent="0.15">
      <c r="A14" s="1" t="s">
        <v>108</v>
      </c>
      <c r="B14" s="46">
        <f ca="1">'Int Data'!H18*10^-3</f>
        <v>3.6114053332115086</v>
      </c>
      <c r="C14" s="46">
        <f ca="1">'Int Data'!I18*10^-3</f>
        <v>3.4627944730886693</v>
      </c>
      <c r="D14" s="46">
        <f ca="1">'Int Data'!J18*10^-3</f>
        <v>-1.5784253131791401</v>
      </c>
      <c r="E14" s="46">
        <f ca="1">'Int Data'!K18*10^-3</f>
        <v>-4.6075004144724625</v>
      </c>
      <c r="F14" s="46">
        <f ca="1">'Int Data'!L18*10^-3</f>
        <v>-8.1812403954552444</v>
      </c>
      <c r="G14" s="46">
        <f ca="1">'Int Data'!M18*10^-3</f>
        <v>-7.8999466940491807</v>
      </c>
      <c r="H14" s="46">
        <f ca="1">'Int Data'!N18*10^-3</f>
        <v>-7.5273104962595703</v>
      </c>
      <c r="I14" s="46">
        <f ca="1">'Int Data'!O18*10^-3</f>
        <v>-5.4327489527535064</v>
      </c>
      <c r="J14" s="46">
        <f ca="1">'Int Data'!P18*10^-3</f>
        <v>-3.2881550295163251</v>
      </c>
      <c r="K14" s="46">
        <f ca="1">'Int Data'!Q18*10^-3</f>
        <v>-1.7846532068285519</v>
      </c>
    </row>
    <row r="17" spans="1:12" x14ac:dyDescent="0.15">
      <c r="A17" s="1" t="s">
        <v>230</v>
      </c>
      <c r="B17" s="46">
        <f ca="1">FossilEneEmissionsAccountingInt!E7*10^-3</f>
        <v>0</v>
      </c>
      <c r="C17" s="46">
        <f ca="1">FossilEneEmissionsAccountingInt!F7*10^-3</f>
        <v>3.2833179039359776E-2</v>
      </c>
      <c r="D17" s="46">
        <f ca="1">FossilEneEmissionsAccountingInt!G7*10^-3</f>
        <v>1.24340748929558</v>
      </c>
      <c r="E17" s="46">
        <f ca="1">FossilEneEmissionsAccountingInt!H7*10^-3</f>
        <v>2.4553240402199017</v>
      </c>
      <c r="F17" s="46">
        <f ca="1">FossilEneEmissionsAccountingInt!I7*10^-3</f>
        <v>3.0403081741973175</v>
      </c>
      <c r="G17" s="46">
        <f ca="1">FossilEneEmissionsAccountingInt!J7*10^-3</f>
        <v>4.3274815721368487</v>
      </c>
      <c r="H17" s="46">
        <f ca="1">FossilEneEmissionsAccountingInt!K7*10^-3</f>
        <v>6.2205216362810276</v>
      </c>
      <c r="I17" s="46">
        <f ca="1">FossilEneEmissionsAccountingInt!L7*10^-3</f>
        <v>6.2387408713609798</v>
      </c>
      <c r="J17" s="46">
        <f ca="1">FossilEneEmissionsAccountingInt!M7*10^-3</f>
        <v>5.6213702490604573</v>
      </c>
      <c r="K17" s="46">
        <f ca="1">FossilEneEmissionsAccountingInt!N7*10^-3</f>
        <v>5.7205057391948309</v>
      </c>
    </row>
    <row r="18" spans="1:12" x14ac:dyDescent="0.15">
      <c r="A18" s="1" t="s">
        <v>333</v>
      </c>
      <c r="B18" s="46">
        <f ca="1">FossilEneEmissionsAccountingInt!E6*10^-3</f>
        <v>0</v>
      </c>
      <c r="C18" s="46">
        <f ca="1">FossilEneEmissionsAccountingInt!F6*10^-3</f>
        <v>1.6969379949538656E-2</v>
      </c>
      <c r="D18" s="46">
        <f ca="1">FossilEneEmissionsAccountingInt!G6*10^-3</f>
        <v>0.72202643627921737</v>
      </c>
      <c r="E18" s="46">
        <f ca="1">FossilEneEmissionsAccountingInt!H6*10^-3</f>
        <v>1.4175688984493413</v>
      </c>
      <c r="F18" s="46">
        <f ca="1">FossilEneEmissionsAccountingInt!I6*10^-3</f>
        <v>1.381148077857991</v>
      </c>
      <c r="G18" s="46">
        <f ca="1">FossilEneEmissionsAccountingInt!J6*10^-3</f>
        <v>1.2317259939057597</v>
      </c>
      <c r="H18" s="46">
        <f ca="1">FossilEneEmissionsAccountingInt!K6*10^-3</f>
        <v>1.436496980239705</v>
      </c>
      <c r="I18" s="46">
        <f ca="1">FossilEneEmissionsAccountingInt!L6*10^-3</f>
        <v>1.6990205631882418</v>
      </c>
      <c r="J18" s="46">
        <f ca="1">FossilEneEmissionsAccountingInt!M6*10^-3</f>
        <v>1.5437318396094875</v>
      </c>
      <c r="K18" s="46">
        <f ca="1">FossilEneEmissionsAccountingInt!N6*10^-3</f>
        <v>1.1242450335800336</v>
      </c>
    </row>
    <row r="20" spans="1:12" x14ac:dyDescent="0.15">
      <c r="A20" s="1" t="s">
        <v>194</v>
      </c>
      <c r="B20" s="46">
        <f ca="1">FossilEneEmissionsAccountingInt!E11*10^-3</f>
        <v>0</v>
      </c>
      <c r="C20" s="46">
        <f ca="1">FossilEneEmissionsAccountingInt!F11*10^-3</f>
        <v>4.8386068484041956E-18</v>
      </c>
      <c r="D20" s="46">
        <f ca="1">FossilEneEmissionsAccountingInt!G11*10^-3</f>
        <v>2.004778366333915E-9</v>
      </c>
      <c r="E20" s="46">
        <f ca="1">FossilEneEmissionsAccountingInt!H11*10^-3</f>
        <v>4.5750844565087794E-8</v>
      </c>
      <c r="F20" s="46">
        <f ca="1">FossilEneEmissionsAccountingInt!I11*10^-3</f>
        <v>9.4639817689382689E-5</v>
      </c>
      <c r="G20" s="46">
        <f ca="1">FossilEneEmissionsAccountingInt!J11*10^-3</f>
        <v>8.8683626624213473E-5</v>
      </c>
      <c r="H20" s="46">
        <f ca="1">FossilEneEmissionsAccountingInt!K11*10^-3</f>
        <v>7.1516428154912618E-5</v>
      </c>
      <c r="I20" s="46">
        <f ca="1">FossilEneEmissionsAccountingInt!L11*10^-3</f>
        <v>5.4543651837472375E-5</v>
      </c>
      <c r="J20" s="46">
        <f ca="1">FossilEneEmissionsAccountingInt!M11*10^-3</f>
        <v>5.1858247085571442E-5</v>
      </c>
      <c r="K20" s="46">
        <f ca="1">FossilEneEmissionsAccountingInt!N11*10^-3</f>
        <v>3.3366896726268652E-4</v>
      </c>
    </row>
    <row r="21" spans="1:12" x14ac:dyDescent="0.15">
      <c r="A21" s="1" t="s">
        <v>334</v>
      </c>
      <c r="B21" s="46">
        <f ca="1">FossilEneEmissionsAccountingInt!E10*10^-3</f>
        <v>0</v>
      </c>
      <c r="C21" s="46">
        <f ca="1">FossilEneEmissionsAccountingInt!F10*10^-3</f>
        <v>0</v>
      </c>
      <c r="D21" s="46">
        <f ca="1">FossilEneEmissionsAccountingInt!G10*10^-3</f>
        <v>0</v>
      </c>
      <c r="E21" s="46">
        <f ca="1">FossilEneEmissionsAccountingInt!H10*10^-3</f>
        <v>0</v>
      </c>
      <c r="F21" s="46">
        <f ca="1">FossilEneEmissionsAccountingInt!I10*10^-3</f>
        <v>0</v>
      </c>
      <c r="G21" s="46">
        <f ca="1">FossilEneEmissionsAccountingInt!J10*10^-3</f>
        <v>0</v>
      </c>
      <c r="H21" s="46">
        <f ca="1">FossilEneEmissionsAccountingInt!K10*10^-3</f>
        <v>0</v>
      </c>
      <c r="I21" s="46">
        <f ca="1">FossilEneEmissionsAccountingInt!L10*10^-3</f>
        <v>0</v>
      </c>
      <c r="J21" s="46">
        <f ca="1">FossilEneEmissionsAccountingInt!M10*10^-3</f>
        <v>0</v>
      </c>
      <c r="K21" s="46">
        <f ca="1">FossilEneEmissionsAccountingInt!N10*10^-3</f>
        <v>0</v>
      </c>
    </row>
    <row r="25" spans="1:12" x14ac:dyDescent="0.15">
      <c r="A25" s="1" t="s">
        <v>104</v>
      </c>
      <c r="B25" s="46">
        <f ca="1">B5+B8+B14-B20-B21</f>
        <v>35.828368336290602</v>
      </c>
      <c r="C25" s="46">
        <f t="shared" ref="C25:K25" ca="1" si="0">C5+C8+C14-C20-C21</f>
        <v>34.189112206614901</v>
      </c>
      <c r="D25" s="46">
        <f t="shared" ca="1" si="0"/>
        <v>18.303794776256442</v>
      </c>
      <c r="E25" s="46">
        <f t="shared" ca="1" si="0"/>
        <v>4.9101106023573431</v>
      </c>
      <c r="F25" s="46">
        <f t="shared" ca="1" si="0"/>
        <v>-2.2699434441811661</v>
      </c>
      <c r="G25" s="46">
        <f t="shared" ca="1" si="0"/>
        <v>-3.2942351966827537</v>
      </c>
      <c r="H25" s="46">
        <f t="shared" ca="1" si="0"/>
        <v>-3.6341252830513713</v>
      </c>
      <c r="I25" s="46">
        <f t="shared" ca="1" si="0"/>
        <v>-2.0940414758991821</v>
      </c>
      <c r="J25" s="46">
        <f t="shared" ca="1" si="0"/>
        <v>-0.15785537690014287</v>
      </c>
      <c r="K25" s="46">
        <f t="shared" ca="1" si="0"/>
        <v>1.5169740864005519</v>
      </c>
      <c r="L25" s="46">
        <f ca="1">SUM(B25:K25)</f>
        <v>83.298159231205219</v>
      </c>
    </row>
    <row r="28" spans="1:12" x14ac:dyDescent="0.15">
      <c r="A28" s="1" t="s">
        <v>103</v>
      </c>
      <c r="B28" s="46">
        <f t="shared" ref="B28:K28" ca="1" si="1">B25+B11</f>
        <v>49.203953937660756</v>
      </c>
      <c r="C28" s="46">
        <f t="shared" ca="1" si="1"/>
        <v>46.328628711512245</v>
      </c>
      <c r="D28" s="46">
        <f t="shared" ca="1" si="1"/>
        <v>26.180653027719355</v>
      </c>
      <c r="E28" s="46">
        <f t="shared" ca="1" si="1"/>
        <v>10.597655759164496</v>
      </c>
      <c r="F28" s="46">
        <f t="shared" ca="1" si="1"/>
        <v>2.1948543227510839</v>
      </c>
      <c r="G28" s="46">
        <f t="shared" ca="1" si="1"/>
        <v>0.47814937109859246</v>
      </c>
      <c r="H28" s="46">
        <f t="shared" ca="1" si="1"/>
        <v>-0.45507481490002633</v>
      </c>
      <c r="I28" s="46">
        <f t="shared" ca="1" si="1"/>
        <v>0.61498510958188257</v>
      </c>
      <c r="J28" s="46">
        <f t="shared" ca="1" si="1"/>
        <v>2.1497375639926304</v>
      </c>
      <c r="K28" s="46">
        <f t="shared" ca="1" si="1"/>
        <v>3.4707526490409357</v>
      </c>
    </row>
    <row r="31" spans="1:12" s="186" customFormat="1" ht="16" x14ac:dyDescent="0.2">
      <c r="A31" s="187" t="s">
        <v>37</v>
      </c>
      <c r="B31" s="188">
        <f>'Ref Data'!H13</f>
        <v>2010</v>
      </c>
      <c r="C31" s="188">
        <f>'Ref Data'!I13</f>
        <v>2020</v>
      </c>
      <c r="D31" s="188">
        <f>'Ref Data'!J13</f>
        <v>2030</v>
      </c>
      <c r="E31" s="188">
        <f>'Ref Data'!K13</f>
        <v>2040</v>
      </c>
      <c r="F31" s="188">
        <f>'Ref Data'!L13</f>
        <v>2050</v>
      </c>
      <c r="G31" s="188">
        <f>'Ref Data'!M13</f>
        <v>2060</v>
      </c>
      <c r="H31" s="188">
        <f>'Ref Data'!N13</f>
        <v>2070</v>
      </c>
      <c r="I31" s="188">
        <f>'Ref Data'!O13</f>
        <v>2080</v>
      </c>
      <c r="J31" s="188">
        <f>'Ref Data'!P13</f>
        <v>2090</v>
      </c>
      <c r="K31" s="188">
        <f>'Ref Data'!Q13</f>
        <v>2100</v>
      </c>
    </row>
    <row r="34" spans="1:11" x14ac:dyDescent="0.15">
      <c r="A34" s="1" t="s">
        <v>54</v>
      </c>
      <c r="B34" s="46">
        <f ca="1">ExpKayaFactorsRef!E8</f>
        <v>30.490629196166992</v>
      </c>
      <c r="C34" s="46">
        <f ca="1">ExpKayaFactorsRef!F8</f>
        <v>36.419173240661621</v>
      </c>
      <c r="D34" s="46">
        <f ca="1">ExpKayaFactorsRef!G8</f>
        <v>41.178647677103676</v>
      </c>
      <c r="E34" s="46">
        <f ca="1">ExpKayaFactorsRef!H8</f>
        <v>44.63825798034668</v>
      </c>
      <c r="F34" s="46">
        <f ca="1">ExpKayaFactorsRef!I8</f>
        <v>48.651535034179688</v>
      </c>
      <c r="G34" s="46">
        <f ca="1">ExpKayaFactorsRef!J8</f>
        <v>53.651107152303055</v>
      </c>
      <c r="H34" s="46">
        <f ca="1">ExpKayaFactorsRef!K8</f>
        <v>57.505031267801918</v>
      </c>
      <c r="I34" s="46">
        <f ca="1">ExpKayaFactorsRef!L8</f>
        <v>60.643732706705727</v>
      </c>
      <c r="J34" s="46">
        <f ca="1">ExpKayaFactorsRef!M8</f>
        <v>64.628266016642257</v>
      </c>
      <c r="K34" s="46">
        <f ca="1">ExpKayaFactorsRef!N8</f>
        <v>69.30462137858072</v>
      </c>
    </row>
    <row r="38" spans="1:11" x14ac:dyDescent="0.15">
      <c r="A38" s="1" t="s">
        <v>332</v>
      </c>
      <c r="B38" s="46">
        <f ca="1">IndustryEmissionsAccountingRef!E6*10^-3</f>
        <v>1.6196451683839161</v>
      </c>
      <c r="C38" s="46">
        <f ca="1">IndustryEmissionsAccountingRef!F6*10^-3</f>
        <v>1.8463895320892334</v>
      </c>
      <c r="D38" s="46">
        <f ca="1">IndustryEmissionsAccountingRef!G6*10^-3</f>
        <v>2.014854927857717</v>
      </c>
      <c r="E38" s="46">
        <f ca="1">IndustryEmissionsAccountingRef!H6*10^-3</f>
        <v>2.0971979300181069</v>
      </c>
      <c r="F38" s="46">
        <f ca="1">IndustryEmissionsAccountingRef!I6*10^-3</f>
        <v>2.2927681605021157</v>
      </c>
      <c r="G38" s="46">
        <f ca="1">IndustryEmissionsAccountingRef!J6*10^-3</f>
        <v>2.5351934035619097</v>
      </c>
      <c r="H38" s="46">
        <f ca="1">IndustryEmissionsAccountingRef!K6*10^-3</f>
        <v>2.6353624661763506</v>
      </c>
      <c r="I38" s="46">
        <f ca="1">IndustryEmissionsAccountingRef!L6*10^-3</f>
        <v>2.8851141730944314</v>
      </c>
      <c r="J38" s="46">
        <f ca="1">IndustryEmissionsAccountingRef!M6*10^-3</f>
        <v>3.3242319027582803</v>
      </c>
      <c r="K38" s="46">
        <f ca="1">IndustryEmissionsAccountingRef!N6*10^-3</f>
        <v>3.7146559556325274</v>
      </c>
    </row>
    <row r="41" spans="1:11" x14ac:dyDescent="0.15">
      <c r="A41" s="1" t="s">
        <v>109</v>
      </c>
      <c r="B41" s="46">
        <f ca="1">OtherGases!H11*10^-3</f>
        <v>13.334865283349865</v>
      </c>
      <c r="C41" s="46">
        <f ca="1">OtherGases!I11*10^-3</f>
        <v>15.939739666737964</v>
      </c>
      <c r="D41" s="46">
        <f ca="1">OtherGases!J11*10^-3</f>
        <v>17.764204882630548</v>
      </c>
      <c r="E41" s="46">
        <f ca="1">OtherGases!K11*10^-3</f>
        <v>19.034724456361367</v>
      </c>
      <c r="F41" s="46">
        <f ca="1">OtherGases!L11*10^-3</f>
        <v>20.008051564016991</v>
      </c>
      <c r="G41" s="46">
        <f ca="1">OtherGases!M11*10^-3</f>
        <v>20.259763970473617</v>
      </c>
      <c r="H41" s="46">
        <f ca="1">OtherGases!N11*10^-3</f>
        <v>20.824770498691962</v>
      </c>
      <c r="I41" s="46">
        <f ca="1">OtherGases!O11*10^-3</f>
        <v>21.596722674423901</v>
      </c>
      <c r="J41" s="46">
        <f ca="1">OtherGases!P11*10^-3</f>
        <v>22.235638491831704</v>
      </c>
      <c r="K41" s="46">
        <f ca="1">OtherGases!Q11*10^-3</f>
        <v>23.179844151206744</v>
      </c>
    </row>
    <row r="44" spans="1:11" x14ac:dyDescent="0.15">
      <c r="A44" s="1" t="s">
        <v>108</v>
      </c>
      <c r="B44" s="46">
        <f ca="1">'Ref Data'!H18*10^-3</f>
        <v>3.5023383199999998</v>
      </c>
      <c r="C44" s="46">
        <f ca="1">'Ref Data'!I18*10^-3</f>
        <v>5.2124559640000001</v>
      </c>
      <c r="D44" s="46">
        <f ca="1">'Ref Data'!J18*10^-3</f>
        <v>6.2809146550000001</v>
      </c>
      <c r="E44" s="46">
        <f ca="1">'Ref Data'!K18*10^-3</f>
        <v>6.1783188640000004</v>
      </c>
      <c r="F44" s="46">
        <f ca="1">'Ref Data'!L18*10^-3</f>
        <v>5.0467978469999997</v>
      </c>
      <c r="G44" s="46">
        <f ca="1">'Ref Data'!M18*10^-3</f>
        <v>1.4353136990000002</v>
      </c>
      <c r="H44" s="46">
        <f ca="1">'Ref Data'!N18*10^-3</f>
        <v>0.72626427820000006</v>
      </c>
      <c r="I44" s="46">
        <f ca="1">'Ref Data'!O18*10^-3</f>
        <v>0.91421360279999997</v>
      </c>
      <c r="J44" s="46">
        <f ca="1">'Ref Data'!P18*10^-3</f>
        <v>-0.1154519071</v>
      </c>
      <c r="K44" s="46">
        <f ca="1">'Ref Data'!Q18*10^-3</f>
        <v>-0.52666452530000007</v>
      </c>
    </row>
    <row r="47" spans="1:11" x14ac:dyDescent="0.15">
      <c r="A47" s="1" t="s">
        <v>230</v>
      </c>
      <c r="B47" s="46">
        <f ca="1">FossilEneEmissionsAccountingRef!E7*10^-3</f>
        <v>0</v>
      </c>
      <c r="C47" s="46">
        <f ca="1">FossilEneEmissionsAccountingRef!F7*10^-3</f>
        <v>0</v>
      </c>
      <c r="D47" s="46">
        <f ca="1">FossilEneEmissionsAccountingRef!G7*10^-3</f>
        <v>0</v>
      </c>
      <c r="E47" s="46">
        <f ca="1">FossilEneEmissionsAccountingRef!H7*10^-3</f>
        <v>0</v>
      </c>
      <c r="F47" s="46">
        <f ca="1">FossilEneEmissionsAccountingRef!I7*10^-3</f>
        <v>0</v>
      </c>
      <c r="G47" s="46">
        <f ca="1">FossilEneEmissionsAccountingRef!J7*10^-3</f>
        <v>0</v>
      </c>
      <c r="H47" s="46">
        <f ca="1">FossilEneEmissionsAccountingRef!K7*10^-3</f>
        <v>0</v>
      </c>
      <c r="I47" s="46">
        <f ca="1">FossilEneEmissionsAccountingRef!L7*10^-3</f>
        <v>0</v>
      </c>
      <c r="J47" s="46">
        <f ca="1">FossilEneEmissionsAccountingRef!M7*10^-3</f>
        <v>0</v>
      </c>
      <c r="K47" s="46">
        <f ca="1">FossilEneEmissionsAccountingRef!N7*10^-3</f>
        <v>0</v>
      </c>
    </row>
    <row r="48" spans="1:11" x14ac:dyDescent="0.15">
      <c r="A48" s="1" t="s">
        <v>333</v>
      </c>
      <c r="B48" s="46">
        <f ca="1">FossilEneEmissionsAccountingRef!E6*10^-3</f>
        <v>0</v>
      </c>
      <c r="C48" s="46">
        <f ca="1">FossilEneEmissionsAccountingRef!F6*10^-3</f>
        <v>0</v>
      </c>
      <c r="D48" s="46">
        <f ca="1">FossilEneEmissionsAccountingRef!G6*10^-3</f>
        <v>0</v>
      </c>
      <c r="E48" s="46">
        <f ca="1">FossilEneEmissionsAccountingRef!H6*10^-3</f>
        <v>0</v>
      </c>
      <c r="F48" s="46">
        <f ca="1">FossilEneEmissionsAccountingRef!I6*10^-3</f>
        <v>0</v>
      </c>
      <c r="G48" s="46">
        <f ca="1">FossilEneEmissionsAccountingRef!J6*10^-3</f>
        <v>0</v>
      </c>
      <c r="H48" s="46">
        <f ca="1">FossilEneEmissionsAccountingRef!K6*10^-3</f>
        <v>0</v>
      </c>
      <c r="I48" s="46">
        <f ca="1">FossilEneEmissionsAccountingRef!L6*10^-3</f>
        <v>0</v>
      </c>
      <c r="J48" s="46">
        <f ca="1">FossilEneEmissionsAccountingRef!M6*10^-3</f>
        <v>0</v>
      </c>
      <c r="K48" s="46">
        <f ca="1">FossilEneEmissionsAccountingRef!N6*10^-3</f>
        <v>0</v>
      </c>
    </row>
    <row r="50" spans="1:11" x14ac:dyDescent="0.15">
      <c r="A50" s="1" t="s">
        <v>194</v>
      </c>
      <c r="B50" s="46">
        <f ca="1">FossilEneEmissionsAccountingRef!E11*10^-3</f>
        <v>0</v>
      </c>
      <c r="C50" s="46">
        <f ca="1">FossilEneEmissionsAccountingRef!F11*10^-3</f>
        <v>0</v>
      </c>
      <c r="D50" s="46">
        <f ca="1">FossilEneEmissionsAccountingRef!G11*10^-3</f>
        <v>0</v>
      </c>
      <c r="E50" s="46">
        <f ca="1">FossilEneEmissionsAccountingRef!H11*10^-3</f>
        <v>0</v>
      </c>
      <c r="F50" s="46">
        <f ca="1">FossilEneEmissionsAccountingRef!I11*10^-3</f>
        <v>0</v>
      </c>
      <c r="G50" s="46">
        <f ca="1">FossilEneEmissionsAccountingRef!J11*10^-3</f>
        <v>0</v>
      </c>
      <c r="H50" s="46">
        <f ca="1">FossilEneEmissionsAccountingRef!K11*10^-3</f>
        <v>0</v>
      </c>
      <c r="I50" s="46">
        <f ca="1">FossilEneEmissionsAccountingRef!L11*10^-3</f>
        <v>0</v>
      </c>
      <c r="J50" s="46">
        <f ca="1">FossilEneEmissionsAccountingRef!M11*10^-3</f>
        <v>0</v>
      </c>
      <c r="K50" s="46">
        <f ca="1">FossilEneEmissionsAccountingRef!N11*10^-3</f>
        <v>0</v>
      </c>
    </row>
    <row r="51" spans="1:11" x14ac:dyDescent="0.15">
      <c r="A51" s="1" t="s">
        <v>334</v>
      </c>
      <c r="B51" s="46">
        <f ca="1">FossilEneEmissionsAccountingRef!E10*10^-3</f>
        <v>0</v>
      </c>
      <c r="C51" s="46">
        <f ca="1">FossilEneEmissionsAccountingRef!F10*10^-3</f>
        <v>0</v>
      </c>
      <c r="D51" s="46">
        <f ca="1">FossilEneEmissionsAccountingRef!G10*10^-3</f>
        <v>0</v>
      </c>
      <c r="E51" s="46">
        <f ca="1">FossilEneEmissionsAccountingRef!H10*10^-3</f>
        <v>0</v>
      </c>
      <c r="F51" s="46">
        <f ca="1">FossilEneEmissionsAccountingRef!I10*10^-3</f>
        <v>0</v>
      </c>
      <c r="G51" s="46">
        <f ca="1">FossilEneEmissionsAccountingRef!J10*10^-3</f>
        <v>0</v>
      </c>
      <c r="H51" s="46">
        <f ca="1">FossilEneEmissionsAccountingRef!K10*10^-3</f>
        <v>0</v>
      </c>
      <c r="I51" s="46">
        <f ca="1">FossilEneEmissionsAccountingRef!L10*10^-3</f>
        <v>0</v>
      </c>
      <c r="J51" s="46">
        <f ca="1">FossilEneEmissionsAccountingRef!M10*10^-3</f>
        <v>0</v>
      </c>
      <c r="K51" s="46">
        <f ca="1">FossilEneEmissionsAccountingRef!N10*10^-3</f>
        <v>0</v>
      </c>
    </row>
    <row r="55" spans="1:11" x14ac:dyDescent="0.15">
      <c r="A55" s="1" t="s">
        <v>104</v>
      </c>
      <c r="B55" s="46">
        <f ca="1">B34+B38+B44-B50-B51</f>
        <v>35.612612684550911</v>
      </c>
      <c r="C55" s="46">
        <f t="shared" ref="C55:K55" ca="1" si="2">C34+C38+C44-C50-C51</f>
        <v>43.478018736750855</v>
      </c>
      <c r="D55" s="46">
        <f t="shared" ca="1" si="2"/>
        <v>49.474417259961399</v>
      </c>
      <c r="E55" s="46">
        <f t="shared" ca="1" si="2"/>
        <v>52.913774774364782</v>
      </c>
      <c r="F55" s="46">
        <f t="shared" ca="1" si="2"/>
        <v>55.991101041681802</v>
      </c>
      <c r="G55" s="46">
        <f t="shared" ca="1" si="2"/>
        <v>57.621614254864966</v>
      </c>
      <c r="H55" s="46">
        <f t="shared" ca="1" si="2"/>
        <v>60.86665801217827</v>
      </c>
      <c r="I55" s="46">
        <f t="shared" ca="1" si="2"/>
        <v>64.44306048260016</v>
      </c>
      <c r="J55" s="46">
        <f t="shared" ca="1" si="2"/>
        <v>67.837046012300547</v>
      </c>
      <c r="K55" s="46">
        <f t="shared" ca="1" si="2"/>
        <v>72.492612808913236</v>
      </c>
    </row>
    <row r="58" spans="1:11" x14ac:dyDescent="0.15">
      <c r="A58" s="1" t="s">
        <v>103</v>
      </c>
      <c r="B58" s="46">
        <f t="shared" ref="B58:K58" ca="1" si="3">B55+B41</f>
        <v>48.947477967900774</v>
      </c>
      <c r="C58" s="46">
        <f ca="1">C55+C41</f>
        <v>59.417758403488818</v>
      </c>
      <c r="D58" s="46">
        <f t="shared" ca="1" si="3"/>
        <v>67.23862214259195</v>
      </c>
      <c r="E58" s="46">
        <f t="shared" ca="1" si="3"/>
        <v>71.948499230726156</v>
      </c>
      <c r="F58" s="46">
        <f t="shared" ca="1" si="3"/>
        <v>75.999152605698796</v>
      </c>
      <c r="G58" s="46">
        <f t="shared" ca="1" si="3"/>
        <v>77.88137822533858</v>
      </c>
      <c r="H58" s="46">
        <f t="shared" ca="1" si="3"/>
        <v>81.691428510870224</v>
      </c>
      <c r="I58" s="46">
        <f t="shared" ca="1" si="3"/>
        <v>86.039783157024061</v>
      </c>
      <c r="J58" s="46">
        <f t="shared" ca="1" si="3"/>
        <v>90.072684504132255</v>
      </c>
      <c r="K58" s="46">
        <f t="shared" ca="1" si="3"/>
        <v>95.672456960119973</v>
      </c>
    </row>
    <row r="59" spans="1:11" x14ac:dyDescent="0.15">
      <c r="A59" s="1" t="s">
        <v>274</v>
      </c>
      <c r="B59" s="46">
        <f ca="1">B58+B47+B50</f>
        <v>48.947477967900774</v>
      </c>
      <c r="C59" s="46">
        <f ca="1">C58+C47+C50</f>
        <v>59.417758403488818</v>
      </c>
      <c r="D59" s="46">
        <f t="shared" ref="D59:K59" ca="1" si="4">D58+D47+D50</f>
        <v>67.23862214259195</v>
      </c>
      <c r="E59" s="46">
        <f t="shared" ca="1" si="4"/>
        <v>71.948499230726156</v>
      </c>
      <c r="F59" s="46">
        <f t="shared" ca="1" si="4"/>
        <v>75.999152605698796</v>
      </c>
      <c r="G59" s="46">
        <f t="shared" ca="1" si="4"/>
        <v>77.88137822533858</v>
      </c>
      <c r="H59" s="46">
        <f t="shared" ca="1" si="4"/>
        <v>81.691428510870224</v>
      </c>
      <c r="I59" s="46">
        <f t="shared" ca="1" si="4"/>
        <v>86.039783157024061</v>
      </c>
      <c r="J59" s="46">
        <f t="shared" ca="1" si="4"/>
        <v>90.072684504132255</v>
      </c>
      <c r="K59" s="46">
        <f t="shared" ca="1" si="4"/>
        <v>95.672456960119973</v>
      </c>
    </row>
    <row r="61" spans="1:11" s="186" customFormat="1" ht="16" x14ac:dyDescent="0.2">
      <c r="A61" s="187" t="s">
        <v>107</v>
      </c>
      <c r="B61" s="188">
        <f>'Ref Data'!H13</f>
        <v>2010</v>
      </c>
      <c r="C61" s="188">
        <f>'Ref Data'!I13</f>
        <v>2020</v>
      </c>
      <c r="D61" s="188">
        <f>'Ref Data'!J13</f>
        <v>2030</v>
      </c>
      <c r="E61" s="188">
        <f>'Ref Data'!K13</f>
        <v>2040</v>
      </c>
      <c r="F61" s="188">
        <f>'Ref Data'!L13</f>
        <v>2050</v>
      </c>
      <c r="G61" s="188">
        <f>'Ref Data'!M13</f>
        <v>2060</v>
      </c>
      <c r="H61" s="188">
        <f>'Ref Data'!N13</f>
        <v>2070</v>
      </c>
      <c r="I61" s="188">
        <f>'Ref Data'!O13</f>
        <v>2080</v>
      </c>
      <c r="J61" s="188">
        <f>'Ref Data'!P13</f>
        <v>2090</v>
      </c>
      <c r="K61" s="188">
        <f>'Ref Data'!Q13</f>
        <v>2100</v>
      </c>
    </row>
    <row r="62" spans="1:11" x14ac:dyDescent="0.15">
      <c r="B62" s="182"/>
    </row>
    <row r="64" spans="1:11" x14ac:dyDescent="0.15">
      <c r="A64" s="1" t="s">
        <v>54</v>
      </c>
      <c r="B64" s="46">
        <f t="shared" ref="B64:K64" ca="1" si="5">B34-B5</f>
        <v>-0.10721556345621508</v>
      </c>
      <c r="C64" s="46">
        <f t="shared" ca="1" si="5"/>
        <v>7.2902054786682129</v>
      </c>
      <c r="D64" s="46">
        <f t="shared" ca="1" si="5"/>
        <v>22.331053096038023</v>
      </c>
      <c r="E64" s="46">
        <f t="shared" ca="1" si="5"/>
        <v>35.500564926808771</v>
      </c>
      <c r="F64" s="46">
        <f t="shared" ca="1" si="5"/>
        <v>43.031778824766661</v>
      </c>
      <c r="G64" s="46">
        <f t="shared" ca="1" si="5"/>
        <v>49.298039841789432</v>
      </c>
      <c r="H64" s="46">
        <f t="shared" ca="1" si="5"/>
        <v>53.877046872383588</v>
      </c>
      <c r="I64" s="46">
        <f t="shared" ca="1" si="5"/>
        <v>57.591866666637159</v>
      </c>
      <c r="J64" s="46">
        <f t="shared" ca="1" si="5"/>
        <v>61.782131769040468</v>
      </c>
      <c r="K64" s="46">
        <f t="shared" ca="1" si="5"/>
        <v>66.291485704799314</v>
      </c>
    </row>
    <row r="68" spans="1:11" x14ac:dyDescent="0.15">
      <c r="A68" s="1" t="s">
        <v>332</v>
      </c>
      <c r="B68" s="46">
        <f t="shared" ref="B68:K68" ca="1" si="6">B38-B8</f>
        <v>5.2692492802930424E-4</v>
      </c>
      <c r="C68" s="46">
        <f t="shared" ca="1" si="6"/>
        <v>0.24903956055641174</v>
      </c>
      <c r="D68" s="46">
        <f t="shared" ca="1" si="6"/>
        <v>0.98022941748301218</v>
      </c>
      <c r="E68" s="46">
        <f t="shared" ca="1" si="6"/>
        <v>1.7172799209753671</v>
      </c>
      <c r="F68" s="46">
        <f t="shared" ca="1" si="6"/>
        <v>2.0011327788233757</v>
      </c>
      <c r="G68" s="46">
        <f t="shared" ca="1" si="6"/>
        <v>2.2824605330824848</v>
      </c>
      <c r="H68" s="46">
        <f t="shared" ca="1" si="6"/>
        <v>2.3700901319583254</v>
      </c>
      <c r="I68" s="46">
        <f t="shared" ca="1" si="6"/>
        <v>2.5982181926568346</v>
      </c>
      <c r="J68" s="46">
        <f t="shared" ca="1" si="6"/>
        <v>3.0400146394968033</v>
      </c>
      <c r="K68" s="46">
        <f t="shared" ca="1" si="6"/>
        <v>3.4258306672175722</v>
      </c>
    </row>
    <row r="71" spans="1:11" x14ac:dyDescent="0.15">
      <c r="A71" s="1" t="s">
        <v>106</v>
      </c>
      <c r="B71" s="46">
        <f t="shared" ref="B71:K71" ca="1" si="7">B41-B11</f>
        <v>-4.0720318020291302E-2</v>
      </c>
      <c r="C71" s="46">
        <f t="shared" ca="1" si="7"/>
        <v>3.8002231618406217</v>
      </c>
      <c r="D71" s="46">
        <f t="shared" ca="1" si="7"/>
        <v>9.8873466311676346</v>
      </c>
      <c r="E71" s="46">
        <f t="shared" ca="1" si="7"/>
        <v>13.347179299554213</v>
      </c>
      <c r="F71" s="46">
        <f t="shared" ca="1" si="7"/>
        <v>15.543253797084741</v>
      </c>
      <c r="G71" s="46">
        <f t="shared" ca="1" si="7"/>
        <v>16.48737940269227</v>
      </c>
      <c r="H71" s="46">
        <f t="shared" ca="1" si="7"/>
        <v>17.645720030540616</v>
      </c>
      <c r="I71" s="46">
        <f t="shared" ca="1" si="7"/>
        <v>18.887696088942835</v>
      </c>
      <c r="J71" s="46">
        <f t="shared" ca="1" si="7"/>
        <v>19.928045550938933</v>
      </c>
      <c r="K71" s="46">
        <f t="shared" ca="1" si="7"/>
        <v>21.22606558856636</v>
      </c>
    </row>
    <row r="74" spans="1:11" x14ac:dyDescent="0.15">
      <c r="A74" s="1" t="s">
        <v>105</v>
      </c>
      <c r="B74" s="46">
        <f t="shared" ref="B74:K74" ca="1" si="8">B44-B14</f>
        <v>-0.1090670132115088</v>
      </c>
      <c r="C74" s="46">
        <f t="shared" ca="1" si="8"/>
        <v>1.7496614909113308</v>
      </c>
      <c r="D74" s="46">
        <f t="shared" ca="1" si="8"/>
        <v>7.8593399681791407</v>
      </c>
      <c r="E74" s="46">
        <f t="shared" ca="1" si="8"/>
        <v>10.785819278472463</v>
      </c>
      <c r="F74" s="46">
        <f t="shared" ca="1" si="8"/>
        <v>13.228038242455245</v>
      </c>
      <c r="G74" s="46">
        <f t="shared" ca="1" si="8"/>
        <v>9.3352603930491806</v>
      </c>
      <c r="H74" s="46">
        <f t="shared" ca="1" si="8"/>
        <v>8.2535747744595707</v>
      </c>
      <c r="I74" s="46">
        <f t="shared" ca="1" si="8"/>
        <v>6.3469625555535067</v>
      </c>
      <c r="J74" s="46">
        <f t="shared" ca="1" si="8"/>
        <v>3.1727031224163249</v>
      </c>
      <c r="K74" s="46">
        <f t="shared" ca="1" si="8"/>
        <v>1.2579886815285519</v>
      </c>
    </row>
    <row r="77" spans="1:11" x14ac:dyDescent="0.15">
      <c r="A77" s="1" t="s">
        <v>230</v>
      </c>
      <c r="B77" s="46">
        <f t="shared" ref="B77:K78" ca="1" si="9">(B47-B17)*(-1)</f>
        <v>0</v>
      </c>
      <c r="C77" s="46">
        <f t="shared" ca="1" si="9"/>
        <v>3.2833179039359776E-2</v>
      </c>
      <c r="D77" s="46">
        <f t="shared" ca="1" si="9"/>
        <v>1.24340748929558</v>
      </c>
      <c r="E77" s="46">
        <f t="shared" ca="1" si="9"/>
        <v>2.4553240402199017</v>
      </c>
      <c r="F77" s="46">
        <f t="shared" ca="1" si="9"/>
        <v>3.0403081741973175</v>
      </c>
      <c r="G77" s="46">
        <f t="shared" ca="1" si="9"/>
        <v>4.3274815721368487</v>
      </c>
      <c r="H77" s="46">
        <f t="shared" ca="1" si="9"/>
        <v>6.2205216362810276</v>
      </c>
      <c r="I77" s="46">
        <f t="shared" ca="1" si="9"/>
        <v>6.2387408713609798</v>
      </c>
      <c r="J77" s="46">
        <f t="shared" ca="1" si="9"/>
        <v>5.6213702490604573</v>
      </c>
      <c r="K77" s="46">
        <f t="shared" ca="1" si="9"/>
        <v>5.7205057391948309</v>
      </c>
    </row>
    <row r="78" spans="1:11" x14ac:dyDescent="0.15">
      <c r="A78" s="1" t="s">
        <v>333</v>
      </c>
      <c r="B78" s="46">
        <f t="shared" ca="1" si="9"/>
        <v>0</v>
      </c>
      <c r="C78" s="46">
        <f t="shared" ca="1" si="9"/>
        <v>1.6969379949538656E-2</v>
      </c>
      <c r="D78" s="46">
        <f t="shared" ca="1" si="9"/>
        <v>0.72202643627921737</v>
      </c>
      <c r="E78" s="46">
        <f t="shared" ca="1" si="9"/>
        <v>1.4175688984493413</v>
      </c>
      <c r="F78" s="46">
        <f t="shared" ca="1" si="9"/>
        <v>1.381148077857991</v>
      </c>
      <c r="G78" s="46">
        <f t="shared" ca="1" si="9"/>
        <v>1.2317259939057597</v>
      </c>
      <c r="H78" s="46">
        <f t="shared" ca="1" si="9"/>
        <v>1.436496980239705</v>
      </c>
      <c r="I78" s="46">
        <f t="shared" ca="1" si="9"/>
        <v>1.6990205631882418</v>
      </c>
      <c r="J78" s="46">
        <f t="shared" ca="1" si="9"/>
        <v>1.5437318396094875</v>
      </c>
      <c r="K78" s="46">
        <f t="shared" ca="1" si="9"/>
        <v>1.1242450335800336</v>
      </c>
    </row>
    <row r="80" spans="1:11" x14ac:dyDescent="0.15">
      <c r="A80" s="1" t="s">
        <v>194</v>
      </c>
      <c r="B80" s="46">
        <f t="shared" ref="B80:K81" ca="1" si="10">(B50-B20)*(-1)</f>
        <v>0</v>
      </c>
      <c r="C80" s="46">
        <f t="shared" ca="1" si="10"/>
        <v>4.8386068484041956E-18</v>
      </c>
      <c r="D80" s="46">
        <f t="shared" ca="1" si="10"/>
        <v>2.004778366333915E-9</v>
      </c>
      <c r="E80" s="46">
        <f t="shared" ca="1" si="10"/>
        <v>4.5750844565087794E-8</v>
      </c>
      <c r="F80" s="46">
        <f t="shared" ca="1" si="10"/>
        <v>9.4639817689382689E-5</v>
      </c>
      <c r="G80" s="46">
        <f t="shared" ca="1" si="10"/>
        <v>8.8683626624213473E-5</v>
      </c>
      <c r="H80" s="46">
        <f t="shared" ca="1" si="10"/>
        <v>7.1516428154912618E-5</v>
      </c>
      <c r="I80" s="46">
        <f t="shared" ca="1" si="10"/>
        <v>5.4543651837472375E-5</v>
      </c>
      <c r="J80" s="46">
        <f t="shared" ca="1" si="10"/>
        <v>5.1858247085571442E-5</v>
      </c>
      <c r="K80" s="46">
        <f t="shared" ca="1" si="10"/>
        <v>3.3366896726268652E-4</v>
      </c>
    </row>
    <row r="81" spans="1:11" x14ac:dyDescent="0.15">
      <c r="A81" s="1" t="s">
        <v>334</v>
      </c>
      <c r="B81" s="46">
        <f t="shared" ca="1" si="10"/>
        <v>0</v>
      </c>
      <c r="C81" s="46">
        <f t="shared" ca="1" si="10"/>
        <v>0</v>
      </c>
      <c r="D81" s="46">
        <f t="shared" ca="1" si="10"/>
        <v>0</v>
      </c>
      <c r="E81" s="46">
        <f t="shared" ca="1" si="10"/>
        <v>0</v>
      </c>
      <c r="F81" s="46">
        <f t="shared" ca="1" si="10"/>
        <v>0</v>
      </c>
      <c r="G81" s="46">
        <f t="shared" ca="1" si="10"/>
        <v>0</v>
      </c>
      <c r="H81" s="46">
        <f t="shared" ca="1" si="10"/>
        <v>0</v>
      </c>
      <c r="I81" s="46">
        <f t="shared" ca="1" si="10"/>
        <v>0</v>
      </c>
      <c r="J81" s="46">
        <f t="shared" ca="1" si="10"/>
        <v>0</v>
      </c>
      <c r="K81" s="46">
        <f t="shared" ca="1" si="10"/>
        <v>0</v>
      </c>
    </row>
    <row r="83" spans="1:11" x14ac:dyDescent="0.15">
      <c r="A83" s="1" t="s">
        <v>104</v>
      </c>
      <c r="B83" s="46">
        <f t="shared" ref="B83:K83" ca="1" si="11">B55-B25</f>
        <v>-0.21575565173969125</v>
      </c>
      <c r="C83" s="46">
        <f t="shared" ca="1" si="11"/>
        <v>9.2889065301359537</v>
      </c>
      <c r="D83" s="46">
        <f t="shared" ca="1" si="11"/>
        <v>31.170622483704957</v>
      </c>
      <c r="E83" s="46">
        <f t="shared" ca="1" si="11"/>
        <v>48.00366417200744</v>
      </c>
      <c r="F83" s="46">
        <f t="shared" ca="1" si="11"/>
        <v>58.261044485862968</v>
      </c>
      <c r="G83" s="46">
        <f t="shared" ca="1" si="11"/>
        <v>60.915849451547722</v>
      </c>
      <c r="H83" s="46">
        <f t="shared" ca="1" si="11"/>
        <v>64.500783295229638</v>
      </c>
      <c r="I83" s="46">
        <f t="shared" ca="1" si="11"/>
        <v>66.537101958499335</v>
      </c>
      <c r="J83" s="46">
        <f t="shared" ca="1" si="11"/>
        <v>67.994901389200692</v>
      </c>
      <c r="K83" s="46">
        <f t="shared" ca="1" si="11"/>
        <v>70.975638722512684</v>
      </c>
    </row>
    <row r="86" spans="1:11" x14ac:dyDescent="0.15">
      <c r="A86" s="1" t="s">
        <v>103</v>
      </c>
      <c r="B86" s="46">
        <f t="shared" ref="B86:K86" ca="1" si="12">B58-B28</f>
        <v>-0.25647596975998255</v>
      </c>
      <c r="C86" s="46">
        <f t="shared" ca="1" si="12"/>
        <v>13.089129691976574</v>
      </c>
      <c r="D86" s="46">
        <f t="shared" ca="1" si="12"/>
        <v>41.057969114872591</v>
      </c>
      <c r="E86" s="46">
        <f t="shared" ca="1" si="12"/>
        <v>61.35084347156166</v>
      </c>
      <c r="F86" s="46">
        <f t="shared" ca="1" si="12"/>
        <v>73.804298282947713</v>
      </c>
      <c r="G86" s="46">
        <f t="shared" ca="1" si="12"/>
        <v>77.403228854239984</v>
      </c>
      <c r="H86" s="46">
        <f t="shared" ca="1" si="12"/>
        <v>82.146503325770254</v>
      </c>
      <c r="I86" s="46">
        <f t="shared" ca="1" si="12"/>
        <v>85.424798047442181</v>
      </c>
      <c r="J86" s="46">
        <f t="shared" ca="1" si="12"/>
        <v>87.922946940139624</v>
      </c>
      <c r="K86" s="46">
        <f t="shared" ca="1" si="12"/>
        <v>92.201704311079041</v>
      </c>
    </row>
    <row r="88" spans="1:11" x14ac:dyDescent="0.15">
      <c r="A88" s="1" t="s">
        <v>102</v>
      </c>
      <c r="B88" s="46">
        <f t="shared" ref="B88:K88" ca="1" si="13">B86-B68-B71-B74-B77-B80</f>
        <v>-0.10721556345621175</v>
      </c>
      <c r="C88" s="46">
        <f t="shared" ca="1" si="13"/>
        <v>7.2573722996288499</v>
      </c>
      <c r="D88" s="46">
        <f t="shared" ca="1" si="13"/>
        <v>21.087645606742448</v>
      </c>
      <c r="E88" s="46">
        <f t="shared" ca="1" si="13"/>
        <v>33.045240886588871</v>
      </c>
      <c r="F88" s="46">
        <f t="shared" ca="1" si="13"/>
        <v>39.99147065056934</v>
      </c>
      <c r="G88" s="46">
        <f t="shared" ca="1" si="13"/>
        <v>44.970558269652578</v>
      </c>
      <c r="H88" s="46">
        <f t="shared" ca="1" si="13"/>
        <v>47.65652523610256</v>
      </c>
      <c r="I88" s="46">
        <f t="shared" ca="1" si="13"/>
        <v>51.353125795276199</v>
      </c>
      <c r="J88" s="46">
        <f t="shared" ca="1" si="13"/>
        <v>56.160761519980028</v>
      </c>
      <c r="K88" s="46">
        <f t="shared" ca="1" si="13"/>
        <v>60.570979965604472</v>
      </c>
    </row>
    <row r="229" ht="12" customHeight="1" x14ac:dyDescent="0.15"/>
    <row r="245" ht="12" customHeight="1" x14ac:dyDescent="0.15"/>
  </sheetData>
  <pageMargins left="0.75" right="0.75" top="1" bottom="1" header="0.5" footer="0.5"/>
  <pageSetup orientation="portrait" horizontalDpi="0" verticalDpi="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280126-3F21-8E40-AED4-42381A75D2BD}">
  <sheetPr codeName="Sheet37">
    <tabColor rgb="FF7030A0"/>
  </sheetPr>
  <dimension ref="A1:T202"/>
  <sheetViews>
    <sheetView topLeftCell="B141" workbookViewId="0">
      <selection activeCell="E25" sqref="E25"/>
    </sheetView>
  </sheetViews>
  <sheetFormatPr baseColWidth="10" defaultRowHeight="13" x14ac:dyDescent="0.15"/>
  <cols>
    <col min="1" max="1" width="29" style="1" customWidth="1"/>
    <col min="2" max="2" width="10.83203125" style="1"/>
    <col min="3" max="11" width="10.83203125" style="46"/>
    <col min="12" max="12" width="10.6640625" style="46" customWidth="1"/>
    <col min="13" max="20" width="10.83203125" style="46"/>
    <col min="21" max="16384" width="10.83203125" style="1"/>
  </cols>
  <sheetData>
    <row r="1" spans="1:20" x14ac:dyDescent="0.15">
      <c r="A1" s="36" t="s">
        <v>44</v>
      </c>
      <c r="B1" s="36"/>
    </row>
    <row r="2" spans="1:20" s="186" customFormat="1" x14ac:dyDescent="0.15">
      <c r="C2" s="186">
        <v>2000</v>
      </c>
      <c r="D2" s="189">
        <f>'Ref Data'!G13</f>
        <v>2005</v>
      </c>
      <c r="E2" s="189">
        <f>'Ref Data'!H13</f>
        <v>2010</v>
      </c>
      <c r="F2" s="189">
        <f>'Ref Data'!I13</f>
        <v>2020</v>
      </c>
      <c r="G2" s="189">
        <f>'Ref Data'!J13</f>
        <v>2030</v>
      </c>
      <c r="H2" s="189">
        <f>'Ref Data'!K13</f>
        <v>2040</v>
      </c>
      <c r="I2" s="189">
        <f>'Ref Data'!L13</f>
        <v>2050</v>
      </c>
      <c r="J2" s="189">
        <f>'Ref Data'!M13</f>
        <v>2060</v>
      </c>
      <c r="K2" s="189">
        <f>'Ref Data'!N13</f>
        <v>2070</v>
      </c>
      <c r="L2" s="189">
        <f>'Ref Data'!O13</f>
        <v>2080</v>
      </c>
      <c r="M2" s="189">
        <f>'Ref Data'!P13</f>
        <v>2090</v>
      </c>
      <c r="N2" s="189">
        <f>'Ref Data'!Q13</f>
        <v>2100</v>
      </c>
      <c r="O2" s="189"/>
      <c r="P2" s="189"/>
      <c r="Q2" s="189"/>
      <c r="R2" s="189"/>
      <c r="S2" s="189"/>
      <c r="T2" s="189"/>
    </row>
    <row r="3" spans="1:20" x14ac:dyDescent="0.15">
      <c r="A3" s="1" t="s">
        <v>54</v>
      </c>
    </row>
    <row r="4" spans="1:20" x14ac:dyDescent="0.15">
      <c r="D4" s="182">
        <f ca="1">D5*1000</f>
        <v>29393.36868127187</v>
      </c>
      <c r="E4" s="182">
        <f t="shared" ref="E4:T4" ca="1" si="0">E5*1000</f>
        <v>30490.629196166992</v>
      </c>
      <c r="F4" s="182">
        <f t="shared" ca="1" si="0"/>
        <v>36419.173240661621</v>
      </c>
      <c r="G4" s="182">
        <f t="shared" ca="1" si="0"/>
        <v>41178.647677103676</v>
      </c>
      <c r="H4" s="182">
        <f t="shared" ca="1" si="0"/>
        <v>44638.25798034668</v>
      </c>
      <c r="I4" s="182">
        <f t="shared" ca="1" si="0"/>
        <v>48651.535034179688</v>
      </c>
      <c r="J4" s="182">
        <f t="shared" ca="1" si="0"/>
        <v>53651.107152303055</v>
      </c>
      <c r="K4" s="182">
        <f t="shared" ca="1" si="0"/>
        <v>57505.031267801918</v>
      </c>
      <c r="L4" s="182">
        <f t="shared" ca="1" si="0"/>
        <v>60643.732706705727</v>
      </c>
      <c r="M4" s="182">
        <f t="shared" ca="1" si="0"/>
        <v>64628.266016642257</v>
      </c>
      <c r="N4" s="182">
        <f t="shared" ca="1" si="0"/>
        <v>69304.621378580719</v>
      </c>
      <c r="O4" s="182">
        <f t="shared" si="0"/>
        <v>0</v>
      </c>
      <c r="P4" s="182">
        <f t="shared" si="0"/>
        <v>0</v>
      </c>
      <c r="Q4" s="182">
        <f t="shared" si="0"/>
        <v>0</v>
      </c>
      <c r="R4" s="182">
        <f t="shared" si="0"/>
        <v>0</v>
      </c>
      <c r="S4" s="182">
        <f t="shared" si="0"/>
        <v>0</v>
      </c>
      <c r="T4" s="182">
        <f t="shared" si="0"/>
        <v>0</v>
      </c>
    </row>
    <row r="5" spans="1:20" x14ac:dyDescent="0.15">
      <c r="D5" s="182">
        <f ca="1">ExpKayaFactorsRef!D8</f>
        <v>29.39336868127187</v>
      </c>
      <c r="E5" s="182">
        <f ca="1">ExpKayaFactorsRef!E8</f>
        <v>30.490629196166992</v>
      </c>
      <c r="F5" s="182">
        <f ca="1">ExpKayaFactorsRef!F8</f>
        <v>36.419173240661621</v>
      </c>
      <c r="G5" s="182">
        <f ca="1">ExpKayaFactorsRef!G8</f>
        <v>41.178647677103676</v>
      </c>
      <c r="H5" s="182">
        <f ca="1">ExpKayaFactorsRef!H8</f>
        <v>44.63825798034668</v>
      </c>
      <c r="I5" s="182">
        <f ca="1">ExpKayaFactorsRef!I8</f>
        <v>48.651535034179688</v>
      </c>
      <c r="J5" s="182">
        <f ca="1">ExpKayaFactorsRef!J8</f>
        <v>53.651107152303055</v>
      </c>
      <c r="K5" s="182">
        <f ca="1">ExpKayaFactorsRef!K8</f>
        <v>57.505031267801918</v>
      </c>
      <c r="L5" s="182">
        <f ca="1">ExpKayaFactorsRef!L8</f>
        <v>60.643732706705727</v>
      </c>
      <c r="M5" s="182">
        <f ca="1">ExpKayaFactorsRef!M8</f>
        <v>64.628266016642257</v>
      </c>
      <c r="N5" s="182">
        <f ca="1">ExpKayaFactorsRef!N8</f>
        <v>69.30462137858072</v>
      </c>
      <c r="O5" s="182">
        <f>ExpKayaFactorsRef!O8</f>
        <v>0</v>
      </c>
      <c r="P5" s="182">
        <f>ExpKayaFactorsRef!P8</f>
        <v>0</v>
      </c>
      <c r="Q5" s="182">
        <f>ExpKayaFactorsRef!Q8</f>
        <v>0</v>
      </c>
      <c r="R5" s="182">
        <f>ExpKayaFactorsRef!R8</f>
        <v>0</v>
      </c>
      <c r="S5" s="182">
        <f>ExpKayaFactorsRef!S8</f>
        <v>0</v>
      </c>
      <c r="T5" s="182">
        <f>ExpKayaFactorsRef!T8</f>
        <v>0</v>
      </c>
    </row>
    <row r="6" spans="1:20" x14ac:dyDescent="0.15">
      <c r="E6" s="182"/>
      <c r="F6" s="182"/>
      <c r="G6" s="182"/>
      <c r="H6" s="182"/>
      <c r="I6" s="182"/>
      <c r="J6" s="182"/>
      <c r="K6" s="182"/>
      <c r="L6" s="182"/>
      <c r="M6" s="182"/>
      <c r="N6" s="182"/>
      <c r="O6" s="182"/>
      <c r="P6" s="182"/>
      <c r="Q6" s="182"/>
      <c r="R6" s="182"/>
      <c r="S6" s="182"/>
      <c r="T6" s="182"/>
    </row>
    <row r="7" spans="1:20" s="3" customFormat="1" x14ac:dyDescent="0.15">
      <c r="A7" s="36" t="s">
        <v>240</v>
      </c>
      <c r="B7" s="36"/>
      <c r="C7" s="5"/>
      <c r="D7" s="5">
        <f ca="1">D4/$E4</f>
        <v>0.96401318884449061</v>
      </c>
      <c r="E7" s="5">
        <f ca="1">E4/$E4</f>
        <v>1</v>
      </c>
      <c r="F7" s="5">
        <f t="shared" ref="F7:T7" ca="1" si="1">F4/$E4</f>
        <v>1.1944382323615648</v>
      </c>
      <c r="G7" s="5">
        <f t="shared" ca="1" si="1"/>
        <v>1.3505345334848087</v>
      </c>
      <c r="H7" s="5">
        <f t="shared" ca="1" si="1"/>
        <v>1.4639992403291631</v>
      </c>
      <c r="I7" s="5">
        <f t="shared" ca="1" si="1"/>
        <v>1.5956225344243051</v>
      </c>
      <c r="J7" s="5">
        <f t="shared" ca="1" si="1"/>
        <v>1.7595933100340084</v>
      </c>
      <c r="K7" s="5">
        <f t="shared" ca="1" si="1"/>
        <v>1.8859903119031383</v>
      </c>
      <c r="L7" s="5">
        <f t="shared" ca="1" si="1"/>
        <v>1.9889301829930526</v>
      </c>
      <c r="M7" s="5">
        <f t="shared" ca="1" si="1"/>
        <v>2.1196107696185797</v>
      </c>
      <c r="N7" s="5">
        <f t="shared" ca="1" si="1"/>
        <v>2.2729810176332168</v>
      </c>
      <c r="O7" s="5">
        <f t="shared" ca="1" si="1"/>
        <v>0</v>
      </c>
      <c r="P7" s="5">
        <f t="shared" ca="1" si="1"/>
        <v>0</v>
      </c>
      <c r="Q7" s="5">
        <f t="shared" ca="1" si="1"/>
        <v>0</v>
      </c>
      <c r="R7" s="5">
        <f t="shared" ca="1" si="1"/>
        <v>0</v>
      </c>
      <c r="S7" s="5">
        <f t="shared" ca="1" si="1"/>
        <v>0</v>
      </c>
      <c r="T7" s="5">
        <f t="shared" ca="1" si="1"/>
        <v>0</v>
      </c>
    </row>
    <row r="8" spans="1:20" x14ac:dyDescent="0.15">
      <c r="E8" s="182"/>
      <c r="F8" s="182"/>
      <c r="G8" s="182"/>
      <c r="H8" s="182"/>
      <c r="I8" s="182"/>
      <c r="J8" s="182"/>
      <c r="K8" s="182"/>
      <c r="L8" s="182"/>
      <c r="M8" s="182"/>
      <c r="N8" s="182"/>
      <c r="O8" s="182"/>
      <c r="P8" s="182"/>
      <c r="Q8" s="182"/>
      <c r="R8" s="182"/>
      <c r="S8" s="182"/>
      <c r="T8" s="182"/>
    </row>
    <row r="9" spans="1:20" s="141" customFormat="1" x14ac:dyDescent="0.15">
      <c r="A9" s="36" t="s">
        <v>129</v>
      </c>
      <c r="B9" s="36"/>
      <c r="C9" s="46"/>
      <c r="D9" s="46"/>
      <c r="E9" s="192"/>
      <c r="F9" s="192">
        <f ca="1">((F4-E4)/(F$2-E$2))/$E4</f>
        <v>1.9443823236156479E-2</v>
      </c>
      <c r="G9" s="192">
        <f t="shared" ref="G9:T9" ca="1" si="2">((G4-F4)/(G$2-F$2))/$E4</f>
        <v>1.5609630112324389E-2</v>
      </c>
      <c r="H9" s="192">
        <f t="shared" ca="1" si="2"/>
        <v>1.134647068443545E-2</v>
      </c>
      <c r="I9" s="192">
        <f t="shared" ca="1" si="2"/>
        <v>1.3162329409514189E-2</v>
      </c>
      <c r="J9" s="192">
        <f t="shared" ca="1" si="2"/>
        <v>1.6397077560970336E-2</v>
      </c>
      <c r="K9" s="192">
        <f t="shared" ca="1" si="2"/>
        <v>1.2639700186912982E-2</v>
      </c>
      <c r="L9" s="192">
        <f t="shared" ca="1" si="2"/>
        <v>1.0293987108991433E-2</v>
      </c>
      <c r="M9" s="192">
        <f t="shared" ca="1" si="2"/>
        <v>1.3068058662552725E-2</v>
      </c>
      <c r="N9" s="192">
        <f t="shared" ca="1" si="2"/>
        <v>1.5337024801463693E-2</v>
      </c>
      <c r="O9" s="192">
        <f t="shared" ca="1" si="2"/>
        <v>1.0823719131586747E-3</v>
      </c>
      <c r="P9" s="192" t="e">
        <f t="shared" ca="1" si="2"/>
        <v>#DIV/0!</v>
      </c>
      <c r="Q9" s="192" t="e">
        <f t="shared" ca="1" si="2"/>
        <v>#DIV/0!</v>
      </c>
      <c r="R9" s="192" t="e">
        <f t="shared" ca="1" si="2"/>
        <v>#DIV/0!</v>
      </c>
      <c r="S9" s="192" t="e">
        <f t="shared" ca="1" si="2"/>
        <v>#DIV/0!</v>
      </c>
      <c r="T9" s="192" t="e">
        <f t="shared" ca="1" si="2"/>
        <v>#DIV/0!</v>
      </c>
    </row>
    <row r="10" spans="1:20" x14ac:dyDescent="0.15">
      <c r="D10" s="182"/>
      <c r="E10" s="182"/>
      <c r="F10" s="182"/>
      <c r="G10" s="182"/>
      <c r="H10" s="182"/>
      <c r="I10" s="182"/>
      <c r="J10" s="182"/>
      <c r="K10" s="182"/>
      <c r="L10" s="182"/>
      <c r="M10" s="182"/>
      <c r="N10" s="182"/>
      <c r="O10" s="182"/>
      <c r="P10" s="182"/>
      <c r="Q10" s="182"/>
      <c r="R10" s="182"/>
      <c r="S10" s="182"/>
      <c r="T10" s="182"/>
    </row>
    <row r="13" spans="1:20" x14ac:dyDescent="0.15">
      <c r="A13" s="1" t="s">
        <v>194</v>
      </c>
      <c r="D13" s="46">
        <f ca="1">FossilEneEmissionsAccountingRef!D9</f>
        <v>0</v>
      </c>
      <c r="E13" s="46">
        <f ca="1">FossilEneEmissionsAccountingRef!E9</f>
        <v>0</v>
      </c>
      <c r="F13" s="46">
        <f ca="1">FossilEneEmissionsAccountingRef!F9</f>
        <v>0</v>
      </c>
      <c r="G13" s="46">
        <f ca="1">FossilEneEmissionsAccountingRef!G9</f>
        <v>0</v>
      </c>
      <c r="H13" s="46">
        <f ca="1">FossilEneEmissionsAccountingRef!H9</f>
        <v>0</v>
      </c>
      <c r="I13" s="46">
        <f ca="1">FossilEneEmissionsAccountingRef!I9</f>
        <v>0</v>
      </c>
      <c r="J13" s="46">
        <f ca="1">FossilEneEmissionsAccountingRef!J9</f>
        <v>0</v>
      </c>
      <c r="K13" s="46">
        <f ca="1">FossilEneEmissionsAccountingRef!K9</f>
        <v>0</v>
      </c>
      <c r="L13" s="46">
        <f ca="1">FossilEneEmissionsAccountingRef!L9</f>
        <v>0</v>
      </c>
      <c r="M13" s="46">
        <f ca="1">FossilEneEmissionsAccountingRef!M9</f>
        <v>0</v>
      </c>
      <c r="N13" s="46">
        <f ca="1">FossilEneEmissionsAccountingRef!N9</f>
        <v>0</v>
      </c>
      <c r="O13" s="46">
        <f>FossilEneEmissionsAccountingRef!O9</f>
        <v>0</v>
      </c>
      <c r="P13" s="46">
        <f>FossilEneEmissionsAccountingRef!P9</f>
        <v>0</v>
      </c>
      <c r="Q13" s="46">
        <f>FossilEneEmissionsAccountingRef!Q9</f>
        <v>0</v>
      </c>
      <c r="R13" s="46">
        <f>FossilEneEmissionsAccountingRef!R9</f>
        <v>0</v>
      </c>
      <c r="S13" s="46">
        <f>FossilEneEmissionsAccountingRef!S9</f>
        <v>0</v>
      </c>
      <c r="T13" s="46">
        <f>FossilEneEmissionsAccountingRef!T9</f>
        <v>0</v>
      </c>
    </row>
    <row r="14" spans="1:20" x14ac:dyDescent="0.15">
      <c r="D14" s="46">
        <f t="shared" ref="D14:M14" ca="1" si="3">D13*-1</f>
        <v>0</v>
      </c>
      <c r="E14" s="46">
        <f t="shared" ca="1" si="3"/>
        <v>0</v>
      </c>
      <c r="F14" s="46">
        <f t="shared" ca="1" si="3"/>
        <v>0</v>
      </c>
      <c r="G14" s="46">
        <f t="shared" ca="1" si="3"/>
        <v>0</v>
      </c>
      <c r="H14" s="46">
        <f t="shared" ca="1" si="3"/>
        <v>0</v>
      </c>
      <c r="I14" s="46">
        <f t="shared" ca="1" si="3"/>
        <v>0</v>
      </c>
      <c r="J14" s="46">
        <f t="shared" ca="1" si="3"/>
        <v>0</v>
      </c>
      <c r="K14" s="46">
        <f t="shared" ca="1" si="3"/>
        <v>0</v>
      </c>
      <c r="L14" s="46">
        <f t="shared" ca="1" si="3"/>
        <v>0</v>
      </c>
      <c r="M14" s="46">
        <f t="shared" ca="1" si="3"/>
        <v>0</v>
      </c>
      <c r="N14" s="46">
        <f t="shared" ref="N14:T14" ca="1" si="4">N13*-1</f>
        <v>0</v>
      </c>
      <c r="O14" s="46">
        <f t="shared" si="4"/>
        <v>0</v>
      </c>
      <c r="P14" s="46">
        <f t="shared" si="4"/>
        <v>0</v>
      </c>
      <c r="Q14" s="46">
        <f t="shared" si="4"/>
        <v>0</v>
      </c>
      <c r="R14" s="46">
        <f t="shared" si="4"/>
        <v>0</v>
      </c>
      <c r="S14" s="46">
        <f t="shared" si="4"/>
        <v>0</v>
      </c>
      <c r="T14" s="46">
        <f t="shared" si="4"/>
        <v>0</v>
      </c>
    </row>
    <row r="15" spans="1:20" x14ac:dyDescent="0.15">
      <c r="D15" s="46">
        <f ca="1">D14*10^-3</f>
        <v>0</v>
      </c>
      <c r="E15" s="46">
        <f t="shared" ref="E15:T15" ca="1" si="5">E14*10^-3</f>
        <v>0</v>
      </c>
      <c r="F15" s="46">
        <f t="shared" ca="1" si="5"/>
        <v>0</v>
      </c>
      <c r="G15" s="46">
        <f t="shared" ca="1" si="5"/>
        <v>0</v>
      </c>
      <c r="H15" s="46">
        <f t="shared" ca="1" si="5"/>
        <v>0</v>
      </c>
      <c r="I15" s="46">
        <f t="shared" ca="1" si="5"/>
        <v>0</v>
      </c>
      <c r="J15" s="46">
        <f t="shared" ca="1" si="5"/>
        <v>0</v>
      </c>
      <c r="K15" s="46">
        <f t="shared" ca="1" si="5"/>
        <v>0</v>
      </c>
      <c r="L15" s="46">
        <f t="shared" ca="1" si="5"/>
        <v>0</v>
      </c>
      <c r="M15" s="46">
        <f t="shared" ca="1" si="5"/>
        <v>0</v>
      </c>
      <c r="N15" s="46">
        <f t="shared" ca="1" si="5"/>
        <v>0</v>
      </c>
      <c r="O15" s="46">
        <f t="shared" si="5"/>
        <v>0</v>
      </c>
      <c r="P15" s="46">
        <f t="shared" si="5"/>
        <v>0</v>
      </c>
      <c r="Q15" s="46">
        <f t="shared" si="5"/>
        <v>0</v>
      </c>
      <c r="R15" s="46">
        <f t="shared" si="5"/>
        <v>0</v>
      </c>
      <c r="S15" s="46">
        <f t="shared" si="5"/>
        <v>0</v>
      </c>
      <c r="T15" s="46">
        <f t="shared" si="5"/>
        <v>0</v>
      </c>
    </row>
    <row r="17" spans="1:20" x14ac:dyDescent="0.15">
      <c r="A17" s="36" t="s">
        <v>240</v>
      </c>
      <c r="B17" s="36"/>
      <c r="D17" s="46" t="e">
        <f ca="1">D14/$E14</f>
        <v>#DIV/0!</v>
      </c>
      <c r="E17" s="46" t="e">
        <f t="shared" ref="E17:T17" ca="1" si="6">E14/$E14</f>
        <v>#DIV/0!</v>
      </c>
      <c r="F17" s="46" t="e">
        <f t="shared" ca="1" si="6"/>
        <v>#DIV/0!</v>
      </c>
      <c r="G17" s="46" t="e">
        <f t="shared" ca="1" si="6"/>
        <v>#DIV/0!</v>
      </c>
      <c r="H17" s="46" t="e">
        <f t="shared" ca="1" si="6"/>
        <v>#DIV/0!</v>
      </c>
      <c r="I17" s="46" t="e">
        <f t="shared" ca="1" si="6"/>
        <v>#DIV/0!</v>
      </c>
      <c r="J17" s="46" t="e">
        <f t="shared" ca="1" si="6"/>
        <v>#DIV/0!</v>
      </c>
      <c r="K17" s="46" t="e">
        <f t="shared" ca="1" si="6"/>
        <v>#DIV/0!</v>
      </c>
      <c r="L17" s="46" t="e">
        <f t="shared" ca="1" si="6"/>
        <v>#DIV/0!</v>
      </c>
      <c r="M17" s="46" t="e">
        <f t="shared" ca="1" si="6"/>
        <v>#DIV/0!</v>
      </c>
      <c r="N17" s="46" t="e">
        <f t="shared" ca="1" si="6"/>
        <v>#DIV/0!</v>
      </c>
      <c r="O17" s="46" t="e">
        <f t="shared" ca="1" si="6"/>
        <v>#DIV/0!</v>
      </c>
      <c r="P17" s="46" t="e">
        <f t="shared" ca="1" si="6"/>
        <v>#DIV/0!</v>
      </c>
      <c r="Q17" s="46" t="e">
        <f t="shared" ca="1" si="6"/>
        <v>#DIV/0!</v>
      </c>
      <c r="R17" s="46" t="e">
        <f t="shared" ca="1" si="6"/>
        <v>#DIV/0!</v>
      </c>
      <c r="S17" s="46" t="e">
        <f t="shared" ca="1" si="6"/>
        <v>#DIV/0!</v>
      </c>
      <c r="T17" s="46" t="e">
        <f t="shared" ca="1" si="6"/>
        <v>#DIV/0!</v>
      </c>
    </row>
    <row r="19" spans="1:20" x14ac:dyDescent="0.15">
      <c r="A19" s="36" t="s">
        <v>241</v>
      </c>
      <c r="B19" s="36"/>
      <c r="D19" s="46">
        <f ca="1">D15/$E$5</f>
        <v>0</v>
      </c>
      <c r="E19" s="46">
        <f t="shared" ref="E19:T19" ca="1" si="7">E15/$E$5</f>
        <v>0</v>
      </c>
      <c r="F19" s="46">
        <f t="shared" ca="1" si="7"/>
        <v>0</v>
      </c>
      <c r="G19" s="46">
        <f t="shared" ca="1" si="7"/>
        <v>0</v>
      </c>
      <c r="H19" s="46">
        <f t="shared" ca="1" si="7"/>
        <v>0</v>
      </c>
      <c r="I19" s="46">
        <f t="shared" ca="1" si="7"/>
        <v>0</v>
      </c>
      <c r="J19" s="46">
        <f t="shared" ca="1" si="7"/>
        <v>0</v>
      </c>
      <c r="K19" s="46">
        <f t="shared" ca="1" si="7"/>
        <v>0</v>
      </c>
      <c r="L19" s="46">
        <f t="shared" ca="1" si="7"/>
        <v>0</v>
      </c>
      <c r="M19" s="46">
        <f t="shared" ca="1" si="7"/>
        <v>0</v>
      </c>
      <c r="N19" s="46">
        <f t="shared" ca="1" si="7"/>
        <v>0</v>
      </c>
      <c r="O19" s="46">
        <f t="shared" ca="1" si="7"/>
        <v>0</v>
      </c>
      <c r="P19" s="46">
        <f t="shared" ca="1" si="7"/>
        <v>0</v>
      </c>
      <c r="Q19" s="46">
        <f t="shared" ca="1" si="7"/>
        <v>0</v>
      </c>
      <c r="R19" s="46">
        <f t="shared" ca="1" si="7"/>
        <v>0</v>
      </c>
      <c r="S19" s="46">
        <f t="shared" ca="1" si="7"/>
        <v>0</v>
      </c>
      <c r="T19" s="46">
        <f t="shared" ca="1" si="7"/>
        <v>0</v>
      </c>
    </row>
    <row r="21" spans="1:20" x14ac:dyDescent="0.15">
      <c r="A21" s="36" t="s">
        <v>129</v>
      </c>
      <c r="B21" s="36"/>
      <c r="E21" s="192"/>
      <c r="F21" s="192" t="e">
        <f t="shared" ref="F21:T21" ca="1" si="8">((F14-E14)/(F$2-E$2))/$E14</f>
        <v>#DIV/0!</v>
      </c>
      <c r="G21" s="192" t="e">
        <f t="shared" ca="1" si="8"/>
        <v>#DIV/0!</v>
      </c>
      <c r="H21" s="192" t="e">
        <f t="shared" ca="1" si="8"/>
        <v>#DIV/0!</v>
      </c>
      <c r="I21" s="192" t="e">
        <f t="shared" ca="1" si="8"/>
        <v>#DIV/0!</v>
      </c>
      <c r="J21" s="192" t="e">
        <f t="shared" ca="1" si="8"/>
        <v>#DIV/0!</v>
      </c>
      <c r="K21" s="192" t="e">
        <f t="shared" ca="1" si="8"/>
        <v>#DIV/0!</v>
      </c>
      <c r="L21" s="192" t="e">
        <f t="shared" ca="1" si="8"/>
        <v>#DIV/0!</v>
      </c>
      <c r="M21" s="192" t="e">
        <f t="shared" ca="1" si="8"/>
        <v>#DIV/0!</v>
      </c>
      <c r="N21" s="192" t="e">
        <f t="shared" ca="1" si="8"/>
        <v>#DIV/0!</v>
      </c>
      <c r="O21" s="192" t="e">
        <f t="shared" ca="1" si="8"/>
        <v>#DIV/0!</v>
      </c>
      <c r="P21" s="192" t="e">
        <f t="shared" ca="1" si="8"/>
        <v>#DIV/0!</v>
      </c>
      <c r="Q21" s="192" t="e">
        <f t="shared" ca="1" si="8"/>
        <v>#DIV/0!</v>
      </c>
      <c r="R21" s="192" t="e">
        <f t="shared" ca="1" si="8"/>
        <v>#DIV/0!</v>
      </c>
      <c r="S21" s="192" t="e">
        <f t="shared" ca="1" si="8"/>
        <v>#DIV/0!</v>
      </c>
      <c r="T21" s="192" t="e">
        <f t="shared" ca="1" si="8"/>
        <v>#DIV/0!</v>
      </c>
    </row>
    <row r="25" spans="1:20" x14ac:dyDescent="0.15">
      <c r="A25" s="1" t="s">
        <v>133</v>
      </c>
      <c r="D25" s="46">
        <f ca="1">IndustryEmissionsAccountingRef!D7</f>
        <v>0</v>
      </c>
      <c r="E25" s="46">
        <f ca="1">IndustryEmissionsAccountingRef!E7</f>
        <v>1619.6451683839161</v>
      </c>
      <c r="F25" s="46">
        <f ca="1">IndustryEmissionsAccountingRef!F7</f>
        <v>1846.3895320892334</v>
      </c>
      <c r="G25" s="46">
        <f ca="1">IndustryEmissionsAccountingRef!G7</f>
        <v>2014.8549278577168</v>
      </c>
      <c r="H25" s="46">
        <f ca="1">IndustryEmissionsAccountingRef!H7</f>
        <v>2097.1979300181069</v>
      </c>
      <c r="I25" s="46">
        <f ca="1">IndustryEmissionsAccountingRef!I7</f>
        <v>2292.7681605021157</v>
      </c>
      <c r="J25" s="46">
        <f ca="1">IndustryEmissionsAccountingRef!J7</f>
        <v>2535.1934035619097</v>
      </c>
      <c r="K25" s="46">
        <f ca="1">IndustryEmissionsAccountingRef!K7</f>
        <v>2635.3624661763506</v>
      </c>
      <c r="L25" s="46">
        <f ca="1">IndustryEmissionsAccountingRef!L7</f>
        <v>2885.1141730944314</v>
      </c>
      <c r="M25" s="46">
        <f ca="1">IndustryEmissionsAccountingRef!M7</f>
        <v>3324.2319027582803</v>
      </c>
      <c r="N25" s="46">
        <f ca="1">IndustryEmissionsAccountingRef!N7</f>
        <v>3714.6559556325274</v>
      </c>
      <c r="O25" s="46">
        <f>IndustryEmissionsAccountingRef!O7</f>
        <v>0</v>
      </c>
      <c r="P25" s="46">
        <f>IndustryEmissionsAccountingRef!P7</f>
        <v>0</v>
      </c>
      <c r="Q25" s="46">
        <f>IndustryEmissionsAccountingRef!Q7</f>
        <v>0</v>
      </c>
      <c r="R25" s="46">
        <f>IndustryEmissionsAccountingRef!R7</f>
        <v>0</v>
      </c>
      <c r="S25" s="46">
        <f>IndustryEmissionsAccountingRef!S7</f>
        <v>0</v>
      </c>
      <c r="T25" s="46">
        <f>IndustryEmissionsAccountingRef!T7</f>
        <v>0</v>
      </c>
    </row>
    <row r="26" spans="1:20" x14ac:dyDescent="0.15">
      <c r="D26" s="46">
        <f t="shared" ref="D26:M26" ca="1" si="9">D25*10^-3</f>
        <v>0</v>
      </c>
      <c r="E26" s="46">
        <f t="shared" ca="1" si="9"/>
        <v>1.6196451683839161</v>
      </c>
      <c r="F26" s="46">
        <f t="shared" ca="1" si="9"/>
        <v>1.8463895320892334</v>
      </c>
      <c r="G26" s="46">
        <f t="shared" ca="1" si="9"/>
        <v>2.014854927857717</v>
      </c>
      <c r="H26" s="46">
        <f t="shared" ca="1" si="9"/>
        <v>2.0971979300181069</v>
      </c>
      <c r="I26" s="46">
        <f t="shared" ca="1" si="9"/>
        <v>2.2927681605021157</v>
      </c>
      <c r="J26" s="46">
        <f t="shared" ca="1" si="9"/>
        <v>2.5351934035619097</v>
      </c>
      <c r="K26" s="46">
        <f t="shared" ca="1" si="9"/>
        <v>2.6353624661763506</v>
      </c>
      <c r="L26" s="46">
        <f t="shared" ca="1" si="9"/>
        <v>2.8851141730944314</v>
      </c>
      <c r="M26" s="46">
        <f t="shared" ca="1" si="9"/>
        <v>3.3242319027582803</v>
      </c>
      <c r="N26" s="46">
        <f t="shared" ref="N26:T26" ca="1" si="10">N25*10^-3</f>
        <v>3.7146559556325274</v>
      </c>
      <c r="O26" s="46">
        <f t="shared" si="10"/>
        <v>0</v>
      </c>
      <c r="P26" s="46">
        <f t="shared" si="10"/>
        <v>0</v>
      </c>
      <c r="Q26" s="46">
        <f t="shared" si="10"/>
        <v>0</v>
      </c>
      <c r="R26" s="46">
        <f t="shared" si="10"/>
        <v>0</v>
      </c>
      <c r="S26" s="46">
        <f t="shared" si="10"/>
        <v>0</v>
      </c>
      <c r="T26" s="46">
        <f t="shared" si="10"/>
        <v>0</v>
      </c>
    </row>
    <row r="28" spans="1:20" x14ac:dyDescent="0.15">
      <c r="A28" s="36" t="s">
        <v>240</v>
      </c>
      <c r="B28" s="36"/>
      <c r="D28" s="5">
        <f t="shared" ref="D28:M28" ca="1" si="11">D25/$E25</f>
        <v>0</v>
      </c>
      <c r="E28" s="5">
        <f t="shared" ca="1" si="11"/>
        <v>1</v>
      </c>
      <c r="F28" s="5">
        <f t="shared" ca="1" si="11"/>
        <v>1.13999632026289</v>
      </c>
      <c r="G28" s="5">
        <f t="shared" ca="1" si="11"/>
        <v>1.2440100876342819</v>
      </c>
      <c r="H28" s="5">
        <f t="shared" ca="1" si="11"/>
        <v>1.2948502369260877</v>
      </c>
      <c r="I28" s="5">
        <f t="shared" ca="1" si="11"/>
        <v>1.4155990492595625</v>
      </c>
      <c r="J28" s="5">
        <f t="shared" ca="1" si="11"/>
        <v>1.5652770452750022</v>
      </c>
      <c r="K28" s="5">
        <f t="shared" ca="1" si="11"/>
        <v>1.6271233462857291</v>
      </c>
      <c r="L28" s="5">
        <f t="shared" ca="1" si="11"/>
        <v>1.78132484164615</v>
      </c>
      <c r="M28" s="5">
        <f t="shared" ca="1" si="11"/>
        <v>2.0524445524541668</v>
      </c>
      <c r="N28" s="5">
        <f t="shared" ref="N28:T28" ca="1" si="12">N25/$E25</f>
        <v>2.293499853019668</v>
      </c>
      <c r="O28" s="5">
        <f t="shared" ca="1" si="12"/>
        <v>0</v>
      </c>
      <c r="P28" s="5">
        <f t="shared" ca="1" si="12"/>
        <v>0</v>
      </c>
      <c r="Q28" s="5">
        <f t="shared" ca="1" si="12"/>
        <v>0</v>
      </c>
      <c r="R28" s="5">
        <f t="shared" ca="1" si="12"/>
        <v>0</v>
      </c>
      <c r="S28" s="5">
        <f t="shared" ca="1" si="12"/>
        <v>0</v>
      </c>
      <c r="T28" s="5">
        <f t="shared" ca="1" si="12"/>
        <v>0</v>
      </c>
    </row>
    <row r="29" spans="1:20" x14ac:dyDescent="0.15">
      <c r="E29" s="5"/>
      <c r="F29" s="5"/>
      <c r="G29" s="5"/>
      <c r="H29" s="5"/>
      <c r="I29" s="5"/>
      <c r="J29" s="5"/>
      <c r="K29" s="5"/>
      <c r="L29" s="5"/>
      <c r="M29" s="5"/>
      <c r="N29" s="5"/>
      <c r="O29" s="5"/>
      <c r="P29" s="5"/>
      <c r="Q29" s="5"/>
      <c r="R29" s="5"/>
      <c r="S29" s="5"/>
      <c r="T29" s="5"/>
    </row>
    <row r="30" spans="1:20" x14ac:dyDescent="0.15">
      <c r="A30" s="36" t="s">
        <v>241</v>
      </c>
      <c r="B30" s="36"/>
      <c r="D30" s="46">
        <f t="shared" ref="D30:M30" ca="1" si="13">D26/$E$5</f>
        <v>0</v>
      </c>
      <c r="E30" s="46">
        <f t="shared" ca="1" si="13"/>
        <v>5.311944066367523E-2</v>
      </c>
      <c r="F30" s="46">
        <f t="shared" ca="1" si="13"/>
        <v>6.0555966891012697E-2</v>
      </c>
      <c r="G30" s="46">
        <f t="shared" ca="1" si="13"/>
        <v>6.6081120035102664E-2</v>
      </c>
      <c r="H30" s="46">
        <f t="shared" ca="1" si="13"/>
        <v>6.8781720328741122E-2</v>
      </c>
      <c r="I30" s="46">
        <f t="shared" ca="1" si="13"/>
        <v>7.5195829700698408E-2</v>
      </c>
      <c r="J30" s="46">
        <f t="shared" ca="1" si="13"/>
        <v>8.3146641128698365E-2</v>
      </c>
      <c r="K30" s="46">
        <f t="shared" ca="1" si="13"/>
        <v>8.6431882045505462E-2</v>
      </c>
      <c r="L30" s="46">
        <f t="shared" ca="1" si="13"/>
        <v>9.4622979228553339E-2</v>
      </c>
      <c r="M30" s="46">
        <f t="shared" ca="1" si="13"/>
        <v>0.10902470661957257</v>
      </c>
      <c r="N30" s="46">
        <f t="shared" ref="N30:T30" ca="1" si="14">N26/$E$5</f>
        <v>0.12182942935462612</v>
      </c>
      <c r="O30" s="46">
        <f t="shared" ca="1" si="14"/>
        <v>0</v>
      </c>
      <c r="P30" s="46">
        <f t="shared" ca="1" si="14"/>
        <v>0</v>
      </c>
      <c r="Q30" s="46">
        <f t="shared" ca="1" si="14"/>
        <v>0</v>
      </c>
      <c r="R30" s="46">
        <f t="shared" ca="1" si="14"/>
        <v>0</v>
      </c>
      <c r="S30" s="46">
        <f t="shared" ca="1" si="14"/>
        <v>0</v>
      </c>
      <c r="T30" s="46">
        <f t="shared" ca="1" si="14"/>
        <v>0</v>
      </c>
    </row>
    <row r="31" spans="1:20" ht="14" customHeight="1" x14ac:dyDescent="0.15"/>
    <row r="32" spans="1:20" x14ac:dyDescent="0.15">
      <c r="A32" s="36" t="s">
        <v>129</v>
      </c>
      <c r="B32" s="36"/>
      <c r="E32" s="192"/>
      <c r="F32" s="192">
        <f t="shared" ref="F32:T32" ca="1" si="15">((F25-E25)/(F$2-E$2))/$E25</f>
        <v>1.3999632026289009E-2</v>
      </c>
      <c r="G32" s="192">
        <f t="shared" ca="1" si="15"/>
        <v>1.0401376737139183E-2</v>
      </c>
      <c r="H32" s="192">
        <f t="shared" ca="1" si="15"/>
        <v>5.0840149291805732E-3</v>
      </c>
      <c r="I32" s="192">
        <f t="shared" ca="1" si="15"/>
        <v>1.2074881233347486E-2</v>
      </c>
      <c r="J32" s="192">
        <f t="shared" ca="1" si="15"/>
        <v>1.496779960154397E-2</v>
      </c>
      <c r="K32" s="192">
        <f t="shared" ca="1" si="15"/>
        <v>6.1846301010726771E-3</v>
      </c>
      <c r="L32" s="192">
        <f t="shared" ca="1" si="15"/>
        <v>1.5420149536042104E-2</v>
      </c>
      <c r="M32" s="192">
        <f t="shared" ca="1" si="15"/>
        <v>2.711197108080167E-2</v>
      </c>
      <c r="N32" s="192">
        <f t="shared" ca="1" si="15"/>
        <v>2.4105530056550143E-2</v>
      </c>
      <c r="O32" s="192">
        <f t="shared" ca="1" si="15"/>
        <v>1.0921427871522229E-3</v>
      </c>
      <c r="P32" s="192" t="e">
        <f t="shared" ca="1" si="15"/>
        <v>#DIV/0!</v>
      </c>
      <c r="Q32" s="192" t="e">
        <f t="shared" ca="1" si="15"/>
        <v>#DIV/0!</v>
      </c>
      <c r="R32" s="192" t="e">
        <f t="shared" ca="1" si="15"/>
        <v>#DIV/0!</v>
      </c>
      <c r="S32" s="192" t="e">
        <f t="shared" ca="1" si="15"/>
        <v>#DIV/0!</v>
      </c>
      <c r="T32" s="192" t="e">
        <f t="shared" ca="1" si="15"/>
        <v>#DIV/0!</v>
      </c>
    </row>
    <row r="36" spans="1:20" x14ac:dyDescent="0.15">
      <c r="A36" s="1" t="s">
        <v>132</v>
      </c>
      <c r="D36" s="46">
        <f ca="1">'Ref Data'!G18</f>
        <v>3789.3628800000001</v>
      </c>
      <c r="E36" s="46">
        <f ca="1">'Ref Data'!H18</f>
        <v>3502.3383199999998</v>
      </c>
      <c r="F36" s="46">
        <f ca="1">'Ref Data'!I18</f>
        <v>5212.4559639999998</v>
      </c>
      <c r="G36" s="46">
        <f ca="1">'Ref Data'!J18</f>
        <v>6280.9146549999996</v>
      </c>
      <c r="H36" s="46">
        <f ca="1">'Ref Data'!K18</f>
        <v>6178.3188639999998</v>
      </c>
      <c r="I36" s="46">
        <f ca="1">'Ref Data'!L18</f>
        <v>5046.7978469999998</v>
      </c>
      <c r="J36" s="46">
        <f ca="1">'Ref Data'!M18</f>
        <v>1435.313699</v>
      </c>
      <c r="K36" s="46">
        <f ca="1">'Ref Data'!N18</f>
        <v>726.26427820000004</v>
      </c>
      <c r="L36" s="46">
        <f ca="1">'Ref Data'!O18</f>
        <v>914.21360279999999</v>
      </c>
      <c r="M36" s="46">
        <f ca="1">'Ref Data'!P18</f>
        <v>-115.4519071</v>
      </c>
      <c r="N36" s="46">
        <f ca="1">'Ref Data'!Q18</f>
        <v>-526.66452530000004</v>
      </c>
      <c r="O36" s="46">
        <f>'Ref Data'!R18</f>
        <v>0</v>
      </c>
      <c r="P36" s="46">
        <f>'Ref Data'!S18</f>
        <v>0</v>
      </c>
      <c r="Q36" s="46">
        <f>'Ref Data'!T18</f>
        <v>0</v>
      </c>
      <c r="R36" s="46">
        <f>'Ref Data'!U18</f>
        <v>0</v>
      </c>
      <c r="S36" s="46">
        <f>'Ref Data'!V18</f>
        <v>0</v>
      </c>
      <c r="T36" s="46">
        <f>'Ref Data'!W18</f>
        <v>0</v>
      </c>
    </row>
    <row r="37" spans="1:20" x14ac:dyDescent="0.15">
      <c r="D37" s="46">
        <f t="shared" ref="D37:M37" ca="1" si="16">D36*10^-3</f>
        <v>3.7893628800000001</v>
      </c>
      <c r="E37" s="46">
        <f t="shared" ca="1" si="16"/>
        <v>3.5023383199999998</v>
      </c>
      <c r="F37" s="46">
        <f t="shared" ca="1" si="16"/>
        <v>5.2124559640000001</v>
      </c>
      <c r="G37" s="46">
        <f t="shared" ca="1" si="16"/>
        <v>6.2809146550000001</v>
      </c>
      <c r="H37" s="46">
        <f t="shared" ca="1" si="16"/>
        <v>6.1783188640000004</v>
      </c>
      <c r="I37" s="46">
        <f t="shared" ca="1" si="16"/>
        <v>5.0467978469999997</v>
      </c>
      <c r="J37" s="46">
        <f t="shared" ca="1" si="16"/>
        <v>1.4353136990000002</v>
      </c>
      <c r="K37" s="46">
        <f t="shared" ca="1" si="16"/>
        <v>0.72626427820000006</v>
      </c>
      <c r="L37" s="46">
        <f t="shared" ca="1" si="16"/>
        <v>0.91421360279999997</v>
      </c>
      <c r="M37" s="46">
        <f t="shared" ca="1" si="16"/>
        <v>-0.1154519071</v>
      </c>
      <c r="N37" s="46">
        <f t="shared" ref="N37:T37" ca="1" si="17">N36*10^-3</f>
        <v>-0.52666452530000007</v>
      </c>
      <c r="O37" s="46">
        <f t="shared" si="17"/>
        <v>0</v>
      </c>
      <c r="P37" s="46">
        <f t="shared" si="17"/>
        <v>0</v>
      </c>
      <c r="Q37" s="46">
        <f t="shared" si="17"/>
        <v>0</v>
      </c>
      <c r="R37" s="46">
        <f t="shared" si="17"/>
        <v>0</v>
      </c>
      <c r="S37" s="46">
        <f t="shared" si="17"/>
        <v>0</v>
      </c>
      <c r="T37" s="46">
        <f t="shared" si="17"/>
        <v>0</v>
      </c>
    </row>
    <row r="39" spans="1:20" x14ac:dyDescent="0.15">
      <c r="K39" s="46">
        <v>0</v>
      </c>
      <c r="L39" s="46">
        <f ca="1">L36</f>
        <v>914.21360279999999</v>
      </c>
      <c r="M39" s="46">
        <f ca="1">M36</f>
        <v>-115.4519071</v>
      </c>
      <c r="N39" s="46">
        <f t="shared" ref="N39:T39" ca="1" si="18">N36</f>
        <v>-526.66452530000004</v>
      </c>
      <c r="O39" s="46">
        <f t="shared" si="18"/>
        <v>0</v>
      </c>
      <c r="P39" s="46">
        <f t="shared" si="18"/>
        <v>0</v>
      </c>
      <c r="Q39" s="46">
        <f t="shared" si="18"/>
        <v>0</v>
      </c>
      <c r="R39" s="46">
        <f t="shared" si="18"/>
        <v>0</v>
      </c>
      <c r="S39" s="46">
        <f t="shared" si="18"/>
        <v>0</v>
      </c>
      <c r="T39" s="46">
        <f t="shared" si="18"/>
        <v>0</v>
      </c>
    </row>
    <row r="40" spans="1:20" x14ac:dyDescent="0.15">
      <c r="D40" s="46">
        <f t="shared" ref="D40:M40" si="19">D39*10^-3</f>
        <v>0</v>
      </c>
      <c r="E40" s="46">
        <f t="shared" si="19"/>
        <v>0</v>
      </c>
      <c r="F40" s="46">
        <f t="shared" si="19"/>
        <v>0</v>
      </c>
      <c r="G40" s="46">
        <f t="shared" si="19"/>
        <v>0</v>
      </c>
      <c r="H40" s="46">
        <f t="shared" si="19"/>
        <v>0</v>
      </c>
      <c r="I40" s="46">
        <f t="shared" si="19"/>
        <v>0</v>
      </c>
      <c r="J40" s="46">
        <f t="shared" si="19"/>
        <v>0</v>
      </c>
      <c r="K40" s="46">
        <f t="shared" si="19"/>
        <v>0</v>
      </c>
      <c r="L40" s="46">
        <f t="shared" ca="1" si="19"/>
        <v>0.91421360279999997</v>
      </c>
      <c r="M40" s="46">
        <f t="shared" ca="1" si="19"/>
        <v>-0.1154519071</v>
      </c>
      <c r="N40" s="46">
        <f t="shared" ref="N40:T40" ca="1" si="20">N39*10^-3</f>
        <v>-0.52666452530000007</v>
      </c>
      <c r="O40" s="46">
        <f t="shared" si="20"/>
        <v>0</v>
      </c>
      <c r="P40" s="46">
        <f t="shared" si="20"/>
        <v>0</v>
      </c>
      <c r="Q40" s="46">
        <f t="shared" si="20"/>
        <v>0</v>
      </c>
      <c r="R40" s="46">
        <f t="shared" si="20"/>
        <v>0</v>
      </c>
      <c r="S40" s="46">
        <f t="shared" si="20"/>
        <v>0</v>
      </c>
      <c r="T40" s="46">
        <f t="shared" si="20"/>
        <v>0</v>
      </c>
    </row>
    <row r="42" spans="1:20" x14ac:dyDescent="0.15">
      <c r="A42" s="36" t="s">
        <v>240</v>
      </c>
      <c r="B42" s="36"/>
      <c r="D42" s="5">
        <f t="shared" ref="D42:M42" ca="1" si="21">D36/$E36</f>
        <v>1.0819522655367002</v>
      </c>
      <c r="E42" s="5">
        <f t="shared" ca="1" si="21"/>
        <v>1</v>
      </c>
      <c r="F42" s="5">
        <f t="shared" ca="1" si="21"/>
        <v>1.4882788262442903</v>
      </c>
      <c r="G42" s="5">
        <f t="shared" ca="1" si="21"/>
        <v>1.7933489232416586</v>
      </c>
      <c r="H42" s="5">
        <f t="shared" ca="1" si="21"/>
        <v>1.7640554108433477</v>
      </c>
      <c r="I42" s="5">
        <f t="shared" ca="1" si="21"/>
        <v>1.4409795359233029</v>
      </c>
      <c r="J42" s="5">
        <f t="shared" ca="1" si="21"/>
        <v>0.40981583383983305</v>
      </c>
      <c r="K42" s="5">
        <f t="shared" ca="1" si="21"/>
        <v>0.20736554034562832</v>
      </c>
      <c r="L42" s="5">
        <f t="shared" ca="1" si="21"/>
        <v>0.26102949494610789</v>
      </c>
      <c r="M42" s="5">
        <f t="shared" ca="1" si="21"/>
        <v>-3.2964236047875579E-2</v>
      </c>
      <c r="N42" s="5">
        <f t="shared" ref="N42:T42" ca="1" si="22">N36/$E36</f>
        <v>-0.15037511433218709</v>
      </c>
      <c r="O42" s="5">
        <f t="shared" ca="1" si="22"/>
        <v>0</v>
      </c>
      <c r="P42" s="5">
        <f t="shared" ca="1" si="22"/>
        <v>0</v>
      </c>
      <c r="Q42" s="5">
        <f t="shared" ca="1" si="22"/>
        <v>0</v>
      </c>
      <c r="R42" s="5">
        <f t="shared" ca="1" si="22"/>
        <v>0</v>
      </c>
      <c r="S42" s="5">
        <f t="shared" ca="1" si="22"/>
        <v>0</v>
      </c>
      <c r="T42" s="5">
        <f t="shared" ca="1" si="22"/>
        <v>0</v>
      </c>
    </row>
    <row r="43" spans="1:20" x14ac:dyDescent="0.15">
      <c r="D43" s="5"/>
      <c r="E43" s="5"/>
      <c r="F43" s="5"/>
      <c r="G43" s="5"/>
      <c r="H43" s="5"/>
      <c r="I43" s="5"/>
      <c r="J43" s="5"/>
      <c r="K43" s="5">
        <v>0</v>
      </c>
      <c r="L43" s="5">
        <f ca="1">L36/$E36</f>
        <v>0.26102949494610789</v>
      </c>
      <c r="M43" s="5">
        <f ca="1">M36/$E36</f>
        <v>-3.2964236047875579E-2</v>
      </c>
      <c r="N43" s="5">
        <f t="shared" ref="N43:T43" ca="1" si="23">N36/$E36</f>
        <v>-0.15037511433218709</v>
      </c>
      <c r="O43" s="5">
        <f t="shared" ca="1" si="23"/>
        <v>0</v>
      </c>
      <c r="P43" s="5">
        <f t="shared" ca="1" si="23"/>
        <v>0</v>
      </c>
      <c r="Q43" s="5">
        <f t="shared" ca="1" si="23"/>
        <v>0</v>
      </c>
      <c r="R43" s="5">
        <f t="shared" ca="1" si="23"/>
        <v>0</v>
      </c>
      <c r="S43" s="5">
        <f t="shared" ca="1" si="23"/>
        <v>0</v>
      </c>
      <c r="T43" s="5">
        <f t="shared" ca="1" si="23"/>
        <v>0</v>
      </c>
    </row>
    <row r="44" spans="1:20" x14ac:dyDescent="0.15">
      <c r="E44" s="5"/>
      <c r="F44" s="5"/>
      <c r="G44" s="5"/>
      <c r="H44" s="5"/>
      <c r="I44" s="5"/>
      <c r="J44" s="5"/>
      <c r="K44" s="5"/>
      <c r="L44" s="5"/>
      <c r="M44" s="5"/>
      <c r="N44" s="5"/>
      <c r="O44" s="5"/>
      <c r="P44" s="5"/>
      <c r="Q44" s="5"/>
      <c r="R44" s="5"/>
      <c r="S44" s="5"/>
      <c r="T44" s="5"/>
    </row>
    <row r="45" spans="1:20" x14ac:dyDescent="0.15">
      <c r="A45" s="36" t="s">
        <v>242</v>
      </c>
      <c r="B45" s="36"/>
      <c r="D45" s="46">
        <f t="shared" ref="D45:M45" ca="1" si="24">D37/$E$5</f>
        <v>0.12427958949684005</v>
      </c>
      <c r="E45" s="46">
        <f t="shared" ca="1" si="24"/>
        <v>0.11486605597631558</v>
      </c>
      <c r="F45" s="46">
        <f t="shared" ca="1" si="24"/>
        <v>0.17095271896374192</v>
      </c>
      <c r="G45" s="46">
        <f t="shared" ca="1" si="24"/>
        <v>0.20599491780214166</v>
      </c>
      <c r="H45" s="46">
        <f t="shared" ca="1" si="24"/>
        <v>0.20263008756725437</v>
      </c>
      <c r="I45" s="46">
        <f t="shared" ca="1" si="24"/>
        <v>0.16551963603409134</v>
      </c>
      <c r="J45" s="46">
        <f t="shared" ca="1" si="24"/>
        <v>4.7073928509826717E-2</v>
      </c>
      <c r="K45" s="46">
        <f t="shared" ca="1" si="24"/>
        <v>2.381926176489987E-2</v>
      </c>
      <c r="L45" s="46">
        <f t="shared" ca="1" si="24"/>
        <v>2.9983428577949015E-2</v>
      </c>
      <c r="M45" s="46">
        <f t="shared" ca="1" si="24"/>
        <v>-3.7864717830917564E-3</v>
      </c>
      <c r="N45" s="46">
        <f t="shared" ref="N45:T45" ca="1" si="25">N37/$E$5</f>
        <v>-1.727299630032586E-2</v>
      </c>
      <c r="O45" s="46">
        <f t="shared" ca="1" si="25"/>
        <v>0</v>
      </c>
      <c r="P45" s="46">
        <f t="shared" ca="1" si="25"/>
        <v>0</v>
      </c>
      <c r="Q45" s="46">
        <f t="shared" ca="1" si="25"/>
        <v>0</v>
      </c>
      <c r="R45" s="46">
        <f t="shared" ca="1" si="25"/>
        <v>0</v>
      </c>
      <c r="S45" s="46">
        <f t="shared" ca="1" si="25"/>
        <v>0</v>
      </c>
      <c r="T45" s="46">
        <f t="shared" ca="1" si="25"/>
        <v>0</v>
      </c>
    </row>
    <row r="46" spans="1:20" x14ac:dyDescent="0.15">
      <c r="D46" s="5"/>
      <c r="E46" s="5"/>
      <c r="F46" s="5"/>
      <c r="G46" s="5"/>
      <c r="H46" s="5"/>
      <c r="I46" s="5"/>
      <c r="J46" s="5"/>
      <c r="K46" s="46">
        <f ca="1">K40/$E$5</f>
        <v>0</v>
      </c>
      <c r="L46" s="46">
        <f ca="1">L40/$E$5</f>
        <v>2.9983428577949015E-2</v>
      </c>
      <c r="M46" s="46">
        <f ca="1">M40/$E$5</f>
        <v>-3.7864717830917564E-3</v>
      </c>
      <c r="N46" s="46">
        <f t="shared" ref="N46:T46" ca="1" si="26">N40/$E$5</f>
        <v>-1.727299630032586E-2</v>
      </c>
      <c r="O46" s="46">
        <f t="shared" ca="1" si="26"/>
        <v>0</v>
      </c>
      <c r="P46" s="46">
        <f t="shared" ca="1" si="26"/>
        <v>0</v>
      </c>
      <c r="Q46" s="46">
        <f t="shared" ca="1" si="26"/>
        <v>0</v>
      </c>
      <c r="R46" s="46">
        <f t="shared" ca="1" si="26"/>
        <v>0</v>
      </c>
      <c r="S46" s="46">
        <f t="shared" ca="1" si="26"/>
        <v>0</v>
      </c>
      <c r="T46" s="46">
        <f t="shared" ca="1" si="26"/>
        <v>0</v>
      </c>
    </row>
    <row r="48" spans="1:20" x14ac:dyDescent="0.15">
      <c r="A48" s="36" t="s">
        <v>129</v>
      </c>
      <c r="B48" s="36"/>
      <c r="E48" s="192"/>
      <c r="F48" s="192">
        <f t="shared" ref="F48:T48" ca="1" si="27">((F36-E36)/(F$2-E$2))/$E36</f>
        <v>4.8827882624429046E-2</v>
      </c>
      <c r="G48" s="192">
        <f t="shared" ca="1" si="27"/>
        <v>3.0507009699736829E-2</v>
      </c>
      <c r="H48" s="192">
        <f t="shared" ca="1" si="27"/>
        <v>-2.9293512398311005E-3</v>
      </c>
      <c r="I48" s="192">
        <f t="shared" ca="1" si="27"/>
        <v>-3.2307587492004484E-2</v>
      </c>
      <c r="J48" s="192">
        <f t="shared" ca="1" si="27"/>
        <v>-0.10311637020834696</v>
      </c>
      <c r="K48" s="192">
        <f t="shared" ca="1" si="27"/>
        <v>-2.0245029349420476E-2</v>
      </c>
      <c r="L48" s="192">
        <f t="shared" ca="1" si="27"/>
        <v>5.3663954600479593E-3</v>
      </c>
      <c r="M48" s="192">
        <f t="shared" ca="1" si="27"/>
        <v>-2.939937309939835E-2</v>
      </c>
      <c r="N48" s="192">
        <f t="shared" ca="1" si="27"/>
        <v>-1.1741087828431153E-2</v>
      </c>
      <c r="O48" s="192">
        <f t="shared" ca="1" si="27"/>
        <v>-7.1607197301041479E-5</v>
      </c>
      <c r="P48" s="192" t="e">
        <f t="shared" ca="1" si="27"/>
        <v>#DIV/0!</v>
      </c>
      <c r="Q48" s="192" t="e">
        <f t="shared" ca="1" si="27"/>
        <v>#DIV/0!</v>
      </c>
      <c r="R48" s="192" t="e">
        <f t="shared" ca="1" si="27"/>
        <v>#DIV/0!</v>
      </c>
      <c r="S48" s="192" t="e">
        <f t="shared" ca="1" si="27"/>
        <v>#DIV/0!</v>
      </c>
      <c r="T48" s="192" t="e">
        <f t="shared" ca="1" si="27"/>
        <v>#DIV/0!</v>
      </c>
    </row>
    <row r="52" spans="1:20" x14ac:dyDescent="0.15">
      <c r="A52" s="1" t="s">
        <v>131</v>
      </c>
      <c r="D52" s="46">
        <f ca="1">OtherGases!G11</f>
        <v>12099.049023908881</v>
      </c>
      <c r="E52" s="46">
        <f ca="1">OtherGases!H11</f>
        <v>13334.865283349865</v>
      </c>
      <c r="F52" s="46">
        <f ca="1">OtherGases!I11</f>
        <v>15939.739666737963</v>
      </c>
      <c r="G52" s="46">
        <f ca="1">OtherGases!J11</f>
        <v>17764.204882630547</v>
      </c>
      <c r="H52" s="46">
        <f ca="1">OtherGases!K11</f>
        <v>19034.724456361368</v>
      </c>
      <c r="I52" s="46">
        <f ca="1">OtherGases!L11</f>
        <v>20008.051564016991</v>
      </c>
      <c r="J52" s="46">
        <f ca="1">OtherGases!M11</f>
        <v>20259.763970473618</v>
      </c>
      <c r="K52" s="46">
        <f ca="1">OtherGases!N11</f>
        <v>20824.77049869196</v>
      </c>
      <c r="L52" s="46">
        <f ca="1">OtherGases!O11</f>
        <v>21596.722674423901</v>
      </c>
      <c r="M52" s="46">
        <f ca="1">OtherGases!P11</f>
        <v>22235.638491831705</v>
      </c>
      <c r="N52" s="46">
        <f ca="1">OtherGases!Q11</f>
        <v>23179.844151206744</v>
      </c>
      <c r="O52" s="46">
        <f>OtherGases!R11</f>
        <v>0</v>
      </c>
      <c r="P52" s="46">
        <f>OtherGases!S11</f>
        <v>0</v>
      </c>
      <c r="Q52" s="46">
        <f>OtherGases!T11</f>
        <v>0</v>
      </c>
      <c r="R52" s="46">
        <f>OtherGases!U11</f>
        <v>0</v>
      </c>
      <c r="S52" s="46">
        <f>OtherGases!V11</f>
        <v>0</v>
      </c>
      <c r="T52" s="46">
        <f>OtherGases!W11</f>
        <v>0</v>
      </c>
    </row>
    <row r="53" spans="1:20" x14ac:dyDescent="0.15">
      <c r="D53" s="46">
        <f t="shared" ref="D53:M53" ca="1" si="28">D52*10^-3</f>
        <v>12.099049023908881</v>
      </c>
      <c r="E53" s="46">
        <f t="shared" ca="1" si="28"/>
        <v>13.334865283349865</v>
      </c>
      <c r="F53" s="46">
        <f t="shared" ca="1" si="28"/>
        <v>15.939739666737964</v>
      </c>
      <c r="G53" s="46">
        <f t="shared" ca="1" si="28"/>
        <v>17.764204882630548</v>
      </c>
      <c r="H53" s="46">
        <f t="shared" ca="1" si="28"/>
        <v>19.034724456361367</v>
      </c>
      <c r="I53" s="46">
        <f t="shared" ca="1" si="28"/>
        <v>20.008051564016991</v>
      </c>
      <c r="J53" s="46">
        <f t="shared" ca="1" si="28"/>
        <v>20.259763970473617</v>
      </c>
      <c r="K53" s="46">
        <f t="shared" ca="1" si="28"/>
        <v>20.824770498691962</v>
      </c>
      <c r="L53" s="46">
        <f t="shared" ca="1" si="28"/>
        <v>21.596722674423901</v>
      </c>
      <c r="M53" s="46">
        <f t="shared" ca="1" si="28"/>
        <v>22.235638491831704</v>
      </c>
      <c r="N53" s="46">
        <f t="shared" ref="N53:T53" ca="1" si="29">N52*10^-3</f>
        <v>23.179844151206744</v>
      </c>
      <c r="O53" s="46">
        <f t="shared" si="29"/>
        <v>0</v>
      </c>
      <c r="P53" s="46">
        <f t="shared" si="29"/>
        <v>0</v>
      </c>
      <c r="Q53" s="46">
        <f t="shared" si="29"/>
        <v>0</v>
      </c>
      <c r="R53" s="46">
        <f t="shared" si="29"/>
        <v>0</v>
      </c>
      <c r="S53" s="46">
        <f t="shared" si="29"/>
        <v>0</v>
      </c>
      <c r="T53" s="46">
        <f t="shared" si="29"/>
        <v>0</v>
      </c>
    </row>
    <row r="55" spans="1:20" x14ac:dyDescent="0.15">
      <c r="A55" s="36" t="s">
        <v>240</v>
      </c>
      <c r="B55" s="36"/>
      <c r="D55" s="5">
        <f t="shared" ref="D55:M55" ca="1" si="30">D52/$E52</f>
        <v>0.9073244286176595</v>
      </c>
      <c r="E55" s="5">
        <f t="shared" ca="1" si="30"/>
        <v>1</v>
      </c>
      <c r="F55" s="5">
        <f t="shared" ca="1" si="30"/>
        <v>1.195343134560241</v>
      </c>
      <c r="G55" s="5">
        <f t="shared" ca="1" si="30"/>
        <v>1.3321623057423182</v>
      </c>
      <c r="H55" s="5">
        <f t="shared" ca="1" si="30"/>
        <v>1.4274403266846978</v>
      </c>
      <c r="I55" s="5">
        <f t="shared" ca="1" si="30"/>
        <v>1.5004314733497441</v>
      </c>
      <c r="J55" s="5">
        <f t="shared" ca="1" si="30"/>
        <v>1.5193077350222874</v>
      </c>
      <c r="K55" s="5">
        <f t="shared" ca="1" si="30"/>
        <v>1.5616783564131027</v>
      </c>
      <c r="L55" s="5">
        <f t="shared" ca="1" si="30"/>
        <v>1.619568118276375</v>
      </c>
      <c r="M55" s="5">
        <f t="shared" ca="1" si="30"/>
        <v>1.6674812995370485</v>
      </c>
      <c r="N55" s="5">
        <f t="shared" ref="N55:T55" ca="1" si="31">N52/$E52</f>
        <v>1.7382885884981143</v>
      </c>
      <c r="O55" s="5">
        <f t="shared" ca="1" si="31"/>
        <v>0</v>
      </c>
      <c r="P55" s="5">
        <f t="shared" ca="1" si="31"/>
        <v>0</v>
      </c>
      <c r="Q55" s="5">
        <f t="shared" ca="1" si="31"/>
        <v>0</v>
      </c>
      <c r="R55" s="5">
        <f t="shared" ca="1" si="31"/>
        <v>0</v>
      </c>
      <c r="S55" s="5">
        <f t="shared" ca="1" si="31"/>
        <v>0</v>
      </c>
      <c r="T55" s="5">
        <f t="shared" ca="1" si="31"/>
        <v>0</v>
      </c>
    </row>
    <row r="56" spans="1:20" x14ac:dyDescent="0.15">
      <c r="E56" s="5"/>
      <c r="F56" s="5"/>
      <c r="G56" s="5"/>
      <c r="H56" s="5"/>
      <c r="I56" s="5"/>
      <c r="J56" s="5"/>
      <c r="K56" s="5"/>
      <c r="L56" s="5"/>
      <c r="M56" s="5"/>
      <c r="N56" s="5"/>
      <c r="O56" s="5"/>
      <c r="P56" s="5"/>
      <c r="Q56" s="5"/>
      <c r="R56" s="5"/>
      <c r="S56" s="5"/>
      <c r="T56" s="5"/>
    </row>
    <row r="57" spans="1:20" x14ac:dyDescent="0.15">
      <c r="A57" s="36" t="s">
        <v>241</v>
      </c>
      <c r="B57" s="36"/>
      <c r="D57" s="46">
        <f t="shared" ref="D57:M57" ca="1" si="32">D53/$E$5</f>
        <v>0.3968120482548082</v>
      </c>
      <c r="E57" s="46">
        <f t="shared" ca="1" si="32"/>
        <v>0.43734306686679342</v>
      </c>
      <c r="F57" s="46">
        <f t="shared" ca="1" si="32"/>
        <v>0.52277503242674195</v>
      </c>
      <c r="G57" s="46">
        <f t="shared" ca="1" si="32"/>
        <v>0.58261194835768437</v>
      </c>
      <c r="H57" s="46">
        <f t="shared" ca="1" si="32"/>
        <v>0.62428113024162324</v>
      </c>
      <c r="I57" s="46">
        <f t="shared" ca="1" si="32"/>
        <v>0.65620330217823852</v>
      </c>
      <c r="J57" s="46">
        <f t="shared" ca="1" si="32"/>
        <v>0.66445870434908871</v>
      </c>
      <c r="K57" s="46">
        <f t="shared" ca="1" si="32"/>
        <v>0.68298920185319967</v>
      </c>
      <c r="L57" s="46">
        <f t="shared" ca="1" si="32"/>
        <v>0.70830688784667151</v>
      </c>
      <c r="M57" s="46">
        <f t="shared" ca="1" si="32"/>
        <v>0.72926138548255892</v>
      </c>
      <c r="N57" s="46">
        <f t="shared" ref="N57:T57" ca="1" si="33">N53/$E$5</f>
        <v>0.76022846239331476</v>
      </c>
      <c r="O57" s="46">
        <f t="shared" ca="1" si="33"/>
        <v>0</v>
      </c>
      <c r="P57" s="46">
        <f t="shared" ca="1" si="33"/>
        <v>0</v>
      </c>
      <c r="Q57" s="46">
        <f t="shared" ca="1" si="33"/>
        <v>0</v>
      </c>
      <c r="R57" s="46">
        <f t="shared" ca="1" si="33"/>
        <v>0</v>
      </c>
      <c r="S57" s="46">
        <f t="shared" ca="1" si="33"/>
        <v>0</v>
      </c>
      <c r="T57" s="46">
        <f t="shared" ca="1" si="33"/>
        <v>0</v>
      </c>
    </row>
    <row r="59" spans="1:20" x14ac:dyDescent="0.15">
      <c r="A59" s="36" t="s">
        <v>129</v>
      </c>
      <c r="B59" s="36"/>
      <c r="E59" s="192"/>
      <c r="F59" s="192">
        <f t="shared" ref="F59:T59" ca="1" si="34">((F52-E52)/(F$2-E$2))/$E52</f>
        <v>1.9534313456024091E-2</v>
      </c>
      <c r="G59" s="192">
        <f t="shared" ca="1" si="34"/>
        <v>1.368191711820772E-2</v>
      </c>
      <c r="H59" s="192">
        <f t="shared" ca="1" si="34"/>
        <v>9.52780209423797E-3</v>
      </c>
      <c r="I59" s="192">
        <f t="shared" ca="1" si="34"/>
        <v>7.2991146665046204E-3</v>
      </c>
      <c r="J59" s="192">
        <f t="shared" ca="1" si="34"/>
        <v>1.887626167254342E-3</v>
      </c>
      <c r="K59" s="192">
        <f t="shared" ca="1" si="34"/>
        <v>4.237062139081516E-3</v>
      </c>
      <c r="L59" s="192">
        <f t="shared" ca="1" si="34"/>
        <v>5.788976186327237E-3</v>
      </c>
      <c r="M59" s="192">
        <f t="shared" ca="1" si="34"/>
        <v>4.7913181260673459E-3</v>
      </c>
      <c r="N59" s="192">
        <f t="shared" ca="1" si="34"/>
        <v>7.0807288961065801E-3</v>
      </c>
      <c r="O59" s="192">
        <f t="shared" ca="1" si="34"/>
        <v>8.2775647071338778E-4</v>
      </c>
      <c r="P59" s="192" t="e">
        <f t="shared" ca="1" si="34"/>
        <v>#DIV/0!</v>
      </c>
      <c r="Q59" s="192" t="e">
        <f t="shared" ca="1" si="34"/>
        <v>#DIV/0!</v>
      </c>
      <c r="R59" s="192" t="e">
        <f t="shared" ca="1" si="34"/>
        <v>#DIV/0!</v>
      </c>
      <c r="S59" s="192" t="e">
        <f t="shared" ca="1" si="34"/>
        <v>#DIV/0!</v>
      </c>
      <c r="T59" s="192" t="e">
        <f t="shared" ca="1" si="34"/>
        <v>#DIV/0!</v>
      </c>
    </row>
    <row r="63" spans="1:20" x14ac:dyDescent="0.15">
      <c r="A63" s="1" t="s">
        <v>130</v>
      </c>
      <c r="D63" s="46">
        <f t="shared" ref="D63:M63" ca="1" si="35">D4+D14+D25+D36+D52</f>
        <v>45281.78058518075</v>
      </c>
      <c r="E63" s="46">
        <f t="shared" ca="1" si="35"/>
        <v>48947.47796790077</v>
      </c>
      <c r="F63" s="46">
        <f t="shared" ca="1" si="35"/>
        <v>59417.75840348882</v>
      </c>
      <c r="G63" s="46">
        <f t="shared" ca="1" si="35"/>
        <v>67238.62214259195</v>
      </c>
      <c r="H63" s="46">
        <f t="shared" ca="1" si="35"/>
        <v>71948.499230726156</v>
      </c>
      <c r="I63" s="46">
        <f t="shared" ca="1" si="35"/>
        <v>75999.152605698793</v>
      </c>
      <c r="J63" s="46">
        <f t="shared" ca="1" si="35"/>
        <v>77881.378225338587</v>
      </c>
      <c r="K63" s="46">
        <f t="shared" ca="1" si="35"/>
        <v>81691.428510870232</v>
      </c>
      <c r="L63" s="46">
        <f t="shared" ca="1" si="35"/>
        <v>86039.783157024067</v>
      </c>
      <c r="M63" s="46">
        <f t="shared" ca="1" si="35"/>
        <v>90072.684504132252</v>
      </c>
      <c r="N63" s="46">
        <f t="shared" ref="N63:T63" ca="1" si="36">N4+N14+N25+N36+N52</f>
        <v>95672.456960119976</v>
      </c>
      <c r="O63" s="46">
        <f t="shared" si="36"/>
        <v>0</v>
      </c>
      <c r="P63" s="46">
        <f t="shared" si="36"/>
        <v>0</v>
      </c>
      <c r="Q63" s="46">
        <f t="shared" si="36"/>
        <v>0</v>
      </c>
      <c r="R63" s="46">
        <f t="shared" si="36"/>
        <v>0</v>
      </c>
      <c r="S63" s="46">
        <f t="shared" si="36"/>
        <v>0</v>
      </c>
      <c r="T63" s="46">
        <f t="shared" si="36"/>
        <v>0</v>
      </c>
    </row>
    <row r="64" spans="1:20" x14ac:dyDescent="0.15">
      <c r="D64" s="46">
        <f t="shared" ref="D64:M64" ca="1" si="37">D63*10^-3</f>
        <v>45.281780585180748</v>
      </c>
      <c r="E64" s="46">
        <f t="shared" ca="1" si="37"/>
        <v>48.947477967900774</v>
      </c>
      <c r="F64" s="46">
        <f t="shared" ca="1" si="37"/>
        <v>59.417758403488818</v>
      </c>
      <c r="G64" s="46">
        <f t="shared" ca="1" si="37"/>
        <v>67.23862214259195</v>
      </c>
      <c r="H64" s="46">
        <f t="shared" ca="1" si="37"/>
        <v>71.948499230726156</v>
      </c>
      <c r="I64" s="46">
        <f t="shared" ca="1" si="37"/>
        <v>75.999152605698796</v>
      </c>
      <c r="J64" s="46">
        <f t="shared" ca="1" si="37"/>
        <v>77.881378225338594</v>
      </c>
      <c r="K64" s="46">
        <f t="shared" ca="1" si="37"/>
        <v>81.691428510870239</v>
      </c>
      <c r="L64" s="46">
        <f t="shared" ca="1" si="37"/>
        <v>86.039783157024075</v>
      </c>
      <c r="M64" s="46">
        <f t="shared" ca="1" si="37"/>
        <v>90.072684504132255</v>
      </c>
      <c r="N64" s="46">
        <f t="shared" ref="N64:T64" ca="1" si="38">N63*10^-3</f>
        <v>95.672456960119973</v>
      </c>
      <c r="O64" s="46">
        <f t="shared" si="38"/>
        <v>0</v>
      </c>
      <c r="P64" s="46">
        <f t="shared" si="38"/>
        <v>0</v>
      </c>
      <c r="Q64" s="46">
        <f t="shared" si="38"/>
        <v>0</v>
      </c>
      <c r="R64" s="46">
        <f t="shared" si="38"/>
        <v>0</v>
      </c>
      <c r="S64" s="46">
        <f t="shared" si="38"/>
        <v>0</v>
      </c>
      <c r="T64" s="46">
        <f t="shared" si="38"/>
        <v>0</v>
      </c>
    </row>
    <row r="66" spans="1:20" x14ac:dyDescent="0.15">
      <c r="A66" s="36" t="s">
        <v>240</v>
      </c>
      <c r="B66" s="36"/>
      <c r="D66" s="5">
        <f t="shared" ref="D66:M66" ca="1" si="39">D63/$E63</f>
        <v>0.92510957591882581</v>
      </c>
      <c r="E66" s="5">
        <f t="shared" ca="1" si="39"/>
        <v>1</v>
      </c>
      <c r="F66" s="5">
        <f t="shared" ca="1" si="39"/>
        <v>1.2139084763969727</v>
      </c>
      <c r="G66" s="5">
        <f t="shared" ca="1" si="39"/>
        <v>1.3736892059420573</v>
      </c>
      <c r="H66" s="5">
        <f t="shared" ca="1" si="39"/>
        <v>1.4699122859385976</v>
      </c>
      <c r="I66" s="5">
        <f t="shared" ca="1" si="39"/>
        <v>1.5526673847330443</v>
      </c>
      <c r="J66" s="5">
        <f t="shared" ca="1" si="39"/>
        <v>1.5911213704700446</v>
      </c>
      <c r="K66" s="5">
        <f t="shared" ca="1" si="39"/>
        <v>1.6689609332771465</v>
      </c>
      <c r="L66" s="5">
        <f t="shared" ca="1" si="39"/>
        <v>1.7577980874407468</v>
      </c>
      <c r="M66" s="5">
        <f t="shared" ca="1" si="39"/>
        <v>1.8401905112087891</v>
      </c>
      <c r="N66" s="5">
        <f t="shared" ref="N66:T66" ca="1" si="40">N63/$E63</f>
        <v>1.9545942085690491</v>
      </c>
      <c r="O66" s="5">
        <f t="shared" ca="1" si="40"/>
        <v>0</v>
      </c>
      <c r="P66" s="5">
        <f t="shared" ca="1" si="40"/>
        <v>0</v>
      </c>
      <c r="Q66" s="5">
        <f t="shared" ca="1" si="40"/>
        <v>0</v>
      </c>
      <c r="R66" s="5">
        <f t="shared" ca="1" si="40"/>
        <v>0</v>
      </c>
      <c r="S66" s="5">
        <f t="shared" ca="1" si="40"/>
        <v>0</v>
      </c>
      <c r="T66" s="5">
        <f t="shared" ca="1" si="40"/>
        <v>0</v>
      </c>
    </row>
    <row r="67" spans="1:20" x14ac:dyDescent="0.15">
      <c r="E67" s="5"/>
      <c r="F67" s="5"/>
      <c r="G67" s="5"/>
      <c r="H67" s="5"/>
      <c r="I67" s="5"/>
      <c r="J67" s="5"/>
      <c r="K67" s="5"/>
      <c r="L67" s="5"/>
      <c r="M67" s="5"/>
      <c r="N67" s="5"/>
      <c r="O67" s="5"/>
      <c r="P67" s="5"/>
      <c r="Q67" s="5"/>
      <c r="R67" s="5"/>
      <c r="S67" s="5"/>
      <c r="T67" s="5"/>
    </row>
    <row r="68" spans="1:20" x14ac:dyDescent="0.15">
      <c r="A68" s="36" t="s">
        <v>241</v>
      </c>
      <c r="B68" s="36"/>
      <c r="D68" s="46">
        <f t="shared" ref="D68:M68" ca="1" si="41">D64/$E$5</f>
        <v>1.4851048265961388</v>
      </c>
      <c r="E68" s="46">
        <f t="shared" ca="1" si="41"/>
        <v>1.6053285635067842</v>
      </c>
      <c r="F68" s="46">
        <f t="shared" ca="1" si="41"/>
        <v>1.9487219506430613</v>
      </c>
      <c r="G68" s="46">
        <f t="shared" ca="1" si="41"/>
        <v>2.2052225196797379</v>
      </c>
      <c r="H68" s="46">
        <f t="shared" ca="1" si="41"/>
        <v>2.3596921784667821</v>
      </c>
      <c r="I68" s="46">
        <f t="shared" ca="1" si="41"/>
        <v>2.4925413023373335</v>
      </c>
      <c r="J68" s="46">
        <f t="shared" ca="1" si="41"/>
        <v>2.5542725840216227</v>
      </c>
      <c r="K68" s="46">
        <f t="shared" ca="1" si="41"/>
        <v>2.6792306575667437</v>
      </c>
      <c r="L68" s="46">
        <f t="shared" ca="1" si="41"/>
        <v>2.821843478646227</v>
      </c>
      <c r="M68" s="46">
        <f t="shared" ca="1" si="41"/>
        <v>2.95411038993762</v>
      </c>
      <c r="N68" s="46">
        <f t="shared" ref="N68:T68" ca="1" si="42">N64/$E$5</f>
        <v>3.1377659130808313</v>
      </c>
      <c r="O68" s="46">
        <f t="shared" ca="1" si="42"/>
        <v>0</v>
      </c>
      <c r="P68" s="46">
        <f t="shared" ca="1" si="42"/>
        <v>0</v>
      </c>
      <c r="Q68" s="46">
        <f t="shared" ca="1" si="42"/>
        <v>0</v>
      </c>
      <c r="R68" s="46">
        <f t="shared" ca="1" si="42"/>
        <v>0</v>
      </c>
      <c r="S68" s="46">
        <f t="shared" ca="1" si="42"/>
        <v>0</v>
      </c>
      <c r="T68" s="46">
        <f t="shared" ca="1" si="42"/>
        <v>0</v>
      </c>
    </row>
    <row r="70" spans="1:20" x14ac:dyDescent="0.15">
      <c r="A70" s="36" t="s">
        <v>129</v>
      </c>
      <c r="B70" s="36"/>
      <c r="E70" s="192"/>
      <c r="F70" s="192">
        <f t="shared" ref="F70:T70" ca="1" si="43">((F63-E63)/(F$2-E$2))/$E63</f>
        <v>2.1390847639697289E-2</v>
      </c>
      <c r="G70" s="192">
        <f t="shared" ca="1" si="43"/>
        <v>1.597807295450844E-2</v>
      </c>
      <c r="H70" s="192">
        <f t="shared" ca="1" si="43"/>
        <v>9.6223079996540228E-3</v>
      </c>
      <c r="I70" s="192">
        <f t="shared" ca="1" si="43"/>
        <v>8.2755098794446806E-3</v>
      </c>
      <c r="J70" s="192">
        <f t="shared" ca="1" si="43"/>
        <v>3.8453985737000327E-3</v>
      </c>
      <c r="K70" s="192">
        <f t="shared" ca="1" si="43"/>
        <v>7.7839562807101815E-3</v>
      </c>
      <c r="L70" s="192">
        <f t="shared" ca="1" si="43"/>
        <v>8.8837154163600423E-3</v>
      </c>
      <c r="M70" s="192">
        <f t="shared" ca="1" si="43"/>
        <v>8.2392423768042119E-3</v>
      </c>
      <c r="N70" s="192">
        <f t="shared" ca="1" si="43"/>
        <v>1.1440369736026022E-2</v>
      </c>
      <c r="O70" s="192">
        <f t="shared" ca="1" si="43"/>
        <v>9.3075914693764247E-4</v>
      </c>
      <c r="P70" s="192" t="e">
        <f t="shared" ca="1" si="43"/>
        <v>#DIV/0!</v>
      </c>
      <c r="Q70" s="192" t="e">
        <f t="shared" ca="1" si="43"/>
        <v>#DIV/0!</v>
      </c>
      <c r="R70" s="192" t="e">
        <f t="shared" ca="1" si="43"/>
        <v>#DIV/0!</v>
      </c>
      <c r="S70" s="192" t="e">
        <f t="shared" ca="1" si="43"/>
        <v>#DIV/0!</v>
      </c>
      <c r="T70" s="192" t="e">
        <f t="shared" ca="1" si="43"/>
        <v>#DIV/0!</v>
      </c>
    </row>
    <row r="74" spans="1:20" x14ac:dyDescent="0.15">
      <c r="A74" s="142" t="s">
        <v>45</v>
      </c>
      <c r="B74" s="142"/>
    </row>
    <row r="75" spans="1:20" s="186" customFormat="1" x14ac:dyDescent="0.15">
      <c r="D75" s="189">
        <f>'Int Data'!G13</f>
        <v>2005</v>
      </c>
      <c r="E75" s="189">
        <f>'Int Data'!H13</f>
        <v>2010</v>
      </c>
      <c r="F75" s="189">
        <f>'Int Data'!I13</f>
        <v>2020</v>
      </c>
      <c r="G75" s="189">
        <f>'Int Data'!J13</f>
        <v>2030</v>
      </c>
      <c r="H75" s="189">
        <f>'Int Data'!K13</f>
        <v>2040</v>
      </c>
      <c r="I75" s="189">
        <f>'Int Data'!L13</f>
        <v>2050</v>
      </c>
      <c r="J75" s="189">
        <f>'Int Data'!M13</f>
        <v>2060</v>
      </c>
      <c r="K75" s="189">
        <f>'Int Data'!N13</f>
        <v>2070</v>
      </c>
      <c r="L75" s="189">
        <f>'Int Data'!O13</f>
        <v>2080</v>
      </c>
      <c r="M75" s="189">
        <f>'Int Data'!P13</f>
        <v>2090</v>
      </c>
      <c r="N75" s="189">
        <f>'Int Data'!Q13</f>
        <v>2100</v>
      </c>
      <c r="O75" s="189">
        <f>'Int Data'!R13</f>
        <v>0</v>
      </c>
      <c r="P75" s="189">
        <f>'Int Data'!S13</f>
        <v>0</v>
      </c>
      <c r="Q75" s="189">
        <f>'Int Data'!T13</f>
        <v>0</v>
      </c>
      <c r="R75" s="189">
        <f>'Int Data'!U13</f>
        <v>0</v>
      </c>
      <c r="S75" s="189">
        <f>'Int Data'!V13</f>
        <v>0</v>
      </c>
      <c r="T75" s="189">
        <f>'Int Data'!W13</f>
        <v>2020</v>
      </c>
    </row>
    <row r="77" spans="1:20" x14ac:dyDescent="0.15">
      <c r="A77" s="1" t="s">
        <v>54</v>
      </c>
      <c r="D77" s="46">
        <f ca="1">D78*1000</f>
        <v>29390.234450499218</v>
      </c>
      <c r="E77" s="46">
        <f t="shared" ref="E77:T77" ca="1" si="44">E78*1000</f>
        <v>30597.844759623207</v>
      </c>
      <c r="F77" s="46">
        <f t="shared" ca="1" si="44"/>
        <v>29128.967761993408</v>
      </c>
      <c r="G77" s="46">
        <f t="shared" ca="1" si="44"/>
        <v>18847.594581065652</v>
      </c>
      <c r="H77" s="46">
        <f t="shared" ca="1" si="44"/>
        <v>9137.6930535379106</v>
      </c>
      <c r="I77" s="46">
        <f t="shared" ca="1" si="44"/>
        <v>5619.7562094130271</v>
      </c>
      <c r="J77" s="46">
        <f t="shared" ca="1" si="44"/>
        <v>4353.0673105136266</v>
      </c>
      <c r="K77" s="46">
        <f t="shared" ca="1" si="44"/>
        <v>3627.9843954183289</v>
      </c>
      <c r="L77" s="46">
        <f t="shared" ca="1" si="44"/>
        <v>3051.8660400685649</v>
      </c>
      <c r="M77" s="46">
        <f t="shared" ca="1" si="44"/>
        <v>2846.1342476017908</v>
      </c>
      <c r="N77" s="46">
        <f t="shared" ca="1" si="44"/>
        <v>3013.1356737814112</v>
      </c>
      <c r="O77" s="46">
        <f t="shared" si="44"/>
        <v>0</v>
      </c>
      <c r="P77" s="46">
        <f t="shared" si="44"/>
        <v>0</v>
      </c>
      <c r="Q77" s="46">
        <f t="shared" si="44"/>
        <v>0</v>
      </c>
      <c r="R77" s="46">
        <f t="shared" si="44"/>
        <v>0</v>
      </c>
      <c r="S77" s="46">
        <f t="shared" si="44"/>
        <v>0</v>
      </c>
      <c r="T77" s="46">
        <f t="shared" si="44"/>
        <v>0</v>
      </c>
    </row>
    <row r="78" spans="1:20" x14ac:dyDescent="0.15">
      <c r="D78" s="46">
        <f ca="1">ExpKayaFactorsInt!D8</f>
        <v>29.390234450499218</v>
      </c>
      <c r="E78" s="46">
        <f ca="1">ExpKayaFactorsInt!E8</f>
        <v>30.597844759623207</v>
      </c>
      <c r="F78" s="46">
        <f ca="1">ExpKayaFactorsInt!F8</f>
        <v>29.128967761993408</v>
      </c>
      <c r="G78" s="46">
        <f ca="1">ExpKayaFactorsInt!G8</f>
        <v>18.847594581065653</v>
      </c>
      <c r="H78" s="46">
        <f ca="1">ExpKayaFactorsInt!H8</f>
        <v>9.1376930535379106</v>
      </c>
      <c r="I78" s="46">
        <f ca="1">ExpKayaFactorsInt!I8</f>
        <v>5.6197562094130271</v>
      </c>
      <c r="J78" s="46">
        <f ca="1">ExpKayaFactorsInt!J8</f>
        <v>4.3530673105136266</v>
      </c>
      <c r="K78" s="46">
        <f ca="1">ExpKayaFactorsInt!K8</f>
        <v>3.6279843954183288</v>
      </c>
      <c r="L78" s="46">
        <f ca="1">ExpKayaFactorsInt!L8</f>
        <v>3.0518660400685649</v>
      </c>
      <c r="M78" s="46">
        <f ca="1">ExpKayaFactorsInt!M8</f>
        <v>2.8461342476017908</v>
      </c>
      <c r="N78" s="46">
        <f ca="1">ExpKayaFactorsInt!N8</f>
        <v>3.0131356737814112</v>
      </c>
      <c r="O78" s="46">
        <f>ExpKayaFactorsInt!O8</f>
        <v>0</v>
      </c>
      <c r="P78" s="46">
        <f>ExpKayaFactorsInt!P8</f>
        <v>0</v>
      </c>
      <c r="Q78" s="46">
        <f>ExpKayaFactorsInt!Q8</f>
        <v>0</v>
      </c>
      <c r="R78" s="46">
        <f>ExpKayaFactorsInt!R8</f>
        <v>0</v>
      </c>
      <c r="S78" s="46">
        <f>ExpKayaFactorsInt!S8</f>
        <v>0</v>
      </c>
      <c r="T78" s="46">
        <f>ExpKayaFactorsInt!T8</f>
        <v>0</v>
      </c>
    </row>
    <row r="80" spans="1:20" x14ac:dyDescent="0.15">
      <c r="A80" s="36" t="s">
        <v>240</v>
      </c>
      <c r="B80" s="36"/>
      <c r="D80" s="5">
        <f t="shared" ref="D80:M80" ca="1" si="45">D77/$E77</f>
        <v>0.96053283103398357</v>
      </c>
      <c r="E80" s="5">
        <f t="shared" ca="1" si="45"/>
        <v>1</v>
      </c>
      <c r="F80" s="5">
        <f t="shared" ca="1" si="45"/>
        <v>0.95199410255299666</v>
      </c>
      <c r="G80" s="5">
        <f t="shared" ca="1" si="45"/>
        <v>0.61597784841162606</v>
      </c>
      <c r="H80" s="5">
        <f t="shared" ca="1" si="45"/>
        <v>0.29863845396052124</v>
      </c>
      <c r="I80" s="5">
        <f t="shared" ca="1" si="45"/>
        <v>0.18366509973371833</v>
      </c>
      <c r="J80" s="5">
        <f t="shared" ca="1" si="45"/>
        <v>0.14226712190715854</v>
      </c>
      <c r="K80" s="5">
        <f t="shared" ca="1" si="45"/>
        <v>0.11856993274917854</v>
      </c>
      <c r="L80" s="5">
        <f t="shared" ca="1" si="45"/>
        <v>9.9741209357849775E-2</v>
      </c>
      <c r="M80" s="5">
        <f t="shared" ca="1" si="45"/>
        <v>9.3017474595385161E-2</v>
      </c>
      <c r="N80" s="5">
        <f t="shared" ref="N80:T80" ca="1" si="46">N77/$E77</f>
        <v>9.8475421960357579E-2</v>
      </c>
      <c r="O80" s="5">
        <f t="shared" ca="1" si="46"/>
        <v>0</v>
      </c>
      <c r="P80" s="5">
        <f t="shared" ca="1" si="46"/>
        <v>0</v>
      </c>
      <c r="Q80" s="5">
        <f t="shared" ca="1" si="46"/>
        <v>0</v>
      </c>
      <c r="R80" s="5">
        <f t="shared" ca="1" si="46"/>
        <v>0</v>
      </c>
      <c r="S80" s="5">
        <f t="shared" ca="1" si="46"/>
        <v>0</v>
      </c>
      <c r="T80" s="5">
        <f t="shared" ca="1" si="46"/>
        <v>0</v>
      </c>
    </row>
    <row r="82" spans="1:20" x14ac:dyDescent="0.15">
      <c r="A82" s="36" t="s">
        <v>129</v>
      </c>
      <c r="B82" s="36"/>
      <c r="E82" s="5"/>
      <c r="F82" s="5">
        <f t="shared" ref="F82:T82" ca="1" si="47">((F78-E78)/(F$75-E$75))/$E78</f>
        <v>-4.8005897447003301E-3</v>
      </c>
      <c r="G82" s="5">
        <f t="shared" ca="1" si="47"/>
        <v>-3.3601625414137054E-2</v>
      </c>
      <c r="H82" s="5">
        <f t="shared" ca="1" si="47"/>
        <v>-3.1733939445110493E-2</v>
      </c>
      <c r="I82" s="5">
        <f t="shared" ca="1" si="47"/>
        <v>-1.1497335422680289E-2</v>
      </c>
      <c r="J82" s="5">
        <f t="shared" ca="1" si="47"/>
        <v>-4.1397977826559797E-3</v>
      </c>
      <c r="K82" s="5">
        <f t="shared" ca="1" si="47"/>
        <v>-2.3697189157979985E-3</v>
      </c>
      <c r="L82" s="5">
        <f t="shared" ca="1" si="47"/>
        <v>-1.8828723391328772E-3</v>
      </c>
      <c r="M82" s="5">
        <f t="shared" ca="1" si="47"/>
        <v>-6.7237347624646076E-4</v>
      </c>
      <c r="N82" s="5">
        <f t="shared" ca="1" si="47"/>
        <v>5.4579473649724129E-4</v>
      </c>
      <c r="O82" s="5">
        <f t="shared" ca="1" si="47"/>
        <v>4.6893058076360757E-5</v>
      </c>
      <c r="P82" s="5" t="e">
        <f t="shared" ca="1" si="47"/>
        <v>#DIV/0!</v>
      </c>
      <c r="Q82" s="5" t="e">
        <f t="shared" ca="1" si="47"/>
        <v>#DIV/0!</v>
      </c>
      <c r="R82" s="5" t="e">
        <f t="shared" ca="1" si="47"/>
        <v>#DIV/0!</v>
      </c>
      <c r="S82" s="5" t="e">
        <f t="shared" ca="1" si="47"/>
        <v>#DIV/0!</v>
      </c>
      <c r="T82" s="5">
        <f t="shared" ca="1" si="47"/>
        <v>0</v>
      </c>
    </row>
    <row r="86" spans="1:20" x14ac:dyDescent="0.15">
      <c r="A86" s="1" t="s">
        <v>194</v>
      </c>
      <c r="D86" s="46">
        <f ca="1">FossilEneEmissionsAccountingInt!D9</f>
        <v>0</v>
      </c>
      <c r="E86" s="46">
        <f ca="1">FossilEneEmissionsAccountingInt!E9</f>
        <v>0</v>
      </c>
      <c r="F86" s="46">
        <f ca="1">FossilEneEmissionsAccountingInt!F9</f>
        <v>4.8386068484041956E-15</v>
      </c>
      <c r="G86" s="46">
        <f ca="1">FossilEneEmissionsAccountingInt!G9</f>
        <v>2.0047783663339151E-6</v>
      </c>
      <c r="H86" s="46">
        <f ca="1">FossilEneEmissionsAccountingInt!H9</f>
        <v>4.5750844565087795E-5</v>
      </c>
      <c r="I86" s="46">
        <f ca="1">FossilEneEmissionsAccountingInt!I9</f>
        <v>9.4639817689382691E-2</v>
      </c>
      <c r="J86" s="46">
        <f ca="1">FossilEneEmissionsAccountingInt!J9</f>
        <v>8.8683626624213474E-2</v>
      </c>
      <c r="K86" s="46">
        <f ca="1">FossilEneEmissionsAccountingInt!K9</f>
        <v>7.1516428154912617E-2</v>
      </c>
      <c r="L86" s="46">
        <f ca="1">FossilEneEmissionsAccountingInt!L9</f>
        <v>5.4543651837472375E-2</v>
      </c>
      <c r="M86" s="46">
        <f ca="1">FossilEneEmissionsAccountingInt!M9</f>
        <v>5.1858247085571442E-2</v>
      </c>
      <c r="N86" s="46">
        <f ca="1">FossilEneEmissionsAccountingInt!N9</f>
        <v>0.33366896726268652</v>
      </c>
      <c r="O86" s="46">
        <f>FossilEneEmissionsAccountingInt!O9</f>
        <v>0</v>
      </c>
      <c r="P86" s="46">
        <f>FossilEneEmissionsAccountingInt!P9</f>
        <v>0</v>
      </c>
      <c r="Q86" s="46">
        <f>FossilEneEmissionsAccountingInt!Q9</f>
        <v>0</v>
      </c>
      <c r="R86" s="46">
        <f>FossilEneEmissionsAccountingInt!R9</f>
        <v>0</v>
      </c>
      <c r="S86" s="46">
        <f>FossilEneEmissionsAccountingInt!S9</f>
        <v>0</v>
      </c>
      <c r="T86" s="46">
        <f>FossilEneEmissionsAccountingInt!T9</f>
        <v>0</v>
      </c>
    </row>
    <row r="87" spans="1:20" x14ac:dyDescent="0.15">
      <c r="D87" s="46">
        <f t="shared" ref="D87:M87" ca="1" si="48">D86*-1</f>
        <v>0</v>
      </c>
      <c r="E87" s="46">
        <f t="shared" ca="1" si="48"/>
        <v>0</v>
      </c>
      <c r="F87" s="46">
        <f t="shared" ca="1" si="48"/>
        <v>-4.8386068484041956E-15</v>
      </c>
      <c r="G87" s="46">
        <f t="shared" ca="1" si="48"/>
        <v>-2.0047783663339151E-6</v>
      </c>
      <c r="H87" s="46">
        <f t="shared" ca="1" si="48"/>
        <v>-4.5750844565087795E-5</v>
      </c>
      <c r="I87" s="46">
        <f t="shared" ca="1" si="48"/>
        <v>-9.4639817689382691E-2</v>
      </c>
      <c r="J87" s="46">
        <f t="shared" ca="1" si="48"/>
        <v>-8.8683626624213474E-2</v>
      </c>
      <c r="K87" s="46">
        <f t="shared" ca="1" si="48"/>
        <v>-7.1516428154912617E-2</v>
      </c>
      <c r="L87" s="46">
        <f t="shared" ca="1" si="48"/>
        <v>-5.4543651837472375E-2</v>
      </c>
      <c r="M87" s="46">
        <f t="shared" ca="1" si="48"/>
        <v>-5.1858247085571442E-2</v>
      </c>
      <c r="N87" s="46">
        <f t="shared" ref="N87:T87" ca="1" si="49">N86*-1</f>
        <v>-0.33366896726268652</v>
      </c>
      <c r="O87" s="46">
        <f t="shared" si="49"/>
        <v>0</v>
      </c>
      <c r="P87" s="46">
        <f t="shared" si="49"/>
        <v>0</v>
      </c>
      <c r="Q87" s="46">
        <f t="shared" si="49"/>
        <v>0</v>
      </c>
      <c r="R87" s="46">
        <f t="shared" si="49"/>
        <v>0</v>
      </c>
      <c r="S87" s="46">
        <f t="shared" si="49"/>
        <v>0</v>
      </c>
      <c r="T87" s="46">
        <f t="shared" si="49"/>
        <v>0</v>
      </c>
    </row>
    <row r="88" spans="1:20" x14ac:dyDescent="0.15">
      <c r="D88" s="46">
        <f t="shared" ref="D88:M88" ca="1" si="50">D87*10^-3</f>
        <v>0</v>
      </c>
      <c r="E88" s="46">
        <f t="shared" ca="1" si="50"/>
        <v>0</v>
      </c>
      <c r="F88" s="46">
        <f t="shared" ca="1" si="50"/>
        <v>-4.8386068484041956E-18</v>
      </c>
      <c r="G88" s="46">
        <f t="shared" ca="1" si="50"/>
        <v>-2.004778366333915E-9</v>
      </c>
      <c r="H88" s="46">
        <f t="shared" ca="1" si="50"/>
        <v>-4.5750844565087794E-8</v>
      </c>
      <c r="I88" s="46">
        <f t="shared" ca="1" si="50"/>
        <v>-9.4639817689382689E-5</v>
      </c>
      <c r="J88" s="46">
        <f t="shared" ca="1" si="50"/>
        <v>-8.8683626624213473E-5</v>
      </c>
      <c r="K88" s="46">
        <f t="shared" ca="1" si="50"/>
        <v>-7.1516428154912618E-5</v>
      </c>
      <c r="L88" s="46">
        <f t="shared" ca="1" si="50"/>
        <v>-5.4543651837472375E-5</v>
      </c>
      <c r="M88" s="46">
        <f t="shared" ca="1" si="50"/>
        <v>-5.1858247085571442E-5</v>
      </c>
      <c r="N88" s="46">
        <f t="shared" ref="N88:T88" ca="1" si="51">N87*10^-3</f>
        <v>-3.3366896726268652E-4</v>
      </c>
      <c r="O88" s="46">
        <f t="shared" si="51"/>
        <v>0</v>
      </c>
      <c r="P88" s="46">
        <f t="shared" si="51"/>
        <v>0</v>
      </c>
      <c r="Q88" s="46">
        <f t="shared" si="51"/>
        <v>0</v>
      </c>
      <c r="R88" s="46">
        <f t="shared" si="51"/>
        <v>0</v>
      </c>
      <c r="S88" s="46">
        <f t="shared" si="51"/>
        <v>0</v>
      </c>
      <c r="T88" s="46">
        <f t="shared" si="51"/>
        <v>0</v>
      </c>
    </row>
    <row r="90" spans="1:20" x14ac:dyDescent="0.15">
      <c r="A90" s="36" t="s">
        <v>240</v>
      </c>
      <c r="B90" s="36"/>
      <c r="D90" s="5" t="e">
        <f ca="1">D87/$E87</f>
        <v>#DIV/0!</v>
      </c>
      <c r="E90" s="5" t="e">
        <f ca="1">E87/$E87</f>
        <v>#DIV/0!</v>
      </c>
      <c r="F90" s="5" t="e">
        <f t="shared" ref="F90:T90" ca="1" si="52">F87/$E87</f>
        <v>#DIV/0!</v>
      </c>
      <c r="G90" s="5" t="e">
        <f t="shared" ca="1" si="52"/>
        <v>#DIV/0!</v>
      </c>
      <c r="H90" s="5" t="e">
        <f t="shared" ca="1" si="52"/>
        <v>#DIV/0!</v>
      </c>
      <c r="I90" s="5" t="e">
        <f t="shared" ca="1" si="52"/>
        <v>#DIV/0!</v>
      </c>
      <c r="J90" s="5" t="e">
        <f t="shared" ca="1" si="52"/>
        <v>#DIV/0!</v>
      </c>
      <c r="K90" s="5" t="e">
        <f t="shared" ca="1" si="52"/>
        <v>#DIV/0!</v>
      </c>
      <c r="L90" s="5" t="e">
        <f t="shared" ca="1" si="52"/>
        <v>#DIV/0!</v>
      </c>
      <c r="M90" s="5" t="e">
        <f t="shared" ca="1" si="52"/>
        <v>#DIV/0!</v>
      </c>
      <c r="N90" s="5" t="e">
        <f t="shared" ca="1" si="52"/>
        <v>#DIV/0!</v>
      </c>
      <c r="O90" s="5" t="e">
        <f t="shared" ca="1" si="52"/>
        <v>#DIV/0!</v>
      </c>
      <c r="P90" s="5" t="e">
        <f t="shared" ca="1" si="52"/>
        <v>#DIV/0!</v>
      </c>
      <c r="Q90" s="5" t="e">
        <f t="shared" ca="1" si="52"/>
        <v>#DIV/0!</v>
      </c>
      <c r="R90" s="5" t="e">
        <f t="shared" ca="1" si="52"/>
        <v>#DIV/0!</v>
      </c>
      <c r="S90" s="5" t="e">
        <f t="shared" ca="1" si="52"/>
        <v>#DIV/0!</v>
      </c>
      <c r="T90" s="5" t="e">
        <f t="shared" ca="1" si="52"/>
        <v>#DIV/0!</v>
      </c>
    </row>
    <row r="91" spans="1:20" x14ac:dyDescent="0.15">
      <c r="E91" s="5"/>
      <c r="F91" s="5"/>
      <c r="G91" s="5"/>
      <c r="H91" s="5"/>
      <c r="I91" s="5"/>
      <c r="J91" s="5"/>
      <c r="K91" s="5"/>
      <c r="L91" s="5"/>
      <c r="M91" s="5"/>
      <c r="N91" s="5"/>
      <c r="O91" s="5"/>
      <c r="P91" s="5"/>
      <c r="Q91" s="5"/>
      <c r="R91" s="5"/>
      <c r="S91" s="5"/>
      <c r="T91" s="5"/>
    </row>
    <row r="92" spans="1:20" x14ac:dyDescent="0.15">
      <c r="A92" s="36" t="s">
        <v>243</v>
      </c>
      <c r="B92" s="36"/>
      <c r="D92" s="46">
        <f t="shared" ref="D92:T92" ca="1" si="53">D88/$E$5</f>
        <v>0</v>
      </c>
      <c r="E92" s="46">
        <f t="shared" ca="1" si="53"/>
        <v>0</v>
      </c>
      <c r="F92" s="46">
        <f t="shared" ca="1" si="53"/>
        <v>-1.5869160381290072E-19</v>
      </c>
      <c r="G92" s="46">
        <f t="shared" ca="1" si="53"/>
        <v>-6.5750639432063207E-11</v>
      </c>
      <c r="H92" s="46">
        <f t="shared" ca="1" si="53"/>
        <v>-1.5004887000114507E-9</v>
      </c>
      <c r="I92" s="46">
        <f t="shared" ca="1" si="53"/>
        <v>-3.1038984823993056E-6</v>
      </c>
      <c r="J92" s="46">
        <f t="shared" ca="1" si="53"/>
        <v>-2.9085535117577036E-6</v>
      </c>
      <c r="K92" s="46">
        <f t="shared" ca="1" si="53"/>
        <v>-2.3455215599126769E-6</v>
      </c>
      <c r="L92" s="46">
        <f t="shared" ca="1" si="53"/>
        <v>-1.7888660639488907E-6</v>
      </c>
      <c r="M92" s="46">
        <f t="shared" ca="1" si="53"/>
        <v>-1.7007929469717402E-6</v>
      </c>
      <c r="N92" s="46">
        <f t="shared" ca="1" si="53"/>
        <v>-1.0943328362165527E-5</v>
      </c>
      <c r="O92" s="46">
        <f t="shared" ca="1" si="53"/>
        <v>0</v>
      </c>
      <c r="P92" s="46">
        <f t="shared" ca="1" si="53"/>
        <v>0</v>
      </c>
      <c r="Q92" s="46">
        <f t="shared" ca="1" si="53"/>
        <v>0</v>
      </c>
      <c r="R92" s="46">
        <f t="shared" ca="1" si="53"/>
        <v>0</v>
      </c>
      <c r="S92" s="46">
        <f t="shared" ca="1" si="53"/>
        <v>0</v>
      </c>
      <c r="T92" s="46">
        <f t="shared" ca="1" si="53"/>
        <v>0</v>
      </c>
    </row>
    <row r="94" spans="1:20" x14ac:dyDescent="0.15">
      <c r="A94" s="36" t="s">
        <v>129</v>
      </c>
      <c r="B94" s="36"/>
      <c r="E94" s="5"/>
      <c r="F94" s="5" t="e">
        <f t="shared" ref="F94:T94" ca="1" si="54">((F87-E87)/(F$75-E$75))/$E87</f>
        <v>#DIV/0!</v>
      </c>
      <c r="G94" s="5" t="e">
        <f t="shared" ca="1" si="54"/>
        <v>#DIV/0!</v>
      </c>
      <c r="H94" s="5" t="e">
        <f t="shared" ca="1" si="54"/>
        <v>#DIV/0!</v>
      </c>
      <c r="I94" s="5" t="e">
        <f t="shared" ca="1" si="54"/>
        <v>#DIV/0!</v>
      </c>
      <c r="J94" s="5" t="e">
        <f t="shared" ca="1" si="54"/>
        <v>#DIV/0!</v>
      </c>
      <c r="K94" s="5" t="e">
        <f t="shared" ca="1" si="54"/>
        <v>#DIV/0!</v>
      </c>
      <c r="L94" s="5" t="e">
        <f t="shared" ca="1" si="54"/>
        <v>#DIV/0!</v>
      </c>
      <c r="M94" s="5" t="e">
        <f t="shared" ca="1" si="54"/>
        <v>#DIV/0!</v>
      </c>
      <c r="N94" s="5" t="e">
        <f t="shared" ca="1" si="54"/>
        <v>#DIV/0!</v>
      </c>
      <c r="O94" s="5" t="e">
        <f t="shared" ca="1" si="54"/>
        <v>#DIV/0!</v>
      </c>
      <c r="P94" s="5" t="e">
        <f t="shared" ca="1" si="54"/>
        <v>#DIV/0!</v>
      </c>
      <c r="Q94" s="5" t="e">
        <f t="shared" ca="1" si="54"/>
        <v>#DIV/0!</v>
      </c>
      <c r="R94" s="5" t="e">
        <f t="shared" ca="1" si="54"/>
        <v>#DIV/0!</v>
      </c>
      <c r="S94" s="5" t="e">
        <f t="shared" ca="1" si="54"/>
        <v>#DIV/0!</v>
      </c>
      <c r="T94" s="5" t="e">
        <f t="shared" ca="1" si="54"/>
        <v>#DIV/0!</v>
      </c>
    </row>
    <row r="95" spans="1:20" x14ac:dyDescent="0.15">
      <c r="F95" s="46" t="e">
        <f t="shared" ref="F95:M95" ca="1" si="55">F94*-1</f>
        <v>#DIV/0!</v>
      </c>
      <c r="G95" s="46" t="e">
        <f t="shared" ca="1" si="55"/>
        <v>#DIV/0!</v>
      </c>
      <c r="H95" s="46" t="e">
        <f t="shared" ca="1" si="55"/>
        <v>#DIV/0!</v>
      </c>
      <c r="I95" s="46" t="e">
        <f t="shared" ca="1" si="55"/>
        <v>#DIV/0!</v>
      </c>
      <c r="J95" s="46" t="e">
        <f t="shared" ca="1" si="55"/>
        <v>#DIV/0!</v>
      </c>
      <c r="K95" s="46" t="e">
        <f t="shared" ca="1" si="55"/>
        <v>#DIV/0!</v>
      </c>
      <c r="L95" s="46" t="e">
        <f t="shared" ca="1" si="55"/>
        <v>#DIV/0!</v>
      </c>
      <c r="M95" s="46" t="e">
        <f t="shared" ca="1" si="55"/>
        <v>#DIV/0!</v>
      </c>
      <c r="N95" s="46" t="e">
        <f t="shared" ref="N95:T95" ca="1" si="56">N94*-1</f>
        <v>#DIV/0!</v>
      </c>
      <c r="O95" s="46" t="e">
        <f t="shared" ca="1" si="56"/>
        <v>#DIV/0!</v>
      </c>
      <c r="P95" s="46" t="e">
        <f t="shared" ca="1" si="56"/>
        <v>#DIV/0!</v>
      </c>
      <c r="Q95" s="46" t="e">
        <f t="shared" ca="1" si="56"/>
        <v>#DIV/0!</v>
      </c>
      <c r="R95" s="46" t="e">
        <f t="shared" ca="1" si="56"/>
        <v>#DIV/0!</v>
      </c>
      <c r="S95" s="46" t="e">
        <f t="shared" ca="1" si="56"/>
        <v>#DIV/0!</v>
      </c>
      <c r="T95" s="46" t="e">
        <f t="shared" ca="1" si="56"/>
        <v>#DIV/0!</v>
      </c>
    </row>
    <row r="98" spans="1:20" x14ac:dyDescent="0.15">
      <c r="A98" s="1" t="s">
        <v>133</v>
      </c>
      <c r="D98" s="46">
        <f ca="1">IndustryEmissionsAccountingInt!D7</f>
        <v>0</v>
      </c>
      <c r="E98" s="46">
        <f ca="1">IndustryEmissionsAccountingInt!E7</f>
        <v>1619.1182434558868</v>
      </c>
      <c r="F98" s="46">
        <f ca="1">IndustryEmissionsAccountingInt!F7</f>
        <v>1614.3193514823604</v>
      </c>
      <c r="G98" s="46">
        <f ca="1">IndustryEmissionsAccountingInt!G7</f>
        <v>1756.6519466539221</v>
      </c>
      <c r="H98" s="46">
        <f ca="1">IndustryEmissionsAccountingInt!H7</f>
        <v>1797.4869074920812</v>
      </c>
      <c r="I98" s="46">
        <f ca="1">IndustryEmissionsAccountingInt!I7</f>
        <v>1672.7834595367312</v>
      </c>
      <c r="J98" s="46">
        <f ca="1">IndustryEmissionsAccountingInt!J7</f>
        <v>1484.4588643851844</v>
      </c>
      <c r="K98" s="46">
        <f ca="1">IndustryEmissionsAccountingInt!K7</f>
        <v>1701.7693144577302</v>
      </c>
      <c r="L98" s="46">
        <f ca="1">IndustryEmissionsAccountingInt!L7</f>
        <v>1985.9165436258384</v>
      </c>
      <c r="M98" s="46">
        <f ca="1">IndustryEmissionsAccountingInt!M7</f>
        <v>1827.9491028709645</v>
      </c>
      <c r="N98" s="46">
        <f ca="1">IndustryEmissionsAccountingInt!N7</f>
        <v>1413.0703219949887</v>
      </c>
      <c r="O98" s="46">
        <f>IndustryEmissionsAccountingInt!O7</f>
        <v>0</v>
      </c>
      <c r="P98" s="46">
        <f>IndustryEmissionsAccountingInt!P7</f>
        <v>0</v>
      </c>
      <c r="Q98" s="46">
        <f>IndustryEmissionsAccountingInt!Q7</f>
        <v>0</v>
      </c>
      <c r="R98" s="46">
        <f>IndustryEmissionsAccountingInt!R7</f>
        <v>0</v>
      </c>
      <c r="S98" s="46">
        <f>IndustryEmissionsAccountingInt!S7</f>
        <v>0</v>
      </c>
      <c r="T98" s="46">
        <f>IndustryEmissionsAccountingInt!T7</f>
        <v>0</v>
      </c>
    </row>
    <row r="99" spans="1:20" x14ac:dyDescent="0.15">
      <c r="D99" s="46">
        <f t="shared" ref="D99:M99" ca="1" si="57">D98*10^-3</f>
        <v>0</v>
      </c>
      <c r="E99" s="46">
        <f t="shared" ca="1" si="57"/>
        <v>1.6191182434558868</v>
      </c>
      <c r="F99" s="46">
        <f t="shared" ca="1" si="57"/>
        <v>1.6143193514823604</v>
      </c>
      <c r="G99" s="46">
        <f t="shared" ca="1" si="57"/>
        <v>1.7566519466539221</v>
      </c>
      <c r="H99" s="46">
        <f t="shared" ca="1" si="57"/>
        <v>1.7974869074920812</v>
      </c>
      <c r="I99" s="46">
        <f t="shared" ca="1" si="57"/>
        <v>1.6727834595367312</v>
      </c>
      <c r="J99" s="46">
        <f t="shared" ca="1" si="57"/>
        <v>1.4844588643851844</v>
      </c>
      <c r="K99" s="46">
        <f t="shared" ca="1" si="57"/>
        <v>1.7017693144577302</v>
      </c>
      <c r="L99" s="46">
        <f t="shared" ca="1" si="57"/>
        <v>1.9859165436258384</v>
      </c>
      <c r="M99" s="46">
        <f t="shared" ca="1" si="57"/>
        <v>1.8279491028709645</v>
      </c>
      <c r="N99" s="46">
        <f t="shared" ref="N99:T99" ca="1" si="58">N98*10^-3</f>
        <v>1.4130703219949887</v>
      </c>
      <c r="O99" s="46">
        <f t="shared" si="58"/>
        <v>0</v>
      </c>
      <c r="P99" s="46">
        <f t="shared" si="58"/>
        <v>0</v>
      </c>
      <c r="Q99" s="46">
        <f t="shared" si="58"/>
        <v>0</v>
      </c>
      <c r="R99" s="46">
        <f t="shared" si="58"/>
        <v>0</v>
      </c>
      <c r="S99" s="46">
        <f t="shared" si="58"/>
        <v>0</v>
      </c>
      <c r="T99" s="46">
        <f t="shared" si="58"/>
        <v>0</v>
      </c>
    </row>
    <row r="101" spans="1:20" x14ac:dyDescent="0.15">
      <c r="A101" s="36" t="s">
        <v>240</v>
      </c>
      <c r="B101" s="36"/>
      <c r="D101" s="5">
        <f t="shared" ref="D101:M101" ca="1" si="59">D98/$E98</f>
        <v>0</v>
      </c>
      <c r="E101" s="5">
        <f t="shared" ca="1" si="59"/>
        <v>1</v>
      </c>
      <c r="F101" s="5">
        <f t="shared" ca="1" si="59"/>
        <v>0.99703610777475793</v>
      </c>
      <c r="G101" s="5">
        <f t="shared" ca="1" si="59"/>
        <v>1.0849435819489501</v>
      </c>
      <c r="H101" s="5">
        <f t="shared" ca="1" si="59"/>
        <v>1.1101640752657322</v>
      </c>
      <c r="I101" s="5">
        <f t="shared" ca="1" si="59"/>
        <v>1.0331447170691499</v>
      </c>
      <c r="J101" s="5">
        <f t="shared" ca="1" si="59"/>
        <v>0.91683165845671521</v>
      </c>
      <c r="K101" s="5">
        <f t="shared" ca="1" si="59"/>
        <v>1.0510469641954197</v>
      </c>
      <c r="L101" s="5">
        <f t="shared" ca="1" si="59"/>
        <v>1.2265420093019568</v>
      </c>
      <c r="M101" s="5">
        <f t="shared" ca="1" si="59"/>
        <v>1.1289781399592804</v>
      </c>
      <c r="N101" s="5">
        <f t="shared" ref="N101:T101" ca="1" si="60">N98/$E98</f>
        <v>0.87274065850737115</v>
      </c>
      <c r="O101" s="5">
        <f t="shared" ca="1" si="60"/>
        <v>0</v>
      </c>
      <c r="P101" s="5">
        <f t="shared" ca="1" si="60"/>
        <v>0</v>
      </c>
      <c r="Q101" s="5">
        <f t="shared" ca="1" si="60"/>
        <v>0</v>
      </c>
      <c r="R101" s="5">
        <f t="shared" ca="1" si="60"/>
        <v>0</v>
      </c>
      <c r="S101" s="5">
        <f t="shared" ca="1" si="60"/>
        <v>0</v>
      </c>
      <c r="T101" s="5">
        <f t="shared" ca="1" si="60"/>
        <v>0</v>
      </c>
    </row>
    <row r="102" spans="1:20" x14ac:dyDescent="0.15">
      <c r="E102" s="5"/>
      <c r="F102" s="5"/>
      <c r="G102" s="5"/>
      <c r="H102" s="5"/>
      <c r="I102" s="5"/>
      <c r="J102" s="5"/>
      <c r="K102" s="5"/>
      <c r="L102" s="5"/>
      <c r="M102" s="5"/>
      <c r="N102" s="5"/>
      <c r="O102" s="5"/>
      <c r="P102" s="5"/>
      <c r="Q102" s="5"/>
      <c r="R102" s="5"/>
      <c r="S102" s="5"/>
      <c r="T102" s="5"/>
    </row>
    <row r="103" spans="1:20" x14ac:dyDescent="0.15">
      <c r="A103" s="36" t="s">
        <v>244</v>
      </c>
      <c r="B103" s="36"/>
      <c r="D103" s="46">
        <f ca="1">D99/$E$5</f>
        <v>0</v>
      </c>
      <c r="E103" s="46">
        <f t="shared" ref="E103:T103" ca="1" si="61">E99/$E$5</f>
        <v>5.3102159126956545E-2</v>
      </c>
      <c r="F103" s="46">
        <f t="shared" ca="1" si="61"/>
        <v>5.2944770050376594E-2</v>
      </c>
      <c r="G103" s="46">
        <f t="shared" ca="1" si="61"/>
        <v>5.7612846732423367E-2</v>
      </c>
      <c r="H103" s="46">
        <f t="shared" ca="1" si="61"/>
        <v>5.8952109381791476E-2</v>
      </c>
      <c r="I103" s="46">
        <f t="shared" ca="1" si="61"/>
        <v>5.4862215166980498E-2</v>
      </c>
      <c r="J103" s="46">
        <f t="shared" ca="1" si="61"/>
        <v>4.8685740619999973E-2</v>
      </c>
      <c r="K103" s="46">
        <f t="shared" ca="1" si="61"/>
        <v>5.5812863142609775E-2</v>
      </c>
      <c r="L103" s="46">
        <f t="shared" ca="1" si="61"/>
        <v>6.5132028953849536E-2</v>
      </c>
      <c r="M103" s="46">
        <f t="shared" ca="1" si="61"/>
        <v>5.9951176838973129E-2</v>
      </c>
      <c r="N103" s="46">
        <f t="shared" ca="1" si="61"/>
        <v>4.6344413324623267E-2</v>
      </c>
      <c r="O103" s="46">
        <f t="shared" ca="1" si="61"/>
        <v>0</v>
      </c>
      <c r="P103" s="46">
        <f t="shared" ca="1" si="61"/>
        <v>0</v>
      </c>
      <c r="Q103" s="46">
        <f t="shared" ca="1" si="61"/>
        <v>0</v>
      </c>
      <c r="R103" s="46">
        <f t="shared" ca="1" si="61"/>
        <v>0</v>
      </c>
      <c r="S103" s="46">
        <f t="shared" ca="1" si="61"/>
        <v>0</v>
      </c>
      <c r="T103" s="46">
        <f t="shared" ca="1" si="61"/>
        <v>0</v>
      </c>
    </row>
    <row r="105" spans="1:20" x14ac:dyDescent="0.15">
      <c r="A105" s="36" t="s">
        <v>129</v>
      </c>
      <c r="B105" s="36"/>
      <c r="E105" s="5"/>
      <c r="F105" s="5">
        <f t="shared" ref="F105:T105" ca="1" si="62">((F98-E98)/(F$75-E$75))/$E98</f>
        <v>-2.9638922252420402E-4</v>
      </c>
      <c r="G105" s="5">
        <f t="shared" ca="1" si="62"/>
        <v>8.7907474174192136E-3</v>
      </c>
      <c r="H105" s="5">
        <f t="shared" ca="1" si="62"/>
        <v>2.5220493316782042E-3</v>
      </c>
      <c r="I105" s="5">
        <f t="shared" ca="1" si="62"/>
        <v>-7.7019358196582198E-3</v>
      </c>
      <c r="J105" s="5">
        <f t="shared" ca="1" si="62"/>
        <v>-1.163130586124347E-2</v>
      </c>
      <c r="K105" s="5">
        <f t="shared" ca="1" si="62"/>
        <v>1.3421530573870435E-2</v>
      </c>
      <c r="L105" s="5">
        <f t="shared" ca="1" si="62"/>
        <v>1.7549504510653725E-2</v>
      </c>
      <c r="M105" s="5">
        <f t="shared" ca="1" si="62"/>
        <v>-9.756386934267643E-3</v>
      </c>
      <c r="N105" s="5">
        <f t="shared" ca="1" si="62"/>
        <v>-2.5623748145190927E-2</v>
      </c>
      <c r="O105" s="5">
        <f t="shared" ca="1" si="62"/>
        <v>4.1559078976541482E-4</v>
      </c>
      <c r="P105" s="5" t="e">
        <f t="shared" ca="1" si="62"/>
        <v>#DIV/0!</v>
      </c>
      <c r="Q105" s="5" t="e">
        <f t="shared" ca="1" si="62"/>
        <v>#DIV/0!</v>
      </c>
      <c r="R105" s="5" t="e">
        <f t="shared" ca="1" si="62"/>
        <v>#DIV/0!</v>
      </c>
      <c r="S105" s="5" t="e">
        <f t="shared" ca="1" si="62"/>
        <v>#DIV/0!</v>
      </c>
      <c r="T105" s="5">
        <f t="shared" ca="1" si="62"/>
        <v>0</v>
      </c>
    </row>
    <row r="109" spans="1:20" x14ac:dyDescent="0.15">
      <c r="A109" s="1" t="s">
        <v>132</v>
      </c>
      <c r="D109" s="46">
        <f ca="1">'Int Data'!G18</f>
        <v>3852.1980084876445</v>
      </c>
      <c r="E109" s="46">
        <f ca="1">'Int Data'!H18</f>
        <v>3611.4053332115086</v>
      </c>
      <c r="F109" s="46">
        <f ca="1">'Int Data'!I18</f>
        <v>3462.7944730886693</v>
      </c>
      <c r="G109" s="46">
        <f ca="1">'Int Data'!J18</f>
        <v>-1578.4253131791402</v>
      </c>
      <c r="H109" s="46">
        <f ca="1">'Int Data'!K18</f>
        <v>-4607.5004144724626</v>
      </c>
      <c r="I109" s="46">
        <f ca="1">'Int Data'!L18</f>
        <v>-8181.2403954552437</v>
      </c>
      <c r="J109" s="46">
        <f ca="1">'Int Data'!M18</f>
        <v>-7899.9466940491802</v>
      </c>
      <c r="K109" s="46">
        <f ca="1">'Int Data'!N18</f>
        <v>-7527.3104962595698</v>
      </c>
      <c r="L109" s="46">
        <f ca="1">'Int Data'!O18</f>
        <v>-5432.7489527535063</v>
      </c>
      <c r="M109" s="46">
        <f ca="1">'Int Data'!P18</f>
        <v>-3288.1550295163252</v>
      </c>
      <c r="N109" s="46">
        <f ca="1">'Int Data'!Q18</f>
        <v>-1784.6532068285519</v>
      </c>
      <c r="O109" s="46">
        <f>'Int Data'!R18</f>
        <v>0</v>
      </c>
      <c r="P109" s="46" t="e">
        <f ca="1">'Int Data'!S18</f>
        <v>#NUM!</v>
      </c>
      <c r="Q109" s="46">
        <f ca="1">'Int Data'!T18</f>
        <v>-2.9993390164717582E-2</v>
      </c>
      <c r="R109" s="46" t="e">
        <f ca="1">'Int Data'!U18</f>
        <v>#NUM!</v>
      </c>
      <c r="S109" s="46">
        <f>'Int Data'!V18</f>
        <v>0</v>
      </c>
      <c r="T109" s="46">
        <f>'Int Data'!W18</f>
        <v>0</v>
      </c>
    </row>
    <row r="110" spans="1:20" x14ac:dyDescent="0.15">
      <c r="D110" s="46">
        <f t="shared" ref="D110:M110" ca="1" si="63">D109*10^-3</f>
        <v>3.8521980084876448</v>
      </c>
      <c r="E110" s="46">
        <f t="shared" ca="1" si="63"/>
        <v>3.6114053332115086</v>
      </c>
      <c r="F110" s="46">
        <f t="shared" ca="1" si="63"/>
        <v>3.4627944730886693</v>
      </c>
      <c r="G110" s="46">
        <f t="shared" ca="1" si="63"/>
        <v>-1.5784253131791401</v>
      </c>
      <c r="H110" s="46">
        <f t="shared" ca="1" si="63"/>
        <v>-4.6075004144724625</v>
      </c>
      <c r="I110" s="46">
        <f t="shared" ca="1" si="63"/>
        <v>-8.1812403954552444</v>
      </c>
      <c r="J110" s="46">
        <f t="shared" ca="1" si="63"/>
        <v>-7.8999466940491807</v>
      </c>
      <c r="K110" s="46">
        <f t="shared" ca="1" si="63"/>
        <v>-7.5273104962595703</v>
      </c>
      <c r="L110" s="46">
        <f t="shared" ca="1" si="63"/>
        <v>-5.4327489527535064</v>
      </c>
      <c r="M110" s="46">
        <f t="shared" ca="1" si="63"/>
        <v>-3.2881550295163251</v>
      </c>
      <c r="N110" s="46">
        <f t="shared" ref="N110:T110" ca="1" si="64">N109*10^-3</f>
        <v>-1.7846532068285519</v>
      </c>
      <c r="O110" s="46">
        <f t="shared" si="64"/>
        <v>0</v>
      </c>
      <c r="P110" s="46" t="e">
        <f t="shared" ca="1" si="64"/>
        <v>#NUM!</v>
      </c>
      <c r="Q110" s="46">
        <f t="shared" ca="1" si="64"/>
        <v>-2.9993390164717584E-5</v>
      </c>
      <c r="R110" s="46" t="e">
        <f t="shared" ca="1" si="64"/>
        <v>#NUM!</v>
      </c>
      <c r="S110" s="46">
        <f t="shared" si="64"/>
        <v>0</v>
      </c>
      <c r="T110" s="46">
        <f t="shared" si="64"/>
        <v>0</v>
      </c>
    </row>
    <row r="112" spans="1:20" x14ac:dyDescent="0.15">
      <c r="D112" s="46">
        <f ca="1">D109</f>
        <v>3852.1980084876445</v>
      </c>
      <c r="E112" s="46">
        <f ca="1">E109</f>
        <v>3611.4053332115086</v>
      </c>
      <c r="F112" s="46">
        <f ca="1">F109</f>
        <v>3462.7944730886693</v>
      </c>
      <c r="G112" s="46">
        <f ca="1">G109</f>
        <v>-1578.4253131791402</v>
      </c>
      <c r="H112" s="46">
        <f ca="1">H109</f>
        <v>-4607.5004144724626</v>
      </c>
      <c r="I112" s="46">
        <v>0</v>
      </c>
    </row>
    <row r="113" spans="1:20" x14ac:dyDescent="0.15">
      <c r="D113" s="46">
        <f t="shared" ref="D113:I113" ca="1" si="65">D112*10^-3</f>
        <v>3.8521980084876448</v>
      </c>
      <c r="E113" s="46">
        <f t="shared" ca="1" si="65"/>
        <v>3.6114053332115086</v>
      </c>
      <c r="F113" s="46">
        <f t="shared" ca="1" si="65"/>
        <v>3.4627944730886693</v>
      </c>
      <c r="G113" s="46">
        <f t="shared" ca="1" si="65"/>
        <v>-1.5784253131791401</v>
      </c>
      <c r="H113" s="46">
        <f t="shared" ca="1" si="65"/>
        <v>-4.6075004144724625</v>
      </c>
      <c r="I113" s="46">
        <f t="shared" si="65"/>
        <v>0</v>
      </c>
    </row>
    <row r="115" spans="1:20" x14ac:dyDescent="0.15">
      <c r="I115" s="46">
        <f ca="1">I109</f>
        <v>-8181.2403954552437</v>
      </c>
      <c r="J115" s="46">
        <f ca="1">J109</f>
        <v>-7899.9466940491802</v>
      </c>
      <c r="K115" s="46">
        <f ca="1">K109</f>
        <v>-7527.3104962595698</v>
      </c>
      <c r="L115" s="46">
        <f ca="1">L109</f>
        <v>-5432.7489527535063</v>
      </c>
      <c r="M115" s="46">
        <f ca="1">M109</f>
        <v>-3288.1550295163252</v>
      </c>
      <c r="N115" s="46">
        <f t="shared" ref="N115:T115" ca="1" si="66">N109</f>
        <v>-1784.6532068285519</v>
      </c>
      <c r="O115" s="46">
        <f t="shared" si="66"/>
        <v>0</v>
      </c>
      <c r="P115" s="46" t="e">
        <f t="shared" ca="1" si="66"/>
        <v>#NUM!</v>
      </c>
      <c r="Q115" s="46">
        <f t="shared" ca="1" si="66"/>
        <v>-2.9993390164717582E-2</v>
      </c>
      <c r="R115" s="46" t="e">
        <f t="shared" ca="1" si="66"/>
        <v>#NUM!</v>
      </c>
      <c r="S115" s="46">
        <f t="shared" si="66"/>
        <v>0</v>
      </c>
      <c r="T115" s="46">
        <f t="shared" si="66"/>
        <v>0</v>
      </c>
    </row>
    <row r="116" spans="1:20" x14ac:dyDescent="0.15">
      <c r="I116" s="46">
        <f ca="1">I115*10^-3</f>
        <v>-8.1812403954552444</v>
      </c>
      <c r="J116" s="46">
        <f ca="1">J115*10^-3</f>
        <v>-7.8999466940491807</v>
      </c>
      <c r="K116" s="46">
        <f ca="1">K115*10^-3</f>
        <v>-7.5273104962595703</v>
      </c>
      <c r="L116" s="46">
        <f ca="1">L115*10^-3</f>
        <v>-5.4327489527535064</v>
      </c>
      <c r="M116" s="46">
        <f ca="1">M115*10^-3</f>
        <v>-3.2881550295163251</v>
      </c>
      <c r="N116" s="46">
        <f t="shared" ref="N116:T116" ca="1" si="67">N115*10^-3</f>
        <v>-1.7846532068285519</v>
      </c>
      <c r="O116" s="46">
        <f t="shared" si="67"/>
        <v>0</v>
      </c>
      <c r="P116" s="46" t="e">
        <f t="shared" ca="1" si="67"/>
        <v>#NUM!</v>
      </c>
      <c r="Q116" s="46">
        <f t="shared" ca="1" si="67"/>
        <v>-2.9993390164717584E-5</v>
      </c>
      <c r="R116" s="46" t="e">
        <f t="shared" ca="1" si="67"/>
        <v>#NUM!</v>
      </c>
      <c r="S116" s="46">
        <f t="shared" si="67"/>
        <v>0</v>
      </c>
      <c r="T116" s="46">
        <f t="shared" si="67"/>
        <v>0</v>
      </c>
    </row>
    <row r="118" spans="1:20" x14ac:dyDescent="0.15">
      <c r="A118" s="36" t="s">
        <v>240</v>
      </c>
      <c r="B118" s="36"/>
      <c r="D118" s="5">
        <f t="shared" ref="D118:M118" ca="1" si="68">D109/$E109</f>
        <v>1.066675616016219</v>
      </c>
      <c r="E118" s="5">
        <f t="shared" ca="1" si="68"/>
        <v>1</v>
      </c>
      <c r="F118" s="5">
        <f t="shared" ca="1" si="68"/>
        <v>0.95884957615912791</v>
      </c>
      <c r="G118" s="5">
        <f t="shared" ca="1" si="68"/>
        <v>-0.43706678357687878</v>
      </c>
      <c r="H118" s="5">
        <f t="shared" ca="1" si="68"/>
        <v>-1.2758192419168739</v>
      </c>
      <c r="I118" s="5">
        <f t="shared" ca="1" si="68"/>
        <v>-2.26538968645204</v>
      </c>
      <c r="J118" s="5">
        <f t="shared" ca="1" si="68"/>
        <v>-2.1874993154047337</v>
      </c>
      <c r="K118" s="5">
        <f t="shared" ca="1" si="68"/>
        <v>-2.0843161599824551</v>
      </c>
      <c r="L118" s="5">
        <f t="shared" ca="1" si="68"/>
        <v>-1.5043309879376887</v>
      </c>
      <c r="M118" s="5">
        <f t="shared" ca="1" si="68"/>
        <v>-0.91049182413215102</v>
      </c>
      <c r="N118" s="5">
        <f t="shared" ref="N118:T118" ca="1" si="69">N109/$E109</f>
        <v>-0.49417139372763685</v>
      </c>
      <c r="O118" s="5">
        <f t="shared" ca="1" si="69"/>
        <v>0</v>
      </c>
      <c r="P118" s="5" t="e">
        <f t="shared" ca="1" si="69"/>
        <v>#NUM!</v>
      </c>
      <c r="Q118" s="5">
        <f t="shared" ca="1" si="69"/>
        <v>-8.3051852111115444E-6</v>
      </c>
      <c r="R118" s="5" t="e">
        <f t="shared" ca="1" si="69"/>
        <v>#NUM!</v>
      </c>
      <c r="S118" s="5">
        <f t="shared" ca="1" si="69"/>
        <v>0</v>
      </c>
      <c r="T118" s="5">
        <f t="shared" ca="1" si="69"/>
        <v>0</v>
      </c>
    </row>
    <row r="119" spans="1:20" ht="12" customHeight="1" x14ac:dyDescent="0.15">
      <c r="D119" s="5"/>
      <c r="E119" s="5"/>
      <c r="F119" s="5"/>
      <c r="G119" s="5"/>
      <c r="H119" s="5">
        <v>0</v>
      </c>
      <c r="I119" s="5">
        <f ca="1">I109/$E109</f>
        <v>-2.26538968645204</v>
      </c>
      <c r="J119" s="5">
        <f ca="1">J109/$E109</f>
        <v>-2.1874993154047337</v>
      </c>
      <c r="K119" s="5">
        <f ca="1">K109/$E109</f>
        <v>-2.0843161599824551</v>
      </c>
      <c r="L119" s="5">
        <f ca="1">L109/$E109</f>
        <v>-1.5043309879376887</v>
      </c>
      <c r="M119" s="5">
        <f ca="1">M109/$E109</f>
        <v>-0.91049182413215102</v>
      </c>
      <c r="N119" s="5">
        <f t="shared" ref="N119:T119" ca="1" si="70">N109/$E109</f>
        <v>-0.49417139372763685</v>
      </c>
      <c r="O119" s="5">
        <f t="shared" ca="1" si="70"/>
        <v>0</v>
      </c>
      <c r="P119" s="5" t="e">
        <f t="shared" ca="1" si="70"/>
        <v>#NUM!</v>
      </c>
      <c r="Q119" s="5">
        <f t="shared" ca="1" si="70"/>
        <v>-8.3051852111115444E-6</v>
      </c>
      <c r="R119" s="5" t="e">
        <f t="shared" ca="1" si="70"/>
        <v>#NUM!</v>
      </c>
      <c r="S119" s="5">
        <f t="shared" ca="1" si="70"/>
        <v>0</v>
      </c>
      <c r="T119" s="5">
        <f t="shared" ca="1" si="70"/>
        <v>0</v>
      </c>
    </row>
    <row r="120" spans="1:20" ht="12" customHeight="1" x14ac:dyDescent="0.15">
      <c r="E120" s="5"/>
      <c r="F120" s="5"/>
      <c r="G120" s="5"/>
      <c r="H120" s="5"/>
      <c r="I120" s="5"/>
      <c r="J120" s="5"/>
      <c r="K120" s="5"/>
      <c r="L120" s="5"/>
      <c r="M120" s="5"/>
      <c r="N120" s="5"/>
      <c r="O120" s="5"/>
      <c r="P120" s="5"/>
      <c r="Q120" s="5"/>
      <c r="R120" s="5"/>
      <c r="S120" s="5"/>
      <c r="T120" s="5"/>
    </row>
    <row r="121" spans="1:20" ht="12" customHeight="1" x14ac:dyDescent="0.15">
      <c r="A121" s="36" t="s">
        <v>244</v>
      </c>
      <c r="B121" s="36"/>
      <c r="D121" s="46">
        <f ca="1">D110/$E$5</f>
        <v>0.12634039080347703</v>
      </c>
      <c r="E121" s="46">
        <f t="shared" ref="E121:L121" ca="1" si="71">E110/$E$5</f>
        <v>0.11844312263865982</v>
      </c>
      <c r="F121" s="46">
        <f t="shared" ca="1" si="71"/>
        <v>0.11356913794104258</v>
      </c>
      <c r="G121" s="46">
        <f t="shared" ca="1" si="71"/>
        <v>-5.1767554648480839E-2</v>
      </c>
      <c r="H121" s="46">
        <f t="shared" ca="1" si="71"/>
        <v>-0.1511120149351223</v>
      </c>
      <c r="I121" s="46">
        <f t="shared" ca="1" si="71"/>
        <v>-0.26831982845679409</v>
      </c>
      <c r="J121" s="46">
        <f t="shared" ca="1" si="71"/>
        <v>-0.25909424968646733</v>
      </c>
      <c r="K121" s="46">
        <f t="shared" ca="1" si="71"/>
        <v>-0.24687291455454241</v>
      </c>
      <c r="L121" s="46">
        <f t="shared" ca="1" si="71"/>
        <v>-0.17817765969343993</v>
      </c>
      <c r="M121" s="46">
        <f t="shared" ref="M121:T121" ca="1" si="72">M110/$E$5</f>
        <v>-0.10784149478718144</v>
      </c>
      <c r="N121" s="46">
        <f t="shared" ca="1" si="72"/>
        <v>-5.8531202991799931E-2</v>
      </c>
      <c r="O121" s="46">
        <f t="shared" ca="1" si="72"/>
        <v>0</v>
      </c>
      <c r="P121" s="46" t="e">
        <f t="shared" ca="1" si="72"/>
        <v>#NUM!</v>
      </c>
      <c r="Q121" s="46">
        <f t="shared" ca="1" si="72"/>
        <v>-9.8369207049646849E-7</v>
      </c>
      <c r="R121" s="46" t="e">
        <f t="shared" ca="1" si="72"/>
        <v>#NUM!</v>
      </c>
      <c r="S121" s="46">
        <f t="shared" ca="1" si="72"/>
        <v>0</v>
      </c>
      <c r="T121" s="46">
        <f t="shared" ca="1" si="72"/>
        <v>0</v>
      </c>
    </row>
    <row r="122" spans="1:20" ht="12" customHeight="1" x14ac:dyDescent="0.15">
      <c r="D122" s="5"/>
      <c r="E122" s="5"/>
      <c r="F122" s="5"/>
      <c r="G122" s="5"/>
      <c r="H122" s="46">
        <f ca="1">H110/$E$5</f>
        <v>-0.1511120149351223</v>
      </c>
      <c r="I122" s="46">
        <f ca="1">I110/$E$5</f>
        <v>-0.26831982845679409</v>
      </c>
      <c r="J122" s="46">
        <f ca="1">J110/$E$5</f>
        <v>-0.25909424968646733</v>
      </c>
      <c r="K122" s="46">
        <f ca="1">K110/$E$5</f>
        <v>-0.24687291455454241</v>
      </c>
      <c r="L122" s="46">
        <f ca="1">L110/$E$5</f>
        <v>-0.17817765969343993</v>
      </c>
      <c r="M122" s="46">
        <f t="shared" ref="M122:T122" ca="1" si="73">M110/$E$5</f>
        <v>-0.10784149478718144</v>
      </c>
      <c r="N122" s="46">
        <f t="shared" ca="1" si="73"/>
        <v>-5.8531202991799931E-2</v>
      </c>
      <c r="O122" s="46">
        <f t="shared" ca="1" si="73"/>
        <v>0</v>
      </c>
      <c r="P122" s="46" t="e">
        <f t="shared" ca="1" si="73"/>
        <v>#NUM!</v>
      </c>
      <c r="Q122" s="46">
        <f t="shared" ca="1" si="73"/>
        <v>-9.8369207049646849E-7</v>
      </c>
      <c r="R122" s="46" t="e">
        <f t="shared" ca="1" si="73"/>
        <v>#NUM!</v>
      </c>
      <c r="S122" s="46">
        <f t="shared" ca="1" si="73"/>
        <v>0</v>
      </c>
      <c r="T122" s="46">
        <f t="shared" ca="1" si="73"/>
        <v>0</v>
      </c>
    </row>
    <row r="123" spans="1:20" ht="12" customHeight="1" x14ac:dyDescent="0.15">
      <c r="D123" s="5"/>
      <c r="E123" s="5"/>
      <c r="F123" s="5"/>
      <c r="G123" s="5"/>
      <c r="H123" s="5"/>
      <c r="I123" s="5"/>
      <c r="J123" s="5"/>
      <c r="K123" s="5"/>
      <c r="L123" s="5"/>
      <c r="M123" s="5"/>
      <c r="N123" s="5"/>
      <c r="O123" s="5"/>
      <c r="P123" s="5"/>
      <c r="Q123" s="5"/>
      <c r="R123" s="5"/>
      <c r="S123" s="5"/>
      <c r="T123" s="5"/>
    </row>
    <row r="125" spans="1:20" x14ac:dyDescent="0.15">
      <c r="A125" s="36" t="s">
        <v>129</v>
      </c>
      <c r="B125" s="36"/>
      <c r="E125" s="5"/>
      <c r="F125" s="5">
        <f t="shared" ref="F125:T125" ca="1" si="74">((F109-E109)/(F$75-E$75))/$E109</f>
        <v>-4.1150423840872041E-3</v>
      </c>
      <c r="G125" s="5">
        <f t="shared" ca="1" si="74"/>
        <v>-0.13959163597360066</v>
      </c>
      <c r="H125" s="5">
        <f t="shared" ca="1" si="74"/>
        <v>-8.3875245833999523E-2</v>
      </c>
      <c r="I125" s="5">
        <f t="shared" ca="1" si="74"/>
        <v>-9.8957044453516579E-2</v>
      </c>
      <c r="J125" s="5">
        <f t="shared" ca="1" si="74"/>
        <v>7.7890371047305822E-3</v>
      </c>
      <c r="K125" s="5">
        <f t="shared" ca="1" si="74"/>
        <v>1.03183155422279E-2</v>
      </c>
      <c r="L125" s="5">
        <f t="shared" ca="1" si="74"/>
        <v>5.7998517204476636E-2</v>
      </c>
      <c r="M125" s="5">
        <f t="shared" ca="1" si="74"/>
        <v>5.9383916380553757E-2</v>
      </c>
      <c r="N125" s="5">
        <f t="shared" ca="1" si="74"/>
        <v>4.1632043040451421E-2</v>
      </c>
      <c r="O125" s="5">
        <f t="shared" ca="1" si="74"/>
        <v>-2.3531971129887467E-4</v>
      </c>
      <c r="P125" s="5" t="e">
        <f t="shared" ca="1" si="74"/>
        <v>#NUM!</v>
      </c>
      <c r="Q125" s="5" t="e">
        <f t="shared" ca="1" si="74"/>
        <v>#NUM!</v>
      </c>
      <c r="R125" s="5" t="e">
        <f t="shared" ca="1" si="74"/>
        <v>#NUM!</v>
      </c>
      <c r="S125" s="5" t="e">
        <f t="shared" ca="1" si="74"/>
        <v>#NUM!</v>
      </c>
      <c r="T125" s="5">
        <f t="shared" ca="1" si="74"/>
        <v>0</v>
      </c>
    </row>
    <row r="129" spans="1:20" x14ac:dyDescent="0.15">
      <c r="A129" s="1" t="s">
        <v>131</v>
      </c>
      <c r="D129" s="46">
        <f ca="1">OtherGases!G17</f>
        <v>12118.110632855343</v>
      </c>
      <c r="E129" s="46">
        <f ca="1">OtherGases!H17</f>
        <v>13375.585601370156</v>
      </c>
      <c r="F129" s="46">
        <f ca="1">OtherGases!I17</f>
        <v>12139.516504897341</v>
      </c>
      <c r="G129" s="46">
        <f ca="1">OtherGases!J17</f>
        <v>7876.8582514629134</v>
      </c>
      <c r="H129" s="46">
        <f ca="1">OtherGases!K17</f>
        <v>5687.545156807153</v>
      </c>
      <c r="I129" s="46">
        <f ca="1">OtherGases!L17</f>
        <v>4464.7977669322499</v>
      </c>
      <c r="J129" s="46">
        <f ca="1">OtherGases!M17</f>
        <v>3772.384567781346</v>
      </c>
      <c r="K129" s="46">
        <f ca="1">OtherGases!N17</f>
        <v>3179.0504681513448</v>
      </c>
      <c r="L129" s="46">
        <f ca="1">OtherGases!O17</f>
        <v>2709.0265854810646</v>
      </c>
      <c r="M129" s="46">
        <f ca="1">OtherGases!P17</f>
        <v>2307.5929408927732</v>
      </c>
      <c r="N129" s="46">
        <f ca="1">OtherGases!Q17</f>
        <v>1953.7785626403838</v>
      </c>
      <c r="O129" s="46">
        <f>OtherGases!R17</f>
        <v>0</v>
      </c>
      <c r="P129" s="46">
        <f>OtherGases!S17</f>
        <v>0</v>
      </c>
      <c r="Q129" s="46">
        <f>OtherGases!T17</f>
        <v>0</v>
      </c>
      <c r="R129" s="46">
        <f>OtherGases!U17</f>
        <v>0</v>
      </c>
      <c r="S129" s="46">
        <f>OtherGases!V17</f>
        <v>0</v>
      </c>
      <c r="T129" s="46">
        <f>OtherGases!W17</f>
        <v>0</v>
      </c>
    </row>
    <row r="130" spans="1:20" x14ac:dyDescent="0.15">
      <c r="D130" s="46">
        <f t="shared" ref="D130:M130" ca="1" si="75">D129*10^-3</f>
        <v>12.118110632855343</v>
      </c>
      <c r="E130" s="46">
        <f t="shared" ca="1" si="75"/>
        <v>13.375585601370156</v>
      </c>
      <c r="F130" s="46">
        <f t="shared" ca="1" si="75"/>
        <v>12.139516504897342</v>
      </c>
      <c r="G130" s="46">
        <f t="shared" ca="1" si="75"/>
        <v>7.876858251462914</v>
      </c>
      <c r="H130" s="46">
        <f t="shared" ca="1" si="75"/>
        <v>5.6875451568071531</v>
      </c>
      <c r="I130" s="46">
        <f t="shared" ca="1" si="75"/>
        <v>4.4647977669322501</v>
      </c>
      <c r="J130" s="46">
        <f t="shared" ca="1" si="75"/>
        <v>3.7723845677813461</v>
      </c>
      <c r="K130" s="46">
        <f t="shared" ca="1" si="75"/>
        <v>3.179050468151345</v>
      </c>
      <c r="L130" s="46">
        <f t="shared" ca="1" si="75"/>
        <v>2.7090265854810647</v>
      </c>
      <c r="M130" s="46">
        <f t="shared" ca="1" si="75"/>
        <v>2.3075929408927731</v>
      </c>
      <c r="N130" s="46">
        <f t="shared" ref="N130:T130" ca="1" si="76">N129*10^-3</f>
        <v>1.9537785626403839</v>
      </c>
      <c r="O130" s="46">
        <f t="shared" si="76"/>
        <v>0</v>
      </c>
      <c r="P130" s="46">
        <f t="shared" si="76"/>
        <v>0</v>
      </c>
      <c r="Q130" s="46">
        <f t="shared" si="76"/>
        <v>0</v>
      </c>
      <c r="R130" s="46">
        <f t="shared" si="76"/>
        <v>0</v>
      </c>
      <c r="S130" s="46">
        <f t="shared" si="76"/>
        <v>0</v>
      </c>
      <c r="T130" s="46">
        <f t="shared" si="76"/>
        <v>0</v>
      </c>
    </row>
    <row r="132" spans="1:20" x14ac:dyDescent="0.15">
      <c r="A132" s="36" t="s">
        <v>240</v>
      </c>
      <c r="B132" s="36"/>
      <c r="D132" s="5">
        <f t="shared" ref="D132:M132" ca="1" si="77">D129/$E129</f>
        <v>0.90598729610866524</v>
      </c>
      <c r="E132" s="5">
        <f t="shared" ca="1" si="77"/>
        <v>1</v>
      </c>
      <c r="F132" s="5">
        <f t="shared" ca="1" si="77"/>
        <v>0.90758766507044031</v>
      </c>
      <c r="G132" s="5">
        <f t="shared" ca="1" si="77"/>
        <v>0.58889819752310735</v>
      </c>
      <c r="H132" s="5">
        <f t="shared" ca="1" si="77"/>
        <v>0.42521840361326219</v>
      </c>
      <c r="I132" s="5">
        <f t="shared" ca="1" si="77"/>
        <v>0.33380204052336138</v>
      </c>
      <c r="J132" s="5">
        <f t="shared" ca="1" si="77"/>
        <v>0.28203509589852382</v>
      </c>
      <c r="K132" s="5">
        <f t="shared" ca="1" si="77"/>
        <v>0.2376756100925923</v>
      </c>
      <c r="L132" s="5">
        <f t="shared" ca="1" si="77"/>
        <v>0.20253517611995692</v>
      </c>
      <c r="M132" s="5">
        <f t="shared" ca="1" si="77"/>
        <v>0.17252275972547998</v>
      </c>
      <c r="N132" s="5">
        <f t="shared" ref="N132:T132" ca="1" si="78">N129/$E129</f>
        <v>0.14607050643377023</v>
      </c>
      <c r="O132" s="5">
        <f t="shared" ca="1" si="78"/>
        <v>0</v>
      </c>
      <c r="P132" s="5">
        <f t="shared" ca="1" si="78"/>
        <v>0</v>
      </c>
      <c r="Q132" s="5">
        <f t="shared" ca="1" si="78"/>
        <v>0</v>
      </c>
      <c r="R132" s="5">
        <f t="shared" ca="1" si="78"/>
        <v>0</v>
      </c>
      <c r="S132" s="5">
        <f t="shared" ca="1" si="78"/>
        <v>0</v>
      </c>
      <c r="T132" s="5">
        <f t="shared" ca="1" si="78"/>
        <v>0</v>
      </c>
    </row>
    <row r="133" spans="1:20" x14ac:dyDescent="0.15">
      <c r="E133" s="5"/>
      <c r="F133" s="5"/>
      <c r="G133" s="5"/>
      <c r="H133" s="5"/>
      <c r="I133" s="5"/>
      <c r="J133" s="5"/>
      <c r="K133" s="5"/>
      <c r="L133" s="5"/>
      <c r="M133" s="5"/>
      <c r="N133" s="5"/>
      <c r="O133" s="5"/>
      <c r="P133" s="5"/>
      <c r="Q133" s="5"/>
      <c r="R133" s="5"/>
      <c r="S133" s="5"/>
      <c r="T133" s="5"/>
    </row>
    <row r="134" spans="1:20" x14ac:dyDescent="0.15">
      <c r="A134" s="36" t="s">
        <v>244</v>
      </c>
      <c r="B134" s="36"/>
      <c r="D134" s="46">
        <f ca="1">D130/$E$5</f>
        <v>0.39743721111464381</v>
      </c>
      <c r="E134" s="46">
        <f t="shared" ref="E134:T134" ca="1" si="79">E130/$E$5</f>
        <v>0.43867856958004708</v>
      </c>
      <c r="F134" s="46">
        <f t="shared" ca="1" si="79"/>
        <v>0.39813925868159561</v>
      </c>
      <c r="G134" s="46">
        <f t="shared" ca="1" si="79"/>
        <v>0.25833701891770477</v>
      </c>
      <c r="H134" s="46">
        <f t="shared" ca="1" si="79"/>
        <v>0.18653420105617696</v>
      </c>
      <c r="I134" s="46">
        <f t="shared" ca="1" si="79"/>
        <v>0.14643180165968908</v>
      </c>
      <c r="J134" s="46">
        <f t="shared" ca="1" si="79"/>
        <v>0.12372275244013582</v>
      </c>
      <c r="K134" s="46">
        <f t="shared" ca="1" si="79"/>
        <v>0.10426319665948339</v>
      </c>
      <c r="L134" s="46">
        <f t="shared" ca="1" si="79"/>
        <v>8.8847841349945611E-2</v>
      </c>
      <c r="M134" s="46">
        <f t="shared" ca="1" si="79"/>
        <v>7.5682037456375709E-2</v>
      </c>
      <c r="N134" s="46">
        <f t="shared" ca="1" si="79"/>
        <v>6.4078000820199391E-2</v>
      </c>
      <c r="O134" s="46">
        <f t="shared" ca="1" si="79"/>
        <v>0</v>
      </c>
      <c r="P134" s="46">
        <f t="shared" ca="1" si="79"/>
        <v>0</v>
      </c>
      <c r="Q134" s="46">
        <f t="shared" ca="1" si="79"/>
        <v>0</v>
      </c>
      <c r="R134" s="46">
        <f t="shared" ca="1" si="79"/>
        <v>0</v>
      </c>
      <c r="S134" s="46">
        <f t="shared" ca="1" si="79"/>
        <v>0</v>
      </c>
      <c r="T134" s="46">
        <f t="shared" ca="1" si="79"/>
        <v>0</v>
      </c>
    </row>
    <row r="136" spans="1:20" x14ac:dyDescent="0.15">
      <c r="A136" s="36" t="s">
        <v>129</v>
      </c>
      <c r="B136" s="36"/>
      <c r="E136" s="5"/>
      <c r="F136" s="5">
        <f t="shared" ref="F136:T136" ca="1" si="80">((F129-E129)/(F$75-E$75))/$E129</f>
        <v>-9.2412334929559675E-3</v>
      </c>
      <c r="G136" s="5">
        <f t="shared" ca="1" si="80"/>
        <v>-3.1868946754733292E-2</v>
      </c>
      <c r="H136" s="5">
        <f t="shared" ca="1" si="80"/>
        <v>-1.636797939098452E-2</v>
      </c>
      <c r="I136" s="5">
        <f t="shared" ca="1" si="80"/>
        <v>-9.1416363089900782E-3</v>
      </c>
      <c r="J136" s="5">
        <f t="shared" ca="1" si="80"/>
        <v>-5.1766944624837587E-3</v>
      </c>
      <c r="K136" s="5">
        <f t="shared" ca="1" si="80"/>
        <v>-4.4359485805931503E-3</v>
      </c>
      <c r="L136" s="5">
        <f t="shared" ca="1" si="80"/>
        <v>-3.5140433972635364E-3</v>
      </c>
      <c r="M136" s="5">
        <f t="shared" ca="1" si="80"/>
        <v>-3.0012416394476944E-3</v>
      </c>
      <c r="N136" s="5">
        <f t="shared" ca="1" si="80"/>
        <v>-2.6452253291709758E-3</v>
      </c>
      <c r="O136" s="5">
        <f t="shared" ca="1" si="80"/>
        <v>6.9557384016081058E-5</v>
      </c>
      <c r="P136" s="5" t="e">
        <f t="shared" ca="1" si="80"/>
        <v>#DIV/0!</v>
      </c>
      <c r="Q136" s="5" t="e">
        <f t="shared" ca="1" si="80"/>
        <v>#DIV/0!</v>
      </c>
      <c r="R136" s="5" t="e">
        <f t="shared" ca="1" si="80"/>
        <v>#DIV/0!</v>
      </c>
      <c r="S136" s="5" t="e">
        <f t="shared" ca="1" si="80"/>
        <v>#DIV/0!</v>
      </c>
      <c r="T136" s="5">
        <f t="shared" ca="1" si="80"/>
        <v>0</v>
      </c>
    </row>
    <row r="140" spans="1:20" x14ac:dyDescent="0.15">
      <c r="A140" s="1" t="s">
        <v>130</v>
      </c>
      <c r="D140" s="46">
        <f t="shared" ref="D140:M140" ca="1" si="81">D77+D87+D98+D109+D129</f>
        <v>45360.543091842206</v>
      </c>
      <c r="E140" s="46">
        <f t="shared" ca="1" si="81"/>
        <v>49203.953937660757</v>
      </c>
      <c r="F140" s="46">
        <f t="shared" ca="1" si="81"/>
        <v>46345.598091461783</v>
      </c>
      <c r="G140" s="46">
        <f t="shared" ca="1" si="81"/>
        <v>26902.679463998567</v>
      </c>
      <c r="H140" s="46">
        <f t="shared" ca="1" si="81"/>
        <v>12015.224657613837</v>
      </c>
      <c r="I140" s="46">
        <f t="shared" ca="1" si="81"/>
        <v>3576.0024006090753</v>
      </c>
      <c r="J140" s="46">
        <f t="shared" ca="1" si="81"/>
        <v>1709.8753650043527</v>
      </c>
      <c r="K140" s="46">
        <f t="shared" ca="1" si="81"/>
        <v>981.42216533967894</v>
      </c>
      <c r="L140" s="46">
        <f t="shared" ca="1" si="81"/>
        <v>2314.0056727701244</v>
      </c>
      <c r="M140" s="46">
        <f t="shared" ca="1" si="81"/>
        <v>3693.4694036021174</v>
      </c>
      <c r="N140" s="46">
        <f t="shared" ref="N140:T140" ca="1" si="82">N77+N87+N98+N109+N129</f>
        <v>4594.9976826209695</v>
      </c>
      <c r="O140" s="46">
        <f t="shared" si="82"/>
        <v>0</v>
      </c>
      <c r="P140" s="46" t="e">
        <f t="shared" ca="1" si="82"/>
        <v>#NUM!</v>
      </c>
      <c r="Q140" s="46">
        <f t="shared" ca="1" si="82"/>
        <v>-2.9993390164717582E-2</v>
      </c>
      <c r="R140" s="46" t="e">
        <f t="shared" ca="1" si="82"/>
        <v>#NUM!</v>
      </c>
      <c r="S140" s="46">
        <f t="shared" si="82"/>
        <v>0</v>
      </c>
      <c r="T140" s="46">
        <f t="shared" si="82"/>
        <v>0</v>
      </c>
    </row>
    <row r="141" spans="1:20" x14ac:dyDescent="0.15">
      <c r="D141" s="46">
        <f t="shared" ref="D141:M141" ca="1" si="83">D140*10^-3</f>
        <v>45.36054309184221</v>
      </c>
      <c r="E141" s="46">
        <f t="shared" ca="1" si="83"/>
        <v>49.203953937660756</v>
      </c>
      <c r="F141" s="46">
        <f t="shared" ca="1" si="83"/>
        <v>46.345598091461781</v>
      </c>
      <c r="G141" s="46">
        <f t="shared" ca="1" si="83"/>
        <v>26.902679463998567</v>
      </c>
      <c r="H141" s="46">
        <f t="shared" ca="1" si="83"/>
        <v>12.015224657613837</v>
      </c>
      <c r="I141" s="46">
        <f t="shared" ca="1" si="83"/>
        <v>3.5760024006090751</v>
      </c>
      <c r="J141" s="46">
        <f t="shared" ca="1" si="83"/>
        <v>1.7098753650043528</v>
      </c>
      <c r="K141" s="46">
        <f t="shared" ca="1" si="83"/>
        <v>0.98142216533967896</v>
      </c>
      <c r="L141" s="46">
        <f t="shared" ca="1" si="83"/>
        <v>2.3140056727701244</v>
      </c>
      <c r="M141" s="46">
        <f t="shared" ca="1" si="83"/>
        <v>3.6934694036021174</v>
      </c>
      <c r="N141" s="46">
        <f t="shared" ref="N141:T141" ca="1" si="84">N140*10^-3</f>
        <v>4.5949976826209697</v>
      </c>
      <c r="O141" s="46">
        <f t="shared" si="84"/>
        <v>0</v>
      </c>
      <c r="P141" s="46" t="e">
        <f t="shared" ca="1" si="84"/>
        <v>#NUM!</v>
      </c>
      <c r="Q141" s="46">
        <f t="shared" ca="1" si="84"/>
        <v>-2.9993390164717584E-5</v>
      </c>
      <c r="R141" s="46" t="e">
        <f t="shared" ca="1" si="84"/>
        <v>#NUM!</v>
      </c>
      <c r="S141" s="46">
        <f t="shared" si="84"/>
        <v>0</v>
      </c>
      <c r="T141" s="46">
        <f t="shared" si="84"/>
        <v>0</v>
      </c>
    </row>
    <row r="143" spans="1:20" x14ac:dyDescent="0.15">
      <c r="A143" s="36" t="s">
        <v>240</v>
      </c>
      <c r="B143" s="36"/>
      <c r="D143" s="5">
        <f t="shared" ref="D143:M143" ca="1" si="85">D140/$E140</f>
        <v>0.92188817080253382</v>
      </c>
      <c r="E143" s="5">
        <f t="shared" ca="1" si="85"/>
        <v>1</v>
      </c>
      <c r="F143" s="5">
        <f t="shared" ca="1" si="85"/>
        <v>0.94190800499853355</v>
      </c>
      <c r="G143" s="5">
        <f t="shared" ca="1" si="85"/>
        <v>0.54675848811018479</v>
      </c>
      <c r="H143" s="5">
        <f t="shared" ca="1" si="85"/>
        <v>0.24419225887489848</v>
      </c>
      <c r="I143" s="5">
        <f t="shared" ca="1" si="85"/>
        <v>7.2677134954229755E-2</v>
      </c>
      <c r="J143" s="5">
        <f t="shared" ca="1" si="85"/>
        <v>3.4750771597963234E-2</v>
      </c>
      <c r="K143" s="5">
        <f t="shared" ca="1" si="85"/>
        <v>1.994600203437101E-2</v>
      </c>
      <c r="L143" s="5">
        <f t="shared" ca="1" si="85"/>
        <v>4.7028856170824557E-2</v>
      </c>
      <c r="M143" s="5">
        <f t="shared" ca="1" si="85"/>
        <v>7.5064483807166807E-2</v>
      </c>
      <c r="N143" s="5">
        <f t="shared" ref="N143:T143" ca="1" si="86">N140/$E140</f>
        <v>9.3386756853781089E-2</v>
      </c>
      <c r="O143" s="5">
        <f t="shared" ca="1" si="86"/>
        <v>0</v>
      </c>
      <c r="P143" s="5" t="e">
        <f t="shared" ca="1" si="86"/>
        <v>#NUM!</v>
      </c>
      <c r="Q143" s="5">
        <f t="shared" ca="1" si="86"/>
        <v>-6.095727632522761E-7</v>
      </c>
      <c r="R143" s="5" t="e">
        <f t="shared" ca="1" si="86"/>
        <v>#NUM!</v>
      </c>
      <c r="S143" s="5">
        <f t="shared" ca="1" si="86"/>
        <v>0</v>
      </c>
      <c r="T143" s="5">
        <f t="shared" ca="1" si="86"/>
        <v>0</v>
      </c>
    </row>
    <row r="144" spans="1:20" x14ac:dyDescent="0.15">
      <c r="E144" s="5"/>
      <c r="F144" s="5"/>
      <c r="G144" s="5"/>
      <c r="H144" s="5"/>
      <c r="I144" s="5"/>
      <c r="J144" s="5"/>
      <c r="K144" s="5"/>
      <c r="L144" s="5"/>
      <c r="M144" s="5"/>
      <c r="N144" s="5"/>
      <c r="O144" s="5"/>
      <c r="P144" s="5"/>
      <c r="Q144" s="5"/>
      <c r="R144" s="5"/>
      <c r="S144" s="5"/>
      <c r="T144" s="5"/>
    </row>
    <row r="145" spans="1:20" x14ac:dyDescent="0.15">
      <c r="A145" s="36" t="s">
        <v>244</v>
      </c>
      <c r="B145" s="36"/>
      <c r="D145" s="46">
        <f ca="1">D141/$E$5</f>
        <v>1.4876879975157917</v>
      </c>
      <c r="E145" s="46">
        <f t="shared" ref="E145:T145" ca="1" si="87">E141/$E$5</f>
        <v>1.6137401960811697</v>
      </c>
      <c r="F145" s="46">
        <f t="shared" ca="1" si="87"/>
        <v>1.5199948086767567</v>
      </c>
      <c r="G145" s="46">
        <f t="shared" ca="1" si="87"/>
        <v>0.88232614981197333</v>
      </c>
      <c r="H145" s="46">
        <f t="shared" ca="1" si="87"/>
        <v>0.39406286371828242</v>
      </c>
      <c r="I145" s="46">
        <f t="shared" ca="1" si="87"/>
        <v>0.11728201401165635</v>
      </c>
      <c r="J145" s="46">
        <f t="shared" ca="1" si="87"/>
        <v>5.6078716972469134E-2</v>
      </c>
      <c r="K145" s="46">
        <f t="shared" ca="1" si="87"/>
        <v>3.2187665233981283E-2</v>
      </c>
      <c r="L145" s="46">
        <f t="shared" ca="1" si="87"/>
        <v>7.589235557857954E-2</v>
      </c>
      <c r="M145" s="46">
        <f t="shared" ca="1" si="87"/>
        <v>0.12113457481770915</v>
      </c>
      <c r="N145" s="46">
        <f t="shared" ca="1" si="87"/>
        <v>0.15070196331660521</v>
      </c>
      <c r="O145" s="46">
        <f t="shared" ca="1" si="87"/>
        <v>0</v>
      </c>
      <c r="P145" s="46" t="e">
        <f t="shared" ca="1" si="87"/>
        <v>#NUM!</v>
      </c>
      <c r="Q145" s="46">
        <f t="shared" ca="1" si="87"/>
        <v>-9.8369207049646849E-7</v>
      </c>
      <c r="R145" s="46" t="e">
        <f t="shared" ca="1" si="87"/>
        <v>#NUM!</v>
      </c>
      <c r="S145" s="46">
        <f t="shared" ca="1" si="87"/>
        <v>0</v>
      </c>
      <c r="T145" s="46">
        <f t="shared" ca="1" si="87"/>
        <v>0</v>
      </c>
    </row>
    <row r="147" spans="1:20" x14ac:dyDescent="0.15">
      <c r="A147" s="36" t="s">
        <v>129</v>
      </c>
      <c r="B147" s="36"/>
      <c r="E147" s="5"/>
      <c r="F147" s="5">
        <f t="shared" ref="F147:T147" ca="1" si="88">((F140-E140)/(F$75-E$75))/$E140</f>
        <v>-5.8091995001466447E-3</v>
      </c>
      <c r="G147" s="5">
        <f t="shared" ca="1" si="88"/>
        <v>-3.9514951688834878E-2</v>
      </c>
      <c r="H147" s="5">
        <f t="shared" ca="1" si="88"/>
        <v>-3.0256622923528625E-2</v>
      </c>
      <c r="I147" s="5">
        <f t="shared" ca="1" si="88"/>
        <v>-1.7151512392066873E-2</v>
      </c>
      <c r="J147" s="5">
        <f t="shared" ca="1" si="88"/>
        <v>-3.7926363356266517E-3</v>
      </c>
      <c r="K147" s="5">
        <f t="shared" ca="1" si="88"/>
        <v>-1.4804769563592224E-3</v>
      </c>
      <c r="L147" s="5">
        <f t="shared" ca="1" si="88"/>
        <v>2.7082854136453549E-3</v>
      </c>
      <c r="M147" s="5">
        <f t="shared" ca="1" si="88"/>
        <v>2.8035627636342248E-3</v>
      </c>
      <c r="N147" s="5">
        <f t="shared" ca="1" si="88"/>
        <v>1.8322273046614279E-3</v>
      </c>
      <c r="O147" s="5">
        <f t="shared" ca="1" si="88"/>
        <v>4.4469884216086232E-5</v>
      </c>
      <c r="P147" s="5" t="e">
        <f t="shared" ca="1" si="88"/>
        <v>#NUM!</v>
      </c>
      <c r="Q147" s="5" t="e">
        <f t="shared" ca="1" si="88"/>
        <v>#NUM!</v>
      </c>
      <c r="R147" s="5" t="e">
        <f t="shared" ca="1" si="88"/>
        <v>#NUM!</v>
      </c>
      <c r="S147" s="5" t="e">
        <f t="shared" ca="1" si="88"/>
        <v>#NUM!</v>
      </c>
      <c r="T147" s="5">
        <f t="shared" ca="1" si="88"/>
        <v>0</v>
      </c>
    </row>
    <row r="150" spans="1:20" ht="16" x14ac:dyDescent="0.2">
      <c r="B150" s="193" t="s">
        <v>195</v>
      </c>
      <c r="C150"/>
      <c r="D150"/>
      <c r="E150"/>
      <c r="F150"/>
      <c r="G150"/>
      <c r="H150"/>
      <c r="I150"/>
      <c r="J150"/>
      <c r="K150"/>
      <c r="L150"/>
    </row>
    <row r="151" spans="1:20" ht="16" x14ac:dyDescent="0.2">
      <c r="B151"/>
      <c r="C151"/>
      <c r="D151"/>
      <c r="E151"/>
      <c r="F151"/>
      <c r="G151"/>
      <c r="H151"/>
      <c r="I151"/>
      <c r="J151"/>
      <c r="K151"/>
      <c r="L151"/>
      <c r="M151"/>
      <c r="N151"/>
    </row>
    <row r="152" spans="1:20" ht="16" x14ac:dyDescent="0.2">
      <c r="C152"/>
      <c r="D152"/>
      <c r="E152"/>
      <c r="F152"/>
      <c r="G152"/>
      <c r="H152"/>
      <c r="I152"/>
      <c r="J152"/>
      <c r="K152"/>
      <c r="L152"/>
      <c r="M152"/>
      <c r="N152"/>
    </row>
    <row r="153" spans="1:20" ht="16" x14ac:dyDescent="0.2">
      <c r="A153" s="190" t="s">
        <v>196</v>
      </c>
      <c r="B153">
        <f>B78-B5</f>
        <v>0</v>
      </c>
      <c r="C153">
        <f t="shared" ref="C153:L153" si="89">C78-C5</f>
        <v>0</v>
      </c>
      <c r="D153">
        <f t="shared" ca="1" si="89"/>
        <v>-3.134230772651847E-3</v>
      </c>
      <c r="E153">
        <f t="shared" ca="1" si="89"/>
        <v>0.10721556345621508</v>
      </c>
      <c r="F153">
        <f t="shared" ca="1" si="89"/>
        <v>-7.2902054786682129</v>
      </c>
      <c r="G153">
        <f t="shared" ca="1" si="89"/>
        <v>-22.331053096038023</v>
      </c>
      <c r="H153">
        <f t="shared" ca="1" si="89"/>
        <v>-35.500564926808771</v>
      </c>
      <c r="I153">
        <f t="shared" ca="1" si="89"/>
        <v>-43.031778824766661</v>
      </c>
      <c r="J153">
        <f t="shared" ca="1" si="89"/>
        <v>-49.298039841789432</v>
      </c>
      <c r="K153">
        <f t="shared" ca="1" si="89"/>
        <v>-53.877046872383588</v>
      </c>
      <c r="L153">
        <f t="shared" ca="1" si="89"/>
        <v>-57.591866666637159</v>
      </c>
      <c r="M153">
        <f ca="1">M78-M5</f>
        <v>-61.782131769040468</v>
      </c>
      <c r="N153">
        <f ca="1">N78-N5</f>
        <v>-66.291485704799314</v>
      </c>
    </row>
    <row r="154" spans="1:20" ht="16" x14ac:dyDescent="0.2">
      <c r="B154"/>
      <c r="C154"/>
      <c r="D154"/>
      <c r="E154"/>
      <c r="F154"/>
      <c r="G154"/>
      <c r="H154"/>
      <c r="I154"/>
      <c r="J154"/>
      <c r="K154"/>
      <c r="L154"/>
      <c r="M154"/>
      <c r="N154"/>
    </row>
    <row r="155" spans="1:20" ht="16" x14ac:dyDescent="0.2">
      <c r="C155"/>
      <c r="D155"/>
      <c r="E155"/>
      <c r="F155"/>
      <c r="G155"/>
      <c r="H155"/>
      <c r="I155"/>
      <c r="J155"/>
      <c r="K155"/>
      <c r="L155"/>
      <c r="M155"/>
      <c r="N155"/>
    </row>
    <row r="156" spans="1:20" ht="16" x14ac:dyDescent="0.2">
      <c r="A156" s="190" t="s">
        <v>245</v>
      </c>
      <c r="B156">
        <f>B80-B7</f>
        <v>0</v>
      </c>
      <c r="C156">
        <f t="shared" ref="C156:L156" si="90">C80-C7</f>
        <v>0</v>
      </c>
      <c r="D156">
        <f t="shared" ca="1" si="90"/>
        <v>-3.4803578105070399E-3</v>
      </c>
      <c r="E156">
        <f t="shared" ca="1" si="90"/>
        <v>0</v>
      </c>
      <c r="F156">
        <f t="shared" ca="1" si="90"/>
        <v>-0.24244412980856811</v>
      </c>
      <c r="G156">
        <f t="shared" ca="1" si="90"/>
        <v>-0.73455668507318261</v>
      </c>
      <c r="H156">
        <f t="shared" ca="1" si="90"/>
        <v>-1.1653607863686419</v>
      </c>
      <c r="I156">
        <f t="shared" ca="1" si="90"/>
        <v>-1.4119574346905868</v>
      </c>
      <c r="J156">
        <f t="shared" ca="1" si="90"/>
        <v>-1.6173261881268499</v>
      </c>
      <c r="K156">
        <f t="shared" ca="1" si="90"/>
        <v>-1.7674203791539598</v>
      </c>
      <c r="L156">
        <f t="shared" ca="1" si="90"/>
        <v>-1.8891889736352028</v>
      </c>
      <c r="M156">
        <f ca="1">M80-M7</f>
        <v>-2.0265932950231944</v>
      </c>
      <c r="N156">
        <f ca="1">N80-N7</f>
        <v>-2.1745055956728594</v>
      </c>
    </row>
    <row r="157" spans="1:20" ht="16" x14ac:dyDescent="0.2">
      <c r="B157"/>
      <c r="C157"/>
      <c r="D157"/>
      <c r="E157"/>
      <c r="F157"/>
      <c r="G157"/>
      <c r="H157"/>
      <c r="I157"/>
      <c r="J157"/>
      <c r="K157"/>
      <c r="L157"/>
      <c r="M157"/>
      <c r="N157"/>
    </row>
    <row r="158" spans="1:20" ht="16" x14ac:dyDescent="0.2">
      <c r="C158"/>
      <c r="D158"/>
      <c r="E158"/>
      <c r="F158"/>
      <c r="G158"/>
      <c r="H158"/>
      <c r="I158"/>
      <c r="J158"/>
      <c r="K158"/>
      <c r="L158"/>
      <c r="M158"/>
      <c r="N158"/>
    </row>
    <row r="159" spans="1:20" ht="16" x14ac:dyDescent="0.2">
      <c r="A159" s="190" t="s">
        <v>197</v>
      </c>
      <c r="B159">
        <f>B88-B15</f>
        <v>0</v>
      </c>
      <c r="C159">
        <f t="shared" ref="C159:L159" si="91">C88-C15</f>
        <v>0</v>
      </c>
      <c r="D159">
        <f t="shared" ca="1" si="91"/>
        <v>0</v>
      </c>
      <c r="E159">
        <f t="shared" ca="1" si="91"/>
        <v>0</v>
      </c>
      <c r="F159">
        <f t="shared" ca="1" si="91"/>
        <v>-4.8386068484041956E-18</v>
      </c>
      <c r="G159">
        <f t="shared" ca="1" si="91"/>
        <v>-2.004778366333915E-9</v>
      </c>
      <c r="H159">
        <f t="shared" ca="1" si="91"/>
        <v>-4.5750844565087794E-8</v>
      </c>
      <c r="I159">
        <f t="shared" ca="1" si="91"/>
        <v>-9.4639817689382689E-5</v>
      </c>
      <c r="J159">
        <f t="shared" ca="1" si="91"/>
        <v>-8.8683626624213473E-5</v>
      </c>
      <c r="K159">
        <f t="shared" ca="1" si="91"/>
        <v>-7.1516428154912618E-5</v>
      </c>
      <c r="L159">
        <f t="shared" ca="1" si="91"/>
        <v>-5.4543651837472375E-5</v>
      </c>
      <c r="M159">
        <f ca="1">M88-M15</f>
        <v>-5.1858247085571442E-5</v>
      </c>
      <c r="N159">
        <f ca="1">N88-N15</f>
        <v>-3.3366896726268652E-4</v>
      </c>
    </row>
    <row r="160" spans="1:20" ht="16" x14ac:dyDescent="0.2">
      <c r="B160"/>
      <c r="C160"/>
      <c r="D160"/>
      <c r="E160"/>
      <c r="F160"/>
      <c r="G160"/>
      <c r="H160"/>
      <c r="I160"/>
      <c r="J160"/>
      <c r="K160"/>
      <c r="L160"/>
      <c r="M160"/>
      <c r="N160"/>
    </row>
    <row r="161" spans="1:14" ht="16" x14ac:dyDescent="0.2">
      <c r="C161"/>
      <c r="D161"/>
      <c r="E161"/>
      <c r="F161"/>
      <c r="G161"/>
      <c r="H161"/>
      <c r="I161"/>
      <c r="J161"/>
      <c r="K161"/>
      <c r="L161"/>
      <c r="M161"/>
      <c r="N161"/>
    </row>
    <row r="162" spans="1:14" ht="16" x14ac:dyDescent="0.2">
      <c r="A162" s="190" t="s">
        <v>246</v>
      </c>
      <c r="B162">
        <f>B90-B17</f>
        <v>0</v>
      </c>
      <c r="C162">
        <f t="shared" ref="C162:L162" si="92">C90-C17</f>
        <v>0</v>
      </c>
      <c r="D162" t="e">
        <f t="shared" ca="1" si="92"/>
        <v>#DIV/0!</v>
      </c>
      <c r="E162" t="e">
        <f t="shared" ca="1" si="92"/>
        <v>#DIV/0!</v>
      </c>
      <c r="F162" t="e">
        <f t="shared" ca="1" si="92"/>
        <v>#DIV/0!</v>
      </c>
      <c r="G162" t="e">
        <f t="shared" ca="1" si="92"/>
        <v>#DIV/0!</v>
      </c>
      <c r="H162" t="e">
        <f t="shared" ca="1" si="92"/>
        <v>#DIV/0!</v>
      </c>
      <c r="I162" t="e">
        <f t="shared" ca="1" si="92"/>
        <v>#DIV/0!</v>
      </c>
      <c r="J162" t="e">
        <f t="shared" ca="1" si="92"/>
        <v>#DIV/0!</v>
      </c>
      <c r="K162" t="e">
        <f t="shared" ca="1" si="92"/>
        <v>#DIV/0!</v>
      </c>
      <c r="L162" t="e">
        <f t="shared" ca="1" si="92"/>
        <v>#DIV/0!</v>
      </c>
      <c r="M162" t="e">
        <f ca="1">M90-M17</f>
        <v>#DIV/0!</v>
      </c>
      <c r="N162" t="e">
        <f ca="1">N90-N17</f>
        <v>#DIV/0!</v>
      </c>
    </row>
    <row r="163" spans="1:14" ht="16" x14ac:dyDescent="0.2">
      <c r="B163"/>
      <c r="C163"/>
      <c r="D163"/>
      <c r="E163"/>
      <c r="F163"/>
      <c r="G163"/>
      <c r="H163"/>
      <c r="I163"/>
      <c r="J163"/>
      <c r="K163"/>
      <c r="L163"/>
      <c r="M163"/>
      <c r="N163"/>
    </row>
    <row r="164" spans="1:14" ht="16" x14ac:dyDescent="0.2">
      <c r="C164"/>
      <c r="D164"/>
      <c r="E164"/>
      <c r="F164"/>
      <c r="G164"/>
      <c r="H164"/>
      <c r="I164"/>
      <c r="J164"/>
      <c r="K164"/>
      <c r="L164"/>
      <c r="M164"/>
      <c r="N164"/>
    </row>
    <row r="165" spans="1:14" ht="16" x14ac:dyDescent="0.2">
      <c r="A165" s="190" t="s">
        <v>247</v>
      </c>
      <c r="B165">
        <f>B92-B19</f>
        <v>0</v>
      </c>
      <c r="C165">
        <f t="shared" ref="C165:L165" si="93">C92-C19</f>
        <v>0</v>
      </c>
      <c r="D165">
        <f t="shared" ca="1" si="93"/>
        <v>0</v>
      </c>
      <c r="E165">
        <f t="shared" ca="1" si="93"/>
        <v>0</v>
      </c>
      <c r="F165">
        <f t="shared" ca="1" si="93"/>
        <v>-1.5869160381290072E-19</v>
      </c>
      <c r="G165">
        <f t="shared" ca="1" si="93"/>
        <v>-6.5750639432063207E-11</v>
      </c>
      <c r="H165">
        <f t="shared" ca="1" si="93"/>
        <v>-1.5004887000114507E-9</v>
      </c>
      <c r="I165">
        <f t="shared" ca="1" si="93"/>
        <v>-3.1038984823993056E-6</v>
      </c>
      <c r="J165">
        <f t="shared" ca="1" si="93"/>
        <v>-2.9085535117577036E-6</v>
      </c>
      <c r="K165">
        <f t="shared" ca="1" si="93"/>
        <v>-2.3455215599126769E-6</v>
      </c>
      <c r="L165">
        <f t="shared" ca="1" si="93"/>
        <v>-1.7888660639488907E-6</v>
      </c>
      <c r="M165">
        <f ca="1">M92-M19</f>
        <v>-1.7007929469717402E-6</v>
      </c>
      <c r="N165">
        <f ca="1">N92-N19</f>
        <v>-1.0943328362165527E-5</v>
      </c>
    </row>
    <row r="166" spans="1:14" ht="16" x14ac:dyDescent="0.2">
      <c r="B166"/>
      <c r="C166"/>
      <c r="D166"/>
      <c r="E166"/>
      <c r="F166"/>
      <c r="G166"/>
      <c r="H166"/>
      <c r="I166"/>
      <c r="J166"/>
      <c r="K166"/>
      <c r="L166"/>
      <c r="M166"/>
      <c r="N166"/>
    </row>
    <row r="167" spans="1:14" ht="16" x14ac:dyDescent="0.2">
      <c r="C167"/>
      <c r="D167"/>
      <c r="E167"/>
      <c r="F167"/>
      <c r="G167"/>
      <c r="H167"/>
      <c r="I167"/>
      <c r="J167"/>
      <c r="K167"/>
      <c r="L167"/>
      <c r="M167"/>
      <c r="N167"/>
    </row>
    <row r="168" spans="1:14" ht="16" x14ac:dyDescent="0.2">
      <c r="B168"/>
      <c r="C168"/>
      <c r="D168"/>
      <c r="E168"/>
      <c r="F168"/>
      <c r="G168"/>
      <c r="H168"/>
      <c r="I168"/>
      <c r="J168"/>
      <c r="K168"/>
      <c r="L168"/>
      <c r="M168"/>
      <c r="N168"/>
    </row>
    <row r="169" spans="1:14" ht="16" x14ac:dyDescent="0.2">
      <c r="A169" s="190" t="s">
        <v>198</v>
      </c>
      <c r="B169">
        <f>B99-B26</f>
        <v>0</v>
      </c>
      <c r="C169">
        <f t="shared" ref="C169:L169" si="94">C99-C26</f>
        <v>0</v>
      </c>
      <c r="D169">
        <f t="shared" ca="1" si="94"/>
        <v>0</v>
      </c>
      <c r="E169">
        <f t="shared" ca="1" si="94"/>
        <v>-5.2692492802930424E-4</v>
      </c>
      <c r="F169">
        <f t="shared" ca="1" si="94"/>
        <v>-0.23207018060687301</v>
      </c>
      <c r="G169">
        <f t="shared" ca="1" si="94"/>
        <v>-0.25820298120379492</v>
      </c>
      <c r="H169">
        <f t="shared" ca="1" si="94"/>
        <v>-0.29971102252602577</v>
      </c>
      <c r="I169">
        <f t="shared" ca="1" si="94"/>
        <v>-0.61998470096538449</v>
      </c>
      <c r="J169">
        <f t="shared" ca="1" si="94"/>
        <v>-1.0507345391767253</v>
      </c>
      <c r="K169">
        <f t="shared" ca="1" si="94"/>
        <v>-0.93359315171862045</v>
      </c>
      <c r="L169">
        <f t="shared" ca="1" si="94"/>
        <v>-0.89919762946859305</v>
      </c>
      <c r="M169">
        <f ca="1">M99-M26</f>
        <v>-1.4962827998873158</v>
      </c>
      <c r="N169">
        <f ca="1">N99-N26</f>
        <v>-2.3015856336375387</v>
      </c>
    </row>
    <row r="170" spans="1:14" ht="16" x14ac:dyDescent="0.2">
      <c r="B170"/>
      <c r="C170"/>
      <c r="D170"/>
      <c r="E170"/>
      <c r="F170"/>
      <c r="G170"/>
      <c r="H170"/>
      <c r="I170"/>
      <c r="J170"/>
      <c r="K170"/>
      <c r="L170"/>
      <c r="M170"/>
      <c r="N170"/>
    </row>
    <row r="171" spans="1:14" ht="16" x14ac:dyDescent="0.2">
      <c r="C171"/>
      <c r="D171"/>
      <c r="E171"/>
      <c r="F171"/>
      <c r="G171"/>
      <c r="H171"/>
      <c r="I171"/>
      <c r="J171"/>
      <c r="K171"/>
      <c r="L171"/>
      <c r="M171"/>
      <c r="N171"/>
    </row>
    <row r="172" spans="1:14" ht="16" x14ac:dyDescent="0.2">
      <c r="A172" s="190" t="s">
        <v>248</v>
      </c>
      <c r="B172">
        <f>B101-B28</f>
        <v>0</v>
      </c>
      <c r="C172">
        <f t="shared" ref="C172:L172" si="95">C101-C28</f>
        <v>0</v>
      </c>
      <c r="D172">
        <f t="shared" ca="1" si="95"/>
        <v>0</v>
      </c>
      <c r="E172">
        <f t="shared" ca="1" si="95"/>
        <v>0</v>
      </c>
      <c r="F172">
        <f t="shared" ca="1" si="95"/>
        <v>-0.14296021248813207</v>
      </c>
      <c r="G172">
        <f t="shared" ca="1" si="95"/>
        <v>-0.15906650568533176</v>
      </c>
      <c r="H172">
        <f t="shared" ca="1" si="95"/>
        <v>-0.18468616166035545</v>
      </c>
      <c r="I172">
        <f t="shared" ca="1" si="95"/>
        <v>-0.38245433219041258</v>
      </c>
      <c r="J172">
        <f t="shared" ca="1" si="95"/>
        <v>-0.64844538681828701</v>
      </c>
      <c r="K172">
        <f t="shared" ca="1" si="95"/>
        <v>-0.57607638209030942</v>
      </c>
      <c r="L172">
        <f t="shared" ca="1" si="95"/>
        <v>-0.55478283234419323</v>
      </c>
      <c r="M172">
        <f ca="1">M101-M28</f>
        <v>-0.92346641249488637</v>
      </c>
      <c r="N172">
        <f ca="1">N101-N28</f>
        <v>-1.4207591945122968</v>
      </c>
    </row>
    <row r="173" spans="1:14" ht="16" x14ac:dyDescent="0.2">
      <c r="B173"/>
      <c r="C173"/>
      <c r="D173"/>
      <c r="E173"/>
      <c r="F173"/>
      <c r="G173"/>
      <c r="H173"/>
      <c r="I173"/>
      <c r="J173"/>
      <c r="K173"/>
      <c r="L173"/>
      <c r="M173"/>
      <c r="N173"/>
    </row>
    <row r="174" spans="1:14" ht="16" x14ac:dyDescent="0.2">
      <c r="C174"/>
      <c r="D174"/>
      <c r="E174"/>
      <c r="F174"/>
      <c r="G174"/>
      <c r="H174"/>
      <c r="I174"/>
      <c r="J174"/>
      <c r="K174"/>
      <c r="L174"/>
      <c r="M174"/>
      <c r="N174"/>
    </row>
    <row r="175" spans="1:14" ht="16" x14ac:dyDescent="0.2">
      <c r="A175" s="190" t="s">
        <v>199</v>
      </c>
      <c r="B175" s="25">
        <f t="shared" ref="B175:K175" si="96">B103-B30</f>
        <v>0</v>
      </c>
      <c r="C175" s="25">
        <f t="shared" si="96"/>
        <v>0</v>
      </c>
      <c r="D175" s="25">
        <f t="shared" ca="1" si="96"/>
        <v>0</v>
      </c>
      <c r="E175" s="25">
        <f t="shared" ca="1" si="96"/>
        <v>-1.7281536718684321E-5</v>
      </c>
      <c r="F175" s="25">
        <f t="shared" ca="1" si="96"/>
        <v>-7.611196840636103E-3</v>
      </c>
      <c r="G175" s="25">
        <f t="shared" ca="1" si="96"/>
        <v>-8.4682733026792967E-3</v>
      </c>
      <c r="H175" s="25">
        <f t="shared" ca="1" si="96"/>
        <v>-9.8296109469496462E-3</v>
      </c>
      <c r="I175" s="25">
        <f t="shared" ca="1" si="96"/>
        <v>-2.033361453371791E-2</v>
      </c>
      <c r="J175" s="25">
        <f t="shared" ca="1" si="96"/>
        <v>-3.4460900508698392E-2</v>
      </c>
      <c r="K175" s="25">
        <f t="shared" ca="1" si="96"/>
        <v>-3.0619018902895687E-2</v>
      </c>
      <c r="L175" s="25">
        <f ca="1">L103-L30</f>
        <v>-2.9490950274703803E-2</v>
      </c>
      <c r="M175" s="25">
        <f ca="1">M103-M30</f>
        <v>-4.9073529780599444E-2</v>
      </c>
      <c r="N175" s="25">
        <f ca="1">N103-N30</f>
        <v>-7.5485016030002849E-2</v>
      </c>
    </row>
    <row r="176" spans="1:14" ht="16" x14ac:dyDescent="0.2">
      <c r="B176"/>
      <c r="C176"/>
      <c r="D176"/>
      <c r="E176"/>
      <c r="F176"/>
      <c r="G176"/>
      <c r="H176"/>
      <c r="I176"/>
      <c r="J176"/>
      <c r="K176"/>
      <c r="L176"/>
      <c r="M176"/>
      <c r="N176"/>
    </row>
    <row r="177" spans="1:14" ht="16" x14ac:dyDescent="0.2">
      <c r="C177"/>
      <c r="D177"/>
      <c r="E177"/>
      <c r="F177"/>
      <c r="G177"/>
      <c r="H177"/>
      <c r="I177"/>
      <c r="J177"/>
      <c r="K177"/>
      <c r="L177"/>
      <c r="M177"/>
      <c r="N177"/>
    </row>
    <row r="178" spans="1:14" ht="16" x14ac:dyDescent="0.2">
      <c r="A178" s="190" t="s">
        <v>200</v>
      </c>
      <c r="B178" s="25">
        <f t="shared" ref="B178:K178" si="97">B110-B37</f>
        <v>0</v>
      </c>
      <c r="C178" s="25">
        <f t="shared" si="97"/>
        <v>0</v>
      </c>
      <c r="D178" s="25">
        <f t="shared" ca="1" si="97"/>
        <v>6.283512848764472E-2</v>
      </c>
      <c r="E178" s="25">
        <f t="shared" ca="1" si="97"/>
        <v>0.1090670132115088</v>
      </c>
      <c r="F178" s="25">
        <f t="shared" ca="1" si="97"/>
        <v>-1.7496614909113308</v>
      </c>
      <c r="G178" s="25">
        <f t="shared" ca="1" si="97"/>
        <v>-7.8593399681791407</v>
      </c>
      <c r="H178" s="25">
        <f t="shared" ca="1" si="97"/>
        <v>-10.785819278472463</v>
      </c>
      <c r="I178" s="25">
        <f t="shared" ca="1" si="97"/>
        <v>-13.228038242455245</v>
      </c>
      <c r="J178" s="25">
        <f t="shared" ca="1" si="97"/>
        <v>-9.3352603930491806</v>
      </c>
      <c r="K178" s="25">
        <f t="shared" ca="1" si="97"/>
        <v>-8.2535747744595707</v>
      </c>
      <c r="L178" s="25">
        <f ca="1">L110-L37</f>
        <v>-6.3469625555535067</v>
      </c>
      <c r="M178" s="25">
        <f ca="1">M110-M37</f>
        <v>-3.1727031224163249</v>
      </c>
      <c r="N178" s="25">
        <f ca="1">N110-N37</f>
        <v>-1.2579886815285519</v>
      </c>
    </row>
    <row r="179" spans="1:14" ht="16" x14ac:dyDescent="0.2">
      <c r="B179"/>
      <c r="C179"/>
      <c r="D179"/>
      <c r="E179"/>
      <c r="F179"/>
      <c r="G179"/>
      <c r="H179"/>
      <c r="I179"/>
      <c r="J179"/>
      <c r="K179"/>
      <c r="L179"/>
      <c r="M179"/>
      <c r="N179"/>
    </row>
    <row r="180" spans="1:14" ht="16" x14ac:dyDescent="0.2">
      <c r="C180"/>
      <c r="D180"/>
      <c r="E180"/>
      <c r="F180"/>
      <c r="G180"/>
      <c r="H180"/>
      <c r="I180"/>
      <c r="J180"/>
      <c r="K180"/>
      <c r="L180"/>
      <c r="M180"/>
      <c r="N180"/>
    </row>
    <row r="181" spans="1:14" ht="16" x14ac:dyDescent="0.2">
      <c r="A181" s="190" t="s">
        <v>249</v>
      </c>
      <c r="B181" s="25">
        <f t="shared" ref="B181:K181" si="98">B118-B42</f>
        <v>0</v>
      </c>
      <c r="C181" s="25">
        <f t="shared" si="98"/>
        <v>0</v>
      </c>
      <c r="D181" s="25">
        <f t="shared" ca="1" si="98"/>
        <v>-1.5276649520481245E-2</v>
      </c>
      <c r="E181" s="25">
        <f t="shared" ca="1" si="98"/>
        <v>0</v>
      </c>
      <c r="F181" s="25">
        <f t="shared" ca="1" si="98"/>
        <v>-0.5294292500851624</v>
      </c>
      <c r="G181" s="25">
        <f t="shared" ca="1" si="98"/>
        <v>-2.2304157068185373</v>
      </c>
      <c r="H181" s="25">
        <f t="shared" ca="1" si="98"/>
        <v>-3.0398746527602216</v>
      </c>
      <c r="I181" s="25">
        <f t="shared" ca="1" si="98"/>
        <v>-3.7063692223753426</v>
      </c>
      <c r="J181" s="25">
        <f t="shared" ca="1" si="98"/>
        <v>-2.597315149244567</v>
      </c>
      <c r="K181" s="25">
        <f t="shared" ca="1" si="98"/>
        <v>-2.2916817003280836</v>
      </c>
      <c r="L181" s="25">
        <f ca="1">L118-L42</f>
        <v>-1.7653604828837965</v>
      </c>
      <c r="M181" s="25">
        <f ca="1">M118-M42</f>
        <v>-0.87752758808427545</v>
      </c>
      <c r="N181" s="25">
        <f ca="1">N118-N42</f>
        <v>-0.34379627939544977</v>
      </c>
    </row>
    <row r="182" spans="1:14" ht="16" x14ac:dyDescent="0.2">
      <c r="B182"/>
      <c r="C182"/>
      <c r="D182"/>
      <c r="E182"/>
      <c r="F182"/>
      <c r="G182"/>
      <c r="H182"/>
      <c r="I182"/>
      <c r="J182"/>
      <c r="K182"/>
      <c r="L182"/>
      <c r="M182"/>
      <c r="N182"/>
    </row>
    <row r="183" spans="1:14" ht="16" x14ac:dyDescent="0.2">
      <c r="C183"/>
      <c r="D183"/>
      <c r="E183"/>
      <c r="F183"/>
      <c r="G183"/>
      <c r="H183"/>
      <c r="I183"/>
      <c r="J183"/>
      <c r="K183"/>
      <c r="L183"/>
      <c r="M183"/>
      <c r="N183"/>
    </row>
    <row r="184" spans="1:14" ht="16" x14ac:dyDescent="0.2">
      <c r="A184" s="190" t="s">
        <v>250</v>
      </c>
      <c r="B184" s="25">
        <f t="shared" ref="B184:K184" si="99">B121-B45</f>
        <v>0</v>
      </c>
      <c r="C184" s="25">
        <f t="shared" si="99"/>
        <v>0</v>
      </c>
      <c r="D184" s="25">
        <f t="shared" ca="1" si="99"/>
        <v>2.0608013066369807E-3</v>
      </c>
      <c r="E184" s="25">
        <f t="shared" ca="1" si="99"/>
        <v>3.5770666623442388E-3</v>
      </c>
      <c r="F184" s="25">
        <f t="shared" ca="1" si="99"/>
        <v>-5.7383581022699345E-2</v>
      </c>
      <c r="G184" s="25">
        <f t="shared" ca="1" si="99"/>
        <v>-0.2577624724506225</v>
      </c>
      <c r="H184" s="25">
        <f t="shared" ca="1" si="99"/>
        <v>-0.3537421025023767</v>
      </c>
      <c r="I184" s="25">
        <f t="shared" ca="1" si="99"/>
        <v>-0.4338394644908854</v>
      </c>
      <c r="J184" s="25">
        <f t="shared" ca="1" si="99"/>
        <v>-0.30616817819629405</v>
      </c>
      <c r="K184" s="25">
        <f t="shared" ca="1" si="99"/>
        <v>-0.27069217631944226</v>
      </c>
      <c r="L184" s="25">
        <f ca="1">L121-L45</f>
        <v>-0.20816108827138896</v>
      </c>
      <c r="M184" s="25">
        <f ca="1">M121-M45</f>
        <v>-0.10405502300408968</v>
      </c>
      <c r="N184" s="25">
        <f ca="1">N121-N45</f>
        <v>-4.1258206691474071E-2</v>
      </c>
    </row>
    <row r="185" spans="1:14" ht="16" x14ac:dyDescent="0.2">
      <c r="B185"/>
      <c r="C185"/>
      <c r="D185"/>
      <c r="E185"/>
      <c r="F185"/>
      <c r="G185"/>
      <c r="H185"/>
      <c r="I185"/>
      <c r="J185"/>
      <c r="K185"/>
      <c r="L185"/>
      <c r="M185"/>
      <c r="N185"/>
    </row>
    <row r="186" spans="1:14" ht="16" x14ac:dyDescent="0.2">
      <c r="C186"/>
      <c r="D186"/>
      <c r="E186"/>
      <c r="F186"/>
      <c r="G186"/>
      <c r="H186"/>
      <c r="I186"/>
      <c r="J186"/>
      <c r="K186"/>
      <c r="L186"/>
      <c r="M186"/>
      <c r="N186"/>
    </row>
    <row r="187" spans="1:14" ht="16" x14ac:dyDescent="0.2">
      <c r="A187" s="190" t="s">
        <v>201</v>
      </c>
      <c r="B187" s="25">
        <f t="shared" ref="B187:K187" si="100">B130-B53</f>
        <v>0</v>
      </c>
      <c r="C187" s="25">
        <f t="shared" si="100"/>
        <v>0</v>
      </c>
      <c r="D187" s="25">
        <f t="shared" ca="1" si="100"/>
        <v>1.9061608946461917E-2</v>
      </c>
      <c r="E187" s="25">
        <f t="shared" ca="1" si="100"/>
        <v>4.0720318020291302E-2</v>
      </c>
      <c r="F187" s="25">
        <f t="shared" ca="1" si="100"/>
        <v>-3.8002231618406217</v>
      </c>
      <c r="G187" s="25">
        <f t="shared" ca="1" si="100"/>
        <v>-9.8873466311676346</v>
      </c>
      <c r="H187" s="25">
        <f t="shared" ca="1" si="100"/>
        <v>-13.347179299554213</v>
      </c>
      <c r="I187" s="25">
        <f t="shared" ca="1" si="100"/>
        <v>-15.543253797084741</v>
      </c>
      <c r="J187" s="25">
        <f t="shared" ca="1" si="100"/>
        <v>-16.48737940269227</v>
      </c>
      <c r="K187" s="25">
        <f t="shared" ca="1" si="100"/>
        <v>-17.645720030540616</v>
      </c>
      <c r="L187" s="25">
        <f ca="1">L130-L53</f>
        <v>-18.887696088942835</v>
      </c>
      <c r="M187" s="25">
        <f ca="1">M130-M53</f>
        <v>-19.928045550938933</v>
      </c>
      <c r="N187" s="25">
        <f ca="1">N130-N53</f>
        <v>-21.22606558856636</v>
      </c>
    </row>
    <row r="188" spans="1:14" ht="16" x14ac:dyDescent="0.2">
      <c r="B188"/>
      <c r="C188"/>
      <c r="D188"/>
      <c r="E188"/>
      <c r="F188"/>
      <c r="G188"/>
      <c r="H188"/>
      <c r="I188"/>
      <c r="J188"/>
      <c r="K188"/>
      <c r="L188"/>
      <c r="M188"/>
      <c r="N188"/>
    </row>
    <row r="189" spans="1:14" ht="16" x14ac:dyDescent="0.2">
      <c r="C189"/>
      <c r="D189"/>
      <c r="E189"/>
      <c r="F189"/>
      <c r="G189"/>
      <c r="H189"/>
      <c r="I189"/>
      <c r="J189"/>
      <c r="K189"/>
      <c r="L189"/>
      <c r="M189"/>
      <c r="N189"/>
    </row>
    <row r="190" spans="1:14" ht="16" x14ac:dyDescent="0.2">
      <c r="A190" s="190" t="s">
        <v>251</v>
      </c>
      <c r="B190" s="25">
        <f t="shared" ref="B190:K190" si="101">B132-B55</f>
        <v>0</v>
      </c>
      <c r="C190" s="25">
        <f t="shared" si="101"/>
        <v>0</v>
      </c>
      <c r="D190" s="25">
        <f t="shared" ca="1" si="101"/>
        <v>-1.3371325089942543E-3</v>
      </c>
      <c r="E190" s="25">
        <f t="shared" ca="1" si="101"/>
        <v>0</v>
      </c>
      <c r="F190" s="25">
        <f t="shared" ca="1" si="101"/>
        <v>-0.28775546948980069</v>
      </c>
      <c r="G190" s="25">
        <f t="shared" ca="1" si="101"/>
        <v>-0.74326410821921085</v>
      </c>
      <c r="H190" s="25">
        <f t="shared" ca="1" si="101"/>
        <v>-1.0022219230714355</v>
      </c>
      <c r="I190" s="25">
        <f t="shared" ca="1" si="101"/>
        <v>-1.1666294328263827</v>
      </c>
      <c r="J190" s="25">
        <f t="shared" ca="1" si="101"/>
        <v>-1.2372726391237636</v>
      </c>
      <c r="K190" s="25">
        <f t="shared" ca="1" si="101"/>
        <v>-1.3240027463205104</v>
      </c>
      <c r="L190" s="25">
        <f ca="1">L132-L55</f>
        <v>-1.4170329421564181</v>
      </c>
      <c r="M190" s="25">
        <f ca="1">M132-M55</f>
        <v>-1.4949585398115686</v>
      </c>
      <c r="N190" s="25">
        <f ca="1">N132-N55</f>
        <v>-1.5922180820643441</v>
      </c>
    </row>
    <row r="191" spans="1:14" ht="16" x14ac:dyDescent="0.2">
      <c r="B191"/>
      <c r="C191"/>
      <c r="D191"/>
      <c r="E191"/>
      <c r="F191"/>
      <c r="G191"/>
      <c r="H191"/>
      <c r="I191"/>
      <c r="J191"/>
      <c r="K191"/>
      <c r="L191"/>
      <c r="M191"/>
      <c r="N191"/>
    </row>
    <row r="192" spans="1:14" ht="16" x14ac:dyDescent="0.2">
      <c r="C192"/>
      <c r="D192"/>
      <c r="E192"/>
      <c r="F192"/>
      <c r="G192"/>
      <c r="H192"/>
      <c r="I192"/>
      <c r="J192"/>
      <c r="K192"/>
      <c r="L192"/>
      <c r="M192"/>
      <c r="N192"/>
    </row>
    <row r="193" spans="1:14" ht="16" x14ac:dyDescent="0.2">
      <c r="A193" s="190" t="s">
        <v>252</v>
      </c>
      <c r="B193" s="25">
        <f t="shared" ref="B193:K193" si="102">B134-B57</f>
        <v>0</v>
      </c>
      <c r="C193" s="25">
        <f t="shared" si="102"/>
        <v>0</v>
      </c>
      <c r="D193" s="25">
        <f t="shared" ca="1" si="102"/>
        <v>6.2516285983560405E-4</v>
      </c>
      <c r="E193" s="25">
        <f t="shared" ca="1" si="102"/>
        <v>1.3355027132536668E-3</v>
      </c>
      <c r="F193" s="25">
        <f t="shared" ca="1" si="102"/>
        <v>-0.12463577374514634</v>
      </c>
      <c r="G193" s="25">
        <f t="shared" ca="1" si="102"/>
        <v>-0.3242749294399796</v>
      </c>
      <c r="H193" s="25">
        <f t="shared" ca="1" si="102"/>
        <v>-0.43774692918544628</v>
      </c>
      <c r="I193" s="25">
        <f t="shared" ca="1" si="102"/>
        <v>-0.50977150051854947</v>
      </c>
      <c r="J193" s="25">
        <f t="shared" ca="1" si="102"/>
        <v>-0.54073595190895285</v>
      </c>
      <c r="K193" s="25">
        <f t="shared" ca="1" si="102"/>
        <v>-0.57872600519371631</v>
      </c>
      <c r="L193" s="25">
        <f ca="1">L134-L57</f>
        <v>-0.6194590464967259</v>
      </c>
      <c r="M193" s="25">
        <f ca="1">M134-M57</f>
        <v>-0.65357934802618323</v>
      </c>
      <c r="N193" s="25">
        <f ca="1">N134-N57</f>
        <v>-0.69615046157311533</v>
      </c>
    </row>
    <row r="194" spans="1:14" ht="16" x14ac:dyDescent="0.2">
      <c r="B194"/>
      <c r="C194"/>
      <c r="D194"/>
      <c r="E194"/>
      <c r="F194"/>
      <c r="G194"/>
      <c r="H194"/>
      <c r="I194"/>
      <c r="J194"/>
      <c r="K194"/>
      <c r="L194"/>
      <c r="M194"/>
      <c r="N194"/>
    </row>
    <row r="195" spans="1:14" ht="16" x14ac:dyDescent="0.2">
      <c r="C195"/>
      <c r="D195"/>
      <c r="E195"/>
      <c r="F195"/>
      <c r="G195"/>
      <c r="H195"/>
      <c r="I195"/>
      <c r="J195"/>
      <c r="K195"/>
      <c r="L195"/>
      <c r="M195"/>
      <c r="N195"/>
    </row>
    <row r="196" spans="1:14" ht="16" x14ac:dyDescent="0.2">
      <c r="A196" s="190" t="s">
        <v>202</v>
      </c>
      <c r="B196" s="25">
        <f t="shared" ref="B196:K196" si="103">B141-B64</f>
        <v>0</v>
      </c>
      <c r="C196" s="25">
        <f t="shared" si="103"/>
        <v>0</v>
      </c>
      <c r="D196" s="25">
        <f t="shared" ca="1" si="103"/>
        <v>7.8762506661462339E-2</v>
      </c>
      <c r="E196" s="25">
        <f t="shared" ca="1" si="103"/>
        <v>0.25647596975998255</v>
      </c>
      <c r="F196" s="25">
        <f t="shared" ca="1" si="103"/>
        <v>-13.072160312027037</v>
      </c>
      <c r="G196" s="25">
        <f t="shared" ca="1" si="103"/>
        <v>-40.335942678593383</v>
      </c>
      <c r="H196" s="25">
        <f t="shared" ca="1" si="103"/>
        <v>-59.933274573112321</v>
      </c>
      <c r="I196" s="25">
        <f t="shared" ca="1" si="103"/>
        <v>-72.423150205089726</v>
      </c>
      <c r="J196" s="25">
        <f t="shared" ca="1" si="103"/>
        <v>-76.171502860334243</v>
      </c>
      <c r="K196" s="25">
        <f t="shared" ca="1" si="103"/>
        <v>-80.710006345530559</v>
      </c>
      <c r="L196" s="25">
        <f ca="1">L141-L64</f>
        <v>-83.725777484253953</v>
      </c>
      <c r="M196" s="25">
        <f ca="1">M141-M64</f>
        <v>-86.379215100530132</v>
      </c>
      <c r="N196" s="25">
        <f ca="1">N141-N64</f>
        <v>-91.077459277499003</v>
      </c>
    </row>
    <row r="197" spans="1:14" ht="16" x14ac:dyDescent="0.2">
      <c r="B197"/>
      <c r="C197"/>
      <c r="D197"/>
      <c r="E197"/>
      <c r="F197"/>
      <c r="G197"/>
      <c r="H197"/>
      <c r="I197"/>
      <c r="J197"/>
      <c r="K197"/>
      <c r="L197"/>
      <c r="M197"/>
      <c r="N197"/>
    </row>
    <row r="198" spans="1:14" ht="16" x14ac:dyDescent="0.2">
      <c r="C198"/>
      <c r="D198"/>
      <c r="E198"/>
      <c r="F198"/>
      <c r="G198"/>
      <c r="H198"/>
      <c r="I198"/>
      <c r="J198"/>
      <c r="K198"/>
      <c r="L198"/>
      <c r="M198"/>
      <c r="N198"/>
    </row>
    <row r="199" spans="1:14" ht="16" x14ac:dyDescent="0.2">
      <c r="A199" s="190" t="s">
        <v>253</v>
      </c>
      <c r="B199" s="25">
        <f t="shared" ref="B199:K199" si="104">B143-B66</f>
        <v>0</v>
      </c>
      <c r="C199" s="25">
        <f t="shared" si="104"/>
        <v>0</v>
      </c>
      <c r="D199" s="25">
        <f t="shared" ca="1" si="104"/>
        <v>-3.2214051162919866E-3</v>
      </c>
      <c r="E199" s="25">
        <f t="shared" ca="1" si="104"/>
        <v>0</v>
      </c>
      <c r="F199" s="25">
        <f t="shared" ca="1" si="104"/>
        <v>-0.27200047139843919</v>
      </c>
      <c r="G199" s="25">
        <f t="shared" ca="1" si="104"/>
        <v>-0.82693071783187255</v>
      </c>
      <c r="H199" s="25">
        <f t="shared" ca="1" si="104"/>
        <v>-1.2257200270636992</v>
      </c>
      <c r="I199" s="25">
        <f t="shared" ca="1" si="104"/>
        <v>-1.4799902497788147</v>
      </c>
      <c r="J199" s="25">
        <f t="shared" ca="1" si="104"/>
        <v>-1.5563705988720815</v>
      </c>
      <c r="K199" s="25">
        <f t="shared" ca="1" si="104"/>
        <v>-1.6490149312427755</v>
      </c>
      <c r="L199" s="25">
        <f ca="1">L143-L66</f>
        <v>-1.7107692312699223</v>
      </c>
      <c r="M199" s="25">
        <f ca="1">M143-M66</f>
        <v>-1.7651260274016223</v>
      </c>
      <c r="N199" s="25">
        <f ca="1">N143-N66</f>
        <v>-1.8612074517152679</v>
      </c>
    </row>
    <row r="200" spans="1:14" ht="16" x14ac:dyDescent="0.2">
      <c r="B200"/>
      <c r="C200"/>
      <c r="D200"/>
      <c r="E200"/>
      <c r="F200"/>
      <c r="G200"/>
      <c r="H200"/>
      <c r="I200"/>
      <c r="J200"/>
      <c r="K200"/>
      <c r="L200"/>
      <c r="M200"/>
      <c r="N200"/>
    </row>
    <row r="201" spans="1:14" ht="16" x14ac:dyDescent="0.2">
      <c r="C201"/>
      <c r="D201"/>
      <c r="E201"/>
      <c r="F201"/>
      <c r="G201"/>
      <c r="H201"/>
      <c r="I201"/>
      <c r="J201"/>
      <c r="K201"/>
      <c r="L201"/>
      <c r="M201"/>
      <c r="N201"/>
    </row>
    <row r="202" spans="1:14" ht="16" x14ac:dyDescent="0.2">
      <c r="A202" s="190" t="s">
        <v>203</v>
      </c>
      <c r="B202" s="25">
        <f t="shared" ref="B202:K202" si="105">B145-B68</f>
        <v>0</v>
      </c>
      <c r="C202" s="25">
        <f t="shared" si="105"/>
        <v>0</v>
      </c>
      <c r="D202" s="25">
        <f t="shared" ca="1" si="105"/>
        <v>2.5831709196528774E-3</v>
      </c>
      <c r="E202" s="25">
        <f t="shared" ca="1" si="105"/>
        <v>8.4116325743854858E-3</v>
      </c>
      <c r="F202" s="25">
        <f t="shared" ca="1" si="105"/>
        <v>-0.42872714196630457</v>
      </c>
      <c r="G202" s="25">
        <f t="shared" ca="1" si="105"/>
        <v>-1.3228963698677645</v>
      </c>
      <c r="H202" s="25">
        <f t="shared" ca="1" si="105"/>
        <v>-1.9656293147484998</v>
      </c>
      <c r="I202" s="25">
        <f t="shared" ca="1" si="105"/>
        <v>-2.3752592883256773</v>
      </c>
      <c r="J202" s="25">
        <f t="shared" ca="1" si="105"/>
        <v>-2.4981938670491535</v>
      </c>
      <c r="K202" s="25">
        <f t="shared" ca="1" si="105"/>
        <v>-2.6470429923327625</v>
      </c>
      <c r="L202" s="25">
        <f ca="1">L145-L68</f>
        <v>-2.7459511230676474</v>
      </c>
      <c r="M202" s="25">
        <f ca="1">M145-M68</f>
        <v>-2.8329758151199109</v>
      </c>
      <c r="N202" s="25">
        <f ca="1">N145-N68</f>
        <v>-2.987063949764226</v>
      </c>
    </row>
  </sheetData>
  <pageMargins left="0.75" right="0.75" top="1" bottom="1" header="0.5" footer="0.5"/>
  <pageSetup orientation="portrait" horizontalDpi="4294967292" verticalDpi="429496729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6" baseType="variant">
      <vt:variant>
        <vt:lpstr>Worksheets</vt:lpstr>
      </vt:variant>
      <vt:variant>
        <vt:i4>41</vt:i4>
      </vt:variant>
      <vt:variant>
        <vt:lpstr>Charts</vt:lpstr>
      </vt:variant>
      <vt:variant>
        <vt:i4>6</vt:i4>
      </vt:variant>
      <vt:variant>
        <vt:lpstr>Named Ranges</vt:lpstr>
      </vt:variant>
      <vt:variant>
        <vt:i4>8</vt:i4>
      </vt:variant>
    </vt:vector>
  </HeadingPairs>
  <TitlesOfParts>
    <vt:vector size="55" baseType="lpstr">
      <vt:lpstr>Fig4ExpandKAYAratiosDEqEdit</vt:lpstr>
      <vt:lpstr>Readme</vt:lpstr>
      <vt:lpstr>Ref Data input</vt:lpstr>
      <vt:lpstr>Int Data input</vt:lpstr>
      <vt:lpstr>Ref Data</vt:lpstr>
      <vt:lpstr>Int Data</vt:lpstr>
      <vt:lpstr>Figure Primary E Ref</vt:lpstr>
      <vt:lpstr>Figure Primary E Int</vt:lpstr>
      <vt:lpstr>Fig3ExpandKAYAfactorsDEq</vt:lpstr>
      <vt:lpstr>Fig4ExpandKAYAratiosDEq</vt:lpstr>
      <vt:lpstr>Fig6AdditiveDashboard</vt:lpstr>
      <vt:lpstr>Savings</vt:lpstr>
      <vt:lpstr>Savings2050_2100</vt:lpstr>
      <vt:lpstr>WaterfallVertData</vt:lpstr>
      <vt:lpstr>Savings2050</vt:lpstr>
      <vt:lpstr>WaterfallVertData2050</vt:lpstr>
      <vt:lpstr>EmissionsReductionsTable</vt:lpstr>
      <vt:lpstr>LMDItableRefAllSectors</vt:lpstr>
      <vt:lpstr>IndustryEmissionsAccountingRef</vt:lpstr>
      <vt:lpstr>IndustryEmissionsAccountingInt</vt:lpstr>
      <vt:lpstr>FossilEneEmissionsAccountingRef</vt:lpstr>
      <vt:lpstr>FossilEneEmissionsAccountingInt</vt:lpstr>
      <vt:lpstr>PEfossilRef</vt:lpstr>
      <vt:lpstr>PEfossilInt</vt:lpstr>
      <vt:lpstr>ExpKayaFactorsRef</vt:lpstr>
      <vt:lpstr>ExpKayaFactorsInt</vt:lpstr>
      <vt:lpstr>ExpKayaRatiosRef</vt:lpstr>
      <vt:lpstr>ExpKayaRatiosInt</vt:lpstr>
      <vt:lpstr>AvAnn%∆</vt:lpstr>
      <vt:lpstr>HistoricalGrowthRates</vt:lpstr>
      <vt:lpstr>AreasForDashboardsFactors</vt:lpstr>
      <vt:lpstr>AreasForDashboardsRatios</vt:lpstr>
      <vt:lpstr>WaterfallData</vt:lpstr>
      <vt:lpstr>WaterfallData2050</vt:lpstr>
      <vt:lpstr>WaterfallData2050_2100</vt:lpstr>
      <vt:lpstr>LMDI 1 MethodDEq</vt:lpstr>
      <vt:lpstr>MitTable(LMDI I)DEq</vt:lpstr>
      <vt:lpstr>LMDI 1 MethodRefCumulative</vt:lpstr>
      <vt:lpstr>OtherGases</vt:lpstr>
      <vt:lpstr>TotalEmissions</vt:lpstr>
      <vt:lpstr>AdditiveDashboardData</vt:lpstr>
      <vt:lpstr>Chart7</vt:lpstr>
      <vt:lpstr>Chart8</vt:lpstr>
      <vt:lpstr>Chart9</vt:lpstr>
      <vt:lpstr>Chart10</vt:lpstr>
      <vt:lpstr>Chart11</vt:lpstr>
      <vt:lpstr>Fig Ref drivers</vt:lpstr>
      <vt:lpstr>Data</vt:lpstr>
      <vt:lpstr>intInput</vt:lpstr>
      <vt:lpstr>Fig6AdditiveDashboard!Print_Area</vt:lpstr>
      <vt:lpstr>Readme!Print_Area</vt:lpstr>
      <vt:lpstr>WaterfallVertData!Print_Area</vt:lpstr>
      <vt:lpstr>WaterfallVertData2050!Print_Area</vt:lpstr>
      <vt:lpstr>refInput</vt:lpstr>
      <vt:lpstr>refInputyear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zachary schmidt</dc:creator>
  <cp:keywords/>
  <dc:description/>
  <cp:lastModifiedBy>Jonathan Koomey</cp:lastModifiedBy>
  <dcterms:created xsi:type="dcterms:W3CDTF">2019-04-18T23:58:57Z</dcterms:created>
  <dcterms:modified xsi:type="dcterms:W3CDTF">2022-08-31T22:05:13Z</dcterms:modified>
  <cp:category/>
</cp:coreProperties>
</file>