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GitHub\personal-improvement\demog functions\References\"/>
    </mc:Choice>
  </mc:AlternateContent>
  <bookViews>
    <workbookView xWindow="0" yWindow="0" windowWidth="23040" windowHeight="10932" tabRatio="500"/>
  </bookViews>
  <sheets>
    <sheet name="Brazil" sheetId="1" r:id="rId1"/>
    <sheet name="Sweden" sheetId="2" r:id="rId2"/>
  </sheets>
  <calcPr calcId="15251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E21" i="1"/>
  <c r="D6" i="1"/>
  <c r="E6" i="1"/>
  <c r="C17" i="1"/>
  <c r="E23" i="1"/>
  <c r="D21" i="1"/>
  <c r="E7" i="1"/>
  <c r="G2" i="1" l="1"/>
  <c r="G3" i="1"/>
  <c r="G4" i="1"/>
  <c r="G5" i="1"/>
  <c r="G7" i="1"/>
  <c r="G8" i="1"/>
  <c r="G9" i="1"/>
  <c r="G10" i="1"/>
  <c r="G11" i="1"/>
  <c r="G12" i="1"/>
  <c r="G6" i="1"/>
  <c r="C17" i="2"/>
  <c r="C15" i="2"/>
  <c r="P4" i="2"/>
  <c r="P5" i="2"/>
  <c r="P6" i="2"/>
  <c r="P7" i="2"/>
  <c r="P8" i="2"/>
  <c r="P9" i="2"/>
  <c r="P10" i="2"/>
  <c r="P11" i="2"/>
  <c r="P12" i="2"/>
  <c r="P3" i="2"/>
  <c r="O4" i="2"/>
  <c r="O5" i="2"/>
  <c r="O6" i="2"/>
  <c r="O7" i="2"/>
  <c r="O8" i="2"/>
  <c r="O9" i="2"/>
  <c r="O10" i="2"/>
  <c r="O11" i="2"/>
  <c r="O12" i="2"/>
  <c r="O3" i="2"/>
  <c r="N4" i="2"/>
  <c r="N5" i="2"/>
  <c r="N6" i="2"/>
  <c r="N7" i="2"/>
  <c r="N8" i="2"/>
  <c r="N9" i="2"/>
  <c r="N10" i="2"/>
  <c r="N11" i="2"/>
  <c r="N12" i="2"/>
  <c r="N3" i="2"/>
  <c r="M12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12" i="2"/>
  <c r="L3" i="2"/>
  <c r="K4" i="2"/>
  <c r="K5" i="2"/>
  <c r="K6" i="2"/>
  <c r="K7" i="2"/>
  <c r="K8" i="2"/>
  <c r="K9" i="2"/>
  <c r="K10" i="2"/>
  <c r="K11" i="2"/>
  <c r="K12" i="2"/>
  <c r="K3" i="2"/>
  <c r="J4" i="2"/>
  <c r="J5" i="2"/>
  <c r="J6" i="2"/>
  <c r="J7" i="2"/>
  <c r="Q7" i="2" s="1"/>
  <c r="J8" i="2"/>
  <c r="Q8" i="2" s="1"/>
  <c r="J9" i="2"/>
  <c r="Q9" i="2" s="1"/>
  <c r="J10" i="2"/>
  <c r="J11" i="2"/>
  <c r="J12" i="2"/>
  <c r="J3" i="2"/>
  <c r="I4" i="2"/>
  <c r="I5" i="2"/>
  <c r="I6" i="2"/>
  <c r="I7" i="2"/>
  <c r="I8" i="2"/>
  <c r="I9" i="2"/>
  <c r="I10" i="2"/>
  <c r="I11" i="2"/>
  <c r="I12" i="2"/>
  <c r="I3" i="2"/>
  <c r="E32" i="1"/>
  <c r="F7" i="1"/>
  <c r="F8" i="1"/>
  <c r="F9" i="1"/>
  <c r="F10" i="1"/>
  <c r="F11" i="1"/>
  <c r="F12" i="1"/>
  <c r="Q6" i="2" l="1"/>
  <c r="Q3" i="2"/>
  <c r="Q5" i="2"/>
  <c r="Q12" i="2"/>
  <c r="Q4" i="2"/>
  <c r="Q11" i="2"/>
  <c r="Q10" i="2"/>
  <c r="I9" i="1"/>
  <c r="E12" i="1"/>
  <c r="E31" i="1"/>
  <c r="F6" i="1"/>
  <c r="H12" i="1"/>
  <c r="I12" i="1" s="1"/>
  <c r="E11" i="1"/>
  <c r="H11" i="1" s="1"/>
  <c r="I11" i="1" s="1"/>
  <c r="E10" i="1"/>
  <c r="H10" i="1" s="1"/>
  <c r="I10" i="1" s="1"/>
  <c r="E9" i="1"/>
  <c r="H9" i="1"/>
  <c r="E8" i="1"/>
  <c r="H8" i="1" s="1"/>
  <c r="I8" i="1" s="1"/>
  <c r="H7" i="1"/>
  <c r="I7" i="1" s="1"/>
  <c r="H6" i="1"/>
  <c r="F21" i="1" l="1"/>
  <c r="E25" i="1" s="1"/>
  <c r="E34" i="1"/>
  <c r="H21" i="1"/>
  <c r="I6" i="1"/>
  <c r="I21" i="1" s="1"/>
  <c r="E35" i="1" s="1"/>
  <c r="E33" i="1" l="1"/>
  <c r="I24" i="1"/>
  <c r="E36" i="1" s="1"/>
</calcChain>
</file>

<file path=xl/sharedStrings.xml><?xml version="1.0" encoding="utf-8"?>
<sst xmlns="http://schemas.openxmlformats.org/spreadsheetml/2006/main" count="44" uniqueCount="34">
  <si>
    <t>age</t>
  </si>
  <si>
    <t>Lx</t>
  </si>
  <si>
    <t>Check</t>
  </si>
  <si>
    <t>TFR</t>
  </si>
  <si>
    <t>GRR</t>
  </si>
  <si>
    <t>NRR</t>
  </si>
  <si>
    <t>ASFR</t>
  </si>
  <si>
    <t>Year</t>
  </si>
  <si>
    <t>15-19</t>
  </si>
  <si>
    <t>20-24</t>
  </si>
  <si>
    <t>25-29</t>
  </si>
  <si>
    <t>30-34</t>
  </si>
  <si>
    <t>35-39</t>
  </si>
  <si>
    <t>40-44</t>
  </si>
  <si>
    <t>45-49</t>
  </si>
  <si>
    <t>MAC</t>
  </si>
  <si>
    <t>1940-45 cohort</t>
  </si>
  <si>
    <t>1950-55 cohort</t>
  </si>
  <si>
    <t>Replacement TFR</t>
  </si>
  <si>
    <t>l0</t>
  </si>
  <si>
    <t>l0 x 5</t>
  </si>
  <si>
    <t>Age-specific fertility rate</t>
  </si>
  <si>
    <t>Daughter age-specific fertility rate</t>
  </si>
  <si>
    <t>Daughter ASFR accounting for mortality</t>
  </si>
  <si>
    <t>Age mid-point</t>
  </si>
  <si>
    <t>Proportion of Cohort Surviving to x</t>
  </si>
  <si>
    <t>Mean age of childbearing (daughters only)</t>
  </si>
  <si>
    <t>Intrinsic Rate of natural growth 'r'</t>
  </si>
  <si>
    <t>Based on these data we can calculate</t>
  </si>
  <si>
    <t>Replacement TFR (NRR = 1)</t>
  </si>
  <si>
    <t>Mean length of generation</t>
  </si>
  <si>
    <t>Column F/1000</t>
  </si>
  <si>
    <t>(also called mean length of generation)</t>
  </si>
  <si>
    <t>Intrinsic rate of natural growth 'r'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</si>
</sst>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###\ ###\ ##0;\-#\ ###\ ###\ ##0;0"/>
    <numFmt numFmtId="165" formatCode="###;\-###;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right" wrapText="1"/>
    </xf>
    <xf numFmtId="165" fontId="1" fillId="0" borderId="0" xfId="0" applyNumberFormat="1" applyFont="1" applyAlignment="1">
      <alignment horizontal="center" wrapText="1"/>
    </xf>
    <xf numFmtId="166" fontId="0" fillId="0" borderId="0" xfId="0" applyNumberFormat="1" applyFont="1" applyAlignment="1">
      <alignment horizontal="right" wrapText="1"/>
    </xf>
    <xf numFmtId="16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6" fontId="2" fillId="2" borderId="0" xfId="0" applyNumberFormat="1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3" borderId="0" xfId="0" applyNumberFormat="1" applyFont="1" applyFill="1" applyAlignment="1">
      <alignment horizontal="right"/>
    </xf>
    <xf numFmtId="166" fontId="2" fillId="4" borderId="0" xfId="0" applyNumberFormat="1" applyFont="1" applyFill="1" applyAlignment="1">
      <alignment horizontal="right"/>
    </xf>
    <xf numFmtId="166" fontId="2" fillId="5" borderId="0" xfId="0" applyNumberFormat="1" applyFont="1" applyFill="1" applyAlignment="1">
      <alignment horizontal="right"/>
    </xf>
    <xf numFmtId="166" fontId="2" fillId="6" borderId="0" xfId="0" applyNumberFormat="1" applyFont="1" applyFill="1" applyAlignment="1">
      <alignment horizontal="right"/>
    </xf>
    <xf numFmtId="0" fontId="0" fillId="0" borderId="0" xfId="0" applyFont="1"/>
    <xf numFmtId="165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5" zoomScaleNormal="85" workbookViewId="0">
      <selection activeCell="D8" sqref="D8"/>
    </sheetView>
  </sheetViews>
  <sheetFormatPr defaultColWidth="11.19921875" defaultRowHeight="15.6" x14ac:dyDescent="0.3"/>
  <cols>
    <col min="3" max="3" width="36.296875" customWidth="1"/>
    <col min="4" max="4" width="30.69921875" customWidth="1"/>
    <col min="5" max="5" width="33.19921875" customWidth="1"/>
    <col min="6" max="6" width="31.3984375" customWidth="1"/>
    <col min="7" max="7" width="24.5" customWidth="1"/>
    <col min="8" max="9" width="29.69921875" customWidth="1"/>
  </cols>
  <sheetData>
    <row r="1" spans="1:9" x14ac:dyDescent="0.3">
      <c r="A1" s="13" t="s">
        <v>0</v>
      </c>
      <c r="B1" s="13" t="s">
        <v>1</v>
      </c>
      <c r="C1" t="s">
        <v>21</v>
      </c>
      <c r="D1" t="s">
        <v>22</v>
      </c>
      <c r="E1" t="s">
        <v>25</v>
      </c>
      <c r="F1" t="s">
        <v>23</v>
      </c>
      <c r="G1" t="s">
        <v>24</v>
      </c>
      <c r="H1" t="s">
        <v>31</v>
      </c>
      <c r="I1" t="s">
        <v>26</v>
      </c>
    </row>
    <row r="2" spans="1:9" x14ac:dyDescent="0.3">
      <c r="A2" s="14">
        <v>0</v>
      </c>
      <c r="B2" s="15">
        <v>98710.255999999994</v>
      </c>
      <c r="C2">
        <v>0</v>
      </c>
      <c r="G2">
        <f t="shared" ref="G2:G12" si="0">(A2+A3)/2</f>
        <v>0.5</v>
      </c>
      <c r="I2" t="s">
        <v>32</v>
      </c>
    </row>
    <row r="3" spans="1:9" x14ac:dyDescent="0.3">
      <c r="A3" s="14">
        <v>1</v>
      </c>
      <c r="B3" s="15">
        <v>393723.92</v>
      </c>
      <c r="C3">
        <v>0</v>
      </c>
      <c r="G3">
        <f t="shared" si="0"/>
        <v>3</v>
      </c>
    </row>
    <row r="4" spans="1:9" x14ac:dyDescent="0.3">
      <c r="A4" s="14">
        <v>5</v>
      </c>
      <c r="B4" s="15">
        <v>491465.96</v>
      </c>
      <c r="C4">
        <v>0</v>
      </c>
      <c r="G4">
        <f t="shared" si="0"/>
        <v>7.5</v>
      </c>
    </row>
    <row r="5" spans="1:9" x14ac:dyDescent="0.3">
      <c r="A5" s="14">
        <v>10</v>
      </c>
      <c r="B5" s="15">
        <v>490852.08</v>
      </c>
      <c r="C5">
        <v>0</v>
      </c>
      <c r="G5">
        <f t="shared" si="0"/>
        <v>12.5</v>
      </c>
    </row>
    <row r="6" spans="1:9" x14ac:dyDescent="0.3">
      <c r="A6" s="14">
        <v>15</v>
      </c>
      <c r="B6" s="15">
        <v>489906.68</v>
      </c>
      <c r="C6" s="3">
        <v>69.400000000000006</v>
      </c>
      <c r="D6">
        <f>C6 * (100/105)</f>
        <v>66.095238095238102</v>
      </c>
      <c r="E6">
        <f>B6/$C$17</f>
        <v>0.97981335999999997</v>
      </c>
      <c r="F6">
        <f t="shared" ref="F6:F12" si="1">(D6 * B6/$C$17)</f>
        <v>64.760997318095249</v>
      </c>
      <c r="G6">
        <f t="shared" si="0"/>
        <v>17.5</v>
      </c>
      <c r="H6">
        <f t="shared" ref="H6:H12" si="2">D6*E6/1000</f>
        <v>6.4760997318095245E-2</v>
      </c>
      <c r="I6">
        <f t="shared" ref="I6:I12" si="3">G6*H6</f>
        <v>1.1333174530666668</v>
      </c>
    </row>
    <row r="7" spans="1:9" x14ac:dyDescent="0.3">
      <c r="A7" s="14">
        <v>20</v>
      </c>
      <c r="B7" s="15">
        <v>488546.54</v>
      </c>
      <c r="C7" s="3">
        <v>109.6</v>
      </c>
      <c r="D7">
        <f t="shared" ref="D7:D13" si="4">C7 * (100/105)</f>
        <v>104.38095238095237</v>
      </c>
      <c r="E7">
        <f>B7/$C$17</f>
        <v>0.97709307999999995</v>
      </c>
      <c r="F7">
        <f t="shared" si="1"/>
        <v>101.98990625523807</v>
      </c>
      <c r="G7">
        <f t="shared" si="0"/>
        <v>22.5</v>
      </c>
      <c r="H7">
        <f t="shared" si="2"/>
        <v>0.10198990625523807</v>
      </c>
      <c r="I7">
        <f t="shared" si="3"/>
        <v>2.2947728907428564</v>
      </c>
    </row>
    <row r="8" spans="1:9" x14ac:dyDescent="0.3">
      <c r="A8" s="14">
        <v>25</v>
      </c>
      <c r="B8" s="15">
        <v>486977.11</v>
      </c>
      <c r="C8" s="3">
        <v>92.3</v>
      </c>
      <c r="D8">
        <f t="shared" si="4"/>
        <v>87.904761904761898</v>
      </c>
      <c r="E8">
        <f t="shared" ref="E6:E12" si="5">B8/$C$17</f>
        <v>0.97395421999999998</v>
      </c>
      <c r="F8">
        <f t="shared" si="1"/>
        <v>85.615213815238093</v>
      </c>
      <c r="G8">
        <f t="shared" si="0"/>
        <v>27.5</v>
      </c>
      <c r="H8">
        <f t="shared" si="2"/>
        <v>8.5615213815238095E-2</v>
      </c>
      <c r="I8">
        <f t="shared" si="3"/>
        <v>2.3544183799190477</v>
      </c>
    </row>
    <row r="9" spans="1:9" x14ac:dyDescent="0.3">
      <c r="A9" s="14">
        <v>30</v>
      </c>
      <c r="B9" s="15">
        <v>484945.77</v>
      </c>
      <c r="C9" s="3">
        <v>57.4</v>
      </c>
      <c r="D9">
        <f t="shared" si="4"/>
        <v>54.666666666666664</v>
      </c>
      <c r="E9">
        <f t="shared" si="5"/>
        <v>0.96989154</v>
      </c>
      <c r="F9">
        <f t="shared" si="1"/>
        <v>53.020737520000004</v>
      </c>
      <c r="G9">
        <f t="shared" si="0"/>
        <v>32.5</v>
      </c>
      <c r="H9">
        <f t="shared" si="2"/>
        <v>5.302073752E-2</v>
      </c>
      <c r="I9">
        <f t="shared" si="3"/>
        <v>1.7231739693999999</v>
      </c>
    </row>
    <row r="10" spans="1:9" x14ac:dyDescent="0.3">
      <c r="A10" s="14">
        <v>35</v>
      </c>
      <c r="B10" s="15">
        <v>482072.63</v>
      </c>
      <c r="C10" s="3">
        <v>30.5</v>
      </c>
      <c r="D10">
        <f t="shared" si="4"/>
        <v>29.047619047619047</v>
      </c>
      <c r="E10">
        <f t="shared" si="5"/>
        <v>0.96414526</v>
      </c>
      <c r="F10">
        <f t="shared" si="1"/>
        <v>28.006124219047621</v>
      </c>
      <c r="G10">
        <f t="shared" si="0"/>
        <v>37.5</v>
      </c>
      <c r="H10">
        <f t="shared" si="2"/>
        <v>2.8006124219047621E-2</v>
      </c>
      <c r="I10">
        <f t="shared" si="3"/>
        <v>1.0502296582142858</v>
      </c>
    </row>
    <row r="11" spans="1:9" x14ac:dyDescent="0.3">
      <c r="A11" s="14">
        <v>40</v>
      </c>
      <c r="B11" s="15">
        <v>478060.26</v>
      </c>
      <c r="C11" s="3">
        <v>10.8</v>
      </c>
      <c r="D11">
        <f t="shared" si="4"/>
        <v>10.285714285714286</v>
      </c>
      <c r="E11">
        <f t="shared" si="5"/>
        <v>0.95612052000000003</v>
      </c>
      <c r="F11">
        <f t="shared" si="1"/>
        <v>9.8343824914285722</v>
      </c>
      <c r="G11">
        <f t="shared" si="0"/>
        <v>42.5</v>
      </c>
      <c r="H11">
        <f t="shared" si="2"/>
        <v>9.8343824914285723E-3</v>
      </c>
      <c r="I11">
        <f t="shared" si="3"/>
        <v>0.41796125588571431</v>
      </c>
    </row>
    <row r="12" spans="1:9" x14ac:dyDescent="0.3">
      <c r="A12" s="14">
        <v>45</v>
      </c>
      <c r="B12" s="15">
        <v>471992.12</v>
      </c>
      <c r="C12" s="3">
        <v>2</v>
      </c>
      <c r="D12">
        <f t="shared" si="4"/>
        <v>1.9047619047619047</v>
      </c>
      <c r="E12">
        <f t="shared" si="5"/>
        <v>0.94398424000000003</v>
      </c>
      <c r="F12">
        <f t="shared" si="1"/>
        <v>1.798065219047619</v>
      </c>
      <c r="G12">
        <f t="shared" si="0"/>
        <v>47.5</v>
      </c>
      <c r="H12">
        <f t="shared" si="2"/>
        <v>1.798065219047619E-3</v>
      </c>
      <c r="I12">
        <f t="shared" si="3"/>
        <v>8.5408097904761907E-2</v>
      </c>
    </row>
    <row r="13" spans="1:9" x14ac:dyDescent="0.3">
      <c r="A13" s="14">
        <v>50</v>
      </c>
      <c r="B13" s="15"/>
      <c r="C13" s="3">
        <v>0</v>
      </c>
      <c r="D13">
        <f t="shared" si="4"/>
        <v>0</v>
      </c>
    </row>
    <row r="14" spans="1:9" x14ac:dyDescent="0.3">
      <c r="A14" s="2"/>
      <c r="B14" s="1"/>
    </row>
    <row r="15" spans="1:9" x14ac:dyDescent="0.3">
      <c r="A15" s="2"/>
      <c r="B15" s="1" t="s">
        <v>19</v>
      </c>
      <c r="C15" s="3">
        <v>100000</v>
      </c>
    </row>
    <row r="16" spans="1:9" x14ac:dyDescent="0.3">
      <c r="A16" s="2"/>
      <c r="B16" s="1"/>
    </row>
    <row r="17" spans="1:9" x14ac:dyDescent="0.3">
      <c r="A17" s="2"/>
      <c r="B17" s="1" t="s">
        <v>20</v>
      </c>
      <c r="C17">
        <f>C15*5</f>
        <v>500000</v>
      </c>
    </row>
    <row r="18" spans="1:9" x14ac:dyDescent="0.3">
      <c r="A18" s="2"/>
      <c r="B18" s="1"/>
    </row>
    <row r="19" spans="1:9" x14ac:dyDescent="0.3">
      <c r="A19" s="2"/>
      <c r="B19" s="1"/>
    </row>
    <row r="20" spans="1:9" x14ac:dyDescent="0.3">
      <c r="A20" s="2"/>
      <c r="B20" s="1"/>
    </row>
    <row r="21" spans="1:9" x14ac:dyDescent="0.3">
      <c r="D21" s="4">
        <f>SUM(C6:C12) * 5 / 1000</f>
        <v>1.86</v>
      </c>
      <c r="E21">
        <f>SUM(D6:D12) * 5/1000</f>
        <v>1.7714285714285716</v>
      </c>
      <c r="F21">
        <f>((SUM(F6:F12)))*5/1000</f>
        <v>1.7251271341904759</v>
      </c>
      <c r="H21">
        <f>SUM(H6:H12) * 5</f>
        <v>1.7251271341904764</v>
      </c>
      <c r="I21">
        <f>SUM(I6:I12)*5/(SUM(H6:H12)*5)</f>
        <v>26.256852395358216</v>
      </c>
    </row>
    <row r="22" spans="1:9" x14ac:dyDescent="0.3">
      <c r="D22" t="s">
        <v>3</v>
      </c>
      <c r="E22" t="s">
        <v>4</v>
      </c>
      <c r="F22" t="s">
        <v>5</v>
      </c>
    </row>
    <row r="23" spans="1:9" x14ac:dyDescent="0.3">
      <c r="D23" t="s">
        <v>2</v>
      </c>
      <c r="E23">
        <f xml:space="preserve"> D21* (100/205)</f>
        <v>0.90731707317073174</v>
      </c>
    </row>
    <row r="24" spans="1:9" x14ac:dyDescent="0.3">
      <c r="B24" s="1"/>
      <c r="H24" t="s">
        <v>27</v>
      </c>
      <c r="I24">
        <f>LN(H21)/I21</f>
        <v>2.0767940518412093E-2</v>
      </c>
    </row>
    <row r="25" spans="1:9" x14ac:dyDescent="0.3">
      <c r="B25" s="1"/>
      <c r="D25" t="s">
        <v>18</v>
      </c>
      <c r="E25">
        <f>D21/F21</f>
        <v>1.0781814065389528</v>
      </c>
    </row>
    <row r="26" spans="1:9" x14ac:dyDescent="0.3">
      <c r="B26" s="1"/>
    </row>
    <row r="27" spans="1:9" x14ac:dyDescent="0.3">
      <c r="B27" s="1"/>
    </row>
    <row r="28" spans="1:9" x14ac:dyDescent="0.3">
      <c r="B28" s="1"/>
    </row>
    <row r="29" spans="1:9" x14ac:dyDescent="0.3">
      <c r="B29" s="1"/>
    </row>
    <row r="30" spans="1:9" x14ac:dyDescent="0.3">
      <c r="B30" s="1"/>
      <c r="D30" t="s">
        <v>28</v>
      </c>
    </row>
    <row r="31" spans="1:9" x14ac:dyDescent="0.3">
      <c r="B31" s="1"/>
      <c r="D31" t="s">
        <v>3</v>
      </c>
      <c r="E31" s="4">
        <f>D21</f>
        <v>1.86</v>
      </c>
    </row>
    <row r="32" spans="1:9" x14ac:dyDescent="0.3">
      <c r="B32" s="1"/>
      <c r="D32" t="s">
        <v>4</v>
      </c>
      <c r="E32">
        <f>E21</f>
        <v>1.7714285714285716</v>
      </c>
    </row>
    <row r="33" spans="2:5" x14ac:dyDescent="0.3">
      <c r="B33" s="1"/>
      <c r="D33" t="s">
        <v>5</v>
      </c>
      <c r="E33">
        <f>F21</f>
        <v>1.7251271341904759</v>
      </c>
    </row>
    <row r="34" spans="2:5" x14ac:dyDescent="0.3">
      <c r="B34" s="1"/>
      <c r="D34" t="s">
        <v>29</v>
      </c>
      <c r="E34">
        <f>E25</f>
        <v>1.0781814065389528</v>
      </c>
    </row>
    <row r="35" spans="2:5" x14ac:dyDescent="0.3">
      <c r="B35" s="1"/>
      <c r="D35" t="s">
        <v>30</v>
      </c>
      <c r="E35">
        <f>I21</f>
        <v>26.256852395358216</v>
      </c>
    </row>
    <row r="36" spans="2:5" x14ac:dyDescent="0.3">
      <c r="B36" s="1"/>
      <c r="D36" t="s">
        <v>33</v>
      </c>
      <c r="E36">
        <f>I24</f>
        <v>2.0767940518412093E-2</v>
      </c>
    </row>
    <row r="37" spans="2:5" x14ac:dyDescent="0.3">
      <c r="B37" s="1"/>
    </row>
    <row r="38" spans="2:5" x14ac:dyDescent="0.3">
      <c r="B38" s="1"/>
    </row>
    <row r="39" spans="2:5" x14ac:dyDescent="0.3">
      <c r="B39" s="1"/>
    </row>
    <row r="40" spans="2:5" x14ac:dyDescent="0.3">
      <c r="B40" s="1"/>
    </row>
    <row r="41" spans="2:5" x14ac:dyDescent="0.3">
      <c r="B41" s="1"/>
    </row>
    <row r="42" spans="2:5" x14ac:dyDescent="0.3">
      <c r="B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D26" sqref="D26"/>
    </sheetView>
  </sheetViews>
  <sheetFormatPr defaultColWidth="11.19921875" defaultRowHeight="15.6" x14ac:dyDescent="0.3"/>
  <cols>
    <col min="2" max="2" width="12.69921875" customWidth="1"/>
  </cols>
  <sheetData>
    <row r="1" spans="1:17" x14ac:dyDescent="0.3">
      <c r="A1" s="5"/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6" t="s">
        <v>6</v>
      </c>
      <c r="H1" s="6" t="s">
        <v>6</v>
      </c>
      <c r="I1" s="6" t="s">
        <v>3</v>
      </c>
      <c r="J1" s="5"/>
      <c r="Q1" t="s">
        <v>15</v>
      </c>
    </row>
    <row r="2" spans="1:17" x14ac:dyDescent="0.3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J2" s="6">
        <v>17.5</v>
      </c>
      <c r="K2" s="6">
        <v>22.5</v>
      </c>
      <c r="L2" s="6">
        <v>27.5</v>
      </c>
      <c r="M2" s="6">
        <v>32.5</v>
      </c>
      <c r="N2" s="6">
        <v>37.5</v>
      </c>
      <c r="O2" s="6">
        <v>42.5</v>
      </c>
      <c r="P2" s="6">
        <v>47.5</v>
      </c>
    </row>
    <row r="3" spans="1:17" x14ac:dyDescent="0.3">
      <c r="A3" s="5">
        <v>1960</v>
      </c>
      <c r="B3" s="7">
        <v>37.799999999999997</v>
      </c>
      <c r="C3" s="8">
        <v>129</v>
      </c>
      <c r="D3" s="8">
        <v>136.6</v>
      </c>
      <c r="E3" s="8">
        <v>83.6</v>
      </c>
      <c r="F3" s="8">
        <v>39.6</v>
      </c>
      <c r="G3" s="8">
        <v>12</v>
      </c>
      <c r="H3" s="8">
        <v>0.8</v>
      </c>
      <c r="I3" s="4">
        <f>SUM(B3:H3) / 1000 * 5</f>
        <v>2.1970000000000001</v>
      </c>
      <c r="J3" s="5">
        <f>$J$2 * B3</f>
        <v>661.5</v>
      </c>
      <c r="K3" s="5">
        <f>$K$2 * C3</f>
        <v>2902.5</v>
      </c>
      <c r="L3" s="5">
        <f>$L$2 * D3</f>
        <v>3756.5</v>
      </c>
      <c r="M3" s="5">
        <f>$M$2 * E3</f>
        <v>2717</v>
      </c>
      <c r="N3" s="5">
        <f>$N$2 * F3</f>
        <v>1485</v>
      </c>
      <c r="O3" s="5">
        <f>$O$2 * G3</f>
        <v>510</v>
      </c>
      <c r="P3" s="5">
        <f>$P$2 * H3</f>
        <v>38</v>
      </c>
      <c r="Q3" s="5">
        <f>SUM(J3:P3)/SUM(B3:H3)</f>
        <v>27.470414201183431</v>
      </c>
    </row>
    <row r="4" spans="1:17" x14ac:dyDescent="0.3">
      <c r="A4" s="5">
        <v>1965</v>
      </c>
      <c r="B4" s="9">
        <v>46.6</v>
      </c>
      <c r="C4" s="7">
        <v>142.6</v>
      </c>
      <c r="D4" s="8">
        <v>153.6</v>
      </c>
      <c r="E4" s="8">
        <v>90</v>
      </c>
      <c r="F4" s="8">
        <v>40</v>
      </c>
      <c r="G4" s="8">
        <v>10.199999999999999</v>
      </c>
      <c r="H4" s="8">
        <v>0.8</v>
      </c>
      <c r="I4" s="4">
        <f t="shared" ref="I4:I12" si="0">SUM(B4:H4) / 1000 * 5</f>
        <v>2.4189999999999996</v>
      </c>
      <c r="J4" s="5">
        <f t="shared" ref="J4:J12" si="1">$J$2 * B4</f>
        <v>815.5</v>
      </c>
      <c r="K4" s="5">
        <f t="shared" ref="K4:K12" si="2">$K$2 * C4</f>
        <v>3208.5</v>
      </c>
      <c r="L4" s="5">
        <f t="shared" ref="L4:L12" si="3">$L$2 * D4</f>
        <v>4224</v>
      </c>
      <c r="M4" s="5">
        <f t="shared" ref="M4:M11" si="4">$M$2 * E4</f>
        <v>2925</v>
      </c>
      <c r="N4" s="5">
        <f t="shared" ref="N4:N12" si="5">$N$2 * F4</f>
        <v>1500</v>
      </c>
      <c r="O4" s="5">
        <f t="shared" ref="O4:O12" si="6">$O$2 * G4</f>
        <v>433.49999999999994</v>
      </c>
      <c r="P4" s="5">
        <f t="shared" ref="P4:P12" si="7">$P$2 * H4</f>
        <v>38</v>
      </c>
      <c r="Q4" s="5">
        <f>SUM(J4:P4)/SUM(B4:H4)</f>
        <v>27.169284828441508</v>
      </c>
    </row>
    <row r="5" spans="1:17" x14ac:dyDescent="0.3">
      <c r="A5" s="5">
        <v>1970</v>
      </c>
      <c r="B5" s="10">
        <v>34</v>
      </c>
      <c r="C5" s="9">
        <v>120.3</v>
      </c>
      <c r="D5" s="7">
        <v>129.4</v>
      </c>
      <c r="E5" s="8">
        <v>70</v>
      </c>
      <c r="F5" s="8">
        <v>27.4</v>
      </c>
      <c r="G5" s="8">
        <v>6.1</v>
      </c>
      <c r="H5" s="8">
        <v>0.4</v>
      </c>
      <c r="I5" s="4">
        <f t="shared" si="0"/>
        <v>1.9379999999999999</v>
      </c>
      <c r="J5" s="5">
        <f t="shared" si="1"/>
        <v>595</v>
      </c>
      <c r="K5" s="5">
        <f t="shared" si="2"/>
        <v>2706.75</v>
      </c>
      <c r="L5" s="5">
        <f t="shared" si="3"/>
        <v>3558.5</v>
      </c>
      <c r="M5" s="5">
        <f t="shared" si="4"/>
        <v>2275</v>
      </c>
      <c r="N5" s="5">
        <f t="shared" si="5"/>
        <v>1027.5</v>
      </c>
      <c r="O5" s="5">
        <f t="shared" si="6"/>
        <v>259.25</v>
      </c>
      <c r="P5" s="5">
        <f t="shared" si="7"/>
        <v>19</v>
      </c>
      <c r="Q5" s="5">
        <f t="shared" ref="Q5:Q12" si="8">SUM(J5:P5)/SUM(B5:H5)</f>
        <v>26.937564499484001</v>
      </c>
    </row>
    <row r="6" spans="1:17" x14ac:dyDescent="0.3">
      <c r="A6" s="5">
        <v>1975</v>
      </c>
      <c r="B6" s="11">
        <v>29</v>
      </c>
      <c r="C6" s="10">
        <v>115</v>
      </c>
      <c r="D6" s="9">
        <v>123</v>
      </c>
      <c r="E6" s="7">
        <v>64</v>
      </c>
      <c r="F6" s="8">
        <v>21</v>
      </c>
      <c r="G6" s="8">
        <v>3.8</v>
      </c>
      <c r="H6" s="8">
        <v>0.2</v>
      </c>
      <c r="I6" s="4">
        <f t="shared" si="0"/>
        <v>1.7799999999999998</v>
      </c>
      <c r="J6" s="5">
        <f t="shared" si="1"/>
        <v>507.5</v>
      </c>
      <c r="K6" s="5">
        <f t="shared" si="2"/>
        <v>2587.5</v>
      </c>
      <c r="L6" s="5">
        <f t="shared" si="3"/>
        <v>3382.5</v>
      </c>
      <c r="M6" s="5">
        <f t="shared" si="4"/>
        <v>2080</v>
      </c>
      <c r="N6" s="5">
        <f t="shared" si="5"/>
        <v>787.5</v>
      </c>
      <c r="O6" s="5">
        <f t="shared" si="6"/>
        <v>161.5</v>
      </c>
      <c r="P6" s="5">
        <f t="shared" si="7"/>
        <v>9.5</v>
      </c>
      <c r="Q6" s="5">
        <f t="shared" si="8"/>
        <v>26.730337078651687</v>
      </c>
    </row>
    <row r="7" spans="1:17" x14ac:dyDescent="0.3">
      <c r="A7" s="5">
        <v>1980</v>
      </c>
      <c r="B7" s="12">
        <v>16</v>
      </c>
      <c r="C7" s="11">
        <v>96</v>
      </c>
      <c r="D7" s="10">
        <v>124</v>
      </c>
      <c r="E7" s="9">
        <v>71</v>
      </c>
      <c r="F7" s="7">
        <v>25</v>
      </c>
      <c r="G7" s="8">
        <v>3.8</v>
      </c>
      <c r="H7" s="8">
        <v>0.2</v>
      </c>
      <c r="I7" s="4">
        <f t="shared" si="0"/>
        <v>1.6800000000000002</v>
      </c>
      <c r="J7" s="5">
        <f t="shared" si="1"/>
        <v>280</v>
      </c>
      <c r="K7" s="5">
        <f t="shared" si="2"/>
        <v>2160</v>
      </c>
      <c r="L7" s="5">
        <f t="shared" si="3"/>
        <v>3410</v>
      </c>
      <c r="M7" s="5">
        <f t="shared" si="4"/>
        <v>2307.5</v>
      </c>
      <c r="N7" s="5">
        <f t="shared" si="5"/>
        <v>937.5</v>
      </c>
      <c r="O7" s="5">
        <f t="shared" si="6"/>
        <v>161.5</v>
      </c>
      <c r="P7" s="5">
        <f t="shared" si="7"/>
        <v>9.5</v>
      </c>
      <c r="Q7" s="5">
        <f t="shared" si="8"/>
        <v>27.577380952380953</v>
      </c>
    </row>
    <row r="8" spans="1:17" x14ac:dyDescent="0.3">
      <c r="A8" s="5">
        <v>1985</v>
      </c>
      <c r="B8" s="8">
        <v>11</v>
      </c>
      <c r="C8" s="12">
        <v>81.8</v>
      </c>
      <c r="D8" s="11">
        <v>131.80000000000001</v>
      </c>
      <c r="E8" s="10">
        <v>85.9</v>
      </c>
      <c r="F8" s="9">
        <v>30.3</v>
      </c>
      <c r="G8" s="7">
        <v>5.6</v>
      </c>
      <c r="H8" s="8">
        <v>0.2</v>
      </c>
      <c r="I8" s="4">
        <f t="shared" si="0"/>
        <v>1.7330000000000001</v>
      </c>
      <c r="J8" s="5">
        <f t="shared" si="1"/>
        <v>192.5</v>
      </c>
      <c r="K8" s="5">
        <f t="shared" si="2"/>
        <v>1840.5</v>
      </c>
      <c r="L8" s="5">
        <f t="shared" si="3"/>
        <v>3624.5000000000005</v>
      </c>
      <c r="M8" s="5">
        <f t="shared" si="4"/>
        <v>2791.75</v>
      </c>
      <c r="N8" s="5">
        <f t="shared" si="5"/>
        <v>1136.25</v>
      </c>
      <c r="O8" s="5">
        <f t="shared" si="6"/>
        <v>237.99999999999997</v>
      </c>
      <c r="P8" s="5">
        <f t="shared" si="7"/>
        <v>9.5</v>
      </c>
      <c r="Q8" s="5">
        <f t="shared" si="8"/>
        <v>28.369878822850545</v>
      </c>
    </row>
    <row r="9" spans="1:17" x14ac:dyDescent="0.3">
      <c r="A9" s="5">
        <v>1990</v>
      </c>
      <c r="B9" s="8">
        <v>14.1</v>
      </c>
      <c r="C9" s="8">
        <v>98.7</v>
      </c>
      <c r="D9" s="12">
        <v>155.6</v>
      </c>
      <c r="E9" s="11">
        <v>110.2</v>
      </c>
      <c r="F9" s="10">
        <v>41.4</v>
      </c>
      <c r="G9" s="9">
        <v>7</v>
      </c>
      <c r="H9" s="7">
        <v>0.3</v>
      </c>
      <c r="I9" s="4">
        <f t="shared" si="0"/>
        <v>2.1364999999999998</v>
      </c>
      <c r="J9" s="5">
        <f t="shared" si="1"/>
        <v>246.75</v>
      </c>
      <c r="K9" s="5">
        <f t="shared" si="2"/>
        <v>2220.75</v>
      </c>
      <c r="L9" s="5">
        <f t="shared" si="3"/>
        <v>4279</v>
      </c>
      <c r="M9" s="5">
        <f t="shared" si="4"/>
        <v>3581.5</v>
      </c>
      <c r="N9" s="5">
        <f t="shared" si="5"/>
        <v>1552.5</v>
      </c>
      <c r="O9" s="5">
        <f t="shared" si="6"/>
        <v>297.5</v>
      </c>
      <c r="P9" s="5">
        <f t="shared" si="7"/>
        <v>14.25</v>
      </c>
      <c r="Q9" s="5">
        <f t="shared" si="8"/>
        <v>28.533231921366724</v>
      </c>
    </row>
    <row r="10" spans="1:17" x14ac:dyDescent="0.3">
      <c r="A10" s="5">
        <v>1995</v>
      </c>
      <c r="B10" s="8">
        <v>8.6</v>
      </c>
      <c r="C10" s="8">
        <v>67.5</v>
      </c>
      <c r="D10" s="8">
        <v>127.8</v>
      </c>
      <c r="E10" s="12">
        <v>96</v>
      </c>
      <c r="F10" s="11">
        <v>40.700000000000003</v>
      </c>
      <c r="G10" s="10">
        <v>7.1</v>
      </c>
      <c r="H10" s="9">
        <v>0.2</v>
      </c>
      <c r="I10" s="4">
        <f t="shared" si="0"/>
        <v>1.7395</v>
      </c>
      <c r="J10" s="5">
        <f t="shared" si="1"/>
        <v>150.5</v>
      </c>
      <c r="K10" s="5">
        <f t="shared" si="2"/>
        <v>1518.75</v>
      </c>
      <c r="L10" s="5">
        <f t="shared" si="3"/>
        <v>3514.5</v>
      </c>
      <c r="M10" s="5">
        <f t="shared" si="4"/>
        <v>3120</v>
      </c>
      <c r="N10" s="5">
        <f t="shared" si="5"/>
        <v>1526.25</v>
      </c>
      <c r="O10" s="5">
        <f t="shared" si="6"/>
        <v>301.75</v>
      </c>
      <c r="P10" s="5">
        <f t="shared" si="7"/>
        <v>9.5</v>
      </c>
      <c r="Q10" s="5">
        <f t="shared" si="8"/>
        <v>29.14989939637827</v>
      </c>
    </row>
    <row r="11" spans="1:17" x14ac:dyDescent="0.3">
      <c r="A11" s="5">
        <v>2000</v>
      </c>
      <c r="B11" s="8">
        <v>4.9000000000000004</v>
      </c>
      <c r="C11" s="8">
        <v>41.7</v>
      </c>
      <c r="D11" s="8">
        <v>103</v>
      </c>
      <c r="E11" s="8">
        <v>102.9</v>
      </c>
      <c r="F11" s="12">
        <v>47.2</v>
      </c>
      <c r="G11" s="11">
        <v>9.6</v>
      </c>
      <c r="H11" s="10">
        <v>0.5</v>
      </c>
      <c r="I11" s="4">
        <f t="shared" si="0"/>
        <v>1.5490000000000002</v>
      </c>
      <c r="J11" s="5">
        <f t="shared" si="1"/>
        <v>85.75</v>
      </c>
      <c r="K11" s="5">
        <f t="shared" si="2"/>
        <v>938.25000000000011</v>
      </c>
      <c r="L11" s="5">
        <f t="shared" si="3"/>
        <v>2832.5</v>
      </c>
      <c r="M11" s="5">
        <f t="shared" si="4"/>
        <v>3344.25</v>
      </c>
      <c r="N11" s="5">
        <f t="shared" si="5"/>
        <v>1770</v>
      </c>
      <c r="O11" s="5">
        <f t="shared" si="6"/>
        <v>408</v>
      </c>
      <c r="P11" s="5">
        <f t="shared" si="7"/>
        <v>23.75</v>
      </c>
      <c r="Q11" s="5">
        <f t="shared" si="8"/>
        <v>30.350225952227241</v>
      </c>
    </row>
    <row r="12" spans="1:17" x14ac:dyDescent="0.3">
      <c r="A12" s="5">
        <v>2005</v>
      </c>
      <c r="B12" s="8">
        <v>4.5999999999999996</v>
      </c>
      <c r="C12" s="8">
        <v>41.8</v>
      </c>
      <c r="D12" s="8">
        <v>105</v>
      </c>
      <c r="E12" s="8">
        <v>116</v>
      </c>
      <c r="F12" s="8">
        <v>52.2</v>
      </c>
      <c r="G12" s="12">
        <v>11.2</v>
      </c>
      <c r="H12" s="11">
        <v>0.5</v>
      </c>
      <c r="I12" s="4">
        <f t="shared" si="0"/>
        <v>1.6564999999999996</v>
      </c>
      <c r="J12" s="5">
        <f t="shared" si="1"/>
        <v>80.5</v>
      </c>
      <c r="K12" s="5">
        <f t="shared" si="2"/>
        <v>940.49999999999989</v>
      </c>
      <c r="L12" s="5">
        <f t="shared" si="3"/>
        <v>2887.5</v>
      </c>
      <c r="M12" s="5">
        <f>$M$2 * E12</f>
        <v>3770</v>
      </c>
      <c r="N12" s="5">
        <f t="shared" si="5"/>
        <v>1957.5</v>
      </c>
      <c r="O12" s="5">
        <f t="shared" si="6"/>
        <v>475.99999999999994</v>
      </c>
      <c r="P12" s="5">
        <f t="shared" si="7"/>
        <v>23.75</v>
      </c>
      <c r="Q12" s="5">
        <f t="shared" si="8"/>
        <v>30.593872623000305</v>
      </c>
    </row>
    <row r="15" spans="1:17" x14ac:dyDescent="0.3">
      <c r="B15" t="s">
        <v>16</v>
      </c>
      <c r="C15">
        <f>SUM(B3, C4, D5, E6, F7, G8, H9) * 5/1000</f>
        <v>2.0234999999999999</v>
      </c>
    </row>
    <row r="17" spans="2:3" x14ac:dyDescent="0.3">
      <c r="B17" t="s">
        <v>17</v>
      </c>
      <c r="C17" s="4">
        <f>SUM(B5, C6, D7, E8, F9, G10, H11) * 5/ 1000</f>
        <v>2.0394999999999999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Brazil</vt:lpstr>
      <vt:lpstr>Sweden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Ridhi Kashyap</dc:creator>
  <cp:lastModifiedBy>Zachary Lim</cp:lastModifiedBy>
  <dcterms:created xsi:type="dcterms:W3CDTF">2017-11-07T20:58:22Z</dcterms:created>
  <dcterms:modified xsi:type="dcterms:W3CDTF">2021-01-29T07:40:46Z</dcterms:modified>
</cp:coreProperties>
</file>