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3a057e1a20f55/Documents/GitHub/excel_editor/"/>
    </mc:Choice>
  </mc:AlternateContent>
  <xr:revisionPtr revIDLastSave="0" documentId="11_0DF2E15E3BC3C8C06E2B3FD298D2DFE701A4C53C" xr6:coauthVersionLast="47" xr6:coauthVersionMax="47" xr10:uidLastSave="{00000000-0000-0000-0000-000000000000}"/>
  <bookViews>
    <workbookView xWindow="-120" yWindow="-120" windowWidth="29040" windowHeight="15840" tabRatio="852" activeTab="5" xr2:uid="{00000000-000D-0000-FFFF-FFFF00000000}"/>
  </bookViews>
  <sheets>
    <sheet name="Master List" sheetId="1" r:id="rId1"/>
    <sheet name="Purple Punch" sheetId="2" r:id="rId2"/>
    <sheet name="Cotton Candy Cookies #15" sheetId="3" r:id="rId3"/>
    <sheet name="Vanilla Wafer" sheetId="4" r:id="rId4"/>
    <sheet name="Blue Kush" sheetId="5" r:id="rId5"/>
    <sheet name="Blue Kush meristem" sheetId="6" r:id="rId6"/>
    <sheet name="PEZ" sheetId="7" r:id="rId7"/>
    <sheet name="Skittlez" sheetId="8" r:id="rId8"/>
    <sheet name="Super Silver Fusion" sheetId="9" r:id="rId9"/>
    <sheet name="Monster Profit" sheetId="10" r:id="rId10"/>
    <sheet name="PoG" sheetId="11" r:id="rId11"/>
    <sheet name="Chem Valley" sheetId="12" r:id="rId12"/>
    <sheet name="Banana Afghani" sheetId="13" r:id="rId13"/>
    <sheet name="Wedding Scotch" sheetId="14" r:id="rId14"/>
    <sheet name="Night Terror" sheetId="15" r:id="rId15"/>
    <sheet name="Mendo OG" sheetId="16" r:id="rId16"/>
    <sheet name="GG #4" sheetId="17" r:id="rId17"/>
    <sheet name="Sunday Brunch" sheetId="18" r:id="rId18"/>
    <sheet name="Blue Dream" sheetId="19" r:id="rId19"/>
    <sheet name="Ultra Sour" sheetId="20" r:id="rId20"/>
    <sheet name="Skunk Band" sheetId="21" r:id="rId21"/>
    <sheet name="Blueberry Kush" sheetId="22" r:id="rId22"/>
    <sheet name="Ice Cream Cake" sheetId="23" r:id="rId23"/>
    <sheet name="Platinum Garlic" sheetId="24" r:id="rId24"/>
    <sheet name="Mimosa" sheetId="25" r:id="rId25"/>
    <sheet name="Titty Sprinkles" sheetId="26" r:id="rId26"/>
    <sheet name="GDP" sheetId="27" r:id="rId27"/>
    <sheet name="Mimosa V2" sheetId="28" r:id="rId28"/>
    <sheet name="Kobe" sheetId="29" r:id="rId29"/>
    <sheet name="Sol Fire" sheetId="30" r:id="rId30"/>
    <sheet name="Deep Pockets" sheetId="31" r:id="rId31"/>
    <sheet name="Black Cherry Punch" sheetId="32" r:id="rId32"/>
    <sheet name="Space Runtz" sheetId="33" r:id="rId33"/>
    <sheet name="Fruit Punch" sheetId="34" r:id="rId34"/>
    <sheet name="Runtz Muffin" sheetId="35" r:id="rId35"/>
    <sheet name="Wedding Cake" sheetId="36" r:id="rId36"/>
    <sheet name="Lemon Mints" sheetId="37" r:id="rId37"/>
    <sheet name="Jedi" sheetId="38" r:id="rId38"/>
    <sheet name="Rug Burn" sheetId="39" r:id="rId39"/>
    <sheet name="GMO" sheetId="40" r:id="rId40"/>
    <sheet name="Dirty Little Secret" sheetId="41" r:id="rId41"/>
    <sheet name="Divine Slurricane" sheetId="42" r:id="rId42"/>
    <sheet name="Mellow 2" sheetId="43" r:id="rId43"/>
    <sheet name="Slow and Sweet" sheetId="44" r:id="rId44"/>
    <sheet name="Ice Cream Cake V2" sheetId="45" r:id="rId45"/>
    <sheet name="Farmer Fire" sheetId="46" r:id="rId46"/>
    <sheet name="Sunny D" sheetId="47" r:id="rId47"/>
    <sheet name="GG1" sheetId="48" r:id="rId48"/>
    <sheet name="Member Berry" sheetId="49" r:id="rId49"/>
    <sheet name="Mendo Breath" sheetId="50" r:id="rId50"/>
    <sheet name="Goblin" sheetId="51" r:id="rId51"/>
    <sheet name="Mars Hotel" sheetId="52" r:id="rId52"/>
    <sheet name="Gas Light" sheetId="53" r:id="rId53"/>
    <sheet name="Chem D" sheetId="54" r:id="rId54"/>
    <sheet name="Dosi 33" sheetId="55" r:id="rId55"/>
    <sheet name="Blueberry" sheetId="56" r:id="rId56"/>
    <sheet name="Fire and Rain" sheetId="57" r:id="rId57"/>
    <sheet name="I95" sheetId="58" r:id="rId58"/>
    <sheet name="Apple Fritter" sheetId="59" r:id="rId59"/>
    <sheet name="Orangeade" sheetId="60" r:id="rId60"/>
    <sheet name="Wedding Pie" sheetId="61" r:id="rId61"/>
    <sheet name="SFV" sheetId="62" r:id="rId62"/>
    <sheet name="Fish 10" sheetId="63" r:id="rId63"/>
    <sheet name="Bazooka" sheetId="64" r:id="rId64"/>
    <sheet name="Pink Grapes" sheetId="65" r:id="rId65"/>
    <sheet name="Grape Pie" sheetId="66" r:id="rId66"/>
    <sheet name="Vapor Fuel" sheetId="67" r:id="rId67"/>
    <sheet name="Lemon Gelato" sheetId="68" r:id="rId68"/>
    <sheet name="Zack" sheetId="69" r:id="rId69"/>
    <sheet name="Template" sheetId="70" r:id="rId7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0" l="1" a="1"/>
  <c r="B15" i="70"/>
  <c r="B14" i="70" a="1"/>
  <c r="B14" i="70"/>
  <c r="B12" i="70" a="1"/>
  <c r="B12" i="70"/>
  <c r="B11" i="70" a="1"/>
  <c r="B11" i="70"/>
  <c r="B9" i="70" a="1"/>
  <c r="B9" i="70"/>
  <c r="B8" i="70" a="1"/>
  <c r="B8" i="70"/>
  <c r="B7" i="70" a="1"/>
  <c r="B7" i="70"/>
  <c r="B6" i="70" a="1"/>
  <c r="B6" i="70"/>
  <c r="B5" i="70" a="1"/>
  <c r="B5" i="70"/>
  <c r="W3" i="70"/>
  <c r="V3" i="70"/>
  <c r="R3" i="70"/>
  <c r="S3" i="70" s="1"/>
  <c r="B13" i="70" s="1" a="1"/>
  <c r="B13" i="70" s="1"/>
  <c r="O3" i="70"/>
  <c r="B10" i="70" s="1" a="1"/>
  <c r="B10" i="70" s="1"/>
  <c r="N3" i="70"/>
  <c r="J3" i="70"/>
  <c r="K3" i="70" s="1"/>
  <c r="G3" i="70"/>
  <c r="B4" i="70" s="1"/>
  <c r="F3" i="70"/>
  <c r="B3" i="70" a="1"/>
  <c r="B3" i="70"/>
  <c r="B2" i="70" a="1"/>
  <c r="B2" i="70"/>
  <c r="B15" i="69"/>
  <c r="B14" i="69"/>
  <c r="B12" i="69"/>
  <c r="B11" i="69"/>
  <c r="B9" i="69"/>
  <c r="B8" i="69"/>
  <c r="B7" i="69"/>
  <c r="B6" i="69"/>
  <c r="B5" i="69"/>
  <c r="V3" i="69"/>
  <c r="W3" i="69" s="1"/>
  <c r="R3" i="69"/>
  <c r="S3" i="69" s="1"/>
  <c r="B13" i="69" s="1"/>
  <c r="N3" i="69"/>
  <c r="O3" i="69" s="1"/>
  <c r="B10" i="69" s="1"/>
  <c r="J3" i="69"/>
  <c r="K3" i="69" s="1"/>
  <c r="F3" i="69"/>
  <c r="G3" i="69" s="1"/>
  <c r="B4" i="69" s="1"/>
  <c r="B3" i="69" a="1"/>
  <c r="B3" i="69"/>
  <c r="B2" i="69"/>
  <c r="B15" i="68"/>
  <c r="B14" i="68"/>
  <c r="B12" i="68"/>
  <c r="B11" i="68"/>
  <c r="B9" i="68"/>
  <c r="B8" i="68"/>
  <c r="B7" i="68"/>
  <c r="B6" i="68"/>
  <c r="B5" i="68"/>
  <c r="W3" i="68"/>
  <c r="V3" i="68"/>
  <c r="S3" i="68"/>
  <c r="B13" i="68" s="1"/>
  <c r="R3" i="68"/>
  <c r="O3" i="68"/>
  <c r="B10" i="68" s="1"/>
  <c r="N3" i="68"/>
  <c r="K3" i="68"/>
  <c r="J3" i="68"/>
  <c r="G3" i="68"/>
  <c r="B4" i="68" s="1"/>
  <c r="F3" i="68"/>
  <c r="B3" i="68"/>
  <c r="B2" i="68"/>
  <c r="B15" i="67"/>
  <c r="B14" i="67"/>
  <c r="B12" i="67"/>
  <c r="B11" i="67"/>
  <c r="B9" i="67"/>
  <c r="B8" i="67"/>
  <c r="B7" i="67"/>
  <c r="B6" i="67"/>
  <c r="B5" i="67"/>
  <c r="W3" i="67"/>
  <c r="V3" i="67"/>
  <c r="R3" i="67"/>
  <c r="S3" i="67" s="1"/>
  <c r="B13" i="67" s="1"/>
  <c r="O3" i="67"/>
  <c r="B10" i="67" s="1"/>
  <c r="N3" i="67"/>
  <c r="J3" i="67"/>
  <c r="K3" i="67" s="1"/>
  <c r="G3" i="67"/>
  <c r="B4" i="67" s="1"/>
  <c r="F3" i="67"/>
  <c r="B3" i="67"/>
  <c r="B2" i="67"/>
  <c r="B15" i="66"/>
  <c r="B14" i="66"/>
  <c r="B12" i="66"/>
  <c r="B11" i="66"/>
  <c r="B9" i="66"/>
  <c r="B8" i="66"/>
  <c r="B7" i="66"/>
  <c r="B6" i="66"/>
  <c r="B5" i="66"/>
  <c r="B4" i="66"/>
  <c r="W3" i="66"/>
  <c r="V3" i="66"/>
  <c r="R3" i="66"/>
  <c r="S3" i="66" s="1"/>
  <c r="B13" i="66" s="1"/>
  <c r="O3" i="66"/>
  <c r="B10" i="66" s="1"/>
  <c r="N3" i="66"/>
  <c r="J3" i="66"/>
  <c r="K3" i="66" s="1"/>
  <c r="G3" i="66"/>
  <c r="F3" i="66"/>
  <c r="B3" i="66"/>
  <c r="B2" i="66"/>
  <c r="B15" i="65"/>
  <c r="B14" i="65"/>
  <c r="B12" i="65"/>
  <c r="B11" i="65"/>
  <c r="B9" i="65"/>
  <c r="B8" i="65"/>
  <c r="B7" i="65"/>
  <c r="B6" i="65"/>
  <c r="B5" i="65"/>
  <c r="B4" i="65"/>
  <c r="W3" i="65"/>
  <c r="V3" i="65"/>
  <c r="R3" i="65"/>
  <c r="S3" i="65" s="1"/>
  <c r="B13" i="65" s="1"/>
  <c r="O3" i="65"/>
  <c r="B10" i="65" s="1"/>
  <c r="N3" i="65"/>
  <c r="J3" i="65"/>
  <c r="K3" i="65" s="1"/>
  <c r="G3" i="65"/>
  <c r="F3" i="65"/>
  <c r="B3" i="65"/>
  <c r="B2" i="65"/>
  <c r="B15" i="64"/>
  <c r="B14" i="64"/>
  <c r="B12" i="64"/>
  <c r="B11" i="64"/>
  <c r="B9" i="64"/>
  <c r="B8" i="64"/>
  <c r="B7" i="64"/>
  <c r="B6" i="64"/>
  <c r="B5" i="64"/>
  <c r="B4" i="64"/>
  <c r="W3" i="64"/>
  <c r="V3" i="64"/>
  <c r="R3" i="64"/>
  <c r="S3" i="64" s="1"/>
  <c r="B13" i="64" s="1"/>
  <c r="O3" i="64"/>
  <c r="B10" i="64" s="1"/>
  <c r="N3" i="64"/>
  <c r="J3" i="64"/>
  <c r="K3" i="64" s="1"/>
  <c r="G3" i="64"/>
  <c r="F3" i="64"/>
  <c r="B3" i="64"/>
  <c r="B2" i="64"/>
  <c r="B15" i="63" a="1"/>
  <c r="B15" i="63"/>
  <c r="B14" i="63" a="1"/>
  <c r="B14" i="63"/>
  <c r="B13" i="63" a="1"/>
  <c r="B13" i="63"/>
  <c r="B12" i="63" a="1"/>
  <c r="B12" i="63"/>
  <c r="B11" i="63" a="1"/>
  <c r="B11" i="63"/>
  <c r="B10" i="63" a="1"/>
  <c r="B10" i="63"/>
  <c r="B9" i="63" a="1"/>
  <c r="B9" i="63"/>
  <c r="B8" i="63" a="1"/>
  <c r="B8" i="63"/>
  <c r="B7" i="63" a="1"/>
  <c r="B7" i="63"/>
  <c r="B6" i="63" a="1"/>
  <c r="B6" i="63"/>
  <c r="B5" i="63" a="1"/>
  <c r="B5" i="63"/>
  <c r="G3" i="63"/>
  <c r="B4" i="63" s="1"/>
  <c r="F3" i="63"/>
  <c r="B3" i="63" a="1"/>
  <c r="B3" i="63"/>
  <c r="B2" i="63" a="1"/>
  <c r="B2" i="63" s="1"/>
  <c r="B15" i="62" a="1"/>
  <c r="B15" i="62"/>
  <c r="B14" i="62" a="1"/>
  <c r="B14" i="62" s="1"/>
  <c r="B12" i="62" a="1"/>
  <c r="B12" i="62" s="1"/>
  <c r="O10" i="62"/>
  <c r="N10" i="62"/>
  <c r="M10" i="62"/>
  <c r="B10" i="62"/>
  <c r="O9" i="62"/>
  <c r="N9" i="62"/>
  <c r="M9" i="62"/>
  <c r="B9" i="62" a="1"/>
  <c r="B9" i="62" s="1"/>
  <c r="N8" i="62"/>
  <c r="O8" i="62" s="1"/>
  <c r="B10" i="62" s="1" a="1"/>
  <c r="M8" i="62"/>
  <c r="B8" i="62" s="1" a="1"/>
  <c r="B8" i="62" s="1"/>
  <c r="R7" i="62"/>
  <c r="S7" i="62" s="1"/>
  <c r="Q7" i="62"/>
  <c r="N7" i="62"/>
  <c r="O7" i="62" s="1"/>
  <c r="R6" i="62"/>
  <c r="S6" i="62" s="1"/>
  <c r="Q6" i="62"/>
  <c r="B11" i="62" s="1" a="1"/>
  <c r="B11" i="62" s="1"/>
  <c r="O6" i="62"/>
  <c r="N6" i="62"/>
  <c r="J6" i="62"/>
  <c r="K6" i="62" s="1"/>
  <c r="B7" i="62" s="1" a="1"/>
  <c r="B7" i="62" s="1"/>
  <c r="B6" i="62" a="1"/>
  <c r="B6" i="62"/>
  <c r="R5" i="62"/>
  <c r="S5" i="62" s="1"/>
  <c r="B13" i="62" s="1" a="1"/>
  <c r="B13" i="62" s="1"/>
  <c r="Q5" i="62"/>
  <c r="N5" i="62"/>
  <c r="O5" i="62" s="1"/>
  <c r="M5" i="62"/>
  <c r="I5" i="62"/>
  <c r="B5" i="62" a="1"/>
  <c r="B5" i="62"/>
  <c r="S4" i="62"/>
  <c r="R4" i="62"/>
  <c r="M4" i="62"/>
  <c r="J4" i="62"/>
  <c r="K4" i="62" s="1"/>
  <c r="E4" i="62"/>
  <c r="B4" i="62"/>
  <c r="Z3" i="62"/>
  <c r="Y3" i="62"/>
  <c r="W3" i="62"/>
  <c r="V3" i="62"/>
  <c r="R3" i="62"/>
  <c r="S3" i="62" s="1"/>
  <c r="Q3" i="62"/>
  <c r="N3" i="62"/>
  <c r="O3" i="62" s="1"/>
  <c r="K3" i="62"/>
  <c r="J3" i="62"/>
  <c r="I3" i="62"/>
  <c r="F3" i="62"/>
  <c r="G3" i="62" s="1"/>
  <c r="E3" i="62"/>
  <c r="B3" i="62" a="1"/>
  <c r="B3" i="62"/>
  <c r="B2" i="62" a="1"/>
  <c r="B2" i="62" s="1"/>
  <c r="B15" i="61" a="1"/>
  <c r="B15" i="61"/>
  <c r="B14" i="61" a="1"/>
  <c r="B14" i="61" s="1"/>
  <c r="B13" i="61" a="1"/>
  <c r="B13" i="61"/>
  <c r="B12" i="61" a="1"/>
  <c r="B12" i="61" s="1"/>
  <c r="B11" i="61" a="1"/>
  <c r="B11" i="61"/>
  <c r="B10" i="61" a="1"/>
  <c r="B10" i="61" s="1"/>
  <c r="B9" i="61" a="1"/>
  <c r="B9" i="61"/>
  <c r="B8" i="61" a="1"/>
  <c r="B8" i="61" s="1"/>
  <c r="B7" i="61" a="1"/>
  <c r="B7" i="61"/>
  <c r="B6" i="61" a="1"/>
  <c r="B6" i="61" s="1"/>
  <c r="B5" i="61" a="1"/>
  <c r="B5" i="61"/>
  <c r="B4" i="61"/>
  <c r="G3" i="61"/>
  <c r="F3" i="61"/>
  <c r="B3" i="61" a="1"/>
  <c r="B3" i="61"/>
  <c r="B2" i="61" a="1"/>
  <c r="B2" i="61"/>
  <c r="B15" i="60" a="1"/>
  <c r="B15" i="60"/>
  <c r="B14" i="60" a="1"/>
  <c r="B14" i="60"/>
  <c r="B13" i="60" a="1"/>
  <c r="B13" i="60"/>
  <c r="B12" i="60" a="1"/>
  <c r="B12" i="60"/>
  <c r="B11" i="60" a="1"/>
  <c r="B11" i="60"/>
  <c r="B10" i="60" a="1"/>
  <c r="B10" i="60"/>
  <c r="B9" i="60" a="1"/>
  <c r="B9" i="60"/>
  <c r="B8" i="60" a="1"/>
  <c r="B8" i="60"/>
  <c r="B7" i="60" a="1"/>
  <c r="B7" i="60"/>
  <c r="B6" i="60" a="1"/>
  <c r="B6" i="60"/>
  <c r="B5" i="60" a="1"/>
  <c r="B5" i="60"/>
  <c r="F3" i="60"/>
  <c r="G3" i="60" s="1"/>
  <c r="B4" i="60" s="1"/>
  <c r="B3" i="60" a="1"/>
  <c r="B3" i="60" s="1"/>
  <c r="B2" i="60" a="1"/>
  <c r="B2" i="60"/>
  <c r="B15" i="59" a="1"/>
  <c r="B15" i="59" s="1"/>
  <c r="B14" i="59" a="1"/>
  <c r="B14" i="59"/>
  <c r="B13" i="59" a="1"/>
  <c r="B13" i="59" s="1"/>
  <c r="B12" i="59" a="1"/>
  <c r="B12" i="59"/>
  <c r="B11" i="59" a="1"/>
  <c r="B11" i="59" s="1"/>
  <c r="B10" i="59" a="1"/>
  <c r="B10" i="59"/>
  <c r="B9" i="59" a="1"/>
  <c r="B9" i="59" s="1"/>
  <c r="B8" i="59" a="1"/>
  <c r="B8" i="59"/>
  <c r="B7" i="59" a="1"/>
  <c r="B7" i="59" s="1"/>
  <c r="B6" i="59" a="1"/>
  <c r="B6" i="59"/>
  <c r="B5" i="59" a="1"/>
  <c r="B5" i="59" s="1"/>
  <c r="F3" i="59"/>
  <c r="G3" i="59" s="1"/>
  <c r="B4" i="59" s="1"/>
  <c r="B3" i="59" a="1"/>
  <c r="B3" i="59"/>
  <c r="B2" i="59" a="1"/>
  <c r="B2" i="59"/>
  <c r="B15" i="58"/>
  <c r="B14" i="58"/>
  <c r="B13" i="58"/>
  <c r="B12" i="58" a="1"/>
  <c r="B12" i="58"/>
  <c r="B11" i="58" a="1"/>
  <c r="B11" i="58"/>
  <c r="N9" i="58"/>
  <c r="O9" i="58" s="1"/>
  <c r="M9" i="58"/>
  <c r="B9" i="58" a="1"/>
  <c r="B9" i="58"/>
  <c r="O8" i="58"/>
  <c r="B10" i="58" s="1" a="1"/>
  <c r="B10" i="58" s="1"/>
  <c r="N8" i="58"/>
  <c r="M8" i="58"/>
  <c r="B8" i="58" a="1"/>
  <c r="B8" i="58"/>
  <c r="AB7" i="58"/>
  <c r="AB6" i="58"/>
  <c r="M6" i="58"/>
  <c r="M7" i="58" s="1"/>
  <c r="B6" i="58" a="1"/>
  <c r="B6" i="58"/>
  <c r="M5" i="58"/>
  <c r="S4" i="58"/>
  <c r="B13" i="58" s="1" a="1"/>
  <c r="R4" i="58"/>
  <c r="M4" i="58"/>
  <c r="B4" i="58"/>
  <c r="Z3" i="58"/>
  <c r="S3" i="58"/>
  <c r="R3" i="58"/>
  <c r="Q3" i="58"/>
  <c r="O3" i="58"/>
  <c r="N3" i="58"/>
  <c r="J3" i="58"/>
  <c r="K3" i="58" s="1"/>
  <c r="B7" i="58" s="1" a="1"/>
  <c r="B7" i="58" s="1"/>
  <c r="I3" i="58"/>
  <c r="B5" i="58" s="1" a="1"/>
  <c r="B5" i="58" s="1"/>
  <c r="G3" i="58"/>
  <c r="F3" i="58"/>
  <c r="E3" i="58"/>
  <c r="B2" i="58" s="1" a="1"/>
  <c r="B2" i="58" s="1"/>
  <c r="B3" i="58" a="1"/>
  <c r="B3" i="58" s="1"/>
  <c r="B15" i="57" a="1"/>
  <c r="B15" i="57" s="1"/>
  <c r="B14" i="57" a="1"/>
  <c r="B14" i="57"/>
  <c r="B13" i="57" a="1"/>
  <c r="B13" i="57" s="1"/>
  <c r="B12" i="57" a="1"/>
  <c r="B12" i="57"/>
  <c r="B11" i="57" a="1"/>
  <c r="B11" i="57" s="1"/>
  <c r="B10" i="57" a="1"/>
  <c r="B10" i="57"/>
  <c r="B9" i="57" a="1"/>
  <c r="B9" i="57" s="1"/>
  <c r="B8" i="57" a="1"/>
  <c r="B8" i="57"/>
  <c r="B7" i="57" a="1"/>
  <c r="B7" i="57" s="1"/>
  <c r="B6" i="57" a="1"/>
  <c r="B6" i="57"/>
  <c r="B5" i="57" a="1"/>
  <c r="B5" i="57" s="1"/>
  <c r="F3" i="57"/>
  <c r="G3" i="57" s="1"/>
  <c r="B4" i="57" s="1"/>
  <c r="B3" i="57" a="1"/>
  <c r="B3" i="57"/>
  <c r="B2" i="57" a="1"/>
  <c r="B2" i="57"/>
  <c r="B15" i="56" a="1"/>
  <c r="B15" i="56"/>
  <c r="B14" i="56" a="1"/>
  <c r="B14" i="56"/>
  <c r="B13" i="56" a="1"/>
  <c r="B13" i="56"/>
  <c r="B12" i="56" a="1"/>
  <c r="B12" i="56"/>
  <c r="B11" i="56" a="1"/>
  <c r="B11" i="56"/>
  <c r="B10" i="56" a="1"/>
  <c r="B10" i="56"/>
  <c r="B9" i="56" a="1"/>
  <c r="B9" i="56"/>
  <c r="B8" i="56" a="1"/>
  <c r="B8" i="56"/>
  <c r="B7" i="56" a="1"/>
  <c r="B7" i="56"/>
  <c r="B6" i="56" a="1"/>
  <c r="B6" i="56"/>
  <c r="B5" i="56" a="1"/>
  <c r="B5" i="56"/>
  <c r="G3" i="56"/>
  <c r="B4" i="56" s="1"/>
  <c r="F3" i="56"/>
  <c r="B3" i="56" a="1"/>
  <c r="B3" i="56"/>
  <c r="B2" i="56" a="1"/>
  <c r="B2" i="56" s="1"/>
  <c r="B15" i="55" a="1"/>
  <c r="B15" i="55"/>
  <c r="B14" i="55" a="1"/>
  <c r="B14" i="55" s="1"/>
  <c r="B13" i="55" a="1"/>
  <c r="B13" i="55"/>
  <c r="B12" i="55" a="1"/>
  <c r="B12" i="55" s="1"/>
  <c r="B11" i="55" a="1"/>
  <c r="B11" i="55"/>
  <c r="B10" i="55" a="1"/>
  <c r="B10" i="55" s="1"/>
  <c r="B9" i="55" a="1"/>
  <c r="B9" i="55"/>
  <c r="B8" i="55" a="1"/>
  <c r="B8" i="55" s="1"/>
  <c r="B7" i="55" a="1"/>
  <c r="B7" i="55"/>
  <c r="B6" i="55" a="1"/>
  <c r="B6" i="55" s="1"/>
  <c r="B5" i="55" a="1"/>
  <c r="B5" i="55"/>
  <c r="B4" i="55"/>
  <c r="G3" i="55"/>
  <c r="F3" i="55"/>
  <c r="B3" i="55" a="1"/>
  <c r="B3" i="55"/>
  <c r="B2" i="55" a="1"/>
  <c r="B2" i="55"/>
  <c r="B15" i="54" a="1"/>
  <c r="B15" i="54"/>
  <c r="B14" i="54" a="1"/>
  <c r="B14" i="54"/>
  <c r="B13" i="54" a="1"/>
  <c r="B13" i="54"/>
  <c r="B12" i="54" a="1"/>
  <c r="B12" i="54"/>
  <c r="B11" i="54" a="1"/>
  <c r="B11" i="54"/>
  <c r="B10" i="54" a="1"/>
  <c r="B10" i="54"/>
  <c r="B9" i="54" a="1"/>
  <c r="B9" i="54"/>
  <c r="B8" i="54" a="1"/>
  <c r="B8" i="54"/>
  <c r="B7" i="54" a="1"/>
  <c r="B7" i="54"/>
  <c r="B6" i="54" a="1"/>
  <c r="B6" i="54"/>
  <c r="B5" i="54" a="1"/>
  <c r="B5" i="54"/>
  <c r="F3" i="54"/>
  <c r="G3" i="54" s="1"/>
  <c r="B4" i="54" s="1"/>
  <c r="E3" i="54"/>
  <c r="B3" i="54" a="1"/>
  <c r="B3" i="54" s="1"/>
  <c r="B2" i="54" a="1"/>
  <c r="B2" i="54" s="1"/>
  <c r="B15" i="53" a="1"/>
  <c r="B15" i="53" s="1"/>
  <c r="B14" i="53" a="1"/>
  <c r="B14" i="53"/>
  <c r="B13" i="53" a="1"/>
  <c r="B13" i="53" s="1"/>
  <c r="B12" i="53" a="1"/>
  <c r="B12" i="53" s="1"/>
  <c r="B11" i="53" a="1"/>
  <c r="B11" i="53" s="1"/>
  <c r="B10" i="53" a="1"/>
  <c r="B10" i="53"/>
  <c r="B9" i="53" a="1"/>
  <c r="B9" i="53" s="1"/>
  <c r="B8" i="53" a="1"/>
  <c r="B8" i="53" s="1"/>
  <c r="B7" i="53" a="1"/>
  <c r="B7" i="53" s="1"/>
  <c r="B6" i="53" a="1"/>
  <c r="B6" i="53"/>
  <c r="B5" i="53" a="1"/>
  <c r="B5" i="53" s="1"/>
  <c r="B4" i="53"/>
  <c r="G3" i="53"/>
  <c r="F3" i="53"/>
  <c r="E3" i="53"/>
  <c r="B3" i="53" a="1"/>
  <c r="B3" i="53" s="1"/>
  <c r="B2" i="53" a="1"/>
  <c r="B2" i="53" s="1"/>
  <c r="B15" i="52" a="1"/>
  <c r="B15" i="52"/>
  <c r="B14" i="52" a="1"/>
  <c r="B14" i="52" s="1"/>
  <c r="B13" i="52" a="1"/>
  <c r="B13" i="52" s="1"/>
  <c r="B12" i="52" a="1"/>
  <c r="B12" i="52" s="1"/>
  <c r="B11" i="52" a="1"/>
  <c r="B11" i="52"/>
  <c r="B10" i="52" a="1"/>
  <c r="B10" i="52" s="1"/>
  <c r="B9" i="52" a="1"/>
  <c r="B9" i="52" s="1"/>
  <c r="B8" i="52" a="1"/>
  <c r="B8" i="52" s="1"/>
  <c r="B7" i="52" a="1"/>
  <c r="B7" i="52"/>
  <c r="B6" i="52" a="1"/>
  <c r="B6" i="52" s="1"/>
  <c r="B5" i="52" a="1"/>
  <c r="B5" i="52" s="1"/>
  <c r="F3" i="52"/>
  <c r="G3" i="52" s="1"/>
  <c r="B4" i="52" s="1"/>
  <c r="E3" i="52"/>
  <c r="B2" i="52" s="1" a="1"/>
  <c r="B2" i="52" s="1"/>
  <c r="B3" i="52" a="1"/>
  <c r="B3" i="52" s="1"/>
  <c r="B15" i="51" a="1"/>
  <c r="B15" i="51" s="1"/>
  <c r="B14" i="51" a="1"/>
  <c r="B14" i="51" s="1"/>
  <c r="B13" i="51" a="1"/>
  <c r="B13" i="51" s="1"/>
  <c r="B12" i="51" a="1"/>
  <c r="B12" i="51"/>
  <c r="B11" i="51" a="1"/>
  <c r="B11" i="51" s="1"/>
  <c r="B10" i="51" a="1"/>
  <c r="B10" i="51" s="1"/>
  <c r="B9" i="51" a="1"/>
  <c r="B9" i="51" s="1"/>
  <c r="B8" i="51" a="1"/>
  <c r="B8" i="51"/>
  <c r="B7" i="51" a="1"/>
  <c r="B7" i="51" s="1"/>
  <c r="B6" i="51" a="1"/>
  <c r="B6" i="51" s="1"/>
  <c r="B5" i="51" a="1"/>
  <c r="B5" i="51" s="1"/>
  <c r="G3" i="51"/>
  <c r="B4" i="51" s="1"/>
  <c r="F3" i="51"/>
  <c r="E3" i="51"/>
  <c r="B3" i="51" a="1"/>
  <c r="B3" i="51" s="1"/>
  <c r="B2" i="51" a="1"/>
  <c r="B2" i="51" s="1"/>
  <c r="B15" i="50" a="1"/>
  <c r="B15" i="50" s="1"/>
  <c r="B14" i="50" a="1"/>
  <c r="B14" i="50" s="1"/>
  <c r="B13" i="50" a="1"/>
  <c r="B13" i="50"/>
  <c r="B12" i="50" a="1"/>
  <c r="B12" i="50" s="1"/>
  <c r="B11" i="50" a="1"/>
  <c r="B11" i="50" s="1"/>
  <c r="B10" i="50" a="1"/>
  <c r="B10" i="50" s="1"/>
  <c r="B9" i="50" a="1"/>
  <c r="B9" i="50" s="1"/>
  <c r="B8" i="50" a="1"/>
  <c r="B8" i="50" s="1"/>
  <c r="B7" i="50" a="1"/>
  <c r="B7" i="50" s="1"/>
  <c r="B6" i="50" a="1"/>
  <c r="B6" i="50" s="1"/>
  <c r="B5" i="50" a="1"/>
  <c r="B5" i="50"/>
  <c r="B4" i="50"/>
  <c r="F3" i="50"/>
  <c r="G3" i="50" s="1"/>
  <c r="B3" i="50" a="1"/>
  <c r="B3" i="50"/>
  <c r="B2" i="50" a="1"/>
  <c r="B2" i="50"/>
  <c r="B15" i="49" a="1"/>
  <c r="B15" i="49"/>
  <c r="B14" i="49" a="1"/>
  <c r="B14" i="49"/>
  <c r="B13" i="49" a="1"/>
  <c r="B13" i="49"/>
  <c r="B12" i="49" a="1"/>
  <c r="B12" i="49"/>
  <c r="B11" i="49" a="1"/>
  <c r="B11" i="49"/>
  <c r="B10" i="49" a="1"/>
  <c r="B10" i="49"/>
  <c r="B9" i="49" a="1"/>
  <c r="B9" i="49"/>
  <c r="B8" i="49" a="1"/>
  <c r="B8" i="49"/>
  <c r="B7" i="49" a="1"/>
  <c r="B7" i="49"/>
  <c r="B6" i="49" a="1"/>
  <c r="B6" i="49"/>
  <c r="B5" i="49" a="1"/>
  <c r="B5" i="49"/>
  <c r="G3" i="49"/>
  <c r="B4" i="49" s="1"/>
  <c r="F3" i="49"/>
  <c r="B3" i="49" a="1"/>
  <c r="B3" i="49" s="1"/>
  <c r="B2" i="49" a="1"/>
  <c r="B2" i="49"/>
  <c r="B15" i="48" a="1"/>
  <c r="B15" i="48" s="1"/>
  <c r="B14" i="48" a="1"/>
  <c r="B14" i="48"/>
  <c r="B13" i="48" a="1"/>
  <c r="B13" i="48" s="1"/>
  <c r="B12" i="48" a="1"/>
  <c r="B12" i="48" s="1"/>
  <c r="B11" i="48" a="1"/>
  <c r="B11" i="48" s="1"/>
  <c r="B10" i="48" a="1"/>
  <c r="B10" i="48" s="1"/>
  <c r="B9" i="48" a="1"/>
  <c r="B9" i="48" s="1"/>
  <c r="B8" i="48" a="1"/>
  <c r="B8" i="48"/>
  <c r="B7" i="48" a="1"/>
  <c r="B7" i="48" s="1"/>
  <c r="B6" i="48" a="1"/>
  <c r="B6" i="48"/>
  <c r="B5" i="48" a="1"/>
  <c r="B5" i="48" s="1"/>
  <c r="F3" i="48"/>
  <c r="G3" i="48" s="1"/>
  <c r="B4" i="48" s="1"/>
  <c r="B3" i="48" a="1"/>
  <c r="B3" i="48"/>
  <c r="B2" i="48" a="1"/>
  <c r="B2" i="48"/>
  <c r="B15" i="47" a="1"/>
  <c r="B15" i="47"/>
  <c r="B14" i="47" a="1"/>
  <c r="B14" i="47"/>
  <c r="B13" i="47" a="1"/>
  <c r="B13" i="47"/>
  <c r="B12" i="47" a="1"/>
  <c r="B12" i="47"/>
  <c r="B11" i="47" a="1"/>
  <c r="B11" i="47"/>
  <c r="B10" i="47" a="1"/>
  <c r="B10" i="47"/>
  <c r="B9" i="47" a="1"/>
  <c r="B9" i="47"/>
  <c r="B8" i="47" a="1"/>
  <c r="B8" i="47"/>
  <c r="B7" i="47" a="1"/>
  <c r="B7" i="47"/>
  <c r="B6" i="47" a="1"/>
  <c r="B6" i="47"/>
  <c r="B5" i="47" a="1"/>
  <c r="B5" i="47"/>
  <c r="G3" i="47"/>
  <c r="B4" i="47" s="1"/>
  <c r="F3" i="47"/>
  <c r="B3" i="47" a="1"/>
  <c r="B3" i="47" s="1"/>
  <c r="B2" i="47" a="1"/>
  <c r="B2" i="47" s="1"/>
  <c r="B15" i="46" a="1"/>
  <c r="B15" i="46" s="1"/>
  <c r="B14" i="46" a="1"/>
  <c r="B14" i="46" s="1"/>
  <c r="B13" i="46" a="1"/>
  <c r="B13" i="46"/>
  <c r="B12" i="46" a="1"/>
  <c r="B12" i="46" s="1"/>
  <c r="B11" i="46" a="1"/>
  <c r="B11" i="46"/>
  <c r="B10" i="46" a="1"/>
  <c r="B10" i="46" s="1"/>
  <c r="B9" i="46" a="1"/>
  <c r="B9" i="46" s="1"/>
  <c r="B8" i="46" a="1"/>
  <c r="B8" i="46" s="1"/>
  <c r="B7" i="46" a="1"/>
  <c r="B7" i="46" s="1"/>
  <c r="B6" i="46" a="1"/>
  <c r="B6" i="46" s="1"/>
  <c r="B5" i="46" a="1"/>
  <c r="B5" i="46"/>
  <c r="B4" i="46"/>
  <c r="F3" i="46"/>
  <c r="G3" i="46" s="1"/>
  <c r="E3" i="46"/>
  <c r="B3" i="46" a="1"/>
  <c r="B3" i="46" s="1"/>
  <c r="B2" i="46" a="1"/>
  <c r="B2" i="46" s="1"/>
  <c r="B15" i="45" a="1"/>
  <c r="B15" i="45" s="1"/>
  <c r="B14" i="45" a="1"/>
  <c r="B14" i="45" s="1"/>
  <c r="B13" i="45" a="1"/>
  <c r="B13" i="45" s="1"/>
  <c r="B12" i="45" a="1"/>
  <c r="B12" i="45"/>
  <c r="B11" i="45" a="1"/>
  <c r="B11" i="45" s="1"/>
  <c r="B10" i="45" a="1"/>
  <c r="B10" i="45"/>
  <c r="B9" i="45" a="1"/>
  <c r="B9" i="45" s="1"/>
  <c r="B8" i="45" a="1"/>
  <c r="B8" i="45" s="1"/>
  <c r="B7" i="45" a="1"/>
  <c r="B7" i="45" s="1"/>
  <c r="B6" i="45" a="1"/>
  <c r="B6" i="45" s="1"/>
  <c r="B5" i="45" a="1"/>
  <c r="B5" i="45" s="1"/>
  <c r="G3" i="45"/>
  <c r="B4" i="45" s="1"/>
  <c r="F3" i="45"/>
  <c r="E3" i="45"/>
  <c r="B3" i="45" a="1"/>
  <c r="B3" i="45" s="1"/>
  <c r="B2" i="45" a="1"/>
  <c r="B2" i="45" s="1"/>
  <c r="B15" i="44" a="1"/>
  <c r="B15" i="44"/>
  <c r="B14" i="44" a="1"/>
  <c r="B14" i="44" s="1"/>
  <c r="B13" i="44" a="1"/>
  <c r="B13" i="44" s="1"/>
  <c r="B12" i="44" a="1"/>
  <c r="B12" i="44" s="1"/>
  <c r="B11" i="44" a="1"/>
  <c r="B11" i="44" s="1"/>
  <c r="B10" i="44" a="1"/>
  <c r="B10" i="44" s="1"/>
  <c r="B9" i="44" a="1"/>
  <c r="B9" i="44" s="1"/>
  <c r="B8" i="44" a="1"/>
  <c r="B8" i="44" s="1"/>
  <c r="B7" i="44" a="1"/>
  <c r="B7" i="44"/>
  <c r="B6" i="44" a="1"/>
  <c r="B6" i="44" s="1"/>
  <c r="B5" i="44" a="1"/>
  <c r="B5" i="44" s="1"/>
  <c r="B4" i="44"/>
  <c r="F3" i="44"/>
  <c r="G3" i="44" s="1"/>
  <c r="B3" i="44" a="1"/>
  <c r="B3" i="44" s="1"/>
  <c r="B2" i="44" a="1"/>
  <c r="B2" i="44"/>
  <c r="B15" i="43" a="1"/>
  <c r="B15" i="43" s="1"/>
  <c r="B14" i="43" a="1"/>
  <c r="B14" i="43"/>
  <c r="B13" i="43" a="1"/>
  <c r="B13" i="43" s="1"/>
  <c r="B12" i="43" a="1"/>
  <c r="B12" i="43"/>
  <c r="B11" i="43" a="1"/>
  <c r="B11" i="43" s="1"/>
  <c r="B10" i="43" a="1"/>
  <c r="B10" i="43"/>
  <c r="B9" i="43" a="1"/>
  <c r="B9" i="43" s="1"/>
  <c r="B8" i="43" a="1"/>
  <c r="B8" i="43"/>
  <c r="B7" i="43" a="1"/>
  <c r="B7" i="43" s="1"/>
  <c r="B6" i="43" a="1"/>
  <c r="B6" i="43"/>
  <c r="B5" i="43" a="1"/>
  <c r="B5" i="43" s="1"/>
  <c r="G3" i="43"/>
  <c r="B4" i="43" s="1"/>
  <c r="F3" i="43"/>
  <c r="B3" i="43" a="1"/>
  <c r="B3" i="43" s="1"/>
  <c r="B2" i="43" a="1"/>
  <c r="B2" i="43"/>
  <c r="B15" i="42" a="1"/>
  <c r="B15" i="42" s="1"/>
  <c r="B14" i="42" a="1"/>
  <c r="B14" i="42"/>
  <c r="B13" i="42" a="1"/>
  <c r="B13" i="42" s="1"/>
  <c r="B12" i="42" a="1"/>
  <c r="B12" i="42"/>
  <c r="B11" i="42" a="1"/>
  <c r="B11" i="42" s="1"/>
  <c r="B10" i="42" a="1"/>
  <c r="B10" i="42"/>
  <c r="B9" i="42" a="1"/>
  <c r="B9" i="42" s="1"/>
  <c r="B8" i="42" a="1"/>
  <c r="B8" i="42"/>
  <c r="B7" i="42" a="1"/>
  <c r="B7" i="42" s="1"/>
  <c r="B6" i="42" a="1"/>
  <c r="B6" i="42"/>
  <c r="B5" i="42" a="1"/>
  <c r="B5" i="42" s="1"/>
  <c r="G3" i="42"/>
  <c r="B4" i="42" s="1"/>
  <c r="F3" i="42"/>
  <c r="B3" i="42" a="1"/>
  <c r="B3" i="42" s="1"/>
  <c r="B2" i="42" a="1"/>
  <c r="B2" i="42" s="1"/>
  <c r="B15" i="41" a="1"/>
  <c r="B15" i="41" s="1"/>
  <c r="B14" i="41" a="1"/>
  <c r="B14" i="41" s="1"/>
  <c r="B13" i="41" a="1"/>
  <c r="B13" i="41" s="1"/>
  <c r="B12" i="41" a="1"/>
  <c r="B12" i="41" s="1"/>
  <c r="B11" i="41" a="1"/>
  <c r="B11" i="41" s="1"/>
  <c r="B10" i="41" a="1"/>
  <c r="B10" i="41" s="1"/>
  <c r="B9" i="41" a="1"/>
  <c r="B9" i="41" s="1"/>
  <c r="B8" i="41" a="1"/>
  <c r="B8" i="41" s="1"/>
  <c r="B7" i="41" a="1"/>
  <c r="B7" i="41" s="1"/>
  <c r="B6" i="41" a="1"/>
  <c r="B6" i="41" s="1"/>
  <c r="B5" i="41" a="1"/>
  <c r="B5" i="41" s="1"/>
  <c r="B4" i="41"/>
  <c r="G3" i="41"/>
  <c r="F3" i="41"/>
  <c r="B3" i="41" a="1"/>
  <c r="B3" i="41"/>
  <c r="B2" i="41" a="1"/>
  <c r="B2" i="41" s="1"/>
  <c r="B15" i="40" a="1"/>
  <c r="B15" i="40"/>
  <c r="B14" i="40" a="1"/>
  <c r="B14" i="40" s="1"/>
  <c r="B13" i="40" a="1"/>
  <c r="B13" i="40"/>
  <c r="B12" i="40" a="1"/>
  <c r="B12" i="40" s="1"/>
  <c r="B11" i="40" a="1"/>
  <c r="B11" i="40"/>
  <c r="B10" i="40" a="1"/>
  <c r="B10" i="40" s="1"/>
  <c r="B9" i="40" a="1"/>
  <c r="B9" i="40"/>
  <c r="B8" i="40" a="1"/>
  <c r="B8" i="40" s="1"/>
  <c r="B7" i="40" a="1"/>
  <c r="B7" i="40"/>
  <c r="B6" i="40" a="1"/>
  <c r="B6" i="40" s="1"/>
  <c r="B5" i="40" a="1"/>
  <c r="B5" i="40"/>
  <c r="B4" i="40"/>
  <c r="G3" i="40"/>
  <c r="F3" i="40"/>
  <c r="E3" i="40"/>
  <c r="B2" i="40" s="1" a="1"/>
  <c r="B3" i="40" a="1"/>
  <c r="B3" i="40" s="1"/>
  <c r="B2" i="40"/>
  <c r="B15" i="39" a="1"/>
  <c r="B15" i="39" s="1"/>
  <c r="B14" i="39" a="1"/>
  <c r="B14" i="39"/>
  <c r="B13" i="39" a="1"/>
  <c r="B13" i="39" s="1"/>
  <c r="B12" i="39" a="1"/>
  <c r="B12" i="39"/>
  <c r="B11" i="39" a="1"/>
  <c r="B11" i="39" s="1"/>
  <c r="B10" i="39" a="1"/>
  <c r="B10" i="39"/>
  <c r="B9" i="39" a="1"/>
  <c r="B9" i="39" s="1"/>
  <c r="B8" i="39" a="1"/>
  <c r="B8" i="39"/>
  <c r="B7" i="39" a="1"/>
  <c r="B7" i="39" s="1"/>
  <c r="B6" i="39" a="1"/>
  <c r="B6" i="39"/>
  <c r="B5" i="39" a="1"/>
  <c r="B5" i="39" s="1"/>
  <c r="G3" i="39"/>
  <c r="B4" i="39" s="1"/>
  <c r="F3" i="39"/>
  <c r="E3" i="39"/>
  <c r="B3" i="39" a="1"/>
  <c r="B3" i="39"/>
  <c r="B2" i="39" a="1"/>
  <c r="B2" i="39" s="1"/>
  <c r="B15" i="38" a="1"/>
  <c r="B15" i="38"/>
  <c r="B14" i="38" a="1"/>
  <c r="B14" i="38" s="1"/>
  <c r="B13" i="38" a="1"/>
  <c r="B13" i="38"/>
  <c r="B12" i="38" a="1"/>
  <c r="B12" i="38" s="1"/>
  <c r="B11" i="38" a="1"/>
  <c r="B11" i="38"/>
  <c r="B10" i="38" a="1"/>
  <c r="B10" i="38" s="1"/>
  <c r="B9" i="38" a="1"/>
  <c r="B9" i="38"/>
  <c r="B8" i="38" a="1"/>
  <c r="B8" i="38" s="1"/>
  <c r="B7" i="38" a="1"/>
  <c r="B7" i="38"/>
  <c r="B6" i="38" a="1"/>
  <c r="B6" i="38" s="1"/>
  <c r="B5" i="38" a="1"/>
  <c r="B5" i="38"/>
  <c r="B4" i="38"/>
  <c r="G3" i="38"/>
  <c r="F3" i="38"/>
  <c r="B3" i="38" a="1"/>
  <c r="B3" i="38"/>
  <c r="B2" i="38" a="1"/>
  <c r="B2" i="38" s="1"/>
  <c r="B15" i="37" a="1"/>
  <c r="B15" i="37" s="1"/>
  <c r="B14" i="37" a="1"/>
  <c r="B14" i="37" s="1"/>
  <c r="B13" i="37" a="1"/>
  <c r="B13" i="37" s="1"/>
  <c r="B12" i="37" a="1"/>
  <c r="B12" i="37" s="1"/>
  <c r="B11" i="37" a="1"/>
  <c r="B11" i="37"/>
  <c r="B10" i="37" a="1"/>
  <c r="B10" i="37" s="1"/>
  <c r="B9" i="37" a="1"/>
  <c r="B9" i="37"/>
  <c r="B8" i="37" a="1"/>
  <c r="B8" i="37" s="1"/>
  <c r="B7" i="37" a="1"/>
  <c r="B7" i="37" s="1"/>
  <c r="B6" i="37" a="1"/>
  <c r="B6" i="37" s="1"/>
  <c r="B5" i="37" a="1"/>
  <c r="B5" i="37" s="1"/>
  <c r="F3" i="37"/>
  <c r="G3" i="37" s="1"/>
  <c r="B4" i="37" s="1"/>
  <c r="B3" i="37" a="1"/>
  <c r="B3" i="37" s="1"/>
  <c r="B2" i="37" a="1"/>
  <c r="B2" i="37"/>
  <c r="B15" i="36" a="1"/>
  <c r="B15" i="36" s="1"/>
  <c r="B14" i="36" a="1"/>
  <c r="B14" i="36"/>
  <c r="B13" i="36" a="1"/>
  <c r="B13" i="36" s="1"/>
  <c r="B12" i="36" a="1"/>
  <c r="B12" i="36"/>
  <c r="B11" i="36" a="1"/>
  <c r="B11" i="36" s="1"/>
  <c r="B10" i="36" a="1"/>
  <c r="B10" i="36"/>
  <c r="B9" i="36" a="1"/>
  <c r="B9" i="36" s="1"/>
  <c r="B8" i="36" a="1"/>
  <c r="B8" i="36"/>
  <c r="B7" i="36" a="1"/>
  <c r="B7" i="36" s="1"/>
  <c r="B6" i="36" a="1"/>
  <c r="B6" i="36"/>
  <c r="B5" i="36" a="1"/>
  <c r="B5" i="36" s="1"/>
  <c r="F3" i="36"/>
  <c r="G3" i="36" s="1"/>
  <c r="B4" i="36" s="1"/>
  <c r="B3" i="36" a="1"/>
  <c r="B3" i="36" s="1"/>
  <c r="B2" i="36" a="1"/>
  <c r="B2" i="36"/>
  <c r="B15" i="35" a="1"/>
  <c r="B15" i="35" s="1"/>
  <c r="B14" i="35" a="1"/>
  <c r="B14" i="35" s="1"/>
  <c r="B13" i="35" a="1"/>
  <c r="B13" i="35" s="1"/>
  <c r="B12" i="35" a="1"/>
  <c r="B12" i="35"/>
  <c r="B11" i="35" a="1"/>
  <c r="B11" i="35" s="1"/>
  <c r="B10" i="35" a="1"/>
  <c r="B10" i="35"/>
  <c r="B9" i="35" a="1"/>
  <c r="B9" i="35" s="1"/>
  <c r="B8" i="35" a="1"/>
  <c r="B8" i="35"/>
  <c r="B7" i="35" a="1"/>
  <c r="B7" i="35" s="1"/>
  <c r="B6" i="35" a="1"/>
  <c r="B6" i="35" s="1"/>
  <c r="B5" i="35" a="1"/>
  <c r="B5" i="35" s="1"/>
  <c r="G3" i="35"/>
  <c r="B4" i="35" s="1"/>
  <c r="F3" i="35"/>
  <c r="B3" i="35" a="1"/>
  <c r="B3" i="35"/>
  <c r="B2" i="35" a="1"/>
  <c r="B2" i="35" s="1"/>
  <c r="B15" i="34" a="1"/>
  <c r="B15" i="34"/>
  <c r="B14" i="34" a="1"/>
  <c r="B14" i="34" s="1"/>
  <c r="B13" i="34"/>
  <c r="B12" i="34" a="1"/>
  <c r="B12" i="34" s="1"/>
  <c r="B11" i="34" a="1"/>
  <c r="B11" i="34"/>
  <c r="B10" i="34" a="1"/>
  <c r="B10" i="34" s="1"/>
  <c r="B9" i="34" a="1"/>
  <c r="B9" i="34"/>
  <c r="B8" i="34" a="1"/>
  <c r="B8" i="34" s="1"/>
  <c r="B7" i="34" a="1"/>
  <c r="B7" i="34"/>
  <c r="B6" i="34" a="1"/>
  <c r="B6" i="34" s="1"/>
  <c r="B5" i="34" a="1"/>
  <c r="B5" i="34"/>
  <c r="O4" i="34"/>
  <c r="N4" i="34"/>
  <c r="R3" i="34"/>
  <c r="S3" i="34" s="1"/>
  <c r="B13" i="34" s="1" a="1"/>
  <c r="N3" i="34"/>
  <c r="O3" i="34" s="1"/>
  <c r="F3" i="34"/>
  <c r="G3" i="34" s="1"/>
  <c r="B4" i="34" s="1"/>
  <c r="B3" i="34" a="1"/>
  <c r="B3" i="34"/>
  <c r="B2" i="34" a="1"/>
  <c r="B2" i="34"/>
  <c r="B15" i="33" a="1"/>
  <c r="B15" i="33"/>
  <c r="B14" i="33" a="1"/>
  <c r="B14" i="33"/>
  <c r="B13" i="33" a="1"/>
  <c r="B13" i="33"/>
  <c r="B12" i="33" a="1"/>
  <c r="B12" i="33"/>
  <c r="B11" i="33" a="1"/>
  <c r="B11" i="33"/>
  <c r="B10" i="33" a="1"/>
  <c r="B10" i="33"/>
  <c r="B9" i="33" a="1"/>
  <c r="B9" i="33"/>
  <c r="B8" i="33" a="1"/>
  <c r="B8" i="33"/>
  <c r="B7" i="33" a="1"/>
  <c r="B7" i="33"/>
  <c r="B6" i="33" a="1"/>
  <c r="B6" i="33"/>
  <c r="B5" i="33" a="1"/>
  <c r="B5" i="33"/>
  <c r="G3" i="33"/>
  <c r="B4" i="33" s="1"/>
  <c r="F3" i="33"/>
  <c r="B3" i="33" a="1"/>
  <c r="B3" i="33"/>
  <c r="B2" i="33" a="1"/>
  <c r="B2" i="33" s="1"/>
  <c r="B15" i="32" a="1"/>
  <c r="B15" i="32"/>
  <c r="B14" i="32" a="1"/>
  <c r="B14" i="32" s="1"/>
  <c r="B13" i="32"/>
  <c r="B12" i="32" a="1"/>
  <c r="B12" i="32" s="1"/>
  <c r="B11" i="32" a="1"/>
  <c r="B11" i="32"/>
  <c r="B9" i="32" a="1"/>
  <c r="B9" i="32"/>
  <c r="B8" i="32" a="1"/>
  <c r="B8" i="32" s="1"/>
  <c r="B7" i="32" a="1"/>
  <c r="B7" i="32"/>
  <c r="B6" i="32" a="1"/>
  <c r="B6" i="32" s="1"/>
  <c r="B5" i="32" a="1"/>
  <c r="B5" i="32"/>
  <c r="E4" i="32"/>
  <c r="B4" i="32"/>
  <c r="R3" i="32"/>
  <c r="S3" i="32" s="1"/>
  <c r="B13" i="32" s="1" a="1"/>
  <c r="O3" i="32"/>
  <c r="B10" i="32" s="1" a="1"/>
  <c r="B10" i="32" s="1"/>
  <c r="N3" i="32"/>
  <c r="M3" i="32"/>
  <c r="F3" i="32"/>
  <c r="G3" i="32" s="1"/>
  <c r="B3" i="32" a="1"/>
  <c r="B3" i="32" s="1"/>
  <c r="B2" i="32" a="1"/>
  <c r="B2" i="32"/>
  <c r="B15" i="31" a="1"/>
  <c r="B15" i="31" s="1"/>
  <c r="B14" i="31" a="1"/>
  <c r="B14" i="31" s="1"/>
  <c r="B12" i="31" a="1"/>
  <c r="B12" i="31"/>
  <c r="B11" i="31" a="1"/>
  <c r="B11" i="31" s="1"/>
  <c r="B9" i="31" a="1"/>
  <c r="B9" i="31" s="1"/>
  <c r="B8" i="31" a="1"/>
  <c r="B8" i="31" s="1"/>
  <c r="B7" i="31" a="1"/>
  <c r="B7" i="31" s="1"/>
  <c r="F6" i="31"/>
  <c r="G6" i="31" s="1"/>
  <c r="B4" i="31" s="1"/>
  <c r="E6" i="31"/>
  <c r="B2" i="31" s="1" a="1"/>
  <c r="B6" i="31" a="1"/>
  <c r="B6" i="31"/>
  <c r="B5" i="31" a="1"/>
  <c r="B5" i="31" s="1"/>
  <c r="E4" i="31"/>
  <c r="S3" i="31"/>
  <c r="B13" i="31" s="1" a="1"/>
  <c r="B13" i="31" s="1"/>
  <c r="R3" i="31"/>
  <c r="Q3" i="31"/>
  <c r="N3" i="31"/>
  <c r="O3" i="31" s="1"/>
  <c r="B10" i="31" s="1" a="1"/>
  <c r="B10" i="31" s="1"/>
  <c r="M3" i="31"/>
  <c r="F3" i="31"/>
  <c r="G3" i="31" s="1"/>
  <c r="B3" i="31" a="1"/>
  <c r="B3" i="31" s="1"/>
  <c r="B2" i="31"/>
  <c r="B15" i="30" a="1"/>
  <c r="B15" i="30" s="1"/>
  <c r="B14" i="30" a="1"/>
  <c r="B14" i="30"/>
  <c r="B13" i="30" a="1"/>
  <c r="B13" i="30" s="1"/>
  <c r="B12" i="30" a="1"/>
  <c r="B12" i="30"/>
  <c r="B11" i="30" a="1"/>
  <c r="B11" i="30" s="1"/>
  <c r="B9" i="30" a="1"/>
  <c r="B9" i="30" s="1"/>
  <c r="B7" i="30" a="1"/>
  <c r="B7" i="30" s="1"/>
  <c r="B6" i="30" a="1"/>
  <c r="B6" i="30"/>
  <c r="B5" i="30" a="1"/>
  <c r="B5" i="30" s="1"/>
  <c r="E4" i="30"/>
  <c r="B4" i="30"/>
  <c r="O3" i="30"/>
  <c r="B10" i="30" s="1" a="1"/>
  <c r="B10" i="30" s="1"/>
  <c r="N3" i="30"/>
  <c r="M3" i="30"/>
  <c r="B8" i="30" s="1" a="1"/>
  <c r="B8" i="30" s="1"/>
  <c r="F3" i="30"/>
  <c r="G3" i="30" s="1"/>
  <c r="B3" i="30" a="1"/>
  <c r="B3" i="30" s="1"/>
  <c r="B2" i="30" a="1"/>
  <c r="B2" i="30"/>
  <c r="B15" i="29" a="1"/>
  <c r="B15" i="29" s="1"/>
  <c r="B14" i="29" a="1"/>
  <c r="B14" i="29"/>
  <c r="B12" i="29" a="1"/>
  <c r="B12" i="29"/>
  <c r="B11" i="29" a="1"/>
  <c r="B11" i="29" s="1"/>
  <c r="B9" i="29" a="1"/>
  <c r="B9" i="29" s="1"/>
  <c r="N8" i="29"/>
  <c r="O8" i="29" s="1"/>
  <c r="B10" i="29" s="1" a="1"/>
  <c r="B10" i="29" s="1"/>
  <c r="B8" i="29" a="1"/>
  <c r="B8" i="29" s="1"/>
  <c r="O7" i="29"/>
  <c r="N7" i="29"/>
  <c r="B7" i="29" a="1"/>
  <c r="B7" i="29" s="1"/>
  <c r="N6" i="29"/>
  <c r="O6" i="29" s="1"/>
  <c r="M6" i="29"/>
  <c r="B6" i="29" a="1"/>
  <c r="B6" i="29"/>
  <c r="S5" i="29"/>
  <c r="B13" i="29" s="1" a="1"/>
  <c r="B13" i="29" s="1"/>
  <c r="R5" i="29"/>
  <c r="Q5" i="29"/>
  <c r="N5" i="29"/>
  <c r="O5" i="29" s="1"/>
  <c r="R4" i="29"/>
  <c r="S4" i="29" s="1"/>
  <c r="O4" i="29"/>
  <c r="N4" i="29"/>
  <c r="M4" i="29"/>
  <c r="B4" i="29"/>
  <c r="S3" i="29"/>
  <c r="R3" i="29"/>
  <c r="Q3" i="29"/>
  <c r="O3" i="29"/>
  <c r="N3" i="29"/>
  <c r="J3" i="29"/>
  <c r="K3" i="29" s="1"/>
  <c r="I3" i="29"/>
  <c r="B5" i="29" s="1" a="1"/>
  <c r="B5" i="29" s="1"/>
  <c r="G3" i="29"/>
  <c r="F3" i="29"/>
  <c r="B3" i="29" a="1"/>
  <c r="B3" i="29" s="1"/>
  <c r="B2" i="29" a="1"/>
  <c r="B2" i="29" s="1"/>
  <c r="B15" i="28" a="1"/>
  <c r="B15" i="28"/>
  <c r="B14" i="28" a="1"/>
  <c r="B14" i="28" s="1"/>
  <c r="B12" i="28" a="1"/>
  <c r="B12" i="28" s="1"/>
  <c r="B11" i="28" a="1"/>
  <c r="B11" i="28"/>
  <c r="B9" i="28" a="1"/>
  <c r="B9" i="28"/>
  <c r="N7" i="28"/>
  <c r="B7" i="28" a="1"/>
  <c r="B7" i="28" s="1"/>
  <c r="N6" i="28"/>
  <c r="O6" i="28" s="1"/>
  <c r="M6" i="28"/>
  <c r="B8" i="28" s="1" a="1"/>
  <c r="B8" i="28" s="1"/>
  <c r="B6" i="28" a="1"/>
  <c r="B6" i="28" s="1"/>
  <c r="R5" i="28"/>
  <c r="S5" i="28" s="1"/>
  <c r="B13" i="28" s="1" a="1"/>
  <c r="B13" i="28" s="1"/>
  <c r="Q5" i="28"/>
  <c r="N5" i="28"/>
  <c r="O5" i="28" s="1"/>
  <c r="R4" i="28"/>
  <c r="S4" i="28" s="1"/>
  <c r="O4" i="28"/>
  <c r="N4" i="28"/>
  <c r="R3" i="28"/>
  <c r="S3" i="28" s="1"/>
  <c r="N3" i="28"/>
  <c r="J3" i="28"/>
  <c r="K3" i="28" s="1"/>
  <c r="I3" i="28"/>
  <c r="B5" i="28" s="1" a="1"/>
  <c r="B5" i="28" s="1"/>
  <c r="F3" i="28"/>
  <c r="G3" i="28" s="1"/>
  <c r="B4" i="28" s="1"/>
  <c r="B3" i="28" a="1"/>
  <c r="B3" i="28"/>
  <c r="B2" i="28" a="1"/>
  <c r="B2" i="28"/>
  <c r="B15" i="27" a="1"/>
  <c r="B15" i="27"/>
  <c r="B14" i="27" a="1"/>
  <c r="B14" i="27"/>
  <c r="B13" i="27" a="1"/>
  <c r="B13" i="27"/>
  <c r="B12" i="27" a="1"/>
  <c r="B12" i="27"/>
  <c r="B11" i="27" a="1"/>
  <c r="B11" i="27"/>
  <c r="B9" i="27" a="1"/>
  <c r="B9" i="27" s="1"/>
  <c r="B8" i="27" a="1"/>
  <c r="B8" i="27"/>
  <c r="B7" i="27" a="1"/>
  <c r="B7" i="27" s="1"/>
  <c r="B6" i="27" a="1"/>
  <c r="B6" i="27"/>
  <c r="B5" i="27" a="1"/>
  <c r="B5" i="27" s="1"/>
  <c r="E4" i="27"/>
  <c r="B4" i="27"/>
  <c r="O3" i="27"/>
  <c r="B10" i="27" s="1" a="1"/>
  <c r="B10" i="27" s="1"/>
  <c r="N3" i="27"/>
  <c r="J3" i="27"/>
  <c r="K3" i="27" s="1"/>
  <c r="F3" i="27"/>
  <c r="G3" i="27" s="1"/>
  <c r="B3" i="27" a="1"/>
  <c r="B3" i="27"/>
  <c r="B2" i="27" a="1"/>
  <c r="B2" i="27"/>
  <c r="B15" i="26" a="1"/>
  <c r="B15" i="26"/>
  <c r="B14" i="26" a="1"/>
  <c r="B14" i="26"/>
  <c r="B12" i="26" a="1"/>
  <c r="B12" i="26"/>
  <c r="B11" i="26"/>
  <c r="B9" i="26" a="1"/>
  <c r="B9" i="26"/>
  <c r="R8" i="26"/>
  <c r="S8" i="26" s="1"/>
  <c r="B13" i="26" s="1" a="1"/>
  <c r="B13" i="26" s="1"/>
  <c r="Q8" i="26"/>
  <c r="B11" i="26" s="1" a="1"/>
  <c r="O8" i="26"/>
  <c r="B10" i="26" s="1" a="1"/>
  <c r="B10" i="26" s="1"/>
  <c r="N8" i="26"/>
  <c r="M8" i="26"/>
  <c r="B8" i="26" s="1" a="1"/>
  <c r="B8" i="26"/>
  <c r="S7" i="26"/>
  <c r="R7" i="26"/>
  <c r="Q7" i="26"/>
  <c r="N7" i="26"/>
  <c r="O7" i="26" s="1"/>
  <c r="M7" i="26"/>
  <c r="B6" i="26" a="1"/>
  <c r="B6" i="26"/>
  <c r="R5" i="26"/>
  <c r="S5" i="26" s="1"/>
  <c r="Q5" i="26"/>
  <c r="O5" i="26"/>
  <c r="N5" i="26"/>
  <c r="M5" i="26"/>
  <c r="R4" i="26"/>
  <c r="S4" i="26" s="1"/>
  <c r="Q4" i="26"/>
  <c r="O4" i="26"/>
  <c r="N4" i="26"/>
  <c r="M4" i="26"/>
  <c r="B4" i="26"/>
  <c r="S3" i="26"/>
  <c r="R3" i="26"/>
  <c r="Q3" i="26"/>
  <c r="N3" i="26"/>
  <c r="O3" i="26" s="1"/>
  <c r="M3" i="26"/>
  <c r="K3" i="26"/>
  <c r="B7" i="26" s="1" a="1"/>
  <c r="B7" i="26" s="1"/>
  <c r="J3" i="26"/>
  <c r="I3" i="26"/>
  <c r="B5" i="26" s="1" a="1"/>
  <c r="B5" i="26" s="1"/>
  <c r="F3" i="26"/>
  <c r="G3" i="26" s="1"/>
  <c r="E3" i="26"/>
  <c r="B3" i="26" a="1"/>
  <c r="B3" i="26" s="1"/>
  <c r="B2" i="26" a="1"/>
  <c r="B2" i="26"/>
  <c r="B15" i="25" a="1"/>
  <c r="B15" i="25" s="1"/>
  <c r="B14" i="25" a="1"/>
  <c r="B14" i="25"/>
  <c r="B13" i="25" a="1"/>
  <c r="B13" i="25" s="1"/>
  <c r="B12" i="25" a="1"/>
  <c r="B12" i="25" s="1"/>
  <c r="B11" i="25" a="1"/>
  <c r="B11" i="25" s="1"/>
  <c r="B10" i="25" a="1"/>
  <c r="B10" i="25"/>
  <c r="B9" i="25" a="1"/>
  <c r="B9" i="25"/>
  <c r="B8" i="25" a="1"/>
  <c r="B8" i="25"/>
  <c r="B6" i="25" a="1"/>
  <c r="B6" i="25"/>
  <c r="B5" i="25" a="1"/>
  <c r="B5" i="25"/>
  <c r="AB4" i="25"/>
  <c r="M4" i="25"/>
  <c r="E4" i="25"/>
  <c r="B4" i="25"/>
  <c r="Z3" i="25"/>
  <c r="O3" i="25"/>
  <c r="N3" i="25"/>
  <c r="M3" i="25"/>
  <c r="J3" i="25"/>
  <c r="K3" i="25" s="1"/>
  <c r="B7" i="25" s="1" a="1"/>
  <c r="B7" i="25" s="1"/>
  <c r="F3" i="25"/>
  <c r="G3" i="25" s="1"/>
  <c r="E3" i="25"/>
  <c r="B3" i="25" a="1"/>
  <c r="B3" i="25" s="1"/>
  <c r="B2" i="25" a="1"/>
  <c r="B2" i="25"/>
  <c r="B15" i="24" a="1"/>
  <c r="B15" i="24" s="1"/>
  <c r="B14" i="24" a="1"/>
  <c r="B14" i="24"/>
  <c r="B12" i="24" a="1"/>
  <c r="B12" i="24"/>
  <c r="B11" i="24" a="1"/>
  <c r="B11" i="24" s="1"/>
  <c r="N10" i="24"/>
  <c r="O10" i="24" s="1"/>
  <c r="M10" i="24"/>
  <c r="N9" i="24"/>
  <c r="O9" i="24" s="1"/>
  <c r="M9" i="24"/>
  <c r="B9" i="24" a="1"/>
  <c r="B9" i="24"/>
  <c r="S8" i="24"/>
  <c r="B13" i="24" s="1" a="1"/>
  <c r="B13" i="24" s="1"/>
  <c r="R8" i="24"/>
  <c r="N8" i="24"/>
  <c r="O8" i="24" s="1"/>
  <c r="M8" i="24"/>
  <c r="B8" i="24" a="1"/>
  <c r="B8" i="24"/>
  <c r="R7" i="24"/>
  <c r="S7" i="24" s="1"/>
  <c r="Q7" i="24"/>
  <c r="N7" i="24"/>
  <c r="O7" i="24" s="1"/>
  <c r="M7" i="24"/>
  <c r="B7" i="24" a="1"/>
  <c r="B7" i="24"/>
  <c r="R6" i="24"/>
  <c r="S6" i="24" s="1"/>
  <c r="N6" i="24"/>
  <c r="O6" i="24" s="1"/>
  <c r="M6" i="24"/>
  <c r="B6" i="24" a="1"/>
  <c r="B6" i="24" s="1"/>
  <c r="R5" i="24"/>
  <c r="S5" i="24" s="1"/>
  <c r="Q5" i="24"/>
  <c r="N5" i="24"/>
  <c r="O5" i="24" s="1"/>
  <c r="M5" i="24"/>
  <c r="B5" i="24" a="1"/>
  <c r="B5" i="24" s="1"/>
  <c r="R4" i="24"/>
  <c r="S4" i="24" s="1"/>
  <c r="Q4" i="24"/>
  <c r="M4" i="24"/>
  <c r="E4" i="24"/>
  <c r="B4" i="24"/>
  <c r="Z3" i="24"/>
  <c r="R3" i="24"/>
  <c r="S3" i="24" s="1"/>
  <c r="Q3" i="24"/>
  <c r="O3" i="24"/>
  <c r="N3" i="24"/>
  <c r="F3" i="24"/>
  <c r="G3" i="24" s="1"/>
  <c r="E3" i="24"/>
  <c r="B3" i="24" a="1"/>
  <c r="B3" i="24"/>
  <c r="B2" i="24" a="1"/>
  <c r="B2" i="24" s="1"/>
  <c r="B15" i="23" a="1"/>
  <c r="B15" i="23"/>
  <c r="B14" i="23" a="1"/>
  <c r="B14" i="23" s="1"/>
  <c r="B12" i="23" a="1"/>
  <c r="B12" i="23" s="1"/>
  <c r="B10" i="23" a="1"/>
  <c r="B10" i="23" s="1"/>
  <c r="N9" i="23"/>
  <c r="O9" i="23" s="1"/>
  <c r="B9" i="23" a="1"/>
  <c r="B9" i="23"/>
  <c r="N8" i="23"/>
  <c r="O8" i="23" s="1"/>
  <c r="M8" i="23"/>
  <c r="B8" i="23" s="1" a="1"/>
  <c r="B8" i="23" s="1"/>
  <c r="R7" i="23"/>
  <c r="S7" i="23" s="1"/>
  <c r="O7" i="23"/>
  <c r="N7" i="23"/>
  <c r="B7" i="23" a="1"/>
  <c r="B7" i="23"/>
  <c r="S6" i="23"/>
  <c r="R6" i="23"/>
  <c r="Q6" i="23"/>
  <c r="B11" i="23" s="1" a="1"/>
  <c r="B11" i="23" s="1"/>
  <c r="O6" i="23"/>
  <c r="N6" i="23"/>
  <c r="M6" i="23"/>
  <c r="B6" i="23" a="1"/>
  <c r="B6" i="23"/>
  <c r="S5" i="23"/>
  <c r="R5" i="23"/>
  <c r="N5" i="23"/>
  <c r="O5" i="23" s="1"/>
  <c r="M5" i="23"/>
  <c r="B5" i="23" a="1"/>
  <c r="B5" i="23"/>
  <c r="R4" i="23"/>
  <c r="S4" i="23" s="1"/>
  <c r="Q4" i="23"/>
  <c r="M4" i="23"/>
  <c r="E4" i="23"/>
  <c r="B4" i="23"/>
  <c r="Z3" i="23"/>
  <c r="R3" i="23"/>
  <c r="S3" i="23" s="1"/>
  <c r="O3" i="23"/>
  <c r="N3" i="23"/>
  <c r="F3" i="23"/>
  <c r="G3" i="23" s="1"/>
  <c r="E3" i="23"/>
  <c r="B3" i="23" a="1"/>
  <c r="B3" i="23"/>
  <c r="B2" i="23" a="1"/>
  <c r="B2" i="23"/>
  <c r="B15" i="22" a="1"/>
  <c r="B15" i="22"/>
  <c r="B14" i="22" a="1"/>
  <c r="B14" i="22"/>
  <c r="B12" i="22" a="1"/>
  <c r="B12" i="22"/>
  <c r="B9" i="22" a="1"/>
  <c r="B9" i="22"/>
  <c r="N8" i="22"/>
  <c r="O8" i="22" s="1"/>
  <c r="B10" i="22" s="1" a="1"/>
  <c r="B10" i="22" s="1"/>
  <c r="M8" i="22"/>
  <c r="B8" i="22" a="1"/>
  <c r="B8" i="22"/>
  <c r="O7" i="22"/>
  <c r="N7" i="22"/>
  <c r="M7" i="22"/>
  <c r="B7" i="22" a="1"/>
  <c r="B7" i="22"/>
  <c r="N6" i="22"/>
  <c r="O6" i="22" s="1"/>
  <c r="M6" i="22"/>
  <c r="B6" i="22" a="1"/>
  <c r="B6" i="22" s="1"/>
  <c r="R5" i="22"/>
  <c r="S5" i="22" s="1"/>
  <c r="B13" i="22" s="1" a="1"/>
  <c r="B13" i="22" s="1"/>
  <c r="Q5" i="22"/>
  <c r="B11" i="22" s="1" a="1"/>
  <c r="B11" i="22" s="1"/>
  <c r="N5" i="22"/>
  <c r="O5" i="22" s="1"/>
  <c r="M5" i="22"/>
  <c r="B5" i="22" a="1"/>
  <c r="B5" i="22" s="1"/>
  <c r="R4" i="22"/>
  <c r="S4" i="22" s="1"/>
  <c r="Q4" i="22"/>
  <c r="R3" i="22"/>
  <c r="S3" i="22" s="1"/>
  <c r="Q3" i="22"/>
  <c r="O3" i="22"/>
  <c r="N3" i="22"/>
  <c r="M3" i="22"/>
  <c r="M4" i="22" s="1"/>
  <c r="F3" i="22"/>
  <c r="G3" i="22" s="1"/>
  <c r="B4" i="22" s="1"/>
  <c r="B3" i="22" a="1"/>
  <c r="B3" i="22" s="1"/>
  <c r="B2" i="22" a="1"/>
  <c r="B2" i="22"/>
  <c r="B15" i="21" a="1"/>
  <c r="B15" i="21" s="1"/>
  <c r="B14" i="21" a="1"/>
  <c r="B14" i="21"/>
  <c r="B13" i="21" a="1"/>
  <c r="B13" i="21" s="1"/>
  <c r="N12" i="21"/>
  <c r="O12" i="21" s="1"/>
  <c r="B10" i="21" s="1" a="1"/>
  <c r="B10" i="21" s="1"/>
  <c r="M12" i="21"/>
  <c r="B12" i="21" a="1"/>
  <c r="B12" i="21" s="1"/>
  <c r="N11" i="21"/>
  <c r="O11" i="21" s="1"/>
  <c r="M11" i="21"/>
  <c r="N10" i="21"/>
  <c r="O10" i="21" s="1"/>
  <c r="M10" i="21"/>
  <c r="O9" i="21"/>
  <c r="N9" i="21"/>
  <c r="M9" i="21"/>
  <c r="B9" i="21" a="1"/>
  <c r="B9" i="21"/>
  <c r="R8" i="21"/>
  <c r="S8" i="21" s="1"/>
  <c r="Q8" i="21"/>
  <c r="B11" i="21" s="1" a="1"/>
  <c r="B11" i="21" s="1"/>
  <c r="O8" i="21"/>
  <c r="N8" i="21"/>
  <c r="M8" i="21"/>
  <c r="B8" i="21" a="1"/>
  <c r="B8" i="21" s="1"/>
  <c r="R7" i="21"/>
  <c r="S7" i="21" s="1"/>
  <c r="N7" i="21"/>
  <c r="O7" i="21" s="1"/>
  <c r="M7" i="21"/>
  <c r="B7" i="21" a="1"/>
  <c r="B7" i="21" s="1"/>
  <c r="S6" i="21"/>
  <c r="R6" i="21"/>
  <c r="M6" i="21"/>
  <c r="B6" i="21" a="1"/>
  <c r="B6" i="21"/>
  <c r="R5" i="21"/>
  <c r="S5" i="21" s="1"/>
  <c r="Q5" i="21"/>
  <c r="O5" i="21"/>
  <c r="N5" i="21"/>
  <c r="M5" i="21"/>
  <c r="R4" i="21"/>
  <c r="S4" i="21" s="1"/>
  <c r="Q4" i="21"/>
  <c r="M4" i="21"/>
  <c r="R3" i="21"/>
  <c r="S3" i="21" s="1"/>
  <c r="Q3" i="21"/>
  <c r="N3" i="21"/>
  <c r="O3" i="21" s="1"/>
  <c r="M3" i="21"/>
  <c r="K3" i="21"/>
  <c r="J3" i="21"/>
  <c r="I3" i="21"/>
  <c r="B5" i="21" s="1" a="1"/>
  <c r="B5" i="21" s="1"/>
  <c r="F3" i="21"/>
  <c r="G3" i="21" s="1"/>
  <c r="B4" i="21" s="1"/>
  <c r="B3" i="21" a="1"/>
  <c r="B3" i="21"/>
  <c r="B2" i="21" a="1"/>
  <c r="B2" i="21"/>
  <c r="B15" i="20" a="1"/>
  <c r="B15" i="20"/>
  <c r="B14" i="20" a="1"/>
  <c r="B14" i="20"/>
  <c r="B12" i="20" a="1"/>
  <c r="B12" i="20" s="1"/>
  <c r="N11" i="20"/>
  <c r="O11" i="20" s="1"/>
  <c r="B11" i="20" a="1"/>
  <c r="B11" i="20"/>
  <c r="N10" i="20"/>
  <c r="O10" i="20" s="1"/>
  <c r="N9" i="20"/>
  <c r="O9" i="20" s="1"/>
  <c r="M9" i="20"/>
  <c r="B9" i="20" a="1"/>
  <c r="B9" i="20" s="1"/>
  <c r="N8" i="20"/>
  <c r="O8" i="20" s="1"/>
  <c r="B10" i="20" s="1" a="1"/>
  <c r="B10" i="20" s="1"/>
  <c r="M8" i="20"/>
  <c r="B8" i="20" s="1" a="1"/>
  <c r="B8" i="20"/>
  <c r="N6" i="20"/>
  <c r="O6" i="20" s="1"/>
  <c r="M6" i="20"/>
  <c r="M7" i="20" s="1"/>
  <c r="B6" i="20" a="1"/>
  <c r="B6" i="20"/>
  <c r="AB5" i="20"/>
  <c r="S5" i="20"/>
  <c r="B13" i="20" s="1" a="1"/>
  <c r="B13" i="20" s="1"/>
  <c r="R5" i="20"/>
  <c r="R4" i="20"/>
  <c r="S4" i="20" s="1"/>
  <c r="Q4" i="20"/>
  <c r="M4" i="20"/>
  <c r="M5" i="20" s="1"/>
  <c r="R3" i="20"/>
  <c r="S3" i="20" s="1"/>
  <c r="Q3" i="20"/>
  <c r="N3" i="20"/>
  <c r="O3" i="20" s="1"/>
  <c r="M3" i="20"/>
  <c r="K3" i="20"/>
  <c r="B7" i="20" s="1" a="1"/>
  <c r="B7" i="20" s="1"/>
  <c r="J3" i="20"/>
  <c r="I3" i="20"/>
  <c r="B5" i="20" s="1" a="1"/>
  <c r="B5" i="20" s="1"/>
  <c r="F3" i="20"/>
  <c r="G3" i="20" s="1"/>
  <c r="B4" i="20" s="1"/>
  <c r="E3" i="20"/>
  <c r="B3" i="20" a="1"/>
  <c r="B3" i="20" s="1"/>
  <c r="B2" i="20" a="1"/>
  <c r="B2" i="20" s="1"/>
  <c r="B15" i="19" a="1"/>
  <c r="B15" i="19"/>
  <c r="B14" i="19" a="1"/>
  <c r="B14" i="19" s="1"/>
  <c r="B12" i="19" a="1"/>
  <c r="B12" i="19" s="1"/>
  <c r="B11" i="19" a="1"/>
  <c r="B11" i="19"/>
  <c r="O10" i="19"/>
  <c r="N10" i="19"/>
  <c r="O9" i="19"/>
  <c r="N9" i="19"/>
  <c r="B9" i="19" a="1"/>
  <c r="B9" i="19"/>
  <c r="O8" i="19"/>
  <c r="B10" i="19" s="1" a="1"/>
  <c r="B10" i="19" s="1"/>
  <c r="N8" i="19"/>
  <c r="B8" i="19" a="1"/>
  <c r="B8" i="19"/>
  <c r="O7" i="19"/>
  <c r="N7" i="19"/>
  <c r="M7" i="19"/>
  <c r="R6" i="19"/>
  <c r="S6" i="19" s="1"/>
  <c r="N6" i="19"/>
  <c r="O6" i="19" s="1"/>
  <c r="M6" i="19"/>
  <c r="B6" i="19" a="1"/>
  <c r="B6" i="19" s="1"/>
  <c r="S5" i="19"/>
  <c r="B13" i="19" s="1" a="1"/>
  <c r="B13" i="19" s="1"/>
  <c r="R5" i="19"/>
  <c r="B5" i="19" a="1"/>
  <c r="B5" i="19"/>
  <c r="R4" i="19"/>
  <c r="S4" i="19" s="1"/>
  <c r="M4" i="19"/>
  <c r="M5" i="19" s="1"/>
  <c r="R3" i="19"/>
  <c r="S3" i="19" s="1"/>
  <c r="N3" i="19"/>
  <c r="O3" i="19" s="1"/>
  <c r="M3" i="19"/>
  <c r="K3" i="19"/>
  <c r="B7" i="19" s="1" a="1"/>
  <c r="B7" i="19" s="1"/>
  <c r="J3" i="19"/>
  <c r="G3" i="19"/>
  <c r="B4" i="19" s="1"/>
  <c r="F3" i="19"/>
  <c r="B3" i="19" a="1"/>
  <c r="B3" i="19" s="1"/>
  <c r="B2" i="19" a="1"/>
  <c r="B2" i="19" s="1"/>
  <c r="B15" i="18" a="1"/>
  <c r="B15" i="18" s="1"/>
  <c r="B14" i="18" a="1"/>
  <c r="B14" i="18" s="1"/>
  <c r="B13" i="18"/>
  <c r="B12" i="18" a="1"/>
  <c r="B12" i="18" s="1"/>
  <c r="B11" i="18" a="1"/>
  <c r="B11" i="18"/>
  <c r="O10" i="18"/>
  <c r="N10" i="18"/>
  <c r="M10" i="18"/>
  <c r="N9" i="18"/>
  <c r="O9" i="18" s="1"/>
  <c r="B9" i="18" a="1"/>
  <c r="B9" i="18"/>
  <c r="N8" i="18"/>
  <c r="O8" i="18" s="1"/>
  <c r="M8" i="18"/>
  <c r="B8" i="18" s="1" a="1"/>
  <c r="B8" i="18" s="1"/>
  <c r="M7" i="18"/>
  <c r="R6" i="18"/>
  <c r="S6" i="18" s="1"/>
  <c r="M6" i="18"/>
  <c r="B6" i="18" a="1"/>
  <c r="B6" i="18" s="1"/>
  <c r="S5" i="18"/>
  <c r="B13" i="18" s="1" a="1"/>
  <c r="R5" i="18"/>
  <c r="O5" i="18"/>
  <c r="N5" i="18"/>
  <c r="M5" i="18"/>
  <c r="B5" i="18"/>
  <c r="R4" i="18"/>
  <c r="S4" i="18" s="1"/>
  <c r="Q4" i="18"/>
  <c r="R3" i="18"/>
  <c r="S3" i="18" s="1"/>
  <c r="Q3" i="18"/>
  <c r="N3" i="18"/>
  <c r="O3" i="18" s="1"/>
  <c r="M3" i="18"/>
  <c r="M4" i="18" s="1"/>
  <c r="K3" i="18"/>
  <c r="B7" i="18" s="1" a="1"/>
  <c r="B7" i="18" s="1"/>
  <c r="J3" i="18"/>
  <c r="I3" i="18"/>
  <c r="B5" i="18" s="1" a="1"/>
  <c r="F3" i="18"/>
  <c r="G3" i="18" s="1"/>
  <c r="B4" i="18" s="1"/>
  <c r="B3" i="18" a="1"/>
  <c r="B3" i="18"/>
  <c r="B2" i="18" a="1"/>
  <c r="B2" i="18"/>
  <c r="B15" i="17" a="1"/>
  <c r="B15" i="17"/>
  <c r="B14" i="17" a="1"/>
  <c r="B14" i="17"/>
  <c r="B13" i="17"/>
  <c r="N12" i="17"/>
  <c r="O12" i="17" s="1"/>
  <c r="B12" i="17" a="1"/>
  <c r="B12" i="17"/>
  <c r="N11" i="17"/>
  <c r="O11" i="17" s="1"/>
  <c r="B11" i="17" a="1"/>
  <c r="B11" i="17"/>
  <c r="N10" i="17"/>
  <c r="O10" i="17" s="1"/>
  <c r="O9" i="17"/>
  <c r="N9" i="17"/>
  <c r="M9" i="17"/>
  <c r="B9" i="17" a="1"/>
  <c r="B9" i="17" s="1"/>
  <c r="S8" i="17"/>
  <c r="B13" i="17" s="1" a="1"/>
  <c r="R8" i="17"/>
  <c r="M8" i="17"/>
  <c r="B8" i="17" s="1" a="1"/>
  <c r="B8" i="17" s="1"/>
  <c r="R7" i="17"/>
  <c r="S7" i="17" s="1"/>
  <c r="O7" i="17"/>
  <c r="N7" i="17"/>
  <c r="M7" i="17"/>
  <c r="B7" i="17" a="1"/>
  <c r="B7" i="17"/>
  <c r="S6" i="17"/>
  <c r="R6" i="17"/>
  <c r="B6" i="17" a="1"/>
  <c r="B6" i="17" s="1"/>
  <c r="K17" i="1" s="1"/>
  <c r="L17" i="1" s="1"/>
  <c r="AA5" i="17"/>
  <c r="R5" i="17"/>
  <c r="S5" i="17" s="1"/>
  <c r="Q5" i="17"/>
  <c r="N5" i="17"/>
  <c r="O5" i="17" s="1"/>
  <c r="M5" i="17"/>
  <c r="M6" i="17" s="1"/>
  <c r="B5" i="17" a="1"/>
  <c r="B5" i="17" s="1"/>
  <c r="AB4" i="17"/>
  <c r="Q4" i="17"/>
  <c r="M4" i="17"/>
  <c r="B4" i="17"/>
  <c r="S3" i="17"/>
  <c r="R3" i="17"/>
  <c r="Q3" i="17"/>
  <c r="O3" i="17"/>
  <c r="N3" i="17"/>
  <c r="M3" i="17"/>
  <c r="J3" i="17"/>
  <c r="K3" i="17" s="1"/>
  <c r="I3" i="17"/>
  <c r="I4" i="17" s="1"/>
  <c r="G3" i="17"/>
  <c r="F3" i="17"/>
  <c r="B3" i="17" a="1"/>
  <c r="B3" i="17"/>
  <c r="B2" i="17" a="1"/>
  <c r="B2" i="17" s="1"/>
  <c r="B15" i="16" a="1"/>
  <c r="B15" i="16"/>
  <c r="B14" i="16" a="1"/>
  <c r="B14" i="16" s="1"/>
  <c r="B12" i="16" a="1"/>
  <c r="B12" i="16" s="1"/>
  <c r="B11" i="16" a="1"/>
  <c r="B11" i="16"/>
  <c r="O10" i="16"/>
  <c r="N10" i="16"/>
  <c r="M10" i="16"/>
  <c r="N9" i="16"/>
  <c r="O9" i="16" s="1"/>
  <c r="M9" i="16"/>
  <c r="B9" i="16" a="1"/>
  <c r="B9" i="16" s="1"/>
  <c r="N8" i="16"/>
  <c r="O8" i="16" s="1"/>
  <c r="B10" i="16" s="1" a="1"/>
  <c r="B10" i="16" s="1"/>
  <c r="M8" i="16"/>
  <c r="Q7" i="16"/>
  <c r="O7" i="16"/>
  <c r="N7" i="16"/>
  <c r="M7" i="16"/>
  <c r="B7" i="16"/>
  <c r="R6" i="16"/>
  <c r="S6" i="16" s="1"/>
  <c r="Q6" i="16"/>
  <c r="M6" i="16"/>
  <c r="B6" i="16" a="1"/>
  <c r="B6" i="16"/>
  <c r="S5" i="16"/>
  <c r="B13" i="16" s="1" a="1"/>
  <c r="B13" i="16" s="1"/>
  <c r="R5" i="16"/>
  <c r="Q5" i="16"/>
  <c r="O5" i="16"/>
  <c r="N5" i="16"/>
  <c r="M5" i="16"/>
  <c r="B5" i="16" a="1"/>
  <c r="B5" i="16"/>
  <c r="S4" i="16"/>
  <c r="R4" i="16"/>
  <c r="Q4" i="16"/>
  <c r="B4" i="16"/>
  <c r="Q3" i="16"/>
  <c r="O3" i="16"/>
  <c r="N3" i="16"/>
  <c r="M3" i="16"/>
  <c r="K3" i="16"/>
  <c r="B7" i="16" s="1" a="1"/>
  <c r="J3" i="16"/>
  <c r="F3" i="16"/>
  <c r="G3" i="16" s="1"/>
  <c r="B3" i="16" a="1"/>
  <c r="B3" i="16" s="1"/>
  <c r="I16" i="1" s="1"/>
  <c r="J16" i="1" s="1"/>
  <c r="B2" i="16" a="1"/>
  <c r="B2" i="16"/>
  <c r="B15" i="15" a="1"/>
  <c r="B15" i="15" s="1"/>
  <c r="B14" i="15" a="1"/>
  <c r="B14" i="15"/>
  <c r="B12" i="15" a="1"/>
  <c r="B12" i="15"/>
  <c r="O11" i="15"/>
  <c r="N11" i="15"/>
  <c r="N10" i="15"/>
  <c r="O10" i="15" s="1"/>
  <c r="M10" i="15"/>
  <c r="O9" i="15"/>
  <c r="N9" i="15"/>
  <c r="B9" i="15" a="1"/>
  <c r="B9" i="15"/>
  <c r="O8" i="15"/>
  <c r="N8" i="15"/>
  <c r="B8" i="15" a="1"/>
  <c r="B8" i="15"/>
  <c r="S7" i="15"/>
  <c r="R7" i="15"/>
  <c r="N7" i="15"/>
  <c r="O7" i="15" s="1"/>
  <c r="M7" i="15"/>
  <c r="B7" i="15" a="1"/>
  <c r="B7" i="15"/>
  <c r="S6" i="15"/>
  <c r="R6" i="15"/>
  <c r="Q6" i="15"/>
  <c r="B11" i="15" s="1" a="1"/>
  <c r="B11" i="15" s="1"/>
  <c r="N6" i="15"/>
  <c r="O6" i="15" s="1"/>
  <c r="M6" i="15"/>
  <c r="B6" i="15" a="1"/>
  <c r="B6" i="15"/>
  <c r="R5" i="15"/>
  <c r="S5" i="15" s="1"/>
  <c r="B13" i="15" s="1" a="1"/>
  <c r="B13" i="15" s="1"/>
  <c r="B5" i="15" a="1"/>
  <c r="B5" i="15"/>
  <c r="R4" i="15"/>
  <c r="S4" i="15" s="1"/>
  <c r="J4" i="15"/>
  <c r="K4" i="15" s="1"/>
  <c r="I4" i="15"/>
  <c r="R3" i="15"/>
  <c r="S3" i="15" s="1"/>
  <c r="Q3" i="15"/>
  <c r="O3" i="15"/>
  <c r="N3" i="15"/>
  <c r="M3" i="15"/>
  <c r="K3" i="15"/>
  <c r="J3" i="15"/>
  <c r="I3" i="15"/>
  <c r="G3" i="15"/>
  <c r="B4" i="15" s="1"/>
  <c r="F3" i="15"/>
  <c r="B3" i="15" a="1"/>
  <c r="B3" i="15" s="1"/>
  <c r="B2" i="15" a="1"/>
  <c r="B2" i="15"/>
  <c r="B15" i="14" a="1"/>
  <c r="B15" i="14" s="1"/>
  <c r="B14" i="14" a="1"/>
  <c r="B14" i="14"/>
  <c r="B12" i="14" a="1"/>
  <c r="B12" i="14" s="1"/>
  <c r="B11" i="14" a="1"/>
  <c r="B11" i="14" s="1"/>
  <c r="N10" i="14"/>
  <c r="O10" i="14" s="1"/>
  <c r="M10" i="14"/>
  <c r="N9" i="14"/>
  <c r="O9" i="14" s="1"/>
  <c r="B9" i="14" a="1"/>
  <c r="B9" i="14"/>
  <c r="N8" i="14"/>
  <c r="O8" i="14" s="1"/>
  <c r="M8" i="14"/>
  <c r="B8" i="14" a="1"/>
  <c r="B8" i="14"/>
  <c r="O7" i="14"/>
  <c r="N7" i="14"/>
  <c r="S6" i="14"/>
  <c r="B13" i="14" s="1" a="1"/>
  <c r="B13" i="14" s="1"/>
  <c r="R6" i="14"/>
  <c r="M6" i="14"/>
  <c r="B6" i="14" a="1"/>
  <c r="B6" i="14"/>
  <c r="K14" i="1" s="1"/>
  <c r="L14" i="1" s="1"/>
  <c r="R5" i="14"/>
  <c r="S5" i="14" s="1"/>
  <c r="N5" i="14"/>
  <c r="O5" i="14" s="1"/>
  <c r="M5" i="14"/>
  <c r="B5" i="14" a="1"/>
  <c r="B5" i="14"/>
  <c r="S4" i="14"/>
  <c r="R4" i="14"/>
  <c r="S3" i="14"/>
  <c r="R3" i="14"/>
  <c r="N3" i="14"/>
  <c r="O3" i="14" s="1"/>
  <c r="M3" i="14"/>
  <c r="M4" i="14" s="1"/>
  <c r="J3" i="14"/>
  <c r="K3" i="14" s="1"/>
  <c r="B7" i="14" s="1" a="1"/>
  <c r="B7" i="14" s="1"/>
  <c r="F3" i="14"/>
  <c r="G3" i="14" s="1"/>
  <c r="B4" i="14" s="1"/>
  <c r="B3" i="14" a="1"/>
  <c r="B3" i="14"/>
  <c r="B2" i="14" a="1"/>
  <c r="B2" i="14"/>
  <c r="B15" i="13"/>
  <c r="B12" i="13" a="1"/>
  <c r="B12" i="13"/>
  <c r="M13" i="1" s="1"/>
  <c r="N13" i="1" s="1"/>
  <c r="N11" i="13"/>
  <c r="O11" i="13" s="1"/>
  <c r="B10" i="13" s="1" a="1"/>
  <c r="B10" i="13" s="1"/>
  <c r="O10" i="13"/>
  <c r="N10" i="13"/>
  <c r="M10" i="13"/>
  <c r="O9" i="13"/>
  <c r="N9" i="13"/>
  <c r="M9" i="13"/>
  <c r="B9" i="13" a="1"/>
  <c r="B9" i="13" s="1"/>
  <c r="M8" i="13"/>
  <c r="B8" i="13" a="1"/>
  <c r="B8" i="13" s="1"/>
  <c r="G13" i="1" s="1"/>
  <c r="S7" i="13"/>
  <c r="R7" i="13"/>
  <c r="Q7" i="13"/>
  <c r="R6" i="13"/>
  <c r="S6" i="13" s="1"/>
  <c r="O6" i="13"/>
  <c r="N6" i="13"/>
  <c r="M6" i="13"/>
  <c r="M7" i="13" s="1"/>
  <c r="B6" i="13" a="1"/>
  <c r="B6" i="13" s="1"/>
  <c r="K13" i="1" s="1"/>
  <c r="L13" i="1" s="1"/>
  <c r="AB5" i="13"/>
  <c r="R5" i="13"/>
  <c r="S5" i="13" s="1"/>
  <c r="Q5" i="13"/>
  <c r="B11" i="13" s="1" a="1"/>
  <c r="B11" i="13" s="1"/>
  <c r="F13" i="1" s="1"/>
  <c r="B5" i="13" a="1"/>
  <c r="B5" i="13"/>
  <c r="S4" i="13"/>
  <c r="R4" i="13"/>
  <c r="Q4" i="13"/>
  <c r="M4" i="13"/>
  <c r="B4" i="13"/>
  <c r="S3" i="13"/>
  <c r="R3" i="13"/>
  <c r="Q3" i="13"/>
  <c r="O3" i="13"/>
  <c r="N3" i="13"/>
  <c r="M3" i="13"/>
  <c r="J3" i="13"/>
  <c r="K3" i="13" s="1"/>
  <c r="B7" i="13" s="1" a="1"/>
  <c r="B7" i="13" s="1"/>
  <c r="G3" i="13"/>
  <c r="F3" i="13"/>
  <c r="B3" i="13" a="1"/>
  <c r="B3" i="13"/>
  <c r="I13" i="1" s="1"/>
  <c r="J13" i="1" s="1"/>
  <c r="B2" i="13" a="1"/>
  <c r="B2" i="13" s="1"/>
  <c r="B15" i="12"/>
  <c r="B14" i="12"/>
  <c r="B13" i="12" a="1"/>
  <c r="B13" i="12" s="1"/>
  <c r="B12" i="12" a="1"/>
  <c r="B12" i="12" s="1"/>
  <c r="B11" i="12" a="1"/>
  <c r="B11" i="12" s="1"/>
  <c r="N10" i="12"/>
  <c r="O10" i="12" s="1"/>
  <c r="O9" i="12"/>
  <c r="N9" i="12"/>
  <c r="B9" i="12" a="1"/>
  <c r="B9" i="12" s="1"/>
  <c r="N8" i="12"/>
  <c r="O8" i="12" s="1"/>
  <c r="B8" i="12" a="1"/>
  <c r="B8" i="12" s="1"/>
  <c r="O7" i="12"/>
  <c r="N7" i="12"/>
  <c r="B7" i="12" a="1"/>
  <c r="B7" i="12" s="1"/>
  <c r="M6" i="12"/>
  <c r="B6" i="12" a="1"/>
  <c r="B6" i="12" s="1"/>
  <c r="R5" i="12"/>
  <c r="S5" i="12" s="1"/>
  <c r="O5" i="12"/>
  <c r="N5" i="12"/>
  <c r="M5" i="12"/>
  <c r="B5" i="12" a="1"/>
  <c r="B5" i="12"/>
  <c r="S4" i="12"/>
  <c r="R4" i="12"/>
  <c r="Q4" i="12"/>
  <c r="M4" i="12"/>
  <c r="B4" i="12"/>
  <c r="R3" i="12"/>
  <c r="S3" i="12" s="1"/>
  <c r="N3" i="12"/>
  <c r="O3" i="12" s="1"/>
  <c r="M3" i="12"/>
  <c r="F3" i="12"/>
  <c r="G3" i="12" s="1"/>
  <c r="B3" i="12" a="1"/>
  <c r="B3" i="12" s="1"/>
  <c r="B2" i="12" a="1"/>
  <c r="B2" i="12" s="1"/>
  <c r="D12" i="1" s="1"/>
  <c r="H12" i="1" s="1"/>
  <c r="B15" i="11" a="1"/>
  <c r="B15" i="11" s="1"/>
  <c r="B14" i="11" a="1"/>
  <c r="B14" i="11"/>
  <c r="B12" i="11" a="1"/>
  <c r="B12" i="11" s="1"/>
  <c r="M11" i="1" s="1"/>
  <c r="N11" i="1" s="1"/>
  <c r="O11" i="11"/>
  <c r="N11" i="11"/>
  <c r="B11" i="11" a="1"/>
  <c r="B11" i="11" s="1"/>
  <c r="F11" i="1" s="1"/>
  <c r="O10" i="11"/>
  <c r="N10" i="11"/>
  <c r="B10" i="11" a="1"/>
  <c r="B10" i="11" s="1"/>
  <c r="O9" i="11"/>
  <c r="N9" i="11"/>
  <c r="B9" i="11" a="1"/>
  <c r="B9" i="11" s="1"/>
  <c r="O11" i="1" s="1"/>
  <c r="P11" i="1" s="1"/>
  <c r="O8" i="11"/>
  <c r="N8" i="11"/>
  <c r="B8" i="11" a="1"/>
  <c r="B8" i="11" s="1"/>
  <c r="G11" i="1" s="1"/>
  <c r="M7" i="11"/>
  <c r="N6" i="11"/>
  <c r="O6" i="11" s="1"/>
  <c r="M6" i="11"/>
  <c r="B6" i="11" a="1"/>
  <c r="B6" i="11"/>
  <c r="M5" i="11"/>
  <c r="B5" i="11" a="1"/>
  <c r="B5" i="11"/>
  <c r="AB4" i="11"/>
  <c r="S4" i="11"/>
  <c r="R4" i="11"/>
  <c r="S3" i="11"/>
  <c r="R3" i="11"/>
  <c r="N3" i="11"/>
  <c r="O3" i="11" s="1"/>
  <c r="M3" i="11"/>
  <c r="M4" i="11" s="1"/>
  <c r="J3" i="11"/>
  <c r="K3" i="11" s="1"/>
  <c r="B7" i="11" s="1" a="1"/>
  <c r="B7" i="11" s="1"/>
  <c r="F3" i="11"/>
  <c r="G3" i="11" s="1"/>
  <c r="B4" i="11" s="1"/>
  <c r="B3" i="11" a="1"/>
  <c r="B3" i="11"/>
  <c r="B2" i="11" a="1"/>
  <c r="B2" i="11"/>
  <c r="B15" i="10"/>
  <c r="B14" i="10"/>
  <c r="B13" i="10"/>
  <c r="N12" i="10"/>
  <c r="O12" i="10" s="1"/>
  <c r="M12" i="10"/>
  <c r="B12" i="10" a="1"/>
  <c r="B12" i="10" s="1"/>
  <c r="N11" i="10"/>
  <c r="O11" i="10" s="1"/>
  <c r="M11" i="10"/>
  <c r="B11" i="10" a="1"/>
  <c r="B11" i="10"/>
  <c r="O10" i="10"/>
  <c r="N10" i="10"/>
  <c r="M10" i="10"/>
  <c r="O9" i="10"/>
  <c r="N9" i="10"/>
  <c r="M9" i="10"/>
  <c r="B9" i="10" a="1"/>
  <c r="B9" i="10" s="1"/>
  <c r="O10" i="1" s="1"/>
  <c r="P10" i="1" s="1"/>
  <c r="R8" i="10"/>
  <c r="S8" i="10" s="1"/>
  <c r="B13" i="10" s="1" a="1"/>
  <c r="M8" i="10"/>
  <c r="B8" i="10" a="1"/>
  <c r="B8" i="10" s="1"/>
  <c r="G10" i="1" s="1"/>
  <c r="S7" i="10"/>
  <c r="R7" i="10"/>
  <c r="Q7" i="10"/>
  <c r="N7" i="10"/>
  <c r="O7" i="10" s="1"/>
  <c r="M7" i="10"/>
  <c r="R6" i="10"/>
  <c r="S6" i="10" s="1"/>
  <c r="Q6" i="10"/>
  <c r="B6" i="10" a="1"/>
  <c r="B6" i="10"/>
  <c r="S5" i="10"/>
  <c r="R5" i="10"/>
  <c r="Q5" i="10"/>
  <c r="N5" i="10"/>
  <c r="O5" i="10" s="1"/>
  <c r="M5" i="10"/>
  <c r="M6" i="10" s="1"/>
  <c r="S4" i="10"/>
  <c r="R4" i="10"/>
  <c r="Q4" i="10"/>
  <c r="B4" i="10"/>
  <c r="S3" i="10"/>
  <c r="R3" i="10"/>
  <c r="Q3" i="10"/>
  <c r="O3" i="10"/>
  <c r="N3" i="10"/>
  <c r="M3" i="10"/>
  <c r="J3" i="10"/>
  <c r="K3" i="10" s="1"/>
  <c r="B7" i="10" s="1" a="1"/>
  <c r="B7" i="10" s="1"/>
  <c r="I3" i="10"/>
  <c r="B5" i="10" s="1" a="1"/>
  <c r="B5" i="10" s="1"/>
  <c r="E10" i="1" s="1"/>
  <c r="F3" i="10"/>
  <c r="G3" i="10" s="1"/>
  <c r="E3" i="10"/>
  <c r="B3" i="10" a="1"/>
  <c r="B3" i="10" s="1"/>
  <c r="B2" i="10" a="1"/>
  <c r="B2" i="10" s="1"/>
  <c r="D10" i="1" s="1"/>
  <c r="B15" i="9"/>
  <c r="B12" i="9" a="1"/>
  <c r="B12" i="9" s="1"/>
  <c r="N11" i="9"/>
  <c r="O11" i="9" s="1"/>
  <c r="M11" i="9"/>
  <c r="N10" i="9"/>
  <c r="O10" i="9" s="1"/>
  <c r="M10" i="9"/>
  <c r="B10" i="9" a="1"/>
  <c r="B10" i="9" s="1"/>
  <c r="O9" i="9"/>
  <c r="N9" i="9"/>
  <c r="M9" i="9"/>
  <c r="B9" i="9" a="1"/>
  <c r="B9" i="9"/>
  <c r="S7" i="9"/>
  <c r="R7" i="9"/>
  <c r="M7" i="9"/>
  <c r="M8" i="9" s="1"/>
  <c r="B8" i="9" s="1" a="1"/>
  <c r="B8" i="9" s="1"/>
  <c r="G9" i="1" s="1"/>
  <c r="R6" i="9"/>
  <c r="S6" i="9" s="1"/>
  <c r="B13" i="9" s="1" a="1"/>
  <c r="B13" i="9" s="1"/>
  <c r="O6" i="9"/>
  <c r="N6" i="9"/>
  <c r="M6" i="9"/>
  <c r="B6" i="9" a="1"/>
  <c r="B6" i="9" s="1"/>
  <c r="K9" i="1" s="1"/>
  <c r="L9" i="1" s="1"/>
  <c r="S5" i="9"/>
  <c r="R5" i="9"/>
  <c r="Q5" i="9"/>
  <c r="M5" i="9"/>
  <c r="R4" i="9"/>
  <c r="S4" i="9" s="1"/>
  <c r="Q4" i="9"/>
  <c r="B4" i="9"/>
  <c r="R3" i="9"/>
  <c r="S3" i="9" s="1"/>
  <c r="Q3" i="9"/>
  <c r="O3" i="9"/>
  <c r="N3" i="9"/>
  <c r="M3" i="9"/>
  <c r="M4" i="9" s="1"/>
  <c r="J3" i="9"/>
  <c r="K3" i="9" s="1"/>
  <c r="B7" i="9" s="1" a="1"/>
  <c r="B7" i="9" s="1"/>
  <c r="I3" i="9"/>
  <c r="B5" i="9" s="1" a="1"/>
  <c r="B5" i="9" s="1"/>
  <c r="E9" i="1" s="1"/>
  <c r="G3" i="9"/>
  <c r="F3" i="9"/>
  <c r="E3" i="9"/>
  <c r="B2" i="9" s="1" a="1"/>
  <c r="B3" i="9" a="1"/>
  <c r="B3" i="9" s="1"/>
  <c r="I9" i="1" s="1"/>
  <c r="J9" i="1" s="1"/>
  <c r="B2" i="9"/>
  <c r="D9" i="1" s="1"/>
  <c r="N16" i="8"/>
  <c r="O16" i="8" s="1"/>
  <c r="M16" i="8"/>
  <c r="O15" i="8"/>
  <c r="N15" i="8"/>
  <c r="M15" i="8"/>
  <c r="B15" i="8"/>
  <c r="O14" i="8"/>
  <c r="B10" i="8" s="1" a="1"/>
  <c r="B10" i="8" s="1"/>
  <c r="N14" i="8"/>
  <c r="M14" i="8"/>
  <c r="B14" i="8"/>
  <c r="O13" i="8"/>
  <c r="N13" i="8"/>
  <c r="M13" i="8"/>
  <c r="B12" i="8" a="1"/>
  <c r="B12" i="8" s="1"/>
  <c r="O11" i="8"/>
  <c r="N11" i="8"/>
  <c r="M11" i="8"/>
  <c r="M12" i="8" s="1"/>
  <c r="B11" i="8" a="1"/>
  <c r="B11" i="8"/>
  <c r="M10" i="8"/>
  <c r="S9" i="8"/>
  <c r="R9" i="8"/>
  <c r="B9" i="8" a="1"/>
  <c r="B9" i="8" s="1"/>
  <c r="R8" i="8"/>
  <c r="S8" i="8" s="1"/>
  <c r="B13" i="8" s="1" a="1"/>
  <c r="B13" i="8" s="1"/>
  <c r="O8" i="8"/>
  <c r="N8" i="8"/>
  <c r="M8" i="8"/>
  <c r="B8" i="8" a="1"/>
  <c r="B8" i="8" s="1"/>
  <c r="G8" i="1" s="1"/>
  <c r="R7" i="8"/>
  <c r="S7" i="8" s="1"/>
  <c r="Q7" i="8"/>
  <c r="M7" i="8"/>
  <c r="B7" i="8" a="1"/>
  <c r="B7" i="8" s="1"/>
  <c r="R6" i="8"/>
  <c r="S6" i="8" s="1"/>
  <c r="Q6" i="8"/>
  <c r="B6" i="8" a="1"/>
  <c r="B6" i="8"/>
  <c r="AB5" i="8"/>
  <c r="O5" i="8"/>
  <c r="N5" i="8"/>
  <c r="M5" i="8"/>
  <c r="M6" i="8" s="1"/>
  <c r="B5" i="8" a="1"/>
  <c r="B5" i="8"/>
  <c r="R4" i="8"/>
  <c r="S4" i="8" s="1"/>
  <c r="Q4" i="8"/>
  <c r="Q5" i="8" s="1"/>
  <c r="G4" i="8"/>
  <c r="F4" i="8"/>
  <c r="B4" i="8"/>
  <c r="R3" i="8"/>
  <c r="S3" i="8" s="1"/>
  <c r="Q3" i="8"/>
  <c r="O3" i="8"/>
  <c r="N3" i="8"/>
  <c r="M3" i="8"/>
  <c r="G3" i="8"/>
  <c r="F3" i="8"/>
  <c r="B3" i="8" a="1"/>
  <c r="B3" i="8"/>
  <c r="B2" i="8" a="1"/>
  <c r="B2" i="8" s="1"/>
  <c r="D8" i="1" s="1"/>
  <c r="J12" i="7"/>
  <c r="K12" i="7" s="1"/>
  <c r="I12" i="7"/>
  <c r="B12" i="7"/>
  <c r="J11" i="7"/>
  <c r="K11" i="7" s="1"/>
  <c r="I11" i="7"/>
  <c r="B11" i="7"/>
  <c r="B9" i="7" a="1"/>
  <c r="B9" i="7"/>
  <c r="J8" i="7"/>
  <c r="K8" i="7" s="1"/>
  <c r="I8" i="7"/>
  <c r="B5" i="7" s="1" a="1"/>
  <c r="B5" i="7" s="1"/>
  <c r="G7" i="1" s="1"/>
  <c r="I7" i="7"/>
  <c r="B7" i="7" a="1"/>
  <c r="B7" i="7"/>
  <c r="N6" i="7"/>
  <c r="O6" i="7" s="1"/>
  <c r="M6" i="7"/>
  <c r="K6" i="7"/>
  <c r="J6" i="7"/>
  <c r="I6" i="7"/>
  <c r="B6" i="7" a="1"/>
  <c r="B6" i="7"/>
  <c r="N5" i="7"/>
  <c r="O5" i="7" s="1"/>
  <c r="B10" i="7" s="1" a="1"/>
  <c r="B10" i="7" s="1"/>
  <c r="M5" i="7"/>
  <c r="B8" i="7" s="1" a="1"/>
  <c r="B8" i="7" s="1"/>
  <c r="F7" i="1" s="1"/>
  <c r="M4" i="7"/>
  <c r="I4" i="7"/>
  <c r="N3" i="7"/>
  <c r="O3" i="7" s="1"/>
  <c r="M3" i="7"/>
  <c r="K3" i="7"/>
  <c r="J3" i="7"/>
  <c r="I3" i="7"/>
  <c r="F3" i="7"/>
  <c r="G3" i="7" s="1"/>
  <c r="B4" i="7" s="1"/>
  <c r="B3" i="7" a="1"/>
  <c r="B3" i="7"/>
  <c r="B2" i="7" a="1"/>
  <c r="B2" i="7"/>
  <c r="B12" i="6"/>
  <c r="B11" i="6"/>
  <c r="J9" i="6"/>
  <c r="K9" i="6" s="1"/>
  <c r="I9" i="6"/>
  <c r="B9" i="6" a="1"/>
  <c r="B9" i="6" s="1"/>
  <c r="M6" i="1" s="1"/>
  <c r="N6" i="1" s="1"/>
  <c r="K7" i="6"/>
  <c r="J7" i="6"/>
  <c r="I7" i="6"/>
  <c r="B7" i="6" a="1"/>
  <c r="B7" i="6"/>
  <c r="J6" i="6"/>
  <c r="K6" i="6" s="1"/>
  <c r="I6" i="6"/>
  <c r="B6" i="6" a="1"/>
  <c r="B6" i="6" s="1"/>
  <c r="N5" i="6"/>
  <c r="O5" i="6" s="1"/>
  <c r="B10" i="6" s="1" a="1"/>
  <c r="B10" i="6" s="1"/>
  <c r="M5" i="6"/>
  <c r="B8" i="6" s="1" a="1"/>
  <c r="B8" i="6" s="1"/>
  <c r="F6" i="1" s="1"/>
  <c r="J5" i="6"/>
  <c r="K5" i="6" s="1"/>
  <c r="I5" i="6"/>
  <c r="B5" i="6" a="1"/>
  <c r="B5" i="6" s="1"/>
  <c r="G6" i="1" s="1"/>
  <c r="O4" i="6"/>
  <c r="N4" i="6"/>
  <c r="M4" i="6"/>
  <c r="J4" i="6"/>
  <c r="K4" i="6" s="1"/>
  <c r="B4" i="6"/>
  <c r="O3" i="6"/>
  <c r="N3" i="6"/>
  <c r="M3" i="6"/>
  <c r="K3" i="6"/>
  <c r="J3" i="6"/>
  <c r="B3" i="6" a="1"/>
  <c r="B3" i="6"/>
  <c r="B2" i="6" a="1"/>
  <c r="B2" i="6" s="1"/>
  <c r="D6" i="1" s="1"/>
  <c r="H6" i="1" s="1"/>
  <c r="B12" i="5"/>
  <c r="B11" i="5"/>
  <c r="B9" i="5" a="1"/>
  <c r="B9" i="5"/>
  <c r="J7" i="5"/>
  <c r="K7" i="5" s="1"/>
  <c r="I7" i="5"/>
  <c r="I8" i="5" s="1"/>
  <c r="B6" i="5" a="1"/>
  <c r="B6" i="5" s="1"/>
  <c r="O5" i="1" s="1"/>
  <c r="P5" i="1" s="1"/>
  <c r="K5" i="5"/>
  <c r="J5" i="5"/>
  <c r="I5" i="5"/>
  <c r="I6" i="5" s="1"/>
  <c r="K3" i="5"/>
  <c r="J3" i="5"/>
  <c r="I3" i="5"/>
  <c r="G3" i="5"/>
  <c r="B4" i="5" s="1"/>
  <c r="F3" i="5"/>
  <c r="B3" i="5" a="1"/>
  <c r="B3" i="5"/>
  <c r="B2" i="5" a="1"/>
  <c r="B2" i="5" s="1"/>
  <c r="D5" i="1" s="1"/>
  <c r="B15" i="4"/>
  <c r="N14" i="4"/>
  <c r="O14" i="4" s="1"/>
  <c r="B10" i="4" s="1" a="1"/>
  <c r="B10" i="4" s="1"/>
  <c r="B14" i="4"/>
  <c r="N13" i="4"/>
  <c r="O13" i="4" s="1"/>
  <c r="M13" i="4"/>
  <c r="N12" i="4"/>
  <c r="O12" i="4" s="1"/>
  <c r="M12" i="4"/>
  <c r="B12" i="4" a="1"/>
  <c r="B12" i="4"/>
  <c r="N11" i="4"/>
  <c r="O11" i="4" s="1"/>
  <c r="M11" i="4"/>
  <c r="B11" i="4" a="1"/>
  <c r="B11" i="4"/>
  <c r="M10" i="4"/>
  <c r="N9" i="4"/>
  <c r="O9" i="4" s="1"/>
  <c r="M9" i="4"/>
  <c r="B9" i="4" a="1"/>
  <c r="B9" i="4" s="1"/>
  <c r="O4" i="1" s="1"/>
  <c r="P4" i="1" s="1"/>
  <c r="B8" i="4" a="1"/>
  <c r="B8" i="4"/>
  <c r="G4" i="1" s="1"/>
  <c r="R7" i="4"/>
  <c r="S7" i="4" s="1"/>
  <c r="N7" i="4"/>
  <c r="O7" i="4" s="1"/>
  <c r="M7" i="4"/>
  <c r="M8" i="4" s="1"/>
  <c r="B7" i="4" a="1"/>
  <c r="B7" i="4" s="1"/>
  <c r="R6" i="4"/>
  <c r="S6" i="4" s="1"/>
  <c r="M6" i="4"/>
  <c r="B6" i="4" a="1"/>
  <c r="B6" i="4"/>
  <c r="R5" i="4"/>
  <c r="S5" i="4" s="1"/>
  <c r="B13" i="4" s="1" a="1"/>
  <c r="B13" i="4" s="1"/>
  <c r="Q5" i="4"/>
  <c r="M5" i="4"/>
  <c r="B5" i="4" a="1"/>
  <c r="B5" i="4"/>
  <c r="R4" i="4"/>
  <c r="S4" i="4" s="1"/>
  <c r="N4" i="4"/>
  <c r="O4" i="4" s="1"/>
  <c r="B4" i="4"/>
  <c r="R3" i="4"/>
  <c r="S3" i="4" s="1"/>
  <c r="N3" i="4"/>
  <c r="O3" i="4" s="1"/>
  <c r="K3" i="4"/>
  <c r="J3" i="4"/>
  <c r="I3" i="4"/>
  <c r="I4" i="4" s="1"/>
  <c r="F3" i="4"/>
  <c r="G3" i="4" s="1"/>
  <c r="B3" i="4" a="1"/>
  <c r="B3" i="4" s="1"/>
  <c r="B2" i="4" a="1"/>
  <c r="B2" i="4"/>
  <c r="D4" i="1" s="1"/>
  <c r="H4" i="1" s="1"/>
  <c r="B12" i="3"/>
  <c r="B11" i="3"/>
  <c r="K9" i="3"/>
  <c r="B10" i="3" s="1" a="1"/>
  <c r="B10" i="3" s="1"/>
  <c r="J9" i="3"/>
  <c r="B9" i="3" a="1"/>
  <c r="B9" i="3"/>
  <c r="I8" i="3"/>
  <c r="B8" i="3" s="1" a="1"/>
  <c r="B8" i="3" s="1"/>
  <c r="I7" i="3"/>
  <c r="B6" i="3" a="1"/>
  <c r="B6" i="3" s="1"/>
  <c r="O3" i="1" s="1"/>
  <c r="P3" i="1" s="1"/>
  <c r="G5" i="3"/>
  <c r="B4" i="3" s="1"/>
  <c r="F5" i="3"/>
  <c r="B5" i="3" a="1"/>
  <c r="B5" i="3" s="1"/>
  <c r="G3" i="1" s="1"/>
  <c r="I4" i="3"/>
  <c r="N3" i="3"/>
  <c r="O3" i="3" s="1"/>
  <c r="K3" i="3"/>
  <c r="J3" i="3"/>
  <c r="F3" i="3"/>
  <c r="G3" i="3" s="1"/>
  <c r="B3" i="3" a="1"/>
  <c r="B3" i="3" s="1"/>
  <c r="B2" i="3" a="1"/>
  <c r="B2" i="3"/>
  <c r="D3" i="1" s="1"/>
  <c r="H3" i="1" s="1"/>
  <c r="O16" i="2"/>
  <c r="N16" i="2"/>
  <c r="M16" i="2"/>
  <c r="N15" i="2"/>
  <c r="O15" i="2" s="1"/>
  <c r="B15" i="2" a="1"/>
  <c r="B15" i="2"/>
  <c r="N14" i="2"/>
  <c r="O14" i="2" s="1"/>
  <c r="M14" i="2"/>
  <c r="B14" i="2" a="1"/>
  <c r="B14" i="2"/>
  <c r="M13" i="2"/>
  <c r="N12" i="2"/>
  <c r="O12" i="2" s="1"/>
  <c r="M12" i="2"/>
  <c r="B12" i="2" a="1"/>
  <c r="B12" i="2"/>
  <c r="M11" i="2"/>
  <c r="B11" i="2" a="1"/>
  <c r="B11" i="2"/>
  <c r="N10" i="2"/>
  <c r="O10" i="2" s="1"/>
  <c r="M10" i="2"/>
  <c r="B9" i="2" a="1"/>
  <c r="B9" i="2"/>
  <c r="R8" i="2"/>
  <c r="S8" i="2" s="1"/>
  <c r="B13" i="2" s="1" a="1"/>
  <c r="B13" i="2" s="1"/>
  <c r="B8" i="2" a="1"/>
  <c r="B8" i="2" s="1"/>
  <c r="G2" i="1" s="1"/>
  <c r="S7" i="2"/>
  <c r="R7" i="2"/>
  <c r="AB6" i="2"/>
  <c r="S6" i="2"/>
  <c r="R6" i="2"/>
  <c r="Q6" i="2"/>
  <c r="N6" i="2"/>
  <c r="O6" i="2" s="1"/>
  <c r="M6" i="2"/>
  <c r="M7" i="2" s="1"/>
  <c r="M8" i="2" s="1"/>
  <c r="M9" i="2" s="1"/>
  <c r="B6" i="2" a="1"/>
  <c r="B6" i="2" s="1"/>
  <c r="Q5" i="2"/>
  <c r="M5" i="2"/>
  <c r="B5" i="2" a="1"/>
  <c r="B5" i="2" s="1"/>
  <c r="E2" i="1" s="1"/>
  <c r="S2" i="1" s="1"/>
  <c r="AB4" i="2"/>
  <c r="R4" i="2"/>
  <c r="S4" i="2" s="1"/>
  <c r="Q4" i="2"/>
  <c r="M4" i="2"/>
  <c r="S3" i="2"/>
  <c r="R3" i="2"/>
  <c r="Q3" i="2"/>
  <c r="N3" i="2"/>
  <c r="O3" i="2" s="1"/>
  <c r="M3" i="2"/>
  <c r="J3" i="2"/>
  <c r="K3" i="2" s="1"/>
  <c r="B7" i="2" s="1" a="1"/>
  <c r="B7" i="2" s="1"/>
  <c r="I3" i="2"/>
  <c r="F3" i="2"/>
  <c r="G3" i="2" s="1"/>
  <c r="B4" i="2" s="1"/>
  <c r="B3" i="2" a="1"/>
  <c r="B3" i="2"/>
  <c r="B2" i="2" a="1"/>
  <c r="B2" i="2"/>
  <c r="D2" i="1" s="1"/>
  <c r="O62" i="1"/>
  <c r="P62" i="1" s="1"/>
  <c r="M62" i="1"/>
  <c r="N62" i="1" s="1"/>
  <c r="L62" i="1"/>
  <c r="K62" i="1"/>
  <c r="I62" i="1"/>
  <c r="J62" i="1" s="1"/>
  <c r="G62" i="1"/>
  <c r="F62" i="1"/>
  <c r="E62" i="1"/>
  <c r="D62" i="1"/>
  <c r="H62" i="1" s="1"/>
  <c r="C62" i="1"/>
  <c r="O61" i="1"/>
  <c r="P61" i="1" s="1"/>
  <c r="M61" i="1"/>
  <c r="N61" i="1" s="1"/>
  <c r="K61" i="1"/>
  <c r="L61" i="1" s="1"/>
  <c r="I61" i="1"/>
  <c r="J61" i="1" s="1"/>
  <c r="G61" i="1"/>
  <c r="F61" i="1"/>
  <c r="E61" i="1"/>
  <c r="D61" i="1"/>
  <c r="C61" i="1"/>
  <c r="P60" i="1"/>
  <c r="O60" i="1"/>
  <c r="M60" i="1"/>
  <c r="N60" i="1" s="1"/>
  <c r="K60" i="1"/>
  <c r="L60" i="1" s="1"/>
  <c r="I60" i="1"/>
  <c r="J60" i="1" s="1"/>
  <c r="G60" i="1"/>
  <c r="F60" i="1"/>
  <c r="E60" i="1"/>
  <c r="D60" i="1"/>
  <c r="H60" i="1" s="1"/>
  <c r="C60" i="1"/>
  <c r="O59" i="1"/>
  <c r="P59" i="1" s="1"/>
  <c r="M59" i="1"/>
  <c r="N59" i="1" s="1"/>
  <c r="K59" i="1"/>
  <c r="L59" i="1" s="1"/>
  <c r="J59" i="1"/>
  <c r="I59" i="1"/>
  <c r="G59" i="1"/>
  <c r="F59" i="1"/>
  <c r="E59" i="1"/>
  <c r="D59" i="1"/>
  <c r="C59" i="1"/>
  <c r="O58" i="1"/>
  <c r="P58" i="1" s="1"/>
  <c r="M58" i="1"/>
  <c r="N58" i="1" s="1"/>
  <c r="K58" i="1"/>
  <c r="L58" i="1" s="1"/>
  <c r="I58" i="1"/>
  <c r="J58" i="1" s="1"/>
  <c r="G58" i="1"/>
  <c r="F58" i="1"/>
  <c r="E58" i="1"/>
  <c r="D58" i="1"/>
  <c r="H58" i="1" s="1"/>
  <c r="C58" i="1"/>
  <c r="O57" i="1"/>
  <c r="P57" i="1" s="1"/>
  <c r="N57" i="1"/>
  <c r="M57" i="1"/>
  <c r="K57" i="1"/>
  <c r="L57" i="1" s="1"/>
  <c r="I57" i="1"/>
  <c r="J57" i="1" s="1"/>
  <c r="G57" i="1"/>
  <c r="F57" i="1"/>
  <c r="E57" i="1"/>
  <c r="D57" i="1"/>
  <c r="H57" i="1" s="1"/>
  <c r="C57" i="1"/>
  <c r="O56" i="1"/>
  <c r="P56" i="1" s="1"/>
  <c r="M56" i="1"/>
  <c r="N56" i="1" s="1"/>
  <c r="K56" i="1"/>
  <c r="L56" i="1" s="1"/>
  <c r="I56" i="1"/>
  <c r="J56" i="1" s="1"/>
  <c r="G56" i="1"/>
  <c r="F56" i="1"/>
  <c r="E56" i="1"/>
  <c r="D56" i="1"/>
  <c r="C56" i="1"/>
  <c r="P55" i="1"/>
  <c r="O55" i="1"/>
  <c r="M55" i="1"/>
  <c r="N55" i="1" s="1"/>
  <c r="L55" i="1"/>
  <c r="K55" i="1"/>
  <c r="I55" i="1"/>
  <c r="J55" i="1" s="1"/>
  <c r="G55" i="1"/>
  <c r="F55" i="1"/>
  <c r="E55" i="1"/>
  <c r="D55" i="1"/>
  <c r="C55" i="1"/>
  <c r="O54" i="1"/>
  <c r="P54" i="1" s="1"/>
  <c r="M54" i="1"/>
  <c r="N54" i="1" s="1"/>
  <c r="K54" i="1"/>
  <c r="L54" i="1" s="1"/>
  <c r="I54" i="1"/>
  <c r="J54" i="1" s="1"/>
  <c r="G54" i="1"/>
  <c r="F54" i="1"/>
  <c r="E54" i="1"/>
  <c r="D54" i="1"/>
  <c r="C54" i="1"/>
  <c r="O53" i="1"/>
  <c r="P53" i="1" s="1"/>
  <c r="M53" i="1"/>
  <c r="N53" i="1" s="1"/>
  <c r="L53" i="1"/>
  <c r="K53" i="1"/>
  <c r="I53" i="1"/>
  <c r="J53" i="1" s="1"/>
  <c r="G53" i="1"/>
  <c r="F53" i="1"/>
  <c r="E53" i="1"/>
  <c r="D53" i="1"/>
  <c r="H53" i="1" s="1"/>
  <c r="C53" i="1"/>
  <c r="O52" i="1"/>
  <c r="P52" i="1" s="1"/>
  <c r="M52" i="1"/>
  <c r="N52" i="1" s="1"/>
  <c r="K52" i="1"/>
  <c r="L52" i="1" s="1"/>
  <c r="I52" i="1"/>
  <c r="J52" i="1" s="1"/>
  <c r="G52" i="1"/>
  <c r="F52" i="1"/>
  <c r="E52" i="1"/>
  <c r="D52" i="1"/>
  <c r="C52" i="1"/>
  <c r="P51" i="1"/>
  <c r="O51" i="1"/>
  <c r="M51" i="1"/>
  <c r="N51" i="1" s="1"/>
  <c r="K51" i="1"/>
  <c r="L51" i="1" s="1"/>
  <c r="I51" i="1"/>
  <c r="J51" i="1" s="1"/>
  <c r="G51" i="1"/>
  <c r="F51" i="1"/>
  <c r="E51" i="1"/>
  <c r="D51" i="1"/>
  <c r="H51" i="1" s="1"/>
  <c r="C51" i="1"/>
  <c r="O50" i="1"/>
  <c r="P50" i="1" s="1"/>
  <c r="M50" i="1"/>
  <c r="N50" i="1" s="1"/>
  <c r="K50" i="1"/>
  <c r="L50" i="1" s="1"/>
  <c r="J50" i="1"/>
  <c r="I50" i="1"/>
  <c r="G50" i="1"/>
  <c r="F50" i="1"/>
  <c r="E50" i="1"/>
  <c r="D50" i="1"/>
  <c r="C50" i="1"/>
  <c r="O49" i="1"/>
  <c r="P49" i="1" s="1"/>
  <c r="M49" i="1"/>
  <c r="N49" i="1" s="1"/>
  <c r="K49" i="1"/>
  <c r="L49" i="1" s="1"/>
  <c r="I49" i="1"/>
  <c r="J49" i="1" s="1"/>
  <c r="G49" i="1"/>
  <c r="F49" i="1"/>
  <c r="E49" i="1"/>
  <c r="D49" i="1"/>
  <c r="H49" i="1" s="1"/>
  <c r="C49" i="1"/>
  <c r="O48" i="1"/>
  <c r="P48" i="1" s="1"/>
  <c r="N48" i="1"/>
  <c r="M48" i="1"/>
  <c r="K48" i="1"/>
  <c r="L48" i="1" s="1"/>
  <c r="I48" i="1"/>
  <c r="J48" i="1" s="1"/>
  <c r="G48" i="1"/>
  <c r="F48" i="1"/>
  <c r="E48" i="1"/>
  <c r="D48" i="1"/>
  <c r="H48" i="1" s="1"/>
  <c r="C48" i="1"/>
  <c r="O47" i="1"/>
  <c r="P47" i="1" s="1"/>
  <c r="M47" i="1"/>
  <c r="N47" i="1" s="1"/>
  <c r="K47" i="1"/>
  <c r="L47" i="1" s="1"/>
  <c r="I47" i="1"/>
  <c r="J47" i="1" s="1"/>
  <c r="G47" i="1"/>
  <c r="F47" i="1"/>
  <c r="E47" i="1"/>
  <c r="D47" i="1"/>
  <c r="H47" i="1" s="1"/>
  <c r="C47" i="1"/>
  <c r="O46" i="1"/>
  <c r="P46" i="1" s="1"/>
  <c r="M46" i="1"/>
  <c r="N46" i="1" s="1"/>
  <c r="K46" i="1"/>
  <c r="L46" i="1" s="1"/>
  <c r="I46" i="1"/>
  <c r="J46" i="1" s="1"/>
  <c r="G46" i="1"/>
  <c r="F46" i="1"/>
  <c r="E46" i="1"/>
  <c r="D46" i="1"/>
  <c r="C46" i="1"/>
  <c r="O45" i="1"/>
  <c r="P45" i="1" s="1"/>
  <c r="M45" i="1"/>
  <c r="N45" i="1" s="1"/>
  <c r="L45" i="1"/>
  <c r="K45" i="1"/>
  <c r="I45" i="1"/>
  <c r="J45" i="1" s="1"/>
  <c r="G45" i="1"/>
  <c r="F45" i="1"/>
  <c r="E45" i="1"/>
  <c r="D45" i="1"/>
  <c r="H45" i="1" s="1"/>
  <c r="C45" i="1"/>
  <c r="O44" i="1"/>
  <c r="P44" i="1" s="1"/>
  <c r="M44" i="1"/>
  <c r="N44" i="1" s="1"/>
  <c r="K44" i="1"/>
  <c r="L44" i="1" s="1"/>
  <c r="I44" i="1"/>
  <c r="J44" i="1" s="1"/>
  <c r="G44" i="1"/>
  <c r="F44" i="1"/>
  <c r="E44" i="1"/>
  <c r="D44" i="1"/>
  <c r="C44" i="1"/>
  <c r="P43" i="1"/>
  <c r="O43" i="1"/>
  <c r="M43" i="1"/>
  <c r="N43" i="1" s="1"/>
  <c r="K43" i="1"/>
  <c r="L43" i="1" s="1"/>
  <c r="I43" i="1"/>
  <c r="J43" i="1" s="1"/>
  <c r="G43" i="1"/>
  <c r="F43" i="1"/>
  <c r="E43" i="1"/>
  <c r="D43" i="1"/>
  <c r="H43" i="1" s="1"/>
  <c r="C43" i="1"/>
  <c r="O42" i="1"/>
  <c r="P42" i="1" s="1"/>
  <c r="M42" i="1"/>
  <c r="N42" i="1" s="1"/>
  <c r="K42" i="1"/>
  <c r="L42" i="1" s="1"/>
  <c r="J42" i="1"/>
  <c r="I42" i="1"/>
  <c r="G42" i="1"/>
  <c r="F42" i="1"/>
  <c r="E42" i="1"/>
  <c r="D42" i="1"/>
  <c r="C42" i="1"/>
  <c r="O41" i="1"/>
  <c r="P41" i="1" s="1"/>
  <c r="M41" i="1"/>
  <c r="N41" i="1" s="1"/>
  <c r="K41" i="1"/>
  <c r="L41" i="1" s="1"/>
  <c r="I41" i="1"/>
  <c r="J41" i="1" s="1"/>
  <c r="G41" i="1"/>
  <c r="F41" i="1"/>
  <c r="E41" i="1"/>
  <c r="D41" i="1"/>
  <c r="H41" i="1" s="1"/>
  <c r="C41" i="1"/>
  <c r="O40" i="1"/>
  <c r="P40" i="1" s="1"/>
  <c r="N40" i="1"/>
  <c r="M40" i="1"/>
  <c r="K40" i="1"/>
  <c r="L40" i="1" s="1"/>
  <c r="I40" i="1"/>
  <c r="J40" i="1" s="1"/>
  <c r="G40" i="1"/>
  <c r="F40" i="1"/>
  <c r="E40" i="1"/>
  <c r="D40" i="1"/>
  <c r="H40" i="1" s="1"/>
  <c r="C40" i="1"/>
  <c r="O39" i="1"/>
  <c r="P39" i="1" s="1"/>
  <c r="M39" i="1"/>
  <c r="N39" i="1" s="1"/>
  <c r="K39" i="1"/>
  <c r="L39" i="1" s="1"/>
  <c r="I39" i="1"/>
  <c r="J39" i="1" s="1"/>
  <c r="G39" i="1"/>
  <c r="F39" i="1"/>
  <c r="E39" i="1"/>
  <c r="D39" i="1"/>
  <c r="H39" i="1" s="1"/>
  <c r="C39" i="1"/>
  <c r="O38" i="1"/>
  <c r="P38" i="1" s="1"/>
  <c r="M38" i="1"/>
  <c r="N38" i="1" s="1"/>
  <c r="K38" i="1"/>
  <c r="L38" i="1" s="1"/>
  <c r="I38" i="1"/>
  <c r="J38" i="1" s="1"/>
  <c r="G38" i="1"/>
  <c r="F38" i="1"/>
  <c r="E38" i="1"/>
  <c r="D38" i="1"/>
  <c r="C38" i="1"/>
  <c r="O37" i="1"/>
  <c r="P37" i="1" s="1"/>
  <c r="M37" i="1"/>
  <c r="N37" i="1" s="1"/>
  <c r="L37" i="1"/>
  <c r="K37" i="1"/>
  <c r="I37" i="1"/>
  <c r="J37" i="1" s="1"/>
  <c r="G37" i="1"/>
  <c r="F37" i="1"/>
  <c r="E37" i="1"/>
  <c r="D37" i="1"/>
  <c r="H37" i="1" s="1"/>
  <c r="C37" i="1"/>
  <c r="O36" i="1"/>
  <c r="P36" i="1" s="1"/>
  <c r="M36" i="1"/>
  <c r="N36" i="1" s="1"/>
  <c r="K36" i="1"/>
  <c r="L36" i="1" s="1"/>
  <c r="I36" i="1"/>
  <c r="J36" i="1" s="1"/>
  <c r="G36" i="1"/>
  <c r="F36" i="1"/>
  <c r="E36" i="1"/>
  <c r="D36" i="1"/>
  <c r="C36" i="1"/>
  <c r="P35" i="1"/>
  <c r="O35" i="1"/>
  <c r="M35" i="1"/>
  <c r="N35" i="1" s="1"/>
  <c r="K35" i="1"/>
  <c r="L35" i="1" s="1"/>
  <c r="I35" i="1"/>
  <c r="J35" i="1" s="1"/>
  <c r="G35" i="1"/>
  <c r="F35" i="1"/>
  <c r="E35" i="1"/>
  <c r="D35" i="1"/>
  <c r="H35" i="1" s="1"/>
  <c r="C35" i="1"/>
  <c r="O34" i="1"/>
  <c r="P34" i="1" s="1"/>
  <c r="M34" i="1"/>
  <c r="N34" i="1" s="1"/>
  <c r="K34" i="1"/>
  <c r="L34" i="1" s="1"/>
  <c r="J34" i="1"/>
  <c r="I34" i="1"/>
  <c r="G34" i="1"/>
  <c r="F34" i="1"/>
  <c r="E34" i="1"/>
  <c r="D34" i="1"/>
  <c r="C34" i="1"/>
  <c r="O33" i="1"/>
  <c r="P33" i="1" s="1"/>
  <c r="M33" i="1"/>
  <c r="N33" i="1" s="1"/>
  <c r="K33" i="1"/>
  <c r="L33" i="1" s="1"/>
  <c r="I33" i="1"/>
  <c r="J33" i="1" s="1"/>
  <c r="G33" i="1"/>
  <c r="F33" i="1"/>
  <c r="E33" i="1"/>
  <c r="D33" i="1"/>
  <c r="H33" i="1" s="1"/>
  <c r="C33" i="1"/>
  <c r="O32" i="1"/>
  <c r="P32" i="1" s="1"/>
  <c r="N32" i="1"/>
  <c r="M32" i="1"/>
  <c r="K32" i="1"/>
  <c r="L32" i="1" s="1"/>
  <c r="I32" i="1"/>
  <c r="J32" i="1" s="1"/>
  <c r="G32" i="1"/>
  <c r="F32" i="1"/>
  <c r="E32" i="1"/>
  <c r="D32" i="1"/>
  <c r="H32" i="1" s="1"/>
  <c r="C32" i="1"/>
  <c r="O31" i="1"/>
  <c r="P31" i="1" s="1"/>
  <c r="M31" i="1"/>
  <c r="N31" i="1" s="1"/>
  <c r="K31" i="1"/>
  <c r="L31" i="1" s="1"/>
  <c r="I31" i="1"/>
  <c r="J31" i="1" s="1"/>
  <c r="G31" i="1"/>
  <c r="F31" i="1"/>
  <c r="E31" i="1"/>
  <c r="D31" i="1"/>
  <c r="H31" i="1" s="1"/>
  <c r="C31" i="1"/>
  <c r="O30" i="1"/>
  <c r="P30" i="1" s="1"/>
  <c r="N30" i="1"/>
  <c r="M30" i="1"/>
  <c r="K30" i="1"/>
  <c r="L30" i="1" s="1"/>
  <c r="J30" i="1"/>
  <c r="I30" i="1"/>
  <c r="G30" i="1"/>
  <c r="F30" i="1"/>
  <c r="E30" i="1"/>
  <c r="D30" i="1"/>
  <c r="H30" i="1" s="1"/>
  <c r="C30" i="1"/>
  <c r="P29" i="1"/>
  <c r="O29" i="1"/>
  <c r="M29" i="1"/>
  <c r="N29" i="1" s="1"/>
  <c r="L29" i="1"/>
  <c r="K29" i="1"/>
  <c r="I29" i="1"/>
  <c r="J29" i="1" s="1"/>
  <c r="G29" i="1"/>
  <c r="F29" i="1"/>
  <c r="E29" i="1"/>
  <c r="D29" i="1"/>
  <c r="H29" i="1" s="1"/>
  <c r="C29" i="1"/>
  <c r="O28" i="1"/>
  <c r="P28" i="1" s="1"/>
  <c r="N28" i="1"/>
  <c r="M28" i="1"/>
  <c r="K28" i="1"/>
  <c r="L28" i="1" s="1"/>
  <c r="J28" i="1"/>
  <c r="I28" i="1"/>
  <c r="G28" i="1"/>
  <c r="F28" i="1"/>
  <c r="E28" i="1"/>
  <c r="D28" i="1"/>
  <c r="H28" i="1" s="1"/>
  <c r="C28" i="1"/>
  <c r="P27" i="1"/>
  <c r="O27" i="1"/>
  <c r="M27" i="1"/>
  <c r="N27" i="1" s="1"/>
  <c r="L27" i="1"/>
  <c r="K27" i="1"/>
  <c r="I27" i="1"/>
  <c r="J27" i="1" s="1"/>
  <c r="G27" i="1"/>
  <c r="F27" i="1"/>
  <c r="E27" i="1"/>
  <c r="D27" i="1"/>
  <c r="H27" i="1" s="1"/>
  <c r="C27" i="1"/>
  <c r="O26" i="1"/>
  <c r="P26" i="1" s="1"/>
  <c r="N26" i="1"/>
  <c r="M26" i="1"/>
  <c r="K26" i="1"/>
  <c r="L26" i="1" s="1"/>
  <c r="J26" i="1"/>
  <c r="I26" i="1"/>
  <c r="G26" i="1"/>
  <c r="F26" i="1"/>
  <c r="E26" i="1"/>
  <c r="D26" i="1"/>
  <c r="H26" i="1" s="1"/>
  <c r="C26" i="1"/>
  <c r="P25" i="1"/>
  <c r="O25" i="1"/>
  <c r="M25" i="1"/>
  <c r="N25" i="1" s="1"/>
  <c r="L25" i="1"/>
  <c r="K25" i="1"/>
  <c r="I25" i="1"/>
  <c r="J25" i="1" s="1"/>
  <c r="G25" i="1"/>
  <c r="F25" i="1"/>
  <c r="E25" i="1"/>
  <c r="D25" i="1"/>
  <c r="H25" i="1" s="1"/>
  <c r="C25" i="1"/>
  <c r="O24" i="1"/>
  <c r="P24" i="1" s="1"/>
  <c r="N24" i="1"/>
  <c r="M24" i="1"/>
  <c r="K24" i="1"/>
  <c r="L24" i="1" s="1"/>
  <c r="J24" i="1"/>
  <c r="I24" i="1"/>
  <c r="G24" i="1"/>
  <c r="F24" i="1"/>
  <c r="E24" i="1"/>
  <c r="D24" i="1"/>
  <c r="H24" i="1" s="1"/>
  <c r="C24" i="1"/>
  <c r="P23" i="1"/>
  <c r="O23" i="1"/>
  <c r="M23" i="1"/>
  <c r="N23" i="1" s="1"/>
  <c r="L23" i="1"/>
  <c r="K23" i="1"/>
  <c r="I23" i="1"/>
  <c r="J23" i="1" s="1"/>
  <c r="G23" i="1"/>
  <c r="F23" i="1"/>
  <c r="E23" i="1"/>
  <c r="D23" i="1"/>
  <c r="H23" i="1" s="1"/>
  <c r="C23" i="1"/>
  <c r="O22" i="1"/>
  <c r="P22" i="1" s="1"/>
  <c r="N22" i="1"/>
  <c r="M22" i="1"/>
  <c r="K22" i="1"/>
  <c r="L22" i="1" s="1"/>
  <c r="J22" i="1"/>
  <c r="I22" i="1"/>
  <c r="G22" i="1"/>
  <c r="F22" i="1"/>
  <c r="E22" i="1"/>
  <c r="D22" i="1"/>
  <c r="H22" i="1" s="1"/>
  <c r="C22" i="1"/>
  <c r="P21" i="1"/>
  <c r="O21" i="1"/>
  <c r="M21" i="1"/>
  <c r="N21" i="1" s="1"/>
  <c r="L21" i="1"/>
  <c r="K21" i="1"/>
  <c r="I21" i="1"/>
  <c r="J21" i="1" s="1"/>
  <c r="G21" i="1"/>
  <c r="F21" i="1"/>
  <c r="E21" i="1"/>
  <c r="D21" i="1"/>
  <c r="H21" i="1" s="1"/>
  <c r="C21" i="1"/>
  <c r="O20" i="1"/>
  <c r="P20" i="1" s="1"/>
  <c r="N20" i="1"/>
  <c r="M20" i="1"/>
  <c r="K20" i="1"/>
  <c r="L20" i="1" s="1"/>
  <c r="J20" i="1"/>
  <c r="I20" i="1"/>
  <c r="G20" i="1"/>
  <c r="F20" i="1"/>
  <c r="E20" i="1"/>
  <c r="D20" i="1"/>
  <c r="H20" i="1" s="1"/>
  <c r="C20" i="1"/>
  <c r="P19" i="1"/>
  <c r="O19" i="1"/>
  <c r="M19" i="1"/>
  <c r="N19" i="1" s="1"/>
  <c r="K19" i="1"/>
  <c r="I19" i="1"/>
  <c r="J19" i="1" s="1"/>
  <c r="G19" i="1"/>
  <c r="F19" i="1"/>
  <c r="E19" i="1"/>
  <c r="D19" i="1"/>
  <c r="H19" i="1" s="1"/>
  <c r="C19" i="1"/>
  <c r="O18" i="1"/>
  <c r="P18" i="1" s="1"/>
  <c r="M18" i="1"/>
  <c r="N18" i="1" s="1"/>
  <c r="K18" i="1"/>
  <c r="L18" i="1" s="1"/>
  <c r="I18" i="1"/>
  <c r="J18" i="1" s="1"/>
  <c r="G18" i="1"/>
  <c r="F18" i="1"/>
  <c r="E18" i="1"/>
  <c r="D18" i="1"/>
  <c r="H18" i="1" s="1"/>
  <c r="C18" i="1"/>
  <c r="O17" i="1"/>
  <c r="P17" i="1" s="1"/>
  <c r="M17" i="1"/>
  <c r="N17" i="1" s="1"/>
  <c r="I17" i="1"/>
  <c r="J17" i="1" s="1"/>
  <c r="G17" i="1"/>
  <c r="F17" i="1"/>
  <c r="E17" i="1"/>
  <c r="D17" i="1"/>
  <c r="H17" i="1" s="1"/>
  <c r="C17" i="1"/>
  <c r="O16" i="1"/>
  <c r="P16" i="1" s="1"/>
  <c r="M16" i="1"/>
  <c r="N16" i="1" s="1"/>
  <c r="K16" i="1"/>
  <c r="L16" i="1" s="1"/>
  <c r="F16" i="1"/>
  <c r="E16" i="1"/>
  <c r="D16" i="1"/>
  <c r="C16" i="1"/>
  <c r="O15" i="1"/>
  <c r="P15" i="1" s="1"/>
  <c r="M15" i="1"/>
  <c r="N15" i="1" s="1"/>
  <c r="K15" i="1"/>
  <c r="L15" i="1" s="1"/>
  <c r="I15" i="1"/>
  <c r="J15" i="1" s="1"/>
  <c r="G15" i="1"/>
  <c r="F15" i="1"/>
  <c r="E15" i="1"/>
  <c r="D15" i="1"/>
  <c r="H15" i="1" s="1"/>
  <c r="C15" i="1"/>
  <c r="O14" i="1"/>
  <c r="P14" i="1" s="1"/>
  <c r="M14" i="1"/>
  <c r="N14" i="1" s="1"/>
  <c r="I14" i="1"/>
  <c r="J14" i="1" s="1"/>
  <c r="G14" i="1"/>
  <c r="F14" i="1"/>
  <c r="E14" i="1"/>
  <c r="D14" i="1"/>
  <c r="H14" i="1" s="1"/>
  <c r="C14" i="1"/>
  <c r="O13" i="1"/>
  <c r="P13" i="1" s="1"/>
  <c r="E13" i="1"/>
  <c r="D13" i="1"/>
  <c r="C13" i="1"/>
  <c r="O12" i="1"/>
  <c r="P12" i="1" s="1"/>
  <c r="M12" i="1"/>
  <c r="N12" i="1" s="1"/>
  <c r="K12" i="1"/>
  <c r="L12" i="1" s="1"/>
  <c r="I12" i="1"/>
  <c r="J12" i="1" s="1"/>
  <c r="G12" i="1"/>
  <c r="F12" i="1"/>
  <c r="E12" i="1"/>
  <c r="C12" i="1"/>
  <c r="K11" i="1"/>
  <c r="L11" i="1" s="1"/>
  <c r="I11" i="1"/>
  <c r="J11" i="1" s="1"/>
  <c r="E11" i="1"/>
  <c r="D11" i="1"/>
  <c r="H11" i="1" s="1"/>
  <c r="C11" i="1"/>
  <c r="M10" i="1"/>
  <c r="N10" i="1" s="1"/>
  <c r="K10" i="1"/>
  <c r="L10" i="1" s="1"/>
  <c r="I10" i="1"/>
  <c r="J10" i="1" s="1"/>
  <c r="F10" i="1"/>
  <c r="C10" i="1"/>
  <c r="O9" i="1"/>
  <c r="P9" i="1" s="1"/>
  <c r="M9" i="1"/>
  <c r="N9" i="1" s="1"/>
  <c r="C9" i="1"/>
  <c r="O8" i="1"/>
  <c r="P8" i="1" s="1"/>
  <c r="M8" i="1"/>
  <c r="N8" i="1" s="1"/>
  <c r="K8" i="1"/>
  <c r="L8" i="1" s="1"/>
  <c r="I8" i="1"/>
  <c r="J8" i="1" s="1"/>
  <c r="F8" i="1"/>
  <c r="E8" i="1"/>
  <c r="C8" i="1"/>
  <c r="O7" i="1"/>
  <c r="P7" i="1" s="1"/>
  <c r="M7" i="1"/>
  <c r="N7" i="1" s="1"/>
  <c r="I7" i="1"/>
  <c r="J7" i="1" s="1"/>
  <c r="D7" i="1"/>
  <c r="C7" i="1"/>
  <c r="O6" i="1"/>
  <c r="P6" i="1" s="1"/>
  <c r="I6" i="1"/>
  <c r="J6" i="1" s="1"/>
  <c r="C6" i="1"/>
  <c r="I5" i="1"/>
  <c r="J5" i="1" s="1"/>
  <c r="C5" i="1"/>
  <c r="M4" i="1"/>
  <c r="N4" i="1" s="1"/>
  <c r="K4" i="1"/>
  <c r="L4" i="1" s="1"/>
  <c r="I4" i="1"/>
  <c r="J4" i="1" s="1"/>
  <c r="F4" i="1"/>
  <c r="E4" i="1"/>
  <c r="C4" i="1"/>
  <c r="I3" i="1"/>
  <c r="J3" i="1" s="1"/>
  <c r="C3" i="1"/>
  <c r="O2" i="1"/>
  <c r="P2" i="1" s="1"/>
  <c r="M2" i="1"/>
  <c r="N2" i="1" s="1"/>
  <c r="K2" i="1"/>
  <c r="L2" i="1" s="1"/>
  <c r="I2" i="1"/>
  <c r="J2" i="1" s="1"/>
  <c r="F2" i="1"/>
  <c r="C2" i="1"/>
  <c r="B5" i="5" l="1" a="1"/>
  <c r="B5" i="5" s="1"/>
  <c r="G5" i="1" s="1"/>
  <c r="B8" i="5" a="1"/>
  <c r="B8" i="5" s="1"/>
  <c r="H16" i="1"/>
  <c r="R2" i="1"/>
  <c r="H2" i="1"/>
  <c r="B10" i="14" a="1"/>
  <c r="B10" i="14" s="1"/>
  <c r="T2" i="1"/>
  <c r="H5" i="1"/>
  <c r="B10" i="2" a="1"/>
  <c r="B10" i="2" s="1"/>
  <c r="H7" i="1"/>
  <c r="U2" i="1"/>
  <c r="H13" i="1"/>
  <c r="H8" i="1"/>
  <c r="H10" i="1"/>
  <c r="B10" i="10" a="1"/>
  <c r="B10" i="10" s="1"/>
  <c r="B13" i="13" a="1"/>
  <c r="B13" i="13" s="1"/>
  <c r="H38" i="1"/>
  <c r="H46" i="1"/>
  <c r="H54" i="1"/>
  <c r="B7" i="3" a="1"/>
  <c r="B7" i="3" s="1"/>
  <c r="B14" i="9"/>
  <c r="B11" i="9" a="1"/>
  <c r="B11" i="9" s="1"/>
  <c r="F9" i="1" s="1"/>
  <c r="H9" i="1" s="1"/>
  <c r="B10" i="12" a="1"/>
  <c r="B10" i="12" s="1"/>
  <c r="B13" i="11" a="1"/>
  <c r="B13" i="11" s="1"/>
  <c r="H36" i="1"/>
  <c r="H44" i="1"/>
  <c r="H52" i="1"/>
  <c r="H61" i="1"/>
  <c r="H34" i="1"/>
  <c r="H42" i="1"/>
  <c r="H50" i="1"/>
  <c r="H59" i="1"/>
  <c r="B10" i="15" a="1"/>
  <c r="B10" i="15" s="1"/>
  <c r="B10" i="18" a="1"/>
  <c r="B10" i="18" s="1"/>
  <c r="B14" i="13"/>
  <c r="B8" i="16" a="1"/>
  <c r="B8" i="16" s="1"/>
  <c r="G16" i="1" s="1"/>
  <c r="B7" i="5" a="1"/>
  <c r="B7" i="5" s="1"/>
  <c r="B10" i="5" a="1"/>
  <c r="B10" i="5" s="1"/>
  <c r="B10" i="17" a="1"/>
  <c r="B10" i="17" s="1"/>
  <c r="B10" i="24" a="1"/>
  <c r="B10" i="24" s="1"/>
  <c r="B13" i="23" a="1"/>
  <c r="B13" i="23" s="1"/>
  <c r="B10" i="28" a="1"/>
  <c r="B10" i="28" s="1"/>
  <c r="A2" i="1" l="1"/>
</calcChain>
</file>

<file path=xl/sharedStrings.xml><?xml version="1.0" encoding="utf-8"?>
<sst xmlns="http://schemas.openxmlformats.org/spreadsheetml/2006/main" count="3513" uniqueCount="134">
  <si>
    <t>Total Explants</t>
  </si>
  <si>
    <t>Variety</t>
  </si>
  <si>
    <t>Stage I #</t>
  </si>
  <si>
    <t>Stage II #</t>
  </si>
  <si>
    <t>Stage 2.5 #</t>
  </si>
  <si>
    <t>Stage III #</t>
  </si>
  <si>
    <t>Total # Explants</t>
  </si>
  <si>
    <t>Stage I Date</t>
  </si>
  <si>
    <t>Stage I Ready</t>
  </si>
  <si>
    <t>Stage II Date</t>
  </si>
  <si>
    <t>Stage II Ready</t>
  </si>
  <si>
    <t>Stage 2.5 Date</t>
  </si>
  <si>
    <t>Stage 2.5 Ready</t>
  </si>
  <si>
    <t>Stage III Date</t>
  </si>
  <si>
    <t>Stage III Ready</t>
  </si>
  <si>
    <t>Stage I</t>
  </si>
  <si>
    <t>Stage II</t>
  </si>
  <si>
    <t>Stage III</t>
  </si>
  <si>
    <t>Stage 2.5</t>
  </si>
  <si>
    <t xml:space="preserve"> </t>
  </si>
  <si>
    <t>Strain Name:</t>
  </si>
  <si>
    <t>Purple Punch</t>
  </si>
  <si>
    <t>Stage IV</t>
  </si>
  <si>
    <t>Infection</t>
  </si>
  <si>
    <t>Stage I # Explants:</t>
  </si>
  <si>
    <t>Subculture Date</t>
  </si>
  <si>
    <t># Explants</t>
  </si>
  <si>
    <t># Days in Culture</t>
  </si>
  <si>
    <t>Ready</t>
  </si>
  <si>
    <t>Date</t>
  </si>
  <si>
    <t>Stage I Date:</t>
  </si>
  <si>
    <t>Stage I Subculture</t>
  </si>
  <si>
    <t>N/A</t>
  </si>
  <si>
    <t>Stage II # Explants:</t>
  </si>
  <si>
    <t>Stage II Date:</t>
  </si>
  <si>
    <t>Stage II Subculture</t>
  </si>
  <si>
    <t>Stage III # Explants:</t>
  </si>
  <si>
    <t>Stage III Date:</t>
  </si>
  <si>
    <t>10/2/2022</t>
  </si>
  <si>
    <t>Stage III Subculture</t>
  </si>
  <si>
    <t>10/11/2022</t>
  </si>
  <si>
    <t>Stage 2.5 # Explants:</t>
  </si>
  <si>
    <t>Stage 2.5 Date:</t>
  </si>
  <si>
    <t>Stage 2.5 Subculture</t>
  </si>
  <si>
    <t>Stage IV # Explants:</t>
  </si>
  <si>
    <t>Stage IV Date:</t>
  </si>
  <si>
    <t>Cotton Candy Cookies #15</t>
  </si>
  <si>
    <t>NA</t>
  </si>
  <si>
    <t>Vanilla Wafer</t>
  </si>
  <si>
    <t>Blue Kush</t>
  </si>
  <si>
    <t>Blue Kush meristem</t>
  </si>
  <si>
    <t>PEZ</t>
  </si>
  <si>
    <t>Skittlez</t>
  </si>
  <si>
    <t>Super Silver Fusion</t>
  </si>
  <si>
    <t>Monster Profit</t>
  </si>
  <si>
    <t>PoG</t>
  </si>
  <si>
    <t>10/18/2022</t>
  </si>
  <si>
    <t>Chem Valley</t>
  </si>
  <si>
    <t>Banana Afghani</t>
  </si>
  <si>
    <t>Wedding Scotch</t>
  </si>
  <si>
    <t>Night Terror</t>
  </si>
  <si>
    <t>Mendo OG</t>
  </si>
  <si>
    <t>GG #4</t>
  </si>
  <si>
    <t>Sunday Brunch</t>
  </si>
  <si>
    <t>Blue Dream</t>
  </si>
  <si>
    <t>Ultra Sour</t>
  </si>
  <si>
    <t>Skunk Band</t>
  </si>
  <si>
    <t>Blueberry Kush</t>
  </si>
  <si>
    <t>Ice Cream Cake</t>
  </si>
  <si>
    <t>Platinum Garlic</t>
  </si>
  <si>
    <t>10/6/2022</t>
  </si>
  <si>
    <t>10/5/2022</t>
  </si>
  <si>
    <t>10/06/2022</t>
  </si>
  <si>
    <t>Mimosa</t>
  </si>
  <si>
    <t>Titty Sprinkles</t>
  </si>
  <si>
    <t>10/10/2022</t>
  </si>
  <si>
    <t>GDP</t>
  </si>
  <si>
    <t>Mimosa V2</t>
  </si>
  <si>
    <t>Kobe</t>
  </si>
  <si>
    <t>Sol Fire</t>
  </si>
  <si>
    <t>Deep Pockets</t>
  </si>
  <si>
    <t>Black Cherry Punch</t>
  </si>
  <si>
    <t>Space Runtz</t>
  </si>
  <si>
    <t>Fruit Punch</t>
  </si>
  <si>
    <t>Runtz Muffin</t>
  </si>
  <si>
    <t>Wedding Cake</t>
  </si>
  <si>
    <t>Lemon Mints</t>
  </si>
  <si>
    <t>Jedi</t>
  </si>
  <si>
    <t>Rug Burn</t>
  </si>
  <si>
    <t>GMO</t>
  </si>
  <si>
    <t>Dirty Little Secret</t>
  </si>
  <si>
    <t>Divine Slurricane</t>
  </si>
  <si>
    <t>Mellow 2</t>
  </si>
  <si>
    <t>Slow and Sweet</t>
  </si>
  <si>
    <t>Ice Cream Cake V2</t>
  </si>
  <si>
    <t>Farmer Fire</t>
  </si>
  <si>
    <t>Sunny D</t>
  </si>
  <si>
    <t>GG1</t>
  </si>
  <si>
    <t>Member Berry</t>
  </si>
  <si>
    <t>Mendo Breath</t>
  </si>
  <si>
    <t>Goblin</t>
  </si>
  <si>
    <t>Mars Hotel</t>
  </si>
  <si>
    <t>Gas Light</t>
  </si>
  <si>
    <t>Chem D</t>
  </si>
  <si>
    <t>Dosi 33</t>
  </si>
  <si>
    <t>Blueberry</t>
  </si>
  <si>
    <t>Fire and Rain</t>
  </si>
  <si>
    <t>I95</t>
  </si>
  <si>
    <t>*20 white bacteria</t>
  </si>
  <si>
    <t xml:space="preserve">*11 yellow mold / bacteria </t>
  </si>
  <si>
    <t>*5 pink mold / bacteria</t>
  </si>
  <si>
    <t>*3 black fungus</t>
  </si>
  <si>
    <t>*10 bleached</t>
  </si>
  <si>
    <t>Apple Fritter</t>
  </si>
  <si>
    <t>Orangeade</t>
  </si>
  <si>
    <t>Wedding Pie</t>
  </si>
  <si>
    <t>SFV</t>
  </si>
  <si>
    <t>*30 white bacteria</t>
  </si>
  <si>
    <t>*20 black fungus</t>
  </si>
  <si>
    <t>*10 pink mold / bacteria</t>
  </si>
  <si>
    <t>*8 yellow mold / bacteria</t>
  </si>
  <si>
    <t>Bazooka</t>
  </si>
  <si>
    <t>93</t>
  </si>
  <si>
    <t>Pink Grapes</t>
  </si>
  <si>
    <t>156</t>
  </si>
  <si>
    <t>Grape Pie</t>
  </si>
  <si>
    <t>88</t>
  </si>
  <si>
    <t>Vapor Fuel</t>
  </si>
  <si>
    <t>80</t>
  </si>
  <si>
    <t>Lemon Gelato</t>
  </si>
  <si>
    <t>10/20/2022</t>
  </si>
  <si>
    <t>Zack</t>
  </si>
  <si>
    <t>56</t>
  </si>
  <si>
    <t>2/3/2021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</si>
</sst>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3" fillId="0" borderId="1" xfId="0" applyNumberFormat="1" applyFont="1" applyBorder="1"/>
    <xf numFmtId="0" fontId="4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4" fontId="4" fillId="0" borderId="1" xfId="0" applyNumberFormat="1" applyFont="1" applyBorder="1"/>
    <xf numFmtId="0" fontId="2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  <xf numFmtId="0" fontId="5" fillId="2" borderId="1" xfId="0" applyFont="1" applyFill="1" applyBorder="1"/>
    <xf numFmtId="1" fontId="0" fillId="0" borderId="1" xfId="0" applyNumberFormat="1" applyBorder="1"/>
    <xf numFmtId="0" fontId="6" fillId="0" borderId="1" xfId="0" applyFont="1" applyBorder="1"/>
    <xf numFmtId="0" fontId="0" fillId="0" borderId="1" xfId="0" applyBorder="1"/>
    <xf numFmtId="14" fontId="6" fillId="0" borderId="1" xfId="0" applyNumberFormat="1" applyFont="1" applyBorder="1"/>
    <xf numFmtId="0" fontId="0" fillId="0" borderId="0" xfId="0" applyAlignment="1">
      <alignment horizontal="center" wrapText="1"/>
    </xf>
    <xf numFmtId="0" fontId="2" fillId="5" borderId="1" xfId="0" applyFont="1" applyFill="1" applyBorder="1"/>
    <xf numFmtId="0" fontId="4" fillId="5" borderId="1" xfId="0" applyFont="1" applyFill="1" applyBorder="1"/>
    <xf numFmtId="0" fontId="2" fillId="6" borderId="1" xfId="0" applyFont="1" applyFill="1" applyBorder="1"/>
    <xf numFmtId="0" fontId="4" fillId="6" borderId="1" xfId="0" applyFont="1" applyFill="1" applyBorder="1"/>
    <xf numFmtId="0" fontId="0" fillId="6" borderId="1" xfId="0" applyFill="1" applyBorder="1"/>
    <xf numFmtId="0" fontId="0" fillId="0" borderId="3" xfId="0" applyBorder="1"/>
    <xf numFmtId="0" fontId="0" fillId="0" borderId="0" xfId="0"/>
    <xf numFmtId="0" fontId="0" fillId="0" borderId="4" xfId="0" applyBorder="1"/>
    <xf numFmtId="164" fontId="0" fillId="0" borderId="1" xfId="0" applyNumberFormat="1" applyBorder="1"/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63"/>
  <sheetViews>
    <sheetView topLeftCell="A27" zoomScale="85" zoomScaleNormal="85" workbookViewId="0">
      <selection activeCell="I62" sqref="I62"/>
    </sheetView>
  </sheetViews>
  <sheetFormatPr defaultRowHeight="15" x14ac:dyDescent="0.25"/>
  <cols>
    <col min="1" max="1" width="18.7109375" style="27" bestFit="1" customWidth="1"/>
    <col min="3" max="3" width="28.7109375" style="27" bestFit="1" customWidth="1"/>
    <col min="4" max="4" width="8.5703125" style="27" bestFit="1" customWidth="1"/>
    <col min="5" max="5" width="9.28515625" style="27" bestFit="1" customWidth="1"/>
    <col min="6" max="8" width="14.28515625" style="27" bestFit="1" customWidth="1"/>
    <col min="9" max="9" width="12.28515625" style="27" bestFit="1" customWidth="1"/>
    <col min="10" max="10" width="13.140625" style="27" bestFit="1" customWidth="1"/>
    <col min="11" max="11" width="14.42578125" style="27" bestFit="1" customWidth="1"/>
    <col min="12" max="13" width="13.5703125" style="27" bestFit="1" customWidth="1"/>
    <col min="14" max="14" width="14.42578125" style="27" bestFit="1" customWidth="1"/>
    <col min="15" max="15" width="12.140625" style="27" bestFit="1" customWidth="1"/>
    <col min="16" max="16" width="13.5703125" style="27" bestFit="1" customWidth="1"/>
    <col min="20" max="20" width="7.7109375" style="27" bestFit="1" customWidth="1"/>
    <col min="21" max="21" width="8.7109375" style="27" bestFit="1" customWidth="1"/>
  </cols>
  <sheetData>
    <row r="1" spans="1:21" ht="21" customHeight="1" x14ac:dyDescent="0.35">
      <c r="A1" s="15" t="s">
        <v>0</v>
      </c>
      <c r="C1" s="6" t="s">
        <v>1</v>
      </c>
      <c r="D1" s="4" t="s">
        <v>2</v>
      </c>
      <c r="E1" s="23" t="s">
        <v>3</v>
      </c>
      <c r="F1" s="21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23" t="s">
        <v>9</v>
      </c>
      <c r="L1" s="23" t="s">
        <v>10</v>
      </c>
      <c r="M1" s="21" t="s">
        <v>11</v>
      </c>
      <c r="N1" s="21" t="s">
        <v>12</v>
      </c>
      <c r="O1" s="5" t="s">
        <v>13</v>
      </c>
      <c r="P1" s="5" t="s">
        <v>14</v>
      </c>
      <c r="R1" s="4" t="s">
        <v>15</v>
      </c>
      <c r="S1" s="25" t="s">
        <v>16</v>
      </c>
      <c r="T1" s="5" t="s">
        <v>17</v>
      </c>
      <c r="U1" s="21" t="s">
        <v>18</v>
      </c>
    </row>
    <row r="2" spans="1:21" x14ac:dyDescent="0.25">
      <c r="A2" s="16">
        <f>SUM(R2:U2)</f>
        <v>4750</v>
      </c>
      <c r="C2" s="18" t="str">
        <f>'Purple Punch'!B1</f>
        <v>Purple Punch</v>
      </c>
      <c r="D2" s="18" t="str">
        <f>'Purple Punch'!B2</f>
        <v>N/A</v>
      </c>
      <c r="E2" s="18">
        <f>'Purple Punch'!B5</f>
        <v>5</v>
      </c>
      <c r="F2" s="18">
        <f>'Purple Punch'!B11</f>
        <v>5</v>
      </c>
      <c r="G2" s="18">
        <f>'Purple Punch'!B8</f>
        <v>28</v>
      </c>
      <c r="H2" s="18">
        <f t="shared" ref="H2:H29" si="0">SUM(D2:G2)</f>
        <v>38</v>
      </c>
      <c r="I2" s="11" t="str">
        <f>'Purple Punch'!B3</f>
        <v>N/A</v>
      </c>
      <c r="J2" s="18" t="e">
        <f t="shared" ref="J2:J33" ca="1" si="1">IF(TODAY() - I2 &gt;= 21, "Yes", "No")</f>
        <v>#VALUE!</v>
      </c>
      <c r="K2" s="11">
        <f>'Purple Punch'!B6</f>
        <v>44600</v>
      </c>
      <c r="L2" s="18" t="str">
        <f ca="1">IF(TODAY() - K2 &gt;= 28, "Yes", "No")</f>
        <v>Yes</v>
      </c>
      <c r="M2" s="11" t="str">
        <f>'Purple Punch'!B12</f>
        <v>10/11/2022</v>
      </c>
      <c r="N2" s="18" t="str">
        <f ca="1">IF(TODAY() - M2 &gt;= 28, "Yes", "No")</f>
        <v>No</v>
      </c>
      <c r="O2" s="11" t="str">
        <f>'Purple Punch'!B9</f>
        <v>10/11/2022</v>
      </c>
      <c r="P2" s="18" t="str">
        <f t="shared" ref="P2:P33" ca="1" si="2">IF(TODAY() - O2 &gt;= 28, "Yes", "No")</f>
        <v>No</v>
      </c>
      <c r="R2" s="18">
        <f>SUM(D2:D47)</f>
        <v>1881</v>
      </c>
      <c r="S2" s="18">
        <f>SUM(E2:E41)</f>
        <v>25</v>
      </c>
      <c r="T2" s="16">
        <f>SUM(G2:G42)</f>
        <v>2118</v>
      </c>
      <c r="U2" s="18">
        <f>SUM(F2:F48)</f>
        <v>726</v>
      </c>
    </row>
    <row r="3" spans="1:21" x14ac:dyDescent="0.25">
      <c r="A3" t="s">
        <v>19</v>
      </c>
      <c r="C3" s="18" t="str">
        <f>'Cotton Candy Cookies #15'!B1</f>
        <v>Cotton Candy Cookies #15</v>
      </c>
      <c r="D3" s="18" t="str">
        <f>'Cotton Candy Cookies #15'!B2</f>
        <v>NA</v>
      </c>
      <c r="E3" s="18"/>
      <c r="F3" s="18"/>
      <c r="G3" s="18">
        <f>'Cotton Candy Cookies #15'!B5</f>
        <v>88</v>
      </c>
      <c r="H3" s="18">
        <f t="shared" si="0"/>
        <v>88</v>
      </c>
      <c r="I3" s="11" t="str">
        <f>'Cotton Candy Cookies #15'!B3</f>
        <v>NA</v>
      </c>
      <c r="J3" s="18" t="e">
        <f t="shared" ca="1" si="1"/>
        <v>#VALUE!</v>
      </c>
      <c r="K3" s="18"/>
      <c r="L3" s="18"/>
      <c r="M3" s="18"/>
      <c r="N3" s="18"/>
      <c r="O3" s="11">
        <f>'Cotton Candy Cookies #15'!B6</f>
        <v>44721</v>
      </c>
      <c r="P3" s="18" t="str">
        <f t="shared" ca="1" si="2"/>
        <v>Yes</v>
      </c>
    </row>
    <row r="4" spans="1:21" x14ac:dyDescent="0.25">
      <c r="C4" s="18" t="str">
        <f>'Vanilla Wafer'!B1</f>
        <v>Vanilla Wafer</v>
      </c>
      <c r="D4" s="18" t="str">
        <f>'Vanilla Wafer'!B2</f>
        <v>N/A</v>
      </c>
      <c r="E4" s="18" t="str">
        <f>'Vanilla Wafer'!B5</f>
        <v>N/A</v>
      </c>
      <c r="F4" s="18">
        <f>'Vanilla Wafer'!B11</f>
        <v>22</v>
      </c>
      <c r="G4" s="18">
        <f>'Vanilla Wafer'!B8</f>
        <v>18</v>
      </c>
      <c r="H4" s="18">
        <f t="shared" si="0"/>
        <v>40</v>
      </c>
      <c r="I4" s="11" t="str">
        <f>'Vanilla Wafer'!B3</f>
        <v>N/A</v>
      </c>
      <c r="J4" s="18" t="e">
        <f t="shared" ca="1" si="1"/>
        <v>#VALUE!</v>
      </c>
      <c r="K4" s="11" t="str">
        <f>'Vanilla Wafer'!B6</f>
        <v>N/A</v>
      </c>
      <c r="L4" s="18" t="e">
        <f ca="1">IF(TODAY() - K4 &gt;= 28, "Yes", "No")</f>
        <v>#VALUE!</v>
      </c>
      <c r="M4" s="11">
        <f>'Vanilla Wafer'!B12</f>
        <v>44732</v>
      </c>
      <c r="N4" s="18" t="str">
        <f ca="1">IF(TODAY() - M4 &gt;= 28, "Yes", "No")</f>
        <v>Yes</v>
      </c>
      <c r="O4" s="11">
        <f>'Vanilla Wafer'!B9</f>
        <v>44732</v>
      </c>
      <c r="P4" s="18" t="str">
        <f t="shared" ca="1" si="2"/>
        <v>Yes</v>
      </c>
    </row>
    <row r="5" spans="1:21" x14ac:dyDescent="0.25">
      <c r="C5" s="18" t="str">
        <f>'Blue Kush'!B1</f>
        <v>Blue Kush</v>
      </c>
      <c r="D5" s="18" t="str">
        <f>'Blue Kush'!B2</f>
        <v>N/A</v>
      </c>
      <c r="E5" s="18"/>
      <c r="F5" s="18"/>
      <c r="G5" s="18">
        <f>'Blue Kush'!B5</f>
        <v>45</v>
      </c>
      <c r="H5" s="18">
        <f t="shared" si="0"/>
        <v>45</v>
      </c>
      <c r="I5" s="11" t="str">
        <f>'Blue Kush'!B3</f>
        <v>N/A</v>
      </c>
      <c r="J5" s="18" t="e">
        <f t="shared" ca="1" si="1"/>
        <v>#VALUE!</v>
      </c>
      <c r="K5" s="18"/>
      <c r="L5" s="18"/>
      <c r="M5" s="18"/>
      <c r="N5" s="18"/>
      <c r="O5" s="11">
        <f>'Blue Kush'!B6</f>
        <v>44592</v>
      </c>
      <c r="P5" s="18" t="str">
        <f t="shared" ca="1" si="2"/>
        <v>Yes</v>
      </c>
    </row>
    <row r="6" spans="1:21" x14ac:dyDescent="0.25">
      <c r="C6" s="18" t="str">
        <f>'Blue Kush meristem'!B1</f>
        <v>Blue Kush meristem</v>
      </c>
      <c r="D6" s="18">
        <f>'Blue Kush meristem'!B2</f>
        <v>0</v>
      </c>
      <c r="E6" s="18"/>
      <c r="F6" s="18">
        <f>'Blue Kush meristem'!B8</f>
        <v>103</v>
      </c>
      <c r="G6" s="18">
        <f>'Blue Kush meristem'!B5</f>
        <v>171</v>
      </c>
      <c r="H6" s="18">
        <f t="shared" si="0"/>
        <v>274</v>
      </c>
      <c r="I6" s="11" t="e">
        <f>'Blue Kush meristem'!B3</f>
        <v>#N/A</v>
      </c>
      <c r="J6" s="18" t="e">
        <f t="shared" ca="1" si="1"/>
        <v>#N/A</v>
      </c>
      <c r="K6" s="18"/>
      <c r="L6" s="18"/>
      <c r="M6" s="11">
        <f>'Blue Kush meristem'!B9</f>
        <v>44659</v>
      </c>
      <c r="N6" s="18" t="str">
        <f t="shared" ref="N6:N37" ca="1" si="3">IF(TODAY() - M6 &gt;= 28, "Yes", "No")</f>
        <v>Yes</v>
      </c>
      <c r="O6" s="11">
        <f>'Blue Kush meristem'!B6</f>
        <v>44659</v>
      </c>
      <c r="P6" s="18" t="str">
        <f t="shared" ca="1" si="2"/>
        <v>Yes</v>
      </c>
    </row>
    <row r="7" spans="1:21" x14ac:dyDescent="0.25">
      <c r="C7" s="18" t="str">
        <f>PEZ!B1</f>
        <v>PEZ</v>
      </c>
      <c r="D7" s="18" t="str">
        <f>PEZ!B2</f>
        <v>N/A</v>
      </c>
      <c r="E7" s="18"/>
      <c r="F7" s="18">
        <f>PEZ!B8</f>
        <v>19</v>
      </c>
      <c r="G7" s="18">
        <f>PEZ!B5</f>
        <v>26</v>
      </c>
      <c r="H7" s="18">
        <f t="shared" si="0"/>
        <v>45</v>
      </c>
      <c r="I7" s="11" t="str">
        <f>PEZ!B3</f>
        <v>N/A</v>
      </c>
      <c r="J7" s="18" t="e">
        <f t="shared" ca="1" si="1"/>
        <v>#VALUE!</v>
      </c>
      <c r="K7" s="18"/>
      <c r="L7" s="18"/>
      <c r="M7" s="11">
        <f>PEZ!B9</f>
        <v>44813</v>
      </c>
      <c r="N7" s="18" t="str">
        <f t="shared" ca="1" si="3"/>
        <v>Yes</v>
      </c>
      <c r="O7" s="11">
        <f>PEZ!B6</f>
        <v>44813</v>
      </c>
      <c r="P7" s="18" t="str">
        <f t="shared" ca="1" si="2"/>
        <v>Yes</v>
      </c>
    </row>
    <row r="8" spans="1:21" x14ac:dyDescent="0.25">
      <c r="C8" s="18" t="str">
        <f>Skittlez!B1</f>
        <v>Skittlez</v>
      </c>
      <c r="D8" s="18" t="str">
        <f>Skittlez!B2</f>
        <v>N/A</v>
      </c>
      <c r="E8" s="18">
        <f>Skittlez!B5</f>
        <v>0</v>
      </c>
      <c r="F8" s="18">
        <f>Skittlez!B11</f>
        <v>15</v>
      </c>
      <c r="G8" s="18">
        <f>Skittlez!B8</f>
        <v>106</v>
      </c>
      <c r="H8" s="18">
        <f t="shared" si="0"/>
        <v>121</v>
      </c>
      <c r="I8" s="11" t="str">
        <f>Skittlez!B3</f>
        <v>N/A</v>
      </c>
      <c r="J8" s="18" t="e">
        <f t="shared" ca="1" si="1"/>
        <v>#VALUE!</v>
      </c>
      <c r="K8" s="11" t="e">
        <f>Skittlez!B6</f>
        <v>#N/A</v>
      </c>
      <c r="L8" s="18" t="e">
        <f t="shared" ref="L8:L18" ca="1" si="4">IF(TODAY() - K8 &gt;= 28, "Yes", "No")</f>
        <v>#N/A</v>
      </c>
      <c r="M8" s="11">
        <f>Skittlez!B12</f>
        <v>44827</v>
      </c>
      <c r="N8" s="18" t="str">
        <f t="shared" ca="1" si="3"/>
        <v>No</v>
      </c>
      <c r="O8" s="11">
        <f>Skittlez!B9</f>
        <v>44827</v>
      </c>
      <c r="P8" s="18" t="str">
        <f t="shared" ca="1" si="2"/>
        <v>No</v>
      </c>
    </row>
    <row r="9" spans="1:21" x14ac:dyDescent="0.25">
      <c r="C9" s="18" t="str">
        <f>'Super Silver Fusion'!B1</f>
        <v>Super Silver Fusion</v>
      </c>
      <c r="D9" s="18" t="str">
        <f>'Super Silver Fusion'!B2</f>
        <v>N/A</v>
      </c>
      <c r="E9" s="18" t="str">
        <f>'Super Silver Fusion'!B5</f>
        <v>N/A</v>
      </c>
      <c r="F9" s="18">
        <f>'Super Silver Fusion'!B11</f>
        <v>6</v>
      </c>
      <c r="G9" s="18">
        <f>'Super Silver Fusion'!B8</f>
        <v>20</v>
      </c>
      <c r="H9" s="18">
        <f t="shared" si="0"/>
        <v>26</v>
      </c>
      <c r="I9" s="11" t="str">
        <f>'Super Silver Fusion'!B3</f>
        <v>N/A</v>
      </c>
      <c r="J9" s="18" t="e">
        <f t="shared" ca="1" si="1"/>
        <v>#VALUE!</v>
      </c>
      <c r="K9" s="11" t="str">
        <f>'Super Silver Fusion'!B6</f>
        <v>N/A</v>
      </c>
      <c r="L9" s="18" t="e">
        <f t="shared" ca="1" si="4"/>
        <v>#VALUE!</v>
      </c>
      <c r="M9" s="11">
        <f>'Super Silver Fusion'!B12</f>
        <v>44818</v>
      </c>
      <c r="N9" s="18" t="str">
        <f t="shared" ca="1" si="3"/>
        <v>Yes</v>
      </c>
      <c r="O9" s="11">
        <f>'Super Silver Fusion'!B9</f>
        <v>44818</v>
      </c>
      <c r="P9" s="18" t="str">
        <f t="shared" ca="1" si="2"/>
        <v>Yes</v>
      </c>
    </row>
    <row r="10" spans="1:21" x14ac:dyDescent="0.25">
      <c r="C10" s="17" t="str">
        <f>'Monster Profit'!B1</f>
        <v>Monster Profit</v>
      </c>
      <c r="D10" s="18" t="str">
        <f>'Monster Profit'!B2</f>
        <v>N/A</v>
      </c>
      <c r="E10" s="18" t="str">
        <f>'Monster Profit'!B5</f>
        <v>N/A</v>
      </c>
      <c r="F10" s="18">
        <f>'Monster Profit'!B11</f>
        <v>11</v>
      </c>
      <c r="G10" s="18">
        <f>'Monster Profit'!B8</f>
        <v>32</v>
      </c>
      <c r="H10" s="18">
        <f t="shared" si="0"/>
        <v>43</v>
      </c>
      <c r="I10" s="11" t="str">
        <f>'Monster Profit'!B3</f>
        <v>N/A</v>
      </c>
      <c r="J10" s="18" t="e">
        <f t="shared" ca="1" si="1"/>
        <v>#VALUE!</v>
      </c>
      <c r="K10" s="11" t="str">
        <f>'Monster Profit'!B6</f>
        <v>N/A</v>
      </c>
      <c r="L10" s="18" t="e">
        <f t="shared" ca="1" si="4"/>
        <v>#VALUE!</v>
      </c>
      <c r="M10" s="11">
        <f>'Monster Profit'!B12</f>
        <v>44825</v>
      </c>
      <c r="N10" s="18" t="str">
        <f t="shared" ca="1" si="3"/>
        <v>Yes</v>
      </c>
      <c r="O10" s="11">
        <f>'Monster Profit'!B9</f>
        <v>44825</v>
      </c>
      <c r="P10" s="18" t="str">
        <f t="shared" ca="1" si="2"/>
        <v>Yes</v>
      </c>
    </row>
    <row r="11" spans="1:21" x14ac:dyDescent="0.25">
      <c r="C11" s="17" t="str">
        <f>PoG!B1</f>
        <v>PoG</v>
      </c>
      <c r="D11" s="18" t="str">
        <f>PoG!B2</f>
        <v>N/A</v>
      </c>
      <c r="E11" s="18" t="str">
        <f>PoG!B5</f>
        <v>N/A</v>
      </c>
      <c r="F11" s="18">
        <f>PoG!B11</f>
        <v>8</v>
      </c>
      <c r="G11" s="18">
        <f>PoG!B8</f>
        <v>16</v>
      </c>
      <c r="H11" s="18">
        <f t="shared" si="0"/>
        <v>24</v>
      </c>
      <c r="I11" s="11" t="str">
        <f>PoG!B3</f>
        <v>N/A</v>
      </c>
      <c r="J11" s="18" t="e">
        <f t="shared" ca="1" si="1"/>
        <v>#VALUE!</v>
      </c>
      <c r="K11" s="11" t="str">
        <f>PoG!B6</f>
        <v>N/A</v>
      </c>
      <c r="L11" s="18" t="e">
        <f t="shared" ca="1" si="4"/>
        <v>#VALUE!</v>
      </c>
      <c r="M11" s="11" t="str">
        <f>PoG!B12</f>
        <v>10/18/2022</v>
      </c>
      <c r="N11" s="18" t="str">
        <f t="shared" ca="1" si="3"/>
        <v>No</v>
      </c>
      <c r="O11" s="11" t="str">
        <f>PoG!B9</f>
        <v>10/18/2022</v>
      </c>
      <c r="P11" s="18" t="str">
        <f t="shared" ca="1" si="2"/>
        <v>No</v>
      </c>
    </row>
    <row r="12" spans="1:21" x14ac:dyDescent="0.25">
      <c r="C12" s="17" t="str">
        <f>'Chem Valley'!B1</f>
        <v>Chem Valley</v>
      </c>
      <c r="D12" s="18" t="str">
        <f>'Chem Valley'!B2</f>
        <v>N/A</v>
      </c>
      <c r="E12" s="18">
        <f>'Chem Valley'!B5</f>
        <v>0</v>
      </c>
      <c r="F12" s="18">
        <f>'Chem Valley'!B11</f>
        <v>5</v>
      </c>
      <c r="G12" s="18">
        <f>'Chem Valley'!B8</f>
        <v>3</v>
      </c>
      <c r="H12" s="18">
        <f t="shared" si="0"/>
        <v>8</v>
      </c>
      <c r="I12" s="11" t="str">
        <f>'Chem Valley'!B3</f>
        <v>N/A</v>
      </c>
      <c r="J12" s="18" t="e">
        <f t="shared" ca="1" si="1"/>
        <v>#VALUE!</v>
      </c>
      <c r="K12" s="11" t="e">
        <f>'Chem Valley'!B6</f>
        <v>#N/A</v>
      </c>
      <c r="L12" s="18" t="e">
        <f t="shared" ca="1" si="4"/>
        <v>#N/A</v>
      </c>
      <c r="M12" s="11">
        <f>'Chem Valley'!B12</f>
        <v>44818</v>
      </c>
      <c r="N12" s="18" t="str">
        <f t="shared" ca="1" si="3"/>
        <v>Yes</v>
      </c>
      <c r="O12" s="11">
        <f>'Chem Valley'!B9</f>
        <v>44818</v>
      </c>
      <c r="P12" s="18" t="str">
        <f t="shared" ca="1" si="2"/>
        <v>Yes</v>
      </c>
    </row>
    <row r="13" spans="1:21" x14ac:dyDescent="0.25">
      <c r="C13" s="17" t="str">
        <f>'Banana Afghani'!B1</f>
        <v>Banana Afghani</v>
      </c>
      <c r="D13" s="18" t="str">
        <f>'Banana Afghani'!B2</f>
        <v>N/A</v>
      </c>
      <c r="E13" s="18">
        <f>'Banana Afghani'!B5</f>
        <v>2</v>
      </c>
      <c r="F13" s="18">
        <f>'Banana Afghani'!B11</f>
        <v>44</v>
      </c>
      <c r="G13" s="18">
        <f>'Banana Afghani'!B8</f>
        <v>9</v>
      </c>
      <c r="H13" s="18">
        <f t="shared" si="0"/>
        <v>55</v>
      </c>
      <c r="I13" s="11" t="str">
        <f>'Banana Afghani'!B3</f>
        <v>N/A</v>
      </c>
      <c r="J13" s="18" t="e">
        <f t="shared" ca="1" si="1"/>
        <v>#VALUE!</v>
      </c>
      <c r="K13" s="11">
        <f>'Banana Afghani'!B6</f>
        <v>44595</v>
      </c>
      <c r="L13" s="18" t="str">
        <f t="shared" ca="1" si="4"/>
        <v>Yes</v>
      </c>
      <c r="M13" s="11">
        <f>'Banana Afghani'!B12</f>
        <v>44818</v>
      </c>
      <c r="N13" s="18" t="str">
        <f t="shared" ca="1" si="3"/>
        <v>Yes</v>
      </c>
      <c r="O13" s="11">
        <f>'Banana Afghani'!B9</f>
        <v>44818</v>
      </c>
      <c r="P13" s="18" t="str">
        <f t="shared" ca="1" si="2"/>
        <v>Yes</v>
      </c>
    </row>
    <row r="14" spans="1:21" x14ac:dyDescent="0.25">
      <c r="C14" s="17" t="str">
        <f>'Wedding Scotch'!B1</f>
        <v>Wedding Scotch</v>
      </c>
      <c r="D14" s="18" t="str">
        <f>'Wedding Scotch'!B2</f>
        <v>N/A</v>
      </c>
      <c r="E14" s="18" t="str">
        <f>'Wedding Scotch'!B5</f>
        <v>N/A</v>
      </c>
      <c r="F14" s="18">
        <f>'Wedding Scotch'!B11</f>
        <v>1</v>
      </c>
      <c r="G14" s="18">
        <f>'Wedding Scotch'!B8</f>
        <v>11</v>
      </c>
      <c r="H14" s="18">
        <f t="shared" si="0"/>
        <v>12</v>
      </c>
      <c r="I14" s="11" t="str">
        <f>'Wedding Scotch'!B3</f>
        <v>N/A</v>
      </c>
      <c r="J14" s="18" t="e">
        <f t="shared" ca="1" si="1"/>
        <v>#VALUE!</v>
      </c>
      <c r="K14" s="11" t="str">
        <f>'Wedding Scotch'!B6</f>
        <v>N/A</v>
      </c>
      <c r="L14" s="18" t="e">
        <f t="shared" ca="1" si="4"/>
        <v>#VALUE!</v>
      </c>
      <c r="M14" s="11">
        <f>'Wedding Scotch'!B12</f>
        <v>44729</v>
      </c>
      <c r="N14" s="18" t="str">
        <f t="shared" ca="1" si="3"/>
        <v>Yes</v>
      </c>
      <c r="O14" s="11">
        <f>'Wedding Scotch'!B9</f>
        <v>44729</v>
      </c>
      <c r="P14" s="18" t="str">
        <f t="shared" ca="1" si="2"/>
        <v>Yes</v>
      </c>
    </row>
    <row r="15" spans="1:21" x14ac:dyDescent="0.25">
      <c r="C15" s="17" t="str">
        <f>'Night Terror'!B1</f>
        <v>Night Terror</v>
      </c>
      <c r="D15" s="18" t="str">
        <f>'Night Terror'!B2</f>
        <v>N/A</v>
      </c>
      <c r="E15" s="18" t="str">
        <f>'Night Terror'!B5</f>
        <v>N/A</v>
      </c>
      <c r="F15" s="18">
        <f>'Night Terror'!B11</f>
        <v>6</v>
      </c>
      <c r="G15" s="18">
        <f>'Night Terror'!B8</f>
        <v>26</v>
      </c>
      <c r="H15" s="18">
        <f t="shared" si="0"/>
        <v>32</v>
      </c>
      <c r="I15" s="11" t="str">
        <f>'Night Terror'!B3</f>
        <v>N/A</v>
      </c>
      <c r="J15" s="18" t="e">
        <f t="shared" ca="1" si="1"/>
        <v>#VALUE!</v>
      </c>
      <c r="K15" s="11" t="str">
        <f>'Night Terror'!B6</f>
        <v>N/A</v>
      </c>
      <c r="L15" s="18" t="e">
        <f t="shared" ca="1" si="4"/>
        <v>#VALUE!</v>
      </c>
      <c r="M15" s="11">
        <f>'Night Terror'!B12</f>
        <v>44823</v>
      </c>
      <c r="N15" s="18" t="str">
        <f t="shared" ca="1" si="3"/>
        <v>Yes</v>
      </c>
      <c r="O15" s="11">
        <f>'Night Terror'!B9</f>
        <v>44823</v>
      </c>
      <c r="P15" s="18" t="str">
        <f t="shared" ca="1" si="2"/>
        <v>Yes</v>
      </c>
    </row>
    <row r="16" spans="1:21" x14ac:dyDescent="0.25">
      <c r="C16" s="17" t="str">
        <f>'Mendo OG'!B1</f>
        <v>Mendo OG</v>
      </c>
      <c r="D16" s="18" t="str">
        <f>'Mendo OG'!B2</f>
        <v>N/A</v>
      </c>
      <c r="E16" s="18" t="str">
        <f>'Mendo OG'!B5</f>
        <v>N/A</v>
      </c>
      <c r="F16" s="18">
        <f>'Mendo OG'!B11</f>
        <v>33</v>
      </c>
      <c r="G16" s="18">
        <f>'Mendo OG'!B8</f>
        <v>68</v>
      </c>
      <c r="H16" s="18">
        <f t="shared" si="0"/>
        <v>101</v>
      </c>
      <c r="I16" s="11" t="str">
        <f>'Mendo OG'!B3</f>
        <v>N/A</v>
      </c>
      <c r="J16" s="18" t="e">
        <f t="shared" ca="1" si="1"/>
        <v>#VALUE!</v>
      </c>
      <c r="K16" s="11" t="str">
        <f>'Mendo OG'!B6</f>
        <v>N/A</v>
      </c>
      <c r="L16" s="18" t="e">
        <f t="shared" ca="1" si="4"/>
        <v>#VALUE!</v>
      </c>
      <c r="M16" s="11">
        <f>'Mendo OG'!B12</f>
        <v>44818</v>
      </c>
      <c r="N16" s="18" t="str">
        <f t="shared" ca="1" si="3"/>
        <v>Yes</v>
      </c>
      <c r="O16" s="11">
        <f>'Mendo OG'!B9</f>
        <v>44818</v>
      </c>
      <c r="P16" s="18" t="str">
        <f t="shared" ca="1" si="2"/>
        <v>Yes</v>
      </c>
    </row>
    <row r="17" spans="3:16" x14ac:dyDescent="0.25">
      <c r="C17" s="17" t="str">
        <f>'GG #4'!B1</f>
        <v>GG #4</v>
      </c>
      <c r="D17" s="18">
        <f>'GG #4'!B2</f>
        <v>160</v>
      </c>
      <c r="E17" s="18" t="str">
        <f>'GG #4'!B5</f>
        <v>N/A</v>
      </c>
      <c r="F17" s="18">
        <f>'GG #4'!B11</f>
        <v>5</v>
      </c>
      <c r="G17" s="18">
        <f>'GG #4'!B8</f>
        <v>10</v>
      </c>
      <c r="H17" s="18">
        <f t="shared" si="0"/>
        <v>175</v>
      </c>
      <c r="I17" s="11">
        <f>'GG #4'!B3</f>
        <v>44818</v>
      </c>
      <c r="J17" s="18" t="str">
        <f t="shared" ca="1" si="1"/>
        <v>Yes</v>
      </c>
      <c r="K17" s="11" t="str">
        <f>'GG #4'!B6</f>
        <v>N/A</v>
      </c>
      <c r="L17" s="18" t="e">
        <f t="shared" ca="1" si="4"/>
        <v>#VALUE!</v>
      </c>
      <c r="M17" s="11">
        <f>'GG #4'!B12</f>
        <v>44825</v>
      </c>
      <c r="N17" s="18" t="str">
        <f t="shared" ca="1" si="3"/>
        <v>Yes</v>
      </c>
      <c r="O17" s="11">
        <f>'GG #4'!B9</f>
        <v>44825</v>
      </c>
      <c r="P17" s="18" t="str">
        <f t="shared" ca="1" si="2"/>
        <v>Yes</v>
      </c>
    </row>
    <row r="18" spans="3:16" x14ac:dyDescent="0.25">
      <c r="C18" s="17" t="str">
        <f>'Sunday Brunch'!B1</f>
        <v>Sunday Brunch</v>
      </c>
      <c r="D18" s="18" t="str">
        <f>'Sunday Brunch'!B2</f>
        <v>N/A</v>
      </c>
      <c r="E18" s="18" t="str">
        <f>'Sunday Brunch'!B5</f>
        <v>N/A</v>
      </c>
      <c r="F18" s="18">
        <f>'Sunday Brunch'!B11</f>
        <v>13</v>
      </c>
      <c r="G18" s="18">
        <f>'Sunday Brunch'!B8</f>
        <v>60</v>
      </c>
      <c r="H18" s="18">
        <f t="shared" si="0"/>
        <v>73</v>
      </c>
      <c r="I18" s="11" t="str">
        <f>'Sunday Brunch'!B3</f>
        <v>N/A</v>
      </c>
      <c r="J18" s="18" t="e">
        <f t="shared" ca="1" si="1"/>
        <v>#VALUE!</v>
      </c>
      <c r="K18" s="11" t="str">
        <f>'Sunday Brunch'!B6</f>
        <v>N/A</v>
      </c>
      <c r="L18" s="18" t="e">
        <f t="shared" ca="1" si="4"/>
        <v>#VALUE!</v>
      </c>
      <c r="M18" s="11" t="str">
        <f>'Sunday Brunch'!B12</f>
        <v>10/2/2022</v>
      </c>
      <c r="N18" s="18" t="str">
        <f t="shared" ca="1" si="3"/>
        <v>No</v>
      </c>
      <c r="O18" s="11" t="str">
        <f>'Sunday Brunch'!B9</f>
        <v>10/2/2022</v>
      </c>
      <c r="P18" s="18" t="str">
        <f t="shared" ca="1" si="2"/>
        <v>No</v>
      </c>
    </row>
    <row r="19" spans="3:16" x14ac:dyDescent="0.25">
      <c r="C19" s="17" t="str">
        <f>'Blue Dream'!B1</f>
        <v>Blue Dream</v>
      </c>
      <c r="D19" s="18" t="str">
        <f>'Blue Dream'!B2</f>
        <v>N/A</v>
      </c>
      <c r="E19" s="18">
        <f>'Blue Dream'!B5</f>
        <v>13</v>
      </c>
      <c r="F19" s="18">
        <f>'Blue Dream'!B11</f>
        <v>4</v>
      </c>
      <c r="G19" s="18">
        <f>'Blue Dream'!B8</f>
        <v>20</v>
      </c>
      <c r="H19" s="18">
        <f t="shared" si="0"/>
        <v>37</v>
      </c>
      <c r="I19" s="11" t="str">
        <f>'Blue Dream'!B3</f>
        <v>N/A</v>
      </c>
      <c r="J19" s="18" t="e">
        <f t="shared" ca="1" si="1"/>
        <v>#VALUE!</v>
      </c>
      <c r="K19" s="11">
        <f>'Blue Dream'!B6</f>
        <v>44643</v>
      </c>
      <c r="L19" s="18"/>
      <c r="M19" s="11">
        <f>'Blue Dream'!B12</f>
        <v>44728</v>
      </c>
      <c r="N19" s="18" t="str">
        <f t="shared" ca="1" si="3"/>
        <v>Yes</v>
      </c>
      <c r="O19" s="11">
        <f>'Blue Dream'!B9</f>
        <v>44728</v>
      </c>
      <c r="P19" s="18" t="str">
        <f t="shared" ca="1" si="2"/>
        <v>Yes</v>
      </c>
    </row>
    <row r="20" spans="3:16" x14ac:dyDescent="0.25">
      <c r="C20" s="17" t="str">
        <f>'Ultra Sour'!B1</f>
        <v>Ultra Sour</v>
      </c>
      <c r="D20" s="18" t="str">
        <f>'Ultra Sour'!B2</f>
        <v>N/A</v>
      </c>
      <c r="E20" s="18" t="str">
        <f>'Ultra Sour'!B5</f>
        <v>N/A</v>
      </c>
      <c r="F20" s="18">
        <f>'Ultra Sour'!B11</f>
        <v>2</v>
      </c>
      <c r="G20" s="18">
        <f>'Ultra Sour'!B8</f>
        <v>10</v>
      </c>
      <c r="H20" s="18">
        <f t="shared" si="0"/>
        <v>12</v>
      </c>
      <c r="I20" s="11" t="str">
        <f>'Ultra Sour'!B3</f>
        <v>N/A</v>
      </c>
      <c r="J20" s="18" t="e">
        <f t="shared" ca="1" si="1"/>
        <v>#VALUE!</v>
      </c>
      <c r="K20" s="11" t="str">
        <f>'Ultra Sour'!B6</f>
        <v>N/A</v>
      </c>
      <c r="L20" s="18" t="e">
        <f t="shared" ref="L20:L56" ca="1" si="5">IF(TODAY() - K20 &gt;= 28, "Yes", "No")</f>
        <v>#VALUE!</v>
      </c>
      <c r="M20" s="11">
        <f>'Ultra Sour'!B12</f>
        <v>44813</v>
      </c>
      <c r="N20" s="18" t="str">
        <f t="shared" ca="1" si="3"/>
        <v>Yes</v>
      </c>
      <c r="O20" s="11">
        <f>'Ultra Sour'!B9</f>
        <v>44813</v>
      </c>
      <c r="P20" s="18" t="str">
        <f t="shared" ca="1" si="2"/>
        <v>Yes</v>
      </c>
    </row>
    <row r="21" spans="3:16" x14ac:dyDescent="0.25">
      <c r="C21" s="17" t="str">
        <f>'Skunk Band'!B1</f>
        <v>Skunk Band</v>
      </c>
      <c r="D21" s="18" t="str">
        <f>'Skunk Band'!B2</f>
        <v>N/A</v>
      </c>
      <c r="E21" s="18">
        <f>'Skunk Band'!B5</f>
        <v>5</v>
      </c>
      <c r="F21" s="18">
        <f>'Skunk Band'!B11</f>
        <v>34</v>
      </c>
      <c r="G21" s="18">
        <f>'Skunk Band'!B8</f>
        <v>54</v>
      </c>
      <c r="H21" s="18">
        <f t="shared" si="0"/>
        <v>93</v>
      </c>
      <c r="I21" s="11" t="str">
        <f>'Skunk Band'!B3</f>
        <v>N/A</v>
      </c>
      <c r="J21" s="18" t="e">
        <f t="shared" ca="1" si="1"/>
        <v>#VALUE!</v>
      </c>
      <c r="K21" s="11">
        <f>'Skunk Band'!B6</f>
        <v>44600</v>
      </c>
      <c r="L21" s="18" t="str">
        <f t="shared" ca="1" si="5"/>
        <v>Yes</v>
      </c>
      <c r="M21" s="11">
        <f>'Skunk Band'!B12</f>
        <v>44826</v>
      </c>
      <c r="N21" s="18" t="str">
        <f t="shared" ca="1" si="3"/>
        <v>Yes</v>
      </c>
      <c r="O21" s="11">
        <f>'Skunk Band'!B9</f>
        <v>44826</v>
      </c>
      <c r="P21" s="18" t="str">
        <f t="shared" ca="1" si="2"/>
        <v>Yes</v>
      </c>
    </row>
    <row r="22" spans="3:16" x14ac:dyDescent="0.25">
      <c r="C22" s="18" t="str">
        <f>'Blueberry Kush'!B1</f>
        <v>Blueberry Kush</v>
      </c>
      <c r="D22" s="18" t="str">
        <f>'Blueberry Kush'!B2</f>
        <v>N/A</v>
      </c>
      <c r="E22" s="18" t="str">
        <f>'Blueberry Kush'!B5</f>
        <v>N/A</v>
      </c>
      <c r="F22" s="18">
        <f>'Blueberry Kush'!B11</f>
        <v>51</v>
      </c>
      <c r="G22" s="18">
        <f>'Blueberry Kush'!B8</f>
        <v>63</v>
      </c>
      <c r="H22" s="18">
        <f t="shared" si="0"/>
        <v>114</v>
      </c>
      <c r="I22" s="11" t="str">
        <f>'Blueberry Kush'!B3</f>
        <v>N/A</v>
      </c>
      <c r="J22" s="18" t="e">
        <f t="shared" ca="1" si="1"/>
        <v>#VALUE!</v>
      </c>
      <c r="K22" s="11" t="str">
        <f>'Blueberry Kush'!B6</f>
        <v>N/A</v>
      </c>
      <c r="L22" s="18" t="e">
        <f t="shared" ca="1" si="5"/>
        <v>#VALUE!</v>
      </c>
      <c r="M22" s="11">
        <f>'Blueberry Kush'!B12</f>
        <v>44671</v>
      </c>
      <c r="N22" s="18" t="str">
        <f t="shared" ca="1" si="3"/>
        <v>Yes</v>
      </c>
      <c r="O22" s="11">
        <f>'Blueberry Kush'!B9</f>
        <v>44671</v>
      </c>
      <c r="P22" s="18" t="str">
        <f t="shared" ca="1" si="2"/>
        <v>Yes</v>
      </c>
    </row>
    <row r="23" spans="3:16" x14ac:dyDescent="0.25">
      <c r="C23" s="17" t="str">
        <f>'Ice Cream Cake'!B1</f>
        <v>Ice Cream Cake</v>
      </c>
      <c r="D23" s="17" t="str">
        <f>'Ice Cream Cake'!B2</f>
        <v>N/A</v>
      </c>
      <c r="E23" s="18">
        <f>'Ice Cream Cake'!B5</f>
        <v>0</v>
      </c>
      <c r="F23" s="18">
        <f>'Ice Cream Cake'!B11</f>
        <v>18</v>
      </c>
      <c r="G23" s="17">
        <f>'Ice Cream Cake'!B8</f>
        <v>96</v>
      </c>
      <c r="H23" s="18">
        <f t="shared" si="0"/>
        <v>114</v>
      </c>
      <c r="I23" s="19" t="str">
        <f>'Ice Cream Cake'!B3</f>
        <v>N/A</v>
      </c>
      <c r="J23" s="18" t="e">
        <f t="shared" ca="1" si="1"/>
        <v>#VALUE!</v>
      </c>
      <c r="K23" s="11" t="e">
        <f>'Ice Cream Cake'!B6</f>
        <v>#N/A</v>
      </c>
      <c r="L23" s="18" t="e">
        <f t="shared" ca="1" si="5"/>
        <v>#N/A</v>
      </c>
      <c r="M23" s="11">
        <f>'Ice Cream Cake'!B12</f>
        <v>44774</v>
      </c>
      <c r="N23" s="18" t="str">
        <f t="shared" ca="1" si="3"/>
        <v>Yes</v>
      </c>
      <c r="O23" s="19">
        <f>'Ice Cream Cake'!B9</f>
        <v>44774</v>
      </c>
      <c r="P23" s="18" t="str">
        <f t="shared" ca="1" si="2"/>
        <v>Yes</v>
      </c>
    </row>
    <row r="24" spans="3:16" x14ac:dyDescent="0.25">
      <c r="C24" s="17" t="str">
        <f>'Platinum Garlic'!B1</f>
        <v>Platinum Garlic</v>
      </c>
      <c r="D24" s="17">
        <f>'Platinum Garlic'!B2</f>
        <v>0</v>
      </c>
      <c r="E24" s="18">
        <f>'Platinum Garlic'!B5</f>
        <v>0</v>
      </c>
      <c r="F24" s="18">
        <f>'Platinum Garlic'!B11</f>
        <v>8</v>
      </c>
      <c r="G24" s="17">
        <f>'Platinum Garlic'!B8</f>
        <v>126</v>
      </c>
      <c r="H24" s="18">
        <f t="shared" si="0"/>
        <v>134</v>
      </c>
      <c r="I24" s="19" t="str">
        <f>'Platinum Garlic'!B3</f>
        <v>10/6/2022</v>
      </c>
      <c r="J24" s="18" t="str">
        <f t="shared" ca="1" si="1"/>
        <v>No</v>
      </c>
      <c r="K24" s="11" t="e">
        <f>'Platinum Garlic'!B6</f>
        <v>#N/A</v>
      </c>
      <c r="L24" s="18" t="e">
        <f t="shared" ca="1" si="5"/>
        <v>#N/A</v>
      </c>
      <c r="M24" s="11" t="str">
        <f>'Platinum Garlic'!B12</f>
        <v>10/6/2022</v>
      </c>
      <c r="N24" s="18" t="str">
        <f t="shared" ca="1" si="3"/>
        <v>No</v>
      </c>
      <c r="O24" s="19" t="str">
        <f>'Platinum Garlic'!B9</f>
        <v>10/06/2022</v>
      </c>
      <c r="P24" s="18" t="str">
        <f t="shared" ca="1" si="2"/>
        <v>No</v>
      </c>
    </row>
    <row r="25" spans="3:16" x14ac:dyDescent="0.25">
      <c r="C25" s="17" t="str">
        <f>Mimosa!B1</f>
        <v>Mimosa</v>
      </c>
      <c r="D25" s="17" t="str">
        <f>Mimosa!B2</f>
        <v>N/A</v>
      </c>
      <c r="E25" s="18" t="str">
        <f>Mimosa!B5</f>
        <v>N/A</v>
      </c>
      <c r="F25" s="18">
        <f>Mimosa!B11</f>
        <v>30</v>
      </c>
      <c r="G25" s="17">
        <f>Mimosa!B8</f>
        <v>54</v>
      </c>
      <c r="H25" s="18">
        <f t="shared" si="0"/>
        <v>84</v>
      </c>
      <c r="I25" s="19" t="str">
        <f>Mimosa!B3</f>
        <v>N/A</v>
      </c>
      <c r="J25" s="18" t="e">
        <f t="shared" ca="1" si="1"/>
        <v>#VALUE!</v>
      </c>
      <c r="K25" s="11" t="str">
        <f>Mimosa!B6</f>
        <v>N/A</v>
      </c>
      <c r="L25" s="18" t="e">
        <f t="shared" ca="1" si="5"/>
        <v>#VALUE!</v>
      </c>
      <c r="M25" s="11">
        <f>Mimosa!B12</f>
        <v>44825</v>
      </c>
      <c r="N25" s="18" t="str">
        <f t="shared" ca="1" si="3"/>
        <v>Yes</v>
      </c>
      <c r="O25" s="19">
        <f>Mimosa!B9</f>
        <v>44825</v>
      </c>
      <c r="P25" s="18" t="str">
        <f t="shared" ca="1" si="2"/>
        <v>Yes</v>
      </c>
    </row>
    <row r="26" spans="3:16" x14ac:dyDescent="0.25">
      <c r="C26" s="17" t="str">
        <f>'Titty Sprinkles'!B1</f>
        <v>Titty Sprinkles</v>
      </c>
      <c r="D26" s="17" t="str">
        <f>'Titty Sprinkles'!B2</f>
        <v>N/A</v>
      </c>
      <c r="E26" s="18" t="str">
        <f>'Titty Sprinkles'!B5</f>
        <v>N/A</v>
      </c>
      <c r="F26" s="18">
        <f>'Titty Sprinkles'!B11</f>
        <v>228</v>
      </c>
      <c r="G26" s="17">
        <f>'Titty Sprinkles'!B8</f>
        <v>648</v>
      </c>
      <c r="H26" s="18">
        <f t="shared" si="0"/>
        <v>876</v>
      </c>
      <c r="I26" s="19" t="str">
        <f>'Titty Sprinkles'!B3</f>
        <v>N/A</v>
      </c>
      <c r="J26" s="18" t="e">
        <f t="shared" ca="1" si="1"/>
        <v>#VALUE!</v>
      </c>
      <c r="K26" s="11" t="str">
        <f>'Titty Sprinkles'!B6</f>
        <v>N/A</v>
      </c>
      <c r="L26" s="18" t="e">
        <f t="shared" ca="1" si="5"/>
        <v>#VALUE!</v>
      </c>
      <c r="M26" s="11" t="str">
        <f>'Titty Sprinkles'!B12</f>
        <v>10/11/2022</v>
      </c>
      <c r="N26" s="18" t="str">
        <f t="shared" ca="1" si="3"/>
        <v>No</v>
      </c>
      <c r="O26" s="19" t="str">
        <f>'Titty Sprinkles'!B9</f>
        <v>10/11/2022</v>
      </c>
      <c r="P26" s="18" t="str">
        <f t="shared" ca="1" si="2"/>
        <v>No</v>
      </c>
    </row>
    <row r="27" spans="3:16" x14ac:dyDescent="0.25">
      <c r="C27" s="17" t="str">
        <f>GDP!B1</f>
        <v>GDP</v>
      </c>
      <c r="D27" s="17" t="str">
        <f>GDP!B2</f>
        <v>N/A</v>
      </c>
      <c r="E27" s="18" t="str">
        <f>GDP!B5</f>
        <v>N/A</v>
      </c>
      <c r="F27" s="18">
        <f>GDP!B11</f>
        <v>0</v>
      </c>
      <c r="G27" s="17">
        <f>GDP!B8</f>
        <v>8</v>
      </c>
      <c r="H27" s="18">
        <f t="shared" si="0"/>
        <v>8</v>
      </c>
      <c r="I27" s="19" t="str">
        <f>GDP!B3</f>
        <v>N/A</v>
      </c>
      <c r="J27" s="18" t="e">
        <f t="shared" ca="1" si="1"/>
        <v>#VALUE!</v>
      </c>
      <c r="K27" s="11" t="str">
        <f>GDP!B6</f>
        <v>N/A</v>
      </c>
      <c r="L27" s="18" t="e">
        <f t="shared" ca="1" si="5"/>
        <v>#VALUE!</v>
      </c>
      <c r="M27" s="11" t="e">
        <f>GDP!B12</f>
        <v>#N/A</v>
      </c>
      <c r="N27" s="18" t="e">
        <f t="shared" ca="1" si="3"/>
        <v>#N/A</v>
      </c>
      <c r="O27" s="19">
        <f>GDP!B9</f>
        <v>44644</v>
      </c>
      <c r="P27" s="18" t="str">
        <f t="shared" ca="1" si="2"/>
        <v>Yes</v>
      </c>
    </row>
    <row r="28" spans="3:16" x14ac:dyDescent="0.25">
      <c r="C28" s="17" t="str">
        <f>'Mimosa V2'!B1</f>
        <v>Mimosa V2</v>
      </c>
      <c r="D28" s="17" t="str">
        <f>'Mimosa V2'!B2</f>
        <v>N/A</v>
      </c>
      <c r="E28" s="18">
        <f>'Mimosa V2'!B5</f>
        <v>0</v>
      </c>
      <c r="F28" s="18">
        <f>'Mimosa V2'!B11</f>
        <v>26</v>
      </c>
      <c r="G28" s="17">
        <f>'Mimosa V2'!B8</f>
        <v>48</v>
      </c>
      <c r="H28" s="18">
        <f t="shared" si="0"/>
        <v>74</v>
      </c>
      <c r="I28" s="19" t="str">
        <f>'Mimosa V2'!B3</f>
        <v>N/A</v>
      </c>
      <c r="J28" s="18" t="e">
        <f t="shared" ca="1" si="1"/>
        <v>#VALUE!</v>
      </c>
      <c r="K28" s="11" t="str">
        <f>'Mimosa V2'!B6</f>
        <v>N/A</v>
      </c>
      <c r="L28" s="18" t="e">
        <f t="shared" ca="1" si="5"/>
        <v>#VALUE!</v>
      </c>
      <c r="M28" s="11">
        <f>'Mimosa V2'!B12</f>
        <v>44774</v>
      </c>
      <c r="N28" s="18" t="str">
        <f t="shared" ca="1" si="3"/>
        <v>Yes</v>
      </c>
      <c r="O28" s="19">
        <f>'Mimosa V2'!B9</f>
        <v>44774</v>
      </c>
      <c r="P28" s="18" t="str">
        <f t="shared" ca="1" si="2"/>
        <v>Yes</v>
      </c>
    </row>
    <row r="29" spans="3:16" x14ac:dyDescent="0.25">
      <c r="C29" s="17" t="str">
        <f>Kobe!B1</f>
        <v>Kobe</v>
      </c>
      <c r="D29" s="17">
        <f>Kobe!B2</f>
        <v>134</v>
      </c>
      <c r="E29" s="18" t="str">
        <f>Kobe!B5</f>
        <v>N/A</v>
      </c>
      <c r="F29" s="18">
        <f>Kobe!B11</f>
        <v>6</v>
      </c>
      <c r="G29" s="17">
        <f>Kobe!B8</f>
        <v>13</v>
      </c>
      <c r="H29" s="18">
        <f t="shared" si="0"/>
        <v>153</v>
      </c>
      <c r="I29" s="19">
        <f>Kobe!B3</f>
        <v>44818</v>
      </c>
      <c r="J29" s="18" t="str">
        <f t="shared" ca="1" si="1"/>
        <v>Yes</v>
      </c>
      <c r="K29" s="11" t="str">
        <f>Kobe!B6</f>
        <v>N/A</v>
      </c>
      <c r="L29" s="18" t="e">
        <f t="shared" ca="1" si="5"/>
        <v>#VALUE!</v>
      </c>
      <c r="M29" s="11" t="str">
        <f>Kobe!B12</f>
        <v>10/18/2022</v>
      </c>
      <c r="N29" s="18" t="str">
        <f t="shared" ca="1" si="3"/>
        <v>No</v>
      </c>
      <c r="O29" s="19" t="str">
        <f>Kobe!B9</f>
        <v>10/18/2022</v>
      </c>
      <c r="P29" s="18" t="str">
        <f t="shared" ca="1" si="2"/>
        <v>No</v>
      </c>
    </row>
    <row r="30" spans="3:16" x14ac:dyDescent="0.25">
      <c r="C30" s="17" t="str">
        <f>'Sol Fire'!B1</f>
        <v>Sol Fire</v>
      </c>
      <c r="D30" s="17" t="str">
        <f>'Sol Fire'!B2</f>
        <v>N/A</v>
      </c>
      <c r="E30" s="18">
        <f>'Sol Fire'!B5</f>
        <v>0</v>
      </c>
      <c r="F30" s="18">
        <f>'Sol Fire'!B11</f>
        <v>0</v>
      </c>
      <c r="G30" s="17">
        <f>'Sol Fire'!B8</f>
        <v>21</v>
      </c>
      <c r="H30" s="18">
        <f t="shared" ref="H30:H54" si="6">SUM(D30,F30,G30)</f>
        <v>21</v>
      </c>
      <c r="I30" s="19" t="str">
        <f>'Sol Fire'!B3</f>
        <v>N/A</v>
      </c>
      <c r="J30" s="18" t="e">
        <f t="shared" ca="1" si="1"/>
        <v>#VALUE!</v>
      </c>
      <c r="K30" s="11" t="e">
        <f>'Sol Fire'!B6</f>
        <v>#N/A</v>
      </c>
      <c r="L30" s="18" t="e">
        <f t="shared" ca="1" si="5"/>
        <v>#N/A</v>
      </c>
      <c r="M30" s="11" t="e">
        <f>'Sol Fire'!B12</f>
        <v>#N/A</v>
      </c>
      <c r="N30" s="18" t="e">
        <f t="shared" ca="1" si="3"/>
        <v>#N/A</v>
      </c>
      <c r="O30" s="19">
        <f>'Sol Fire'!B9</f>
        <v>44823</v>
      </c>
      <c r="P30" s="18" t="str">
        <f t="shared" ca="1" si="2"/>
        <v>Yes</v>
      </c>
    </row>
    <row r="31" spans="3:16" x14ac:dyDescent="0.25">
      <c r="C31" s="17" t="str">
        <f>'Deep Pockets'!B1</f>
        <v>Deep Pockets</v>
      </c>
      <c r="D31" s="17">
        <f>'Deep Pockets'!B2</f>
        <v>146</v>
      </c>
      <c r="E31" s="18">
        <f>'Deep Pockets'!B5</f>
        <v>0</v>
      </c>
      <c r="F31" s="18">
        <f>'Deep Pockets'!B11</f>
        <v>3</v>
      </c>
      <c r="G31" s="17">
        <f>'Deep Pockets'!B8</f>
        <v>13</v>
      </c>
      <c r="H31" s="18">
        <f t="shared" si="6"/>
        <v>162</v>
      </c>
      <c r="I31" s="19">
        <f>'Deep Pockets'!B3</f>
        <v>44727</v>
      </c>
      <c r="J31" s="18" t="str">
        <f t="shared" ca="1" si="1"/>
        <v>Yes</v>
      </c>
      <c r="K31" s="11" t="e">
        <f>'Deep Pockets'!B6</f>
        <v>#N/A</v>
      </c>
      <c r="L31" s="18" t="e">
        <f t="shared" ca="1" si="5"/>
        <v>#N/A</v>
      </c>
      <c r="M31" s="11" t="str">
        <f>'Deep Pockets'!B12</f>
        <v>10/18/2022</v>
      </c>
      <c r="N31" s="18" t="str">
        <f t="shared" ca="1" si="3"/>
        <v>No</v>
      </c>
      <c r="O31" s="19" t="str">
        <f>'Deep Pockets'!B9</f>
        <v>10/18/2022</v>
      </c>
      <c r="P31" s="18" t="str">
        <f t="shared" ca="1" si="2"/>
        <v>No</v>
      </c>
    </row>
    <row r="32" spans="3:16" x14ac:dyDescent="0.25">
      <c r="C32" s="17" t="str">
        <f>'Black Cherry Punch'!B1</f>
        <v>Black Cherry Punch</v>
      </c>
      <c r="D32" s="17" t="str">
        <f>'Black Cherry Punch'!B2</f>
        <v>N/A</v>
      </c>
      <c r="E32" s="18">
        <f>'Black Cherry Punch'!B5</f>
        <v>0</v>
      </c>
      <c r="F32" s="18">
        <f>'Black Cherry Punch'!B11</f>
        <v>3</v>
      </c>
      <c r="G32" s="17">
        <f>'Black Cherry Punch'!B8</f>
        <v>176</v>
      </c>
      <c r="H32" s="18">
        <f t="shared" si="6"/>
        <v>179</v>
      </c>
      <c r="I32" s="19" t="str">
        <f>'Black Cherry Punch'!B3</f>
        <v>N/A</v>
      </c>
      <c r="J32" s="18" t="e">
        <f t="shared" ca="1" si="1"/>
        <v>#VALUE!</v>
      </c>
      <c r="K32" s="11" t="e">
        <f>'Black Cherry Punch'!B6</f>
        <v>#N/A</v>
      </c>
      <c r="L32" s="18" t="e">
        <f t="shared" ca="1" si="5"/>
        <v>#N/A</v>
      </c>
      <c r="M32" s="11">
        <f>'Black Cherry Punch'!B12</f>
        <v>44721</v>
      </c>
      <c r="N32" s="18" t="str">
        <f t="shared" ca="1" si="3"/>
        <v>Yes</v>
      </c>
      <c r="O32" s="19">
        <f>'Black Cherry Punch'!B9</f>
        <v>44721</v>
      </c>
      <c r="P32" s="18" t="str">
        <f t="shared" ca="1" si="2"/>
        <v>Yes</v>
      </c>
    </row>
    <row r="33" spans="3:16" x14ac:dyDescent="0.25">
      <c r="C33" s="17" t="str">
        <f>'Space Runtz'!B1</f>
        <v>Space Runtz</v>
      </c>
      <c r="D33" s="17">
        <f>'Space Runtz'!B2</f>
        <v>160</v>
      </c>
      <c r="E33" s="18">
        <f>'Space Runtz'!B5</f>
        <v>0</v>
      </c>
      <c r="F33" s="18">
        <f>'Space Runtz'!B11</f>
        <v>0</v>
      </c>
      <c r="G33" s="17">
        <f>'Space Runtz'!B8</f>
        <v>0</v>
      </c>
      <c r="H33" s="18">
        <f t="shared" si="6"/>
        <v>160</v>
      </c>
      <c r="I33" s="19">
        <f>'Space Runtz'!B3</f>
        <v>44685</v>
      </c>
      <c r="J33" s="18" t="str">
        <f t="shared" ca="1" si="1"/>
        <v>Yes</v>
      </c>
      <c r="K33" s="11" t="e">
        <f>'Space Runtz'!B6</f>
        <v>#N/A</v>
      </c>
      <c r="L33" s="18" t="e">
        <f t="shared" ca="1" si="5"/>
        <v>#N/A</v>
      </c>
      <c r="M33" s="11" t="e">
        <f>'Space Runtz'!B12</f>
        <v>#N/A</v>
      </c>
      <c r="N33" s="18" t="e">
        <f t="shared" ca="1" si="3"/>
        <v>#N/A</v>
      </c>
      <c r="O33" s="19" t="e">
        <f>'Space Runtz'!B9</f>
        <v>#N/A</v>
      </c>
      <c r="P33" s="18" t="e">
        <f t="shared" ca="1" si="2"/>
        <v>#N/A</v>
      </c>
    </row>
    <row r="34" spans="3:16" x14ac:dyDescent="0.25">
      <c r="C34" s="17" t="str">
        <f>'Fruit Punch'!B1</f>
        <v>Fruit Punch</v>
      </c>
      <c r="D34" s="17" t="str">
        <f>'Fruit Punch'!B2</f>
        <v>N/A</v>
      </c>
      <c r="E34" s="18">
        <f>'Fruit Punch'!B5</f>
        <v>0</v>
      </c>
      <c r="F34" s="18">
        <f>'Fruit Punch'!B11</f>
        <v>1</v>
      </c>
      <c r="G34" s="17">
        <f>'Fruit Punch'!B8</f>
        <v>26</v>
      </c>
      <c r="H34" s="18">
        <f t="shared" si="6"/>
        <v>27</v>
      </c>
      <c r="I34" s="19" t="str">
        <f>'Fruit Punch'!B3</f>
        <v>N/A</v>
      </c>
      <c r="J34" s="18" t="e">
        <f t="shared" ref="J34:J65" ca="1" si="7">IF(TODAY() - I34 &gt;= 21, "Yes", "No")</f>
        <v>#VALUE!</v>
      </c>
      <c r="K34" s="11" t="e">
        <f>'Fruit Punch'!B6</f>
        <v>#N/A</v>
      </c>
      <c r="L34" s="18" t="e">
        <f t="shared" ca="1" si="5"/>
        <v>#N/A</v>
      </c>
      <c r="M34" s="11">
        <f>'Fruit Punch'!B12</f>
        <v>44721</v>
      </c>
      <c r="N34" s="18" t="str">
        <f t="shared" ca="1" si="3"/>
        <v>Yes</v>
      </c>
      <c r="O34" s="19">
        <f>'Fruit Punch'!B9</f>
        <v>44734</v>
      </c>
      <c r="P34" s="18" t="str">
        <f t="shared" ref="P34:P65" ca="1" si="8">IF(TODAY() - O34 &gt;= 28, "Yes", "No")</f>
        <v>Yes</v>
      </c>
    </row>
    <row r="35" spans="3:16" x14ac:dyDescent="0.25">
      <c r="C35" s="17" t="str">
        <f>'Runtz Muffin'!B1</f>
        <v>Runtz Muffin</v>
      </c>
      <c r="D35" s="17">
        <f>'Runtz Muffin'!B2</f>
        <v>0</v>
      </c>
      <c r="E35" s="18">
        <f>'Runtz Muffin'!B5</f>
        <v>0</v>
      </c>
      <c r="F35" s="18">
        <f>'Runtz Muffin'!B11</f>
        <v>14</v>
      </c>
      <c r="G35" s="17">
        <f>'Runtz Muffin'!B8</f>
        <v>1</v>
      </c>
      <c r="H35" s="18">
        <f t="shared" si="6"/>
        <v>15</v>
      </c>
      <c r="I35" s="19" t="str">
        <f>'Runtz Muffin'!B3</f>
        <v>N/A</v>
      </c>
      <c r="J35" s="18" t="e">
        <f t="shared" ca="1" si="7"/>
        <v>#VALUE!</v>
      </c>
      <c r="K35" s="11" t="e">
        <f>'Runtz Muffin'!B6</f>
        <v>#N/A</v>
      </c>
      <c r="L35" s="18" t="e">
        <f t="shared" ca="1" si="5"/>
        <v>#N/A</v>
      </c>
      <c r="M35" s="11" t="str">
        <f>'Runtz Muffin'!B12</f>
        <v>10/18/2022</v>
      </c>
      <c r="N35" s="18" t="str">
        <f t="shared" ca="1" si="3"/>
        <v>No</v>
      </c>
      <c r="O35" s="19" t="str">
        <f>'Runtz Muffin'!B9</f>
        <v>10/18/2022</v>
      </c>
      <c r="P35" s="18" t="str">
        <f t="shared" ca="1" si="8"/>
        <v>No</v>
      </c>
    </row>
    <row r="36" spans="3:16" x14ac:dyDescent="0.25">
      <c r="C36" s="17" t="str">
        <f>'Wedding Cake'!B1</f>
        <v>Wedding Cake</v>
      </c>
      <c r="D36" s="17">
        <f>'Wedding Cake'!B2</f>
        <v>60</v>
      </c>
      <c r="E36" s="18">
        <f>'Wedding Cake'!B5</f>
        <v>0</v>
      </c>
      <c r="F36" s="18">
        <f>'Wedding Cake'!B11</f>
        <v>0</v>
      </c>
      <c r="G36" s="17">
        <f>'Wedding Cake'!B8</f>
        <v>0</v>
      </c>
      <c r="H36" s="18">
        <f t="shared" si="6"/>
        <v>60</v>
      </c>
      <c r="I36" s="19">
        <f>'Wedding Cake'!B3</f>
        <v>44729</v>
      </c>
      <c r="J36" s="18" t="str">
        <f t="shared" ca="1" si="7"/>
        <v>Yes</v>
      </c>
      <c r="K36" s="11" t="e">
        <f>'Wedding Cake'!B6</f>
        <v>#N/A</v>
      </c>
      <c r="L36" s="18" t="e">
        <f t="shared" ca="1" si="5"/>
        <v>#N/A</v>
      </c>
      <c r="M36" s="11" t="e">
        <f>'Wedding Cake'!B12</f>
        <v>#N/A</v>
      </c>
      <c r="N36" s="18" t="e">
        <f t="shared" ca="1" si="3"/>
        <v>#N/A</v>
      </c>
      <c r="O36" s="19" t="e">
        <f>'Wedding Cake'!B9</f>
        <v>#N/A</v>
      </c>
      <c r="P36" s="18" t="e">
        <f t="shared" ca="1" si="8"/>
        <v>#N/A</v>
      </c>
    </row>
    <row r="37" spans="3:16" x14ac:dyDescent="0.25">
      <c r="C37" s="17" t="str">
        <f>'Lemon Mints'!B1</f>
        <v>Lemon Mints</v>
      </c>
      <c r="D37" s="17">
        <f>'Lemon Mints'!B2</f>
        <v>64</v>
      </c>
      <c r="E37" s="18">
        <f>'Lemon Mints'!B5</f>
        <v>0</v>
      </c>
      <c r="F37" s="18">
        <f>'Lemon Mints'!B11</f>
        <v>0</v>
      </c>
      <c r="G37" s="17">
        <f>'Lemon Mints'!B8</f>
        <v>0</v>
      </c>
      <c r="H37" s="18">
        <f t="shared" si="6"/>
        <v>64</v>
      </c>
      <c r="I37" s="19">
        <f>'Lemon Mints'!B3</f>
        <v>44729</v>
      </c>
      <c r="J37" s="18" t="str">
        <f t="shared" ca="1" si="7"/>
        <v>Yes</v>
      </c>
      <c r="K37" s="11" t="e">
        <f>'Lemon Mints'!B6</f>
        <v>#N/A</v>
      </c>
      <c r="L37" s="18" t="e">
        <f t="shared" ca="1" si="5"/>
        <v>#N/A</v>
      </c>
      <c r="M37" s="11" t="e">
        <f>'Lemon Mints'!B12</f>
        <v>#N/A</v>
      </c>
      <c r="N37" s="18" t="e">
        <f t="shared" ca="1" si="3"/>
        <v>#N/A</v>
      </c>
      <c r="O37" s="19" t="e">
        <f>'Lemon Mints'!B9</f>
        <v>#N/A</v>
      </c>
      <c r="P37" s="18" t="e">
        <f t="shared" ca="1" si="8"/>
        <v>#N/A</v>
      </c>
    </row>
    <row r="38" spans="3:16" x14ac:dyDescent="0.25">
      <c r="C38" s="17" t="str">
        <f>Jedi!B1</f>
        <v>Jedi</v>
      </c>
      <c r="D38" s="17">
        <f>Jedi!B2</f>
        <v>129</v>
      </c>
      <c r="E38" s="18">
        <f>Jedi!B5</f>
        <v>0</v>
      </c>
      <c r="F38" s="18">
        <f>Jedi!B11</f>
        <v>0</v>
      </c>
      <c r="G38" s="17">
        <f>Jedi!B8</f>
        <v>0</v>
      </c>
      <c r="H38" s="18">
        <f t="shared" si="6"/>
        <v>129</v>
      </c>
      <c r="I38" s="19">
        <f>Jedi!B3</f>
        <v>44727</v>
      </c>
      <c r="J38" s="18" t="str">
        <f t="shared" ca="1" si="7"/>
        <v>Yes</v>
      </c>
      <c r="K38" s="11" t="e">
        <f>Jedi!B6</f>
        <v>#N/A</v>
      </c>
      <c r="L38" s="18" t="e">
        <f t="shared" ca="1" si="5"/>
        <v>#N/A</v>
      </c>
      <c r="M38" s="11" t="e">
        <f>Jedi!B12</f>
        <v>#N/A</v>
      </c>
      <c r="N38" s="18" t="e">
        <f t="shared" ref="N38:N69" ca="1" si="9">IF(TODAY() - M38 &gt;= 28, "Yes", "No")</f>
        <v>#N/A</v>
      </c>
      <c r="O38" s="19" t="e">
        <f>Jedi!B9</f>
        <v>#N/A</v>
      </c>
      <c r="P38" s="18" t="e">
        <f t="shared" ca="1" si="8"/>
        <v>#N/A</v>
      </c>
    </row>
    <row r="39" spans="3:16" x14ac:dyDescent="0.25">
      <c r="C39" s="17" t="str">
        <f>'Rug Burn'!B1</f>
        <v>Rug Burn</v>
      </c>
      <c r="D39" s="17">
        <f>'Rug Burn'!B2</f>
        <v>124</v>
      </c>
      <c r="E39" s="18">
        <f>'Rug Burn'!B5</f>
        <v>0</v>
      </c>
      <c r="F39" s="18">
        <f>'Rug Burn'!B11</f>
        <v>0</v>
      </c>
      <c r="G39" s="17">
        <f>'Rug Burn'!B8</f>
        <v>0</v>
      </c>
      <c r="H39" s="18">
        <f t="shared" si="6"/>
        <v>124</v>
      </c>
      <c r="I39" s="19">
        <f>'Rug Burn'!B3</f>
        <v>44729</v>
      </c>
      <c r="J39" s="18" t="str">
        <f t="shared" ca="1" si="7"/>
        <v>Yes</v>
      </c>
      <c r="K39" s="11" t="e">
        <f>'Rug Burn'!B6</f>
        <v>#N/A</v>
      </c>
      <c r="L39" s="18" t="e">
        <f t="shared" ca="1" si="5"/>
        <v>#N/A</v>
      </c>
      <c r="M39" s="11" t="e">
        <f>'Rug Burn'!B12</f>
        <v>#N/A</v>
      </c>
      <c r="N39" s="18" t="e">
        <f t="shared" ca="1" si="9"/>
        <v>#N/A</v>
      </c>
      <c r="O39" s="19" t="e">
        <f>'Rug Burn'!B9</f>
        <v>#N/A</v>
      </c>
      <c r="P39" s="18" t="e">
        <f t="shared" ca="1" si="8"/>
        <v>#N/A</v>
      </c>
    </row>
    <row r="40" spans="3:16" x14ac:dyDescent="0.25">
      <c r="C40" s="17" t="str">
        <f>GMO!B1</f>
        <v>GMO</v>
      </c>
      <c r="D40" s="17">
        <f>GMO!B2</f>
        <v>58</v>
      </c>
      <c r="E40" s="18">
        <f>GMO!B5</f>
        <v>0</v>
      </c>
      <c r="F40" s="18">
        <f>GMO!B11</f>
        <v>2</v>
      </c>
      <c r="G40" s="17">
        <f>GMO!B8</f>
        <v>4</v>
      </c>
      <c r="H40" s="18">
        <f t="shared" si="6"/>
        <v>64</v>
      </c>
      <c r="I40" s="19">
        <f>GMO!B3</f>
        <v>44729</v>
      </c>
      <c r="J40" s="18" t="str">
        <f t="shared" ca="1" si="7"/>
        <v>Yes</v>
      </c>
      <c r="K40" s="11" t="e">
        <f>GMO!B6</f>
        <v>#N/A</v>
      </c>
      <c r="L40" s="18" t="e">
        <f t="shared" ca="1" si="5"/>
        <v>#N/A</v>
      </c>
      <c r="M40" s="11" t="str">
        <f>GMO!B12</f>
        <v>10/10/2022</v>
      </c>
      <c r="N40" s="18" t="str">
        <f t="shared" ca="1" si="9"/>
        <v>No</v>
      </c>
      <c r="O40" s="19" t="str">
        <f>GMO!B9</f>
        <v>10/10/2022</v>
      </c>
      <c r="P40" s="18" t="str">
        <f t="shared" ca="1" si="8"/>
        <v>No</v>
      </c>
    </row>
    <row r="41" spans="3:16" x14ac:dyDescent="0.25">
      <c r="C41" s="17" t="str">
        <f>'Dirty Little Secret'!B1</f>
        <v>Dirty Little Secret</v>
      </c>
      <c r="D41" s="17">
        <f>'Dirty Little Secret'!B2</f>
        <v>76</v>
      </c>
      <c r="E41" s="18">
        <f>'Dirty Little Secret'!B5</f>
        <v>0</v>
      </c>
      <c r="F41" s="18">
        <f>'Dirty Little Secret'!B11</f>
        <v>0</v>
      </c>
      <c r="G41" s="17">
        <f>'Dirty Little Secret'!B8</f>
        <v>0</v>
      </c>
      <c r="H41" s="18">
        <f t="shared" si="6"/>
        <v>76</v>
      </c>
      <c r="I41" s="19">
        <f>'Dirty Little Secret'!B3</f>
        <v>44735</v>
      </c>
      <c r="J41" s="18" t="str">
        <f t="shared" ca="1" si="7"/>
        <v>Yes</v>
      </c>
      <c r="K41" s="11" t="e">
        <f>'Dirty Little Secret'!B6</f>
        <v>#N/A</v>
      </c>
      <c r="L41" s="18" t="e">
        <f t="shared" ca="1" si="5"/>
        <v>#N/A</v>
      </c>
      <c r="M41" s="11" t="e">
        <f>'Dirty Little Secret'!B12</f>
        <v>#N/A</v>
      </c>
      <c r="N41" s="18" t="e">
        <f t="shared" ca="1" si="9"/>
        <v>#N/A</v>
      </c>
      <c r="O41" s="19" t="e">
        <f>'Dirty Little Secret'!B9</f>
        <v>#N/A</v>
      </c>
      <c r="P41" s="18" t="e">
        <f t="shared" ca="1" si="8"/>
        <v>#N/A</v>
      </c>
    </row>
    <row r="42" spans="3:16" x14ac:dyDescent="0.25">
      <c r="C42" s="17" t="str">
        <f>'Divine Slurricane'!B1</f>
        <v>Divine Slurricane</v>
      </c>
      <c r="D42" s="17">
        <f>'Divine Slurricane'!B2</f>
        <v>120</v>
      </c>
      <c r="E42" s="18">
        <f>'Divine Slurricane'!B5</f>
        <v>0</v>
      </c>
      <c r="F42" s="18">
        <f>'Divine Slurricane'!B11</f>
        <v>0</v>
      </c>
      <c r="G42" s="17">
        <f>'Divine Slurricane'!B8</f>
        <v>0</v>
      </c>
      <c r="H42" s="18">
        <f t="shared" si="6"/>
        <v>120</v>
      </c>
      <c r="I42" s="19">
        <f>'Divine Slurricane'!B3</f>
        <v>44735</v>
      </c>
      <c r="J42" s="18" t="str">
        <f t="shared" ca="1" si="7"/>
        <v>Yes</v>
      </c>
      <c r="K42" s="11" t="e">
        <f>'Divine Slurricane'!B6</f>
        <v>#N/A</v>
      </c>
      <c r="L42" s="18" t="e">
        <f t="shared" ca="1" si="5"/>
        <v>#N/A</v>
      </c>
      <c r="M42" s="11" t="e">
        <f>'Divine Slurricane'!B12</f>
        <v>#N/A</v>
      </c>
      <c r="N42" s="18" t="e">
        <f t="shared" ca="1" si="9"/>
        <v>#N/A</v>
      </c>
      <c r="O42" s="19" t="e">
        <f>'Divine Slurricane'!B9</f>
        <v>#N/A</v>
      </c>
      <c r="P42" s="18" t="e">
        <f t="shared" ca="1" si="8"/>
        <v>#N/A</v>
      </c>
    </row>
    <row r="43" spans="3:16" x14ac:dyDescent="0.25">
      <c r="C43" s="17" t="str">
        <f>'Mellow 2'!B1</f>
        <v>Mellow 2</v>
      </c>
      <c r="D43" s="17">
        <f>'Mellow 2'!B2</f>
        <v>109</v>
      </c>
      <c r="E43" s="18">
        <f>'Mellow 2'!B5</f>
        <v>0</v>
      </c>
      <c r="F43" s="18">
        <f>'Mellow 2'!B11</f>
        <v>0</v>
      </c>
      <c r="G43" s="17">
        <f>'Mellow 2'!B8</f>
        <v>0</v>
      </c>
      <c r="H43" s="18">
        <f t="shared" si="6"/>
        <v>109</v>
      </c>
      <c r="I43" s="19">
        <f>'Mellow 2'!B3</f>
        <v>44735</v>
      </c>
      <c r="J43" s="18" t="str">
        <f t="shared" ca="1" si="7"/>
        <v>Yes</v>
      </c>
      <c r="K43" s="11" t="e">
        <f>'Mellow 2'!B6</f>
        <v>#N/A</v>
      </c>
      <c r="L43" s="18" t="e">
        <f t="shared" ca="1" si="5"/>
        <v>#N/A</v>
      </c>
      <c r="M43" s="11" t="e">
        <f>'Mellow 2'!B12</f>
        <v>#N/A</v>
      </c>
      <c r="N43" s="18" t="e">
        <f t="shared" ca="1" si="9"/>
        <v>#N/A</v>
      </c>
      <c r="O43" s="19" t="e">
        <f>'Mellow 2'!B9</f>
        <v>#N/A</v>
      </c>
      <c r="P43" s="18" t="e">
        <f t="shared" ca="1" si="8"/>
        <v>#N/A</v>
      </c>
    </row>
    <row r="44" spans="3:16" x14ac:dyDescent="0.25">
      <c r="C44" s="17" t="str">
        <f>'Slow and Sweet'!B1</f>
        <v>Slow and Sweet</v>
      </c>
      <c r="D44" s="17">
        <f>'Slow and Sweet'!B2</f>
        <v>137</v>
      </c>
      <c r="E44" s="18">
        <f>'Slow and Sweet'!B5</f>
        <v>0</v>
      </c>
      <c r="F44" s="18">
        <f>'Slow and Sweet'!B11</f>
        <v>0</v>
      </c>
      <c r="G44" s="17">
        <f>'Slow and Sweet'!B8</f>
        <v>0</v>
      </c>
      <c r="H44" s="18">
        <f t="shared" si="6"/>
        <v>137</v>
      </c>
      <c r="I44" s="19">
        <f>'Slow and Sweet'!B3</f>
        <v>44735</v>
      </c>
      <c r="J44" s="18" t="str">
        <f t="shared" ca="1" si="7"/>
        <v>Yes</v>
      </c>
      <c r="K44" s="11" t="e">
        <f>'Slow and Sweet'!B6</f>
        <v>#N/A</v>
      </c>
      <c r="L44" s="18" t="e">
        <f t="shared" ca="1" si="5"/>
        <v>#N/A</v>
      </c>
      <c r="M44" s="11" t="e">
        <f>'Slow and Sweet'!B12</f>
        <v>#N/A</v>
      </c>
      <c r="N44" s="18" t="e">
        <f t="shared" ca="1" si="9"/>
        <v>#N/A</v>
      </c>
      <c r="O44" s="19" t="e">
        <f>'Slow and Sweet'!B9</f>
        <v>#N/A</v>
      </c>
      <c r="P44" s="18" t="e">
        <f t="shared" ca="1" si="8"/>
        <v>#N/A</v>
      </c>
    </row>
    <row r="45" spans="3:16" x14ac:dyDescent="0.25">
      <c r="C45" s="17" t="str">
        <f>'Ice Cream Cake V2'!B1</f>
        <v>Ice Cream Cake V2</v>
      </c>
      <c r="D45" s="17">
        <f>'Ice Cream Cake V2'!B2</f>
        <v>120</v>
      </c>
      <c r="E45" s="18">
        <f>'Ice Cream Cake V2'!B5</f>
        <v>0</v>
      </c>
      <c r="F45" s="18">
        <f>'Ice Cream Cake V2'!B11</f>
        <v>0</v>
      </c>
      <c r="G45" s="17">
        <f>'Ice Cream Cake V2'!B8</f>
        <v>0</v>
      </c>
      <c r="H45" s="18">
        <f t="shared" si="6"/>
        <v>120</v>
      </c>
      <c r="I45" s="19">
        <f>'Ice Cream Cake V2'!B3</f>
        <v>44818</v>
      </c>
      <c r="J45" s="18" t="str">
        <f t="shared" ca="1" si="7"/>
        <v>Yes</v>
      </c>
      <c r="K45" s="11" t="e">
        <f>'Ice Cream Cake V2'!B6</f>
        <v>#N/A</v>
      </c>
      <c r="L45" s="18" t="e">
        <f t="shared" ca="1" si="5"/>
        <v>#N/A</v>
      </c>
      <c r="M45" s="11" t="e">
        <f>'Ice Cream Cake V2'!B12</f>
        <v>#N/A</v>
      </c>
      <c r="N45" s="18" t="e">
        <f t="shared" ca="1" si="9"/>
        <v>#N/A</v>
      </c>
      <c r="O45" s="19" t="e">
        <f>'Ice Cream Cake V2'!B9</f>
        <v>#N/A</v>
      </c>
      <c r="P45" s="18" t="e">
        <f t="shared" ca="1" si="8"/>
        <v>#N/A</v>
      </c>
    </row>
    <row r="46" spans="3:16" x14ac:dyDescent="0.25">
      <c r="C46" s="17" t="str">
        <f>'Farmer Fire'!B1</f>
        <v>Farmer Fire</v>
      </c>
      <c r="D46" s="17">
        <f>'Farmer Fire'!B2</f>
        <v>164</v>
      </c>
      <c r="E46" s="18">
        <f>'Farmer Fire'!B5</f>
        <v>0</v>
      </c>
      <c r="F46" s="18">
        <f>'Farmer Fire'!B11</f>
        <v>0</v>
      </c>
      <c r="G46" s="17">
        <f>'Farmer Fire'!B8</f>
        <v>0</v>
      </c>
      <c r="H46" s="18">
        <f t="shared" si="6"/>
        <v>164</v>
      </c>
      <c r="I46" s="19">
        <f>'Farmer Fire'!B3</f>
        <v>44739</v>
      </c>
      <c r="J46" s="18" t="str">
        <f t="shared" ca="1" si="7"/>
        <v>Yes</v>
      </c>
      <c r="K46" s="11" t="e">
        <f>'Farmer Fire'!B6</f>
        <v>#N/A</v>
      </c>
      <c r="L46" s="18" t="e">
        <f t="shared" ca="1" si="5"/>
        <v>#N/A</v>
      </c>
      <c r="M46" s="11" t="e">
        <f>'Farmer Fire'!B12</f>
        <v>#N/A</v>
      </c>
      <c r="N46" s="18" t="e">
        <f t="shared" ca="1" si="9"/>
        <v>#N/A</v>
      </c>
      <c r="O46" s="19" t="e">
        <f>'Farmer Fire'!B9</f>
        <v>#N/A</v>
      </c>
      <c r="P46" s="18" t="e">
        <f t="shared" ca="1" si="8"/>
        <v>#N/A</v>
      </c>
    </row>
    <row r="47" spans="3:16" x14ac:dyDescent="0.25">
      <c r="C47" s="17" t="str">
        <f>'Sunny D'!B1</f>
        <v>Sunny D</v>
      </c>
      <c r="D47" s="17">
        <f>'Sunny D'!B2</f>
        <v>120</v>
      </c>
      <c r="E47" s="18">
        <f>'Sunny D'!B5</f>
        <v>0</v>
      </c>
      <c r="F47" s="18">
        <f>'Sunny D'!B11</f>
        <v>0</v>
      </c>
      <c r="G47" s="17">
        <f>'Sunny D'!B8</f>
        <v>0</v>
      </c>
      <c r="H47" s="18">
        <f t="shared" si="6"/>
        <v>120</v>
      </c>
      <c r="I47" s="19">
        <f>'Sunny D'!B3</f>
        <v>44739</v>
      </c>
      <c r="J47" s="18" t="str">
        <f t="shared" ca="1" si="7"/>
        <v>Yes</v>
      </c>
      <c r="K47" s="11" t="e">
        <f>'Sunny D'!B6</f>
        <v>#N/A</v>
      </c>
      <c r="L47" s="18" t="e">
        <f t="shared" ca="1" si="5"/>
        <v>#N/A</v>
      </c>
      <c r="M47" s="11" t="e">
        <f>'Sunny D'!B12</f>
        <v>#N/A</v>
      </c>
      <c r="N47" s="18" t="e">
        <f t="shared" ca="1" si="9"/>
        <v>#N/A</v>
      </c>
      <c r="O47" s="19" t="e">
        <f>'Sunny D'!B9</f>
        <v>#N/A</v>
      </c>
      <c r="P47" s="18" t="e">
        <f t="shared" ca="1" si="8"/>
        <v>#N/A</v>
      </c>
    </row>
    <row r="48" spans="3:16" x14ac:dyDescent="0.25">
      <c r="C48" s="17" t="str">
        <f>'GG1'!B1</f>
        <v>GG1</v>
      </c>
      <c r="D48" s="17">
        <f>'GG1'!B2</f>
        <v>240</v>
      </c>
      <c r="E48" s="18">
        <f>'GG1'!B5</f>
        <v>0</v>
      </c>
      <c r="F48" s="18">
        <f>'GG1'!B11</f>
        <v>0</v>
      </c>
      <c r="G48" s="17">
        <f>'GG1'!B8</f>
        <v>0</v>
      </c>
      <c r="H48" s="18">
        <f t="shared" si="6"/>
        <v>240</v>
      </c>
      <c r="I48" s="19">
        <f>'GG1'!B3</f>
        <v>44747</v>
      </c>
      <c r="J48" s="18" t="str">
        <f t="shared" ca="1" si="7"/>
        <v>Yes</v>
      </c>
      <c r="K48" s="11" t="e">
        <f>'GG1'!B6</f>
        <v>#N/A</v>
      </c>
      <c r="L48" s="18" t="e">
        <f t="shared" ca="1" si="5"/>
        <v>#N/A</v>
      </c>
      <c r="M48" s="11" t="e">
        <f>'GG1'!B12</f>
        <v>#N/A</v>
      </c>
      <c r="N48" s="18" t="e">
        <f t="shared" ca="1" si="9"/>
        <v>#N/A</v>
      </c>
      <c r="O48" s="19" t="e">
        <f>'GG1'!B9</f>
        <v>#N/A</v>
      </c>
      <c r="P48" s="18" t="e">
        <f t="shared" ca="1" si="8"/>
        <v>#N/A</v>
      </c>
    </row>
    <row r="49" spans="3:16" x14ac:dyDescent="0.25">
      <c r="C49" s="18" t="str">
        <f>'Member Berry'!B1</f>
        <v>Member Berry</v>
      </c>
      <c r="D49" s="18">
        <f>'Member Berry'!B2</f>
        <v>43</v>
      </c>
      <c r="E49" s="18">
        <f>'Member Berry'!B5</f>
        <v>0</v>
      </c>
      <c r="F49" s="18">
        <f>'Member Berry'!B11</f>
        <v>0</v>
      </c>
      <c r="G49" s="18">
        <f>'Member Berry'!B8</f>
        <v>0</v>
      </c>
      <c r="H49" s="18">
        <f t="shared" si="6"/>
        <v>43</v>
      </c>
      <c r="I49" s="11">
        <f>'Member Berry'!B3</f>
        <v>44747</v>
      </c>
      <c r="J49" s="18" t="str">
        <f t="shared" ca="1" si="7"/>
        <v>Yes</v>
      </c>
      <c r="K49" s="11" t="e">
        <f>'Member Berry'!B6</f>
        <v>#N/A</v>
      </c>
      <c r="L49" s="18" t="e">
        <f t="shared" ca="1" si="5"/>
        <v>#N/A</v>
      </c>
      <c r="M49" s="11" t="e">
        <f>'Member Berry'!B12</f>
        <v>#N/A</v>
      </c>
      <c r="N49" s="18" t="e">
        <f t="shared" ca="1" si="9"/>
        <v>#N/A</v>
      </c>
      <c r="O49" s="11" t="e">
        <f>'Member Berry'!B9</f>
        <v>#N/A</v>
      </c>
      <c r="P49" s="18" t="e">
        <f t="shared" ca="1" si="8"/>
        <v>#N/A</v>
      </c>
    </row>
    <row r="50" spans="3:16" x14ac:dyDescent="0.25">
      <c r="C50" s="18" t="str">
        <f>'Mendo Breath'!B1</f>
        <v>Mendo Breath</v>
      </c>
      <c r="D50" s="18">
        <f>'Mendo Breath'!B2</f>
        <v>22</v>
      </c>
      <c r="E50" s="18">
        <f>'Mendo Breath'!B5</f>
        <v>0</v>
      </c>
      <c r="F50" s="18">
        <f>'Mendo Breath'!B11</f>
        <v>0</v>
      </c>
      <c r="G50" s="18">
        <f>'Mendo Breath'!B8</f>
        <v>0</v>
      </c>
      <c r="H50" s="18">
        <f t="shared" si="6"/>
        <v>22</v>
      </c>
      <c r="I50" s="11">
        <f>'Mendo Breath'!B3</f>
        <v>44747</v>
      </c>
      <c r="J50" s="18" t="str">
        <f t="shared" ca="1" si="7"/>
        <v>Yes</v>
      </c>
      <c r="K50" s="11" t="e">
        <f>'Mendo Breath'!B6</f>
        <v>#N/A</v>
      </c>
      <c r="L50" s="18" t="e">
        <f t="shared" ca="1" si="5"/>
        <v>#N/A</v>
      </c>
      <c r="M50" s="11" t="e">
        <f>'Mendo Breath'!B12</f>
        <v>#N/A</v>
      </c>
      <c r="N50" s="18" t="e">
        <f t="shared" ca="1" si="9"/>
        <v>#N/A</v>
      </c>
      <c r="O50" s="11" t="e">
        <f>'Mendo Breath'!B9</f>
        <v>#N/A</v>
      </c>
      <c r="P50" s="18" t="e">
        <f t="shared" ca="1" si="8"/>
        <v>#N/A</v>
      </c>
    </row>
    <row r="51" spans="3:16" x14ac:dyDescent="0.25">
      <c r="C51" s="18" t="str">
        <f>Goblin!B1</f>
        <v>Goblin</v>
      </c>
      <c r="D51" s="18" t="str">
        <f>Goblin!B2</f>
        <v>N/A</v>
      </c>
      <c r="E51" s="18">
        <f>Goblin!B5</f>
        <v>0</v>
      </c>
      <c r="F51" s="18">
        <f>Goblin!B11</f>
        <v>0</v>
      </c>
      <c r="G51" s="18">
        <f>Goblin!B8</f>
        <v>38</v>
      </c>
      <c r="H51" s="18">
        <f t="shared" si="6"/>
        <v>38</v>
      </c>
      <c r="I51" s="11" t="str">
        <f>Goblin!B3</f>
        <v>N/A</v>
      </c>
      <c r="J51" s="18" t="e">
        <f t="shared" ca="1" si="7"/>
        <v>#VALUE!</v>
      </c>
      <c r="K51" s="11" t="e">
        <f>Goblin!B6</f>
        <v>#N/A</v>
      </c>
      <c r="L51" s="18" t="e">
        <f t="shared" ca="1" si="5"/>
        <v>#N/A</v>
      </c>
      <c r="M51" s="11" t="e">
        <f>Goblin!B12</f>
        <v>#N/A</v>
      </c>
      <c r="N51" s="18" t="e">
        <f t="shared" ca="1" si="9"/>
        <v>#N/A</v>
      </c>
      <c r="O51" s="11">
        <f>Goblin!B9</f>
        <v>44816</v>
      </c>
      <c r="P51" s="18" t="str">
        <f t="shared" ca="1" si="8"/>
        <v>Yes</v>
      </c>
    </row>
    <row r="52" spans="3:16" x14ac:dyDescent="0.25">
      <c r="C52" s="18" t="str">
        <f>'I95'!B1</f>
        <v>I95</v>
      </c>
      <c r="D52" s="18" t="str">
        <f>'I95'!B2</f>
        <v>N/A</v>
      </c>
      <c r="E52" s="18" t="str">
        <f>'I95'!B5</f>
        <v>N/A</v>
      </c>
      <c r="F52" s="28">
        <f>'I95'!B11</f>
        <v>2</v>
      </c>
      <c r="G52" s="18">
        <f>'I95'!B8</f>
        <v>5</v>
      </c>
      <c r="H52" s="18">
        <f t="shared" si="6"/>
        <v>7</v>
      </c>
      <c r="I52" s="11" t="str">
        <f>'I95'!B3</f>
        <v>N/A</v>
      </c>
      <c r="J52" s="18" t="e">
        <f t="shared" ca="1" si="7"/>
        <v>#VALUE!</v>
      </c>
      <c r="K52" s="11" t="str">
        <f>'I95'!B6</f>
        <v>N/A</v>
      </c>
      <c r="L52" s="18" t="e">
        <f t="shared" ca="1" si="5"/>
        <v>#VALUE!</v>
      </c>
      <c r="M52" s="11">
        <f>'I95'!B12</f>
        <v>44813</v>
      </c>
      <c r="N52" s="18" t="str">
        <f t="shared" ca="1" si="9"/>
        <v>Yes</v>
      </c>
      <c r="O52" s="11">
        <f>'I95'!B9</f>
        <v>44813</v>
      </c>
      <c r="P52" s="18" t="str">
        <f t="shared" ca="1" si="8"/>
        <v>Yes</v>
      </c>
    </row>
    <row r="53" spans="3:16" x14ac:dyDescent="0.25">
      <c r="C53" s="18" t="str">
        <f>'Apple Fritter'!B1</f>
        <v>Apple Fritter</v>
      </c>
      <c r="D53" s="18" t="str">
        <f>'Apple Fritter'!B2</f>
        <v>N/A</v>
      </c>
      <c r="E53" s="18">
        <f>'Apple Fritter'!B5</f>
        <v>0</v>
      </c>
      <c r="F53" s="18">
        <f>'Apple Fritter'!B11</f>
        <v>13</v>
      </c>
      <c r="G53" s="18">
        <f>'Apple Fritter'!B8</f>
        <v>44</v>
      </c>
      <c r="H53" s="18">
        <f t="shared" si="6"/>
        <v>57</v>
      </c>
      <c r="I53" s="11" t="str">
        <f>'Apple Fritter'!B3</f>
        <v>N/A</v>
      </c>
      <c r="J53" s="18" t="e">
        <f t="shared" ca="1" si="7"/>
        <v>#VALUE!</v>
      </c>
      <c r="K53" s="11" t="e">
        <f>'Apple Fritter'!B6</f>
        <v>#N/A</v>
      </c>
      <c r="L53" s="18" t="e">
        <f t="shared" ca="1" si="5"/>
        <v>#N/A</v>
      </c>
      <c r="M53" s="11">
        <f>'Apple Fritter'!B12</f>
        <v>44824</v>
      </c>
      <c r="N53" s="18" t="str">
        <f t="shared" ca="1" si="9"/>
        <v>Yes</v>
      </c>
      <c r="O53" s="11">
        <f>'Apple Fritter'!B9</f>
        <v>44824</v>
      </c>
      <c r="P53" s="18" t="str">
        <f t="shared" ca="1" si="8"/>
        <v>Yes</v>
      </c>
    </row>
    <row r="54" spans="3:16" x14ac:dyDescent="0.25">
      <c r="C54" s="18" t="str">
        <f>Orangeade!B1</f>
        <v>Orangeade</v>
      </c>
      <c r="D54" s="18" t="str">
        <f>Orangeade!B2</f>
        <v>N/A</v>
      </c>
      <c r="E54" s="18">
        <f>Orangeade!B5</f>
        <v>0</v>
      </c>
      <c r="F54" s="18">
        <f>Orangeade!B11</f>
        <v>0</v>
      </c>
      <c r="G54" s="18">
        <f>Orangeade!B8</f>
        <v>24</v>
      </c>
      <c r="H54" s="18">
        <f t="shared" si="6"/>
        <v>24</v>
      </c>
      <c r="I54" s="11" t="str">
        <f>Orangeade!B3</f>
        <v>N/A</v>
      </c>
      <c r="J54" s="18" t="e">
        <f t="shared" ca="1" si="7"/>
        <v>#VALUE!</v>
      </c>
      <c r="K54" s="11" t="e">
        <f>Orangeade!B6</f>
        <v>#N/A</v>
      </c>
      <c r="L54" s="18" t="e">
        <f t="shared" ca="1" si="5"/>
        <v>#N/A</v>
      </c>
      <c r="M54" s="11" t="e">
        <f>Orangeade!B12</f>
        <v>#N/A</v>
      </c>
      <c r="N54" s="18" t="e">
        <f t="shared" ca="1" si="9"/>
        <v>#N/A</v>
      </c>
      <c r="O54" s="11">
        <f>Orangeade!B9</f>
        <v>44816</v>
      </c>
      <c r="P54" s="18" t="str">
        <f t="shared" ca="1" si="8"/>
        <v>Yes</v>
      </c>
    </row>
    <row r="55" spans="3:16" x14ac:dyDescent="0.25">
      <c r="C55" s="18" t="str">
        <f>'Wedding Pie'!B1</f>
        <v>Wedding Pie</v>
      </c>
      <c r="D55" s="18" t="str">
        <f>'Wedding Pie'!B2</f>
        <v>N/A</v>
      </c>
      <c r="E55" s="18">
        <f>'Wedding Pie'!B5</f>
        <v>0</v>
      </c>
      <c r="F55" s="18">
        <f>'Wedding Pie'!B11</f>
        <v>0</v>
      </c>
      <c r="G55" s="18">
        <f>'Wedding Pie'!B8</f>
        <v>20</v>
      </c>
      <c r="H55" s="18"/>
      <c r="I55" s="11" t="str">
        <f>'Wedding Pie'!B3</f>
        <v>N/A</v>
      </c>
      <c r="J55" s="18" t="e">
        <f t="shared" ca="1" si="7"/>
        <v>#VALUE!</v>
      </c>
      <c r="K55" s="11" t="e">
        <f>'Wedding Pie'!B6</f>
        <v>#N/A</v>
      </c>
      <c r="L55" s="18" t="e">
        <f t="shared" ca="1" si="5"/>
        <v>#N/A</v>
      </c>
      <c r="M55" s="11" t="e">
        <f>'Wedding Pie'!B12</f>
        <v>#N/A</v>
      </c>
      <c r="N55" s="18" t="e">
        <f t="shared" ca="1" si="9"/>
        <v>#N/A</v>
      </c>
      <c r="O55" s="11">
        <f>'Wedding Pie'!B9</f>
        <v>44816</v>
      </c>
      <c r="P55" s="18" t="str">
        <f t="shared" ca="1" si="8"/>
        <v>Yes</v>
      </c>
    </row>
    <row r="56" spans="3:16" x14ac:dyDescent="0.25">
      <c r="C56" s="18" t="str">
        <f>SFV!B1</f>
        <v>SFV</v>
      </c>
      <c r="D56" s="18" t="str">
        <f>SFV!B2</f>
        <v>N/A</v>
      </c>
      <c r="E56" s="18" t="str">
        <f>SFV!B5</f>
        <v>N/A</v>
      </c>
      <c r="F56" s="18">
        <f>SFV!B11</f>
        <v>26</v>
      </c>
      <c r="G56" s="18">
        <f>SFV!B8</f>
        <v>54</v>
      </c>
      <c r="H56" s="18"/>
      <c r="I56" s="11" t="str">
        <f>SFV!B3</f>
        <v>N/A</v>
      </c>
      <c r="J56" s="18" t="e">
        <f t="shared" ca="1" si="7"/>
        <v>#VALUE!</v>
      </c>
      <c r="K56" s="11" t="str">
        <f>SFV!B6</f>
        <v>N/A</v>
      </c>
      <c r="L56" s="18" t="e">
        <f t="shared" ca="1" si="5"/>
        <v>#VALUE!</v>
      </c>
      <c r="M56" s="11">
        <f>SFV!B12</f>
        <v>44720</v>
      </c>
      <c r="N56" s="18" t="str">
        <f t="shared" ca="1" si="9"/>
        <v>Yes</v>
      </c>
      <c r="O56" s="11">
        <f>SFV!B9</f>
        <v>44823</v>
      </c>
      <c r="P56" s="18" t="str">
        <f t="shared" ca="1" si="8"/>
        <v>Yes</v>
      </c>
    </row>
    <row r="57" spans="3:16" x14ac:dyDescent="0.25">
      <c r="C57" s="18" t="str">
        <f>Bazooka!B1</f>
        <v>Bazooka</v>
      </c>
      <c r="D57" s="18" t="str">
        <f>Bazooka!B2</f>
        <v>93</v>
      </c>
      <c r="E57" s="18">
        <f>Bazooka!B5</f>
        <v>0</v>
      </c>
      <c r="F57" s="18">
        <f>Bazooka!B11</f>
        <v>0</v>
      </c>
      <c r="G57" s="18">
        <f>Bazooka!B8</f>
        <v>0</v>
      </c>
      <c r="H57" s="18">
        <f t="shared" ref="H57:H62" si="10">SUM(D57:G57)</f>
        <v>0</v>
      </c>
      <c r="I57" s="11" t="str">
        <f>Bazooka!B3</f>
        <v>10/11/2022</v>
      </c>
      <c r="J57" s="18" t="str">
        <f t="shared" ca="1" si="7"/>
        <v>No</v>
      </c>
      <c r="K57" s="18" t="e">
        <f>Bazooka!B6</f>
        <v>#N/A</v>
      </c>
      <c r="L57" s="18" t="e">
        <f t="shared" ref="L57:L62" ca="1" si="11">IF(TODAY() - K57 &gt;= 21, "Yes", "No")</f>
        <v>#N/A</v>
      </c>
      <c r="M57" s="18" t="e">
        <f>Bazooka!B12</f>
        <v>#N/A</v>
      </c>
      <c r="N57" s="18" t="e">
        <f t="shared" ref="N57:N62" ca="1" si="12">IF(TODAY() - M57 &gt;= 21, "Yes", "No")</f>
        <v>#N/A</v>
      </c>
      <c r="O57" s="18" t="e">
        <f>Bazooka!B9</f>
        <v>#N/A</v>
      </c>
      <c r="P57" s="18" t="e">
        <f t="shared" ref="P57:P62" ca="1" si="13">IF(TODAY() - O57 &gt;= 21, "Yes", "No")</f>
        <v>#N/A</v>
      </c>
    </row>
    <row r="58" spans="3:16" x14ac:dyDescent="0.25">
      <c r="C58" s="18" t="str">
        <f>'Pink Grapes'!B1</f>
        <v>Pink Grapes</v>
      </c>
      <c r="D58" s="18" t="str">
        <f>'Pink Grapes'!B2</f>
        <v>156</v>
      </c>
      <c r="E58" s="18">
        <f>'Pink Grapes'!B5</f>
        <v>0</v>
      </c>
      <c r="F58" s="18">
        <f>'Pink Grapes'!B11</f>
        <v>0</v>
      </c>
      <c r="G58" s="18">
        <f>'Pink Grapes'!B8</f>
        <v>0</v>
      </c>
      <c r="H58" s="18">
        <f t="shared" si="10"/>
        <v>0</v>
      </c>
      <c r="I58" s="11" t="str">
        <f>'Pink Grapes'!B3</f>
        <v>10/11/2022</v>
      </c>
      <c r="J58" s="18" t="str">
        <f t="shared" ca="1" si="7"/>
        <v>No</v>
      </c>
      <c r="K58" s="18" t="e">
        <f>'Pink Grapes'!B6</f>
        <v>#N/A</v>
      </c>
      <c r="L58" s="18" t="e">
        <f t="shared" ca="1" si="11"/>
        <v>#N/A</v>
      </c>
      <c r="M58" s="18" t="e">
        <f>'Pink Grapes'!B12</f>
        <v>#N/A</v>
      </c>
      <c r="N58" s="18" t="e">
        <f t="shared" ca="1" si="12"/>
        <v>#N/A</v>
      </c>
      <c r="O58" s="18" t="e">
        <f>'Pink Grapes'!B9</f>
        <v>#N/A</v>
      </c>
      <c r="P58" s="18" t="e">
        <f t="shared" ca="1" si="13"/>
        <v>#N/A</v>
      </c>
    </row>
    <row r="59" spans="3:16" x14ac:dyDescent="0.25">
      <c r="C59" s="18" t="str">
        <f>'Grape Pie'!B1</f>
        <v>Grape Pie</v>
      </c>
      <c r="D59" s="18" t="str">
        <f>'Grape Pie'!B2</f>
        <v>88</v>
      </c>
      <c r="E59" s="18">
        <f>'Grape Pie'!B5</f>
        <v>0</v>
      </c>
      <c r="F59" s="18">
        <f>'Grape Pie'!B11</f>
        <v>0</v>
      </c>
      <c r="G59" s="18">
        <f>'Grape Pie'!B8</f>
        <v>0</v>
      </c>
      <c r="H59" s="18">
        <f t="shared" si="10"/>
        <v>0</v>
      </c>
      <c r="I59" s="11" t="str">
        <f>'Grape Pie'!B3</f>
        <v>10/11/2022</v>
      </c>
      <c r="J59" s="18" t="str">
        <f t="shared" ca="1" si="7"/>
        <v>No</v>
      </c>
      <c r="K59" s="18" t="e">
        <f>'Grape Pie'!B6</f>
        <v>#N/A</v>
      </c>
      <c r="L59" s="18" t="e">
        <f t="shared" ca="1" si="11"/>
        <v>#N/A</v>
      </c>
      <c r="M59" s="18" t="e">
        <f>'Grape Pie'!B12</f>
        <v>#N/A</v>
      </c>
      <c r="N59" s="18" t="e">
        <f t="shared" ca="1" si="12"/>
        <v>#N/A</v>
      </c>
      <c r="O59" s="18" t="e">
        <f>'Grape Pie'!B9</f>
        <v>#N/A</v>
      </c>
      <c r="P59" s="18" t="e">
        <f t="shared" ca="1" si="13"/>
        <v>#N/A</v>
      </c>
    </row>
    <row r="60" spans="3:16" x14ac:dyDescent="0.25">
      <c r="C60" s="18" t="str">
        <f>'Vapor Fuel'!B1</f>
        <v>Vapor Fuel</v>
      </c>
      <c r="D60" s="18" t="str">
        <f>'Vapor Fuel'!B2</f>
        <v>80</v>
      </c>
      <c r="E60" s="18">
        <f>'Vapor Fuel'!B5</f>
        <v>0</v>
      </c>
      <c r="F60" s="18">
        <f>'Vapor Fuel'!B11</f>
        <v>0</v>
      </c>
      <c r="G60" s="18">
        <f>'Vapor Fuel'!B8</f>
        <v>0</v>
      </c>
      <c r="H60" s="18">
        <f t="shared" si="10"/>
        <v>0</v>
      </c>
      <c r="I60" s="11" t="str">
        <f>'Vapor Fuel'!B3</f>
        <v>10/11/2022</v>
      </c>
      <c r="J60" s="18" t="str">
        <f t="shared" ca="1" si="7"/>
        <v>No</v>
      </c>
      <c r="K60" s="18" t="e">
        <f>'Vapor Fuel'!B6</f>
        <v>#N/A</v>
      </c>
      <c r="L60" s="18" t="e">
        <f t="shared" ca="1" si="11"/>
        <v>#N/A</v>
      </c>
      <c r="M60" s="18" t="e">
        <f>'Vapor Fuel'!B12</f>
        <v>#N/A</v>
      </c>
      <c r="N60" s="18" t="e">
        <f t="shared" ca="1" si="12"/>
        <v>#N/A</v>
      </c>
      <c r="O60" s="18" t="e">
        <f>'Vapor Fuel'!B9</f>
        <v>#N/A</v>
      </c>
      <c r="P60" s="18" t="e">
        <f t="shared" ca="1" si="13"/>
        <v>#N/A</v>
      </c>
    </row>
    <row r="61" spans="3:16" x14ac:dyDescent="0.25">
      <c r="C61" s="18" t="str">
        <f>'Lemon Gelato'!B1</f>
        <v>Lemon Gelato</v>
      </c>
      <c r="D61" s="18" t="str">
        <f>'Lemon Gelato'!B2</f>
        <v>80</v>
      </c>
      <c r="E61" s="18">
        <f>'Lemon Gelato'!B5</f>
        <v>0</v>
      </c>
      <c r="F61" s="18">
        <f>'Lemon Gelato'!B11</f>
        <v>0</v>
      </c>
      <c r="G61" s="18">
        <f>'Lemon Gelato'!B8</f>
        <v>0</v>
      </c>
      <c r="H61" s="18">
        <f t="shared" si="10"/>
        <v>0</v>
      </c>
      <c r="I61" s="11" t="str">
        <f>'Lemon Gelato'!B3</f>
        <v>10/20/2022</v>
      </c>
      <c r="J61" s="18" t="str">
        <f t="shared" ca="1" si="7"/>
        <v>No</v>
      </c>
      <c r="K61" s="18" t="e">
        <f>'Lemon Gelato'!B6</f>
        <v>#N/A</v>
      </c>
      <c r="L61" s="18" t="e">
        <f t="shared" ca="1" si="11"/>
        <v>#N/A</v>
      </c>
      <c r="M61" s="18" t="e">
        <f>'Lemon Gelato'!B12</f>
        <v>#N/A</v>
      </c>
      <c r="N61" s="18" t="e">
        <f t="shared" ca="1" si="12"/>
        <v>#N/A</v>
      </c>
      <c r="O61" s="18" t="e">
        <f>'Lemon Gelato'!B9</f>
        <v>#N/A</v>
      </c>
      <c r="P61" s="18" t="e">
        <f t="shared" ca="1" si="13"/>
        <v>#N/A</v>
      </c>
    </row>
    <row r="62" spans="3:16" x14ac:dyDescent="0.25">
      <c r="C62" s="18" t="str">
        <f>Zack!B1</f>
        <v>Zack</v>
      </c>
      <c r="D62" s="18">
        <f>Zack!B2</f>
        <v>50</v>
      </c>
      <c r="E62" s="18">
        <f>Zack!B5</f>
        <v>0</v>
      </c>
      <c r="F62" s="18">
        <f>Zack!B11</f>
        <v>0</v>
      </c>
      <c r="G62" s="18">
        <f>Zack!B8</f>
        <v>0</v>
      </c>
      <c r="H62" s="18">
        <f t="shared" si="10"/>
        <v>50</v>
      </c>
      <c r="I62" s="11">
        <f>Zack!B3</f>
        <v>36193</v>
      </c>
      <c r="J62" s="18" t="str">
        <f t="shared" ca="1" si="7"/>
        <v>Yes</v>
      </c>
      <c r="K62" s="18" t="e">
        <f>Zack!B6</f>
        <v>#N/A</v>
      </c>
      <c r="L62" s="18" t="e">
        <f t="shared" ca="1" si="11"/>
        <v>#N/A</v>
      </c>
      <c r="M62" s="11" t="e">
        <f>Zack!B12</f>
        <v>#N/A</v>
      </c>
      <c r="N62" s="18" t="e">
        <f t="shared" ca="1" si="12"/>
        <v>#N/A</v>
      </c>
      <c r="O62" s="11" t="e">
        <f>Zack!B9</f>
        <v>#N/A</v>
      </c>
      <c r="P62" s="18" t="e">
        <f t="shared" ca="1" si="13"/>
        <v>#N/A</v>
      </c>
    </row>
    <row r="63" spans="3:16" x14ac:dyDescent="0.25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</sheetData>
  <conditionalFormatting sqref="N6:N8">
    <cfRule type="containsText" dxfId="69" priority="73" operator="containsText" text="Yes">
      <formula>NOT(ISERROR(SEARCH("Yes",N6)))</formula>
    </cfRule>
    <cfRule type="containsText" dxfId="68" priority="74" operator="containsText" text="No">
      <formula>NOT(ISERROR(SEARCH("No",N6)))</formula>
    </cfRule>
  </conditionalFormatting>
  <conditionalFormatting sqref="N2">
    <cfRule type="containsText" dxfId="67" priority="71" operator="containsText" text="Yes">
      <formula>NOT(ISERROR(SEARCH("Yes",N2)))</formula>
    </cfRule>
    <cfRule type="containsText" dxfId="66" priority="72" operator="containsText" text="No">
      <formula>NOT(ISERROR(SEARCH("No",N2)))</formula>
    </cfRule>
  </conditionalFormatting>
  <conditionalFormatting sqref="L4">
    <cfRule type="containsText" dxfId="65" priority="69" operator="containsText" text="Yes">
      <formula>NOT(ISERROR(SEARCH("Yes",L4)))</formula>
    </cfRule>
    <cfRule type="containsText" dxfId="64" priority="70" operator="containsText" text="No">
      <formula>NOT(ISERROR(SEARCH("No",L4)))</formula>
    </cfRule>
  </conditionalFormatting>
  <conditionalFormatting sqref="N4">
    <cfRule type="containsText" dxfId="63" priority="67" operator="containsText" text="Yes">
      <formula>NOT(ISERROR(SEARCH("Yes",N4)))</formula>
    </cfRule>
    <cfRule type="containsText" dxfId="62" priority="68" operator="containsText" text="No">
      <formula>NOT(ISERROR(SEARCH("No",N4)))</formula>
    </cfRule>
  </conditionalFormatting>
  <conditionalFormatting sqref="L10:L11">
    <cfRule type="containsText" dxfId="61" priority="65" operator="containsText" text="Yes">
      <formula>NOT(ISERROR(SEARCH("Yes",L10)))</formula>
    </cfRule>
    <cfRule type="containsText" dxfId="60" priority="66" operator="containsText" text="No">
      <formula>NOT(ISERROR(SEARCH("No",L10)))</formula>
    </cfRule>
  </conditionalFormatting>
  <conditionalFormatting sqref="N10:N11">
    <cfRule type="containsText" dxfId="59" priority="63" operator="containsText" text="Yes">
      <formula>NOT(ISERROR(SEARCH("Yes",N10)))</formula>
    </cfRule>
    <cfRule type="containsText" dxfId="58" priority="64" operator="containsText" text="No">
      <formula>NOT(ISERROR(SEARCH("No",N10)))</formula>
    </cfRule>
  </conditionalFormatting>
  <conditionalFormatting sqref="L9">
    <cfRule type="containsText" dxfId="57" priority="61" operator="containsText" text="Yes">
      <formula>NOT(ISERROR(SEARCH("Yes",L9)))</formula>
    </cfRule>
    <cfRule type="containsText" dxfId="56" priority="62" operator="containsText" text="No">
      <formula>NOT(ISERROR(SEARCH("No",L9)))</formula>
    </cfRule>
  </conditionalFormatting>
  <conditionalFormatting sqref="N9">
    <cfRule type="containsText" dxfId="55" priority="59" operator="containsText" text="Yes">
      <formula>NOT(ISERROR(SEARCH("Yes",N9)))</formula>
    </cfRule>
    <cfRule type="containsText" dxfId="54" priority="60" operator="containsText" text="No">
      <formula>NOT(ISERROR(SEARCH("No",N9)))</formula>
    </cfRule>
  </conditionalFormatting>
  <conditionalFormatting sqref="L12:L15">
    <cfRule type="containsText" dxfId="53" priority="57" operator="containsText" text="Yes">
      <formula>NOT(ISERROR(SEARCH("Yes",L12)))</formula>
    </cfRule>
    <cfRule type="containsText" dxfId="52" priority="58" operator="containsText" text="No">
      <formula>NOT(ISERROR(SEARCH("No",L12)))</formula>
    </cfRule>
  </conditionalFormatting>
  <conditionalFormatting sqref="N12:N15">
    <cfRule type="containsText" dxfId="51" priority="55" operator="containsText" text="Yes">
      <formula>NOT(ISERROR(SEARCH("Yes",N12)))</formula>
    </cfRule>
    <cfRule type="containsText" dxfId="50" priority="56" operator="containsText" text="No">
      <formula>NOT(ISERROR(SEARCH("No",N12)))</formula>
    </cfRule>
  </conditionalFormatting>
  <conditionalFormatting sqref="L17:L18">
    <cfRule type="containsText" dxfId="49" priority="53" operator="containsText" text="Yes">
      <formula>NOT(ISERROR(SEARCH("Yes",L17)))</formula>
    </cfRule>
    <cfRule type="containsText" dxfId="48" priority="54" operator="containsText" text="No">
      <formula>NOT(ISERROR(SEARCH("No",L17)))</formula>
    </cfRule>
  </conditionalFormatting>
  <conditionalFormatting sqref="N17:N19">
    <cfRule type="containsText" dxfId="47" priority="51" operator="containsText" text="Yes">
      <formula>NOT(ISERROR(SEARCH("Yes",N17)))</formula>
    </cfRule>
    <cfRule type="containsText" dxfId="46" priority="52" operator="containsText" text="No">
      <formula>NOT(ISERROR(SEARCH("No",N17)))</formula>
    </cfRule>
  </conditionalFormatting>
  <conditionalFormatting sqref="L16">
    <cfRule type="containsText" dxfId="45" priority="49" operator="containsText" text="Yes">
      <formula>NOT(ISERROR(SEARCH("Yes",L16)))</formula>
    </cfRule>
    <cfRule type="containsText" dxfId="44" priority="50" operator="containsText" text="No">
      <formula>NOT(ISERROR(SEARCH("No",L16)))</formula>
    </cfRule>
  </conditionalFormatting>
  <conditionalFormatting sqref="N16">
    <cfRule type="containsText" dxfId="43" priority="47" operator="containsText" text="Yes">
      <formula>NOT(ISERROR(SEARCH("Yes",N16)))</formula>
    </cfRule>
    <cfRule type="containsText" dxfId="42" priority="48" operator="containsText" text="No">
      <formula>NOT(ISERROR(SEARCH("No",N16)))</formula>
    </cfRule>
  </conditionalFormatting>
  <conditionalFormatting sqref="L20:L21">
    <cfRule type="containsText" dxfId="41" priority="45" operator="containsText" text="Yes">
      <formula>NOT(ISERROR(SEARCH("Yes",L20)))</formula>
    </cfRule>
    <cfRule type="containsText" dxfId="40" priority="46" operator="containsText" text="No">
      <formula>NOT(ISERROR(SEARCH("No",L20)))</formula>
    </cfRule>
  </conditionalFormatting>
  <conditionalFormatting sqref="N20:N21">
    <cfRule type="containsText" dxfId="39" priority="43" operator="containsText" text="Yes">
      <formula>NOT(ISERROR(SEARCH("Yes",N20)))</formula>
    </cfRule>
    <cfRule type="containsText" dxfId="38" priority="44" operator="containsText" text="No">
      <formula>NOT(ISERROR(SEARCH("No",N20)))</formula>
    </cfRule>
  </conditionalFormatting>
  <conditionalFormatting sqref="L22">
    <cfRule type="containsText" dxfId="37" priority="41" operator="containsText" text="Yes">
      <formula>NOT(ISERROR(SEARCH("Yes",L22)))</formula>
    </cfRule>
    <cfRule type="containsText" dxfId="36" priority="42" operator="containsText" text="No">
      <formula>NOT(ISERROR(SEARCH("No",L22)))</formula>
    </cfRule>
  </conditionalFormatting>
  <conditionalFormatting sqref="N22">
    <cfRule type="containsText" dxfId="35" priority="39" operator="containsText" text="Yes">
      <formula>NOT(ISERROR(SEARCH("Yes",N22)))</formula>
    </cfRule>
    <cfRule type="containsText" dxfId="34" priority="40" operator="containsText" text="No">
      <formula>NOT(ISERROR(SEARCH("No",N22)))</formula>
    </cfRule>
  </conditionalFormatting>
  <conditionalFormatting sqref="L23">
    <cfRule type="containsText" dxfId="33" priority="37" operator="containsText" text="Yes">
      <formula>NOT(ISERROR(SEARCH("Yes",L23)))</formula>
    </cfRule>
    <cfRule type="containsText" dxfId="32" priority="38" operator="containsText" text="No">
      <formula>NOT(ISERROR(SEARCH("No",L23)))</formula>
    </cfRule>
  </conditionalFormatting>
  <conditionalFormatting sqref="N23">
    <cfRule type="containsText" dxfId="31" priority="35" operator="containsText" text="Yes">
      <formula>NOT(ISERROR(SEARCH("Yes",N23)))</formula>
    </cfRule>
    <cfRule type="containsText" dxfId="30" priority="36" operator="containsText" text="No">
      <formula>NOT(ISERROR(SEARCH("No",N23)))</formula>
    </cfRule>
  </conditionalFormatting>
  <conditionalFormatting sqref="L26">
    <cfRule type="containsText" dxfId="29" priority="33" operator="containsText" text="Yes">
      <formula>NOT(ISERROR(SEARCH("Yes",L26)))</formula>
    </cfRule>
    <cfRule type="containsText" dxfId="28" priority="34" operator="containsText" text="No">
      <formula>NOT(ISERROR(SEARCH("No",L26)))</formula>
    </cfRule>
  </conditionalFormatting>
  <conditionalFormatting sqref="N26">
    <cfRule type="containsText" dxfId="27" priority="31" operator="containsText" text="Yes">
      <formula>NOT(ISERROR(SEARCH("Yes",N26)))</formula>
    </cfRule>
    <cfRule type="containsText" dxfId="26" priority="32" operator="containsText" text="No">
      <formula>NOT(ISERROR(SEARCH("No",N26)))</formula>
    </cfRule>
  </conditionalFormatting>
  <conditionalFormatting sqref="L25">
    <cfRule type="containsText" dxfId="25" priority="29" operator="containsText" text="Yes">
      <formula>NOT(ISERROR(SEARCH("Yes",L25)))</formula>
    </cfRule>
    <cfRule type="containsText" dxfId="24" priority="30" operator="containsText" text="No">
      <formula>NOT(ISERROR(SEARCH("No",L25)))</formula>
    </cfRule>
  </conditionalFormatting>
  <conditionalFormatting sqref="N25">
    <cfRule type="containsText" dxfId="23" priority="27" operator="containsText" text="Yes">
      <formula>NOT(ISERROR(SEARCH("Yes",N25)))</formula>
    </cfRule>
    <cfRule type="containsText" dxfId="22" priority="28" operator="containsText" text="No">
      <formula>NOT(ISERROR(SEARCH("No",N25)))</formula>
    </cfRule>
  </conditionalFormatting>
  <conditionalFormatting sqref="L24">
    <cfRule type="containsText" dxfId="21" priority="25" operator="containsText" text="Yes">
      <formula>NOT(ISERROR(SEARCH("Yes",L24)))</formula>
    </cfRule>
    <cfRule type="containsText" dxfId="20" priority="26" operator="containsText" text="No">
      <formula>NOT(ISERROR(SEARCH("No",L24)))</formula>
    </cfRule>
  </conditionalFormatting>
  <conditionalFormatting sqref="N24">
    <cfRule type="containsText" dxfId="19" priority="23" operator="containsText" text="Yes">
      <formula>NOT(ISERROR(SEARCH("Yes",N24)))</formula>
    </cfRule>
    <cfRule type="containsText" dxfId="18" priority="24" operator="containsText" text="No">
      <formula>NOT(ISERROR(SEARCH("No",N24)))</formula>
    </cfRule>
  </conditionalFormatting>
  <conditionalFormatting sqref="L2">
    <cfRule type="containsText" dxfId="17" priority="21" operator="containsText" text="Yes">
      <formula>NOT(ISERROR(SEARCH("Yes",L2)))</formula>
    </cfRule>
    <cfRule type="containsText" dxfId="16" priority="22" operator="containsText" text="No">
      <formula>NOT(ISERROR(SEARCH("No",L2)))</formula>
    </cfRule>
  </conditionalFormatting>
  <conditionalFormatting sqref="L8">
    <cfRule type="containsText" dxfId="15" priority="19" operator="containsText" text="Yes">
      <formula>NOT(ISERROR(SEARCH("Yes",L8)))</formula>
    </cfRule>
    <cfRule type="containsText" dxfId="14" priority="20" operator="containsText" text="No">
      <formula>NOT(ISERROR(SEARCH("No",L8)))</formula>
    </cfRule>
  </conditionalFormatting>
  <conditionalFormatting sqref="L27">
    <cfRule type="containsText" dxfId="13" priority="17" operator="containsText" text="Yes">
      <formula>NOT(ISERROR(SEARCH("Yes",L27)))</formula>
    </cfRule>
    <cfRule type="containsText" dxfId="12" priority="18" operator="containsText" text="No">
      <formula>NOT(ISERROR(SEARCH("No",L27)))</formula>
    </cfRule>
  </conditionalFormatting>
  <conditionalFormatting sqref="N27">
    <cfRule type="containsText" dxfId="11" priority="15" operator="containsText" text="Yes">
      <formula>NOT(ISERROR(SEARCH("Yes",N27)))</formula>
    </cfRule>
    <cfRule type="containsText" dxfId="10" priority="16" operator="containsText" text="No">
      <formula>NOT(ISERROR(SEARCH("No",N27)))</formula>
    </cfRule>
  </conditionalFormatting>
  <conditionalFormatting sqref="L28">
    <cfRule type="containsText" dxfId="9" priority="13" operator="containsText" text="Yes">
      <formula>NOT(ISERROR(SEARCH("Yes",L28)))</formula>
    </cfRule>
    <cfRule type="containsText" dxfId="8" priority="14" operator="containsText" text="No">
      <formula>NOT(ISERROR(SEARCH("No",L28)))</formula>
    </cfRule>
  </conditionalFormatting>
  <conditionalFormatting sqref="N28">
    <cfRule type="containsText" dxfId="7" priority="11" operator="containsText" text="Yes">
      <formula>NOT(ISERROR(SEARCH("Yes",N28)))</formula>
    </cfRule>
    <cfRule type="containsText" dxfId="6" priority="12" operator="containsText" text="No">
      <formula>NOT(ISERROR(SEARCH("No",N28)))</formula>
    </cfRule>
  </conditionalFormatting>
  <conditionalFormatting sqref="L29:L56">
    <cfRule type="containsText" dxfId="5" priority="9" operator="containsText" text="Yes">
      <formula>NOT(ISERROR(SEARCH("Yes",L29)))</formula>
    </cfRule>
  </conditionalFormatting>
  <conditionalFormatting sqref="N29:N56">
    <cfRule type="containsText" dxfId="4" priority="7" operator="containsText" text="Yes">
      <formula>NOT(ISERROR(SEARCH("Yes",N29)))</formula>
    </cfRule>
    <cfRule type="containsText" dxfId="3" priority="8" operator="containsText" text="No">
      <formula>NOT(ISERROR(SEARCH("No",N29)))</formula>
    </cfRule>
  </conditionalFormatting>
  <conditionalFormatting sqref="L29:L90">
    <cfRule type="containsText" dxfId="2" priority="10" operator="containsText" text="No">
      <formula>NOT(ISERROR(SEARCH("No",L29)))</formula>
    </cfRule>
  </conditionalFormatting>
  <conditionalFormatting sqref="P2:P96 J2:J96">
    <cfRule type="containsText" dxfId="1" priority="171" operator="containsText" text="No">
      <formula>NOT(ISERROR(SEARCH("No",J2)))</formula>
    </cfRule>
    <cfRule type="containsText" dxfId="0" priority="170" operator="containsText" text="Yes">
      <formula>NOT(ISERROR(SEARCH("Yes",J2)))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18"/>
  <sheetViews>
    <sheetView topLeftCell="D1" zoomScale="110" zoomScaleNormal="110" workbookViewId="0">
      <selection activeCell="P14" sqref="P14"/>
    </sheetView>
  </sheetViews>
  <sheetFormatPr defaultRowHeight="15" x14ac:dyDescent="0.25"/>
  <cols>
    <col min="1" max="1" width="21.85546875" style="27" bestFit="1" customWidth="1"/>
    <col min="2" max="2" width="22.14062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14.710937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21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44487</v>
      </c>
      <c r="E3" s="18">
        <v>200</v>
      </c>
      <c r="F3" s="18">
        <f ca="1">TODAY()-D3</f>
        <v>367</v>
      </c>
      <c r="G3" s="18" t="str">
        <f ca="1">IF(F3&gt;21, "Yes", "No")</f>
        <v>Yes</v>
      </c>
      <c r="H3" s="11">
        <v>44600</v>
      </c>
      <c r="I3" s="18">
        <f>5</f>
        <v>5</v>
      </c>
      <c r="J3" s="18">
        <f ca="1">TODAY()-H3</f>
        <v>254</v>
      </c>
      <c r="K3" s="18" t="str">
        <f ca="1">IF(J3&gt;21, "Yes", "No")</f>
        <v>Yes</v>
      </c>
      <c r="L3" s="11">
        <v>44508</v>
      </c>
      <c r="M3" s="18">
        <f>121+41</f>
        <v>162</v>
      </c>
      <c r="N3" s="18">
        <f ca="1">TODAY()-L3</f>
        <v>346</v>
      </c>
      <c r="O3" s="18" t="str">
        <f ca="1">IF(N3&gt;21, "Yes", "No")</f>
        <v>Yes</v>
      </c>
      <c r="P3" s="11">
        <v>44587</v>
      </c>
      <c r="Q3" s="18">
        <f>3+2+2+2+1</f>
        <v>10</v>
      </c>
      <c r="R3" s="18">
        <f ca="1">TODAY()-P3</f>
        <v>267</v>
      </c>
      <c r="S3" s="18" t="str">
        <f ca="1">IF(R3&gt;21, "Yes", "No")</f>
        <v>Yes</v>
      </c>
      <c r="T3" s="18"/>
      <c r="U3" s="18"/>
      <c r="V3" s="18"/>
      <c r="W3" s="18"/>
      <c r="Y3" s="12">
        <v>44533</v>
      </c>
      <c r="Z3" s="18">
        <v>36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8" t="s">
        <v>32</v>
      </c>
      <c r="G4" s="18" t="s">
        <v>32</v>
      </c>
      <c r="H4" s="13"/>
      <c r="I4" s="14"/>
      <c r="J4" s="14"/>
      <c r="K4" s="14"/>
      <c r="L4" s="11"/>
      <c r="M4" s="18">
        <f>M3-36</f>
        <v>126</v>
      </c>
      <c r="N4" s="18"/>
      <c r="O4" s="18"/>
      <c r="P4" s="11">
        <v>44600</v>
      </c>
      <c r="Q4" s="18">
        <f>10+9+2+19+25</f>
        <v>65</v>
      </c>
      <c r="R4" s="18">
        <f ca="1">TODAY()-P4</f>
        <v>254</v>
      </c>
      <c r="S4" s="18" t="str">
        <f ca="1">IF(R4&gt;21, "Yes", "No")</f>
        <v>Yes</v>
      </c>
      <c r="T4" s="18"/>
      <c r="U4" s="18"/>
      <c r="V4" s="18"/>
      <c r="W4" s="18"/>
      <c r="Y4" s="12">
        <v>44550</v>
      </c>
      <c r="Z4" s="18"/>
      <c r="AA4" s="18"/>
      <c r="AB4" s="18">
        <f>21+9+10+5+8</f>
        <v>53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5</v>
      </c>
      <c r="D5" s="11"/>
      <c r="E5" s="18"/>
      <c r="F5" s="18"/>
      <c r="G5" s="18"/>
      <c r="H5" s="11"/>
      <c r="I5" s="18"/>
      <c r="J5" s="18"/>
      <c r="K5" s="18"/>
      <c r="M5" s="18">
        <f>M4-53</f>
        <v>73</v>
      </c>
      <c r="N5" s="18"/>
      <c r="O5" s="18"/>
      <c r="P5" s="11"/>
      <c r="Q5" s="18">
        <f>Q4-20-2</f>
        <v>43</v>
      </c>
      <c r="R5" s="18"/>
      <c r="S5" s="18"/>
      <c r="T5" s="18"/>
      <c r="U5" s="18"/>
      <c r="V5" s="18"/>
      <c r="W5" s="18"/>
      <c r="Y5" s="12">
        <v>44568</v>
      </c>
      <c r="Z5" s="18"/>
      <c r="AA5" s="18"/>
      <c r="AB5" s="18">
        <v>14</v>
      </c>
      <c r="AC5" s="18"/>
    </row>
    <row r="6" spans="1:29" ht="18" customHeight="1" x14ac:dyDescent="0.3">
      <c r="A6" s="24" t="s">
        <v>34</v>
      </c>
      <c r="B6" s="9">
        <f t="array" ref="B6">LOOKUP(2,1 / (H$3:H$100 &lt;&gt;""), H$3:H$100)</f>
        <v>44600</v>
      </c>
      <c r="D6" s="18"/>
      <c r="E6" s="18"/>
      <c r="F6" s="18"/>
      <c r="G6" s="18"/>
      <c r="H6" s="18"/>
      <c r="I6" s="18"/>
      <c r="J6" s="18"/>
      <c r="K6" s="18"/>
      <c r="L6" s="11">
        <v>44550</v>
      </c>
      <c r="M6" s="18">
        <f>4+4+5+5+3+6+4+5+4+4+4+4+3+3+6+6+4+4+5+4</f>
        <v>87</v>
      </c>
      <c r="N6" s="18">
        <f ca="1">TODAY()-L6</f>
        <v>304</v>
      </c>
      <c r="O6" s="18" t="str">
        <f ca="1">IF(N6&gt;21, "Yes", "No")</f>
        <v>Yes</v>
      </c>
      <c r="P6" s="11">
        <v>44651</v>
      </c>
      <c r="Q6" s="18">
        <f>10+4</f>
        <v>14</v>
      </c>
      <c r="R6" s="18">
        <f ca="1">TODAY()-P6</f>
        <v>203</v>
      </c>
      <c r="S6" s="18" t="str">
        <f ca="1">IF(R6&gt;21, "Yes", "No")</f>
        <v>Yes</v>
      </c>
      <c r="T6" s="18"/>
      <c r="U6" s="18"/>
      <c r="V6" s="18"/>
      <c r="W6" s="18"/>
      <c r="Y6" s="12">
        <v>44587</v>
      </c>
      <c r="Z6" s="18"/>
      <c r="AA6" s="18"/>
      <c r="AB6" s="18">
        <f>9+8+5+5+5+9</f>
        <v>41</v>
      </c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M6-14</f>
        <v>73</v>
      </c>
      <c r="N7" s="18"/>
      <c r="O7" s="18"/>
      <c r="P7" s="11">
        <v>44692</v>
      </c>
      <c r="Q7" s="18">
        <v>19</v>
      </c>
      <c r="R7" s="18">
        <f ca="1">TODAY()-P7</f>
        <v>162</v>
      </c>
      <c r="S7" s="18" t="str">
        <f ca="1">IF(R7&gt;21, "Yes", "No")</f>
        <v>Yes</v>
      </c>
      <c r="T7" s="18"/>
      <c r="U7" s="18"/>
      <c r="V7" s="18"/>
      <c r="W7" s="18"/>
      <c r="Y7" s="12">
        <v>44592</v>
      </c>
      <c r="Z7" s="18"/>
      <c r="AA7" s="18"/>
      <c r="AB7" s="18">
        <v>26</v>
      </c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28</v>
      </c>
      <c r="D8" s="18"/>
      <c r="E8" s="18"/>
      <c r="F8" s="18"/>
      <c r="G8" s="18"/>
      <c r="H8" s="18"/>
      <c r="I8" s="18"/>
      <c r="J8" s="18"/>
      <c r="K8" s="18"/>
      <c r="L8" s="18"/>
      <c r="M8" s="18">
        <f>M7+23</f>
        <v>96</v>
      </c>
      <c r="N8" s="18"/>
      <c r="O8" s="18"/>
      <c r="P8" s="11">
        <v>44734</v>
      </c>
      <c r="Q8" s="18">
        <v>13</v>
      </c>
      <c r="R8" s="18">
        <f ca="1">TODAY()-P8</f>
        <v>120</v>
      </c>
      <c r="S8" s="18" t="str">
        <f ca="1">IF(R8&gt;21, "Yes", "No")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10/11/2022</v>
      </c>
      <c r="D9" s="18"/>
      <c r="E9" s="18"/>
      <c r="F9" s="18"/>
      <c r="G9" s="18"/>
      <c r="H9" s="18"/>
      <c r="I9" s="18"/>
      <c r="J9" s="18"/>
      <c r="K9" s="18"/>
      <c r="L9" s="18"/>
      <c r="M9" s="18">
        <f>M8-41</f>
        <v>55</v>
      </c>
      <c r="N9" s="18"/>
      <c r="O9" s="18"/>
      <c r="P9" s="11" t="s">
        <v>38</v>
      </c>
      <c r="Q9" s="18">
        <v>15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44587</v>
      </c>
      <c r="M10">
        <f>8+9+9+4+8+9+6</f>
        <v>53</v>
      </c>
      <c r="N10" s="18">
        <f ca="1">TODAY()-L10</f>
        <v>267</v>
      </c>
      <c r="O10" s="18" t="str">
        <f ca="1">IF(N10&gt;21, "Yes", "No")</f>
        <v>Yes</v>
      </c>
      <c r="P10" t="s">
        <v>40</v>
      </c>
      <c r="Q10">
        <v>5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5</v>
      </c>
      <c r="M11">
        <f>M10-2-24</f>
        <v>27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10/11/2022</v>
      </c>
      <c r="L12" s="12">
        <v>44600</v>
      </c>
      <c r="M12">
        <f>8+13+5</f>
        <v>26</v>
      </c>
      <c r="N12" s="18">
        <f ca="1">TODAY()-L12</f>
        <v>254</v>
      </c>
      <c r="O12" s="18" t="str">
        <f ca="1">IF(N12&gt;21, "Yes", "No")</f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  <c r="M13">
        <f>M12-8</f>
        <v>18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  <c r="L14" s="12">
        <v>44651</v>
      </c>
      <c r="M14">
        <f>13+4</f>
        <v>17</v>
      </c>
      <c r="N14" s="18">
        <f ca="1">TODAY()-L14</f>
        <v>203</v>
      </c>
      <c r="O14" s="18" t="str">
        <f ca="1">IF(N14&gt;21, "Yes", "No")</f>
        <v>Yes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  <c r="L15" s="12">
        <v>44692</v>
      </c>
      <c r="M15">
        <v>21</v>
      </c>
      <c r="N15" s="18">
        <f ca="1">TODAY()-L15</f>
        <v>162</v>
      </c>
      <c r="O15" s="18" t="str">
        <f ca="1">IF(N15&gt;21, "Yes", "No")</f>
        <v>Yes</v>
      </c>
    </row>
    <row r="16" spans="1:29" x14ac:dyDescent="0.25">
      <c r="L16" s="12">
        <v>44734</v>
      </c>
      <c r="M16">
        <f>15+24</f>
        <v>39</v>
      </c>
      <c r="N16" s="18">
        <f ca="1">TODAY()-L16</f>
        <v>120</v>
      </c>
      <c r="O16" s="18" t="str">
        <f ca="1">IF(N16&gt;21, "Yes", "No")</f>
        <v>Yes</v>
      </c>
    </row>
    <row r="17" spans="12:13" x14ac:dyDescent="0.25">
      <c r="L17" t="s">
        <v>38</v>
      </c>
      <c r="M17">
        <v>44</v>
      </c>
    </row>
    <row r="18" spans="12:13" x14ac:dyDescent="0.25">
      <c r="L18" t="s">
        <v>40</v>
      </c>
      <c r="M18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Y12"/>
  <sheetViews>
    <sheetView topLeftCell="B1" zoomScale="110" zoomScaleNormal="110" workbookViewId="0">
      <selection activeCell="H10" sqref="H10"/>
    </sheetView>
  </sheetViews>
  <sheetFormatPr defaultRowHeight="15" x14ac:dyDescent="0.25"/>
  <cols>
    <col min="1" max="1" width="21.85546875" style="27" bestFit="1" customWidth="1"/>
    <col min="2" max="2" width="29.855468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7" max="17" width="9.5703125" style="27" bestFit="1" customWidth="1"/>
  </cols>
  <sheetData>
    <row r="1" spans="1:25" ht="18" customHeight="1" x14ac:dyDescent="0.3">
      <c r="A1" s="2" t="s">
        <v>20</v>
      </c>
      <c r="B1" s="3" t="s">
        <v>46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">
      <c r="A2" s="7" t="s">
        <v>24</v>
      </c>
      <c r="B2" s="3" t="str">
        <f t="array" ref="B2">(IFERROR((LOOKUP(2,1/(E$3:E$98&lt;&gt;""),E$3:E$100)),0))</f>
        <v>NA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">
      <c r="A3" s="7" t="s">
        <v>30</v>
      </c>
      <c r="B3" s="9" t="str">
        <f t="array" ref="B3">LOOKUP(2,1 / (D$3:D$100 &lt;&gt;""), D$3:D$100)</f>
        <v>NA</v>
      </c>
      <c r="D3" s="11">
        <v>44487</v>
      </c>
      <c r="E3" s="18">
        <v>40</v>
      </c>
      <c r="F3" s="18">
        <f ca="1">TODAY()-D3</f>
        <v>367</v>
      </c>
      <c r="G3" s="18" t="str">
        <f ca="1">IF(F3&gt;21, "Yes", "No")</f>
        <v>Yes</v>
      </c>
      <c r="H3" s="11">
        <v>44508</v>
      </c>
      <c r="I3" s="18">
        <v>37</v>
      </c>
      <c r="J3" s="18">
        <f ca="1">TODAY()-H3</f>
        <v>346</v>
      </c>
      <c r="K3" s="18" t="str">
        <f ca="1">IF(J3&gt;21, "Yes", "No")</f>
        <v>Yes</v>
      </c>
      <c r="L3" s="11">
        <v>44721</v>
      </c>
      <c r="M3" s="18">
        <v>1</v>
      </c>
      <c r="N3" s="18">
        <f ca="1">TODAY()-L3</f>
        <v>133</v>
      </c>
      <c r="O3" s="18" t="str">
        <f ca="1">IF(N3&gt;21, "Yes", "No")</f>
        <v>Yes</v>
      </c>
      <c r="P3" s="18"/>
      <c r="Q3" s="18"/>
      <c r="R3" s="18"/>
      <c r="S3" s="18"/>
      <c r="U3" s="12">
        <v>44533</v>
      </c>
      <c r="V3" s="18">
        <v>28</v>
      </c>
      <c r="W3" s="18"/>
      <c r="X3" s="18"/>
      <c r="Y3" s="18"/>
    </row>
    <row r="4" spans="1:25" ht="18" customHeight="1" x14ac:dyDescent="0.3">
      <c r="A4" s="7" t="s">
        <v>31</v>
      </c>
      <c r="B4" s="1" t="str">
        <f ca="1">LOOKUP(2,1 / (G$3:G$1048576 &lt;&gt;""), G$3:G$1048576)</f>
        <v>NA</v>
      </c>
      <c r="D4" s="13" t="s">
        <v>47</v>
      </c>
      <c r="E4" s="14" t="s">
        <v>47</v>
      </c>
      <c r="F4" s="14" t="s">
        <v>47</v>
      </c>
      <c r="G4" s="14" t="s">
        <v>47</v>
      </c>
      <c r="H4" s="11"/>
      <c r="I4" s="18">
        <f>I3-28</f>
        <v>9</v>
      </c>
      <c r="J4" s="18"/>
      <c r="K4" s="18"/>
      <c r="L4" s="11"/>
      <c r="M4" s="18"/>
      <c r="N4" s="18"/>
      <c r="O4" s="18"/>
      <c r="P4" s="18"/>
      <c r="Q4" s="18"/>
      <c r="R4" s="18"/>
      <c r="S4" s="18"/>
      <c r="U4" s="12"/>
      <c r="V4" s="18"/>
      <c r="W4" s="18"/>
      <c r="X4" s="18"/>
      <c r="Y4" s="18"/>
    </row>
    <row r="5" spans="1:25" ht="18" customHeight="1" x14ac:dyDescent="0.3">
      <c r="A5" s="8" t="s">
        <v>36</v>
      </c>
      <c r="B5" s="3">
        <f t="array" ref="B5">(IFERROR((LOOKUP(2,1/(I$3:I$100&lt;&gt;""),I$3:I$100)),0))</f>
        <v>88</v>
      </c>
      <c r="D5" s="11">
        <v>44686</v>
      </c>
      <c r="E5" s="18">
        <v>112</v>
      </c>
      <c r="F5" s="18">
        <f ca="1">TODAY()-D5</f>
        <v>168</v>
      </c>
      <c r="G5" s="18" t="str">
        <f ca="1">IF(F5&gt;21, "Yes", "No")</f>
        <v>Yes</v>
      </c>
      <c r="H5" s="11"/>
      <c r="I5" s="18">
        <v>27</v>
      </c>
      <c r="J5" s="18"/>
      <c r="K5" s="18"/>
      <c r="L5" s="11"/>
      <c r="M5" s="18"/>
      <c r="N5" s="18"/>
      <c r="O5" s="18"/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">
      <c r="A6" s="8" t="s">
        <v>37</v>
      </c>
      <c r="B6" s="9">
        <f t="array" ref="B6">LOOKUP(2,1 / (H$3:H$100 &lt;&gt;""), H$3:H$100)</f>
        <v>44721</v>
      </c>
      <c r="D6" s="13" t="s">
        <v>47</v>
      </c>
      <c r="E6" s="14" t="s">
        <v>47</v>
      </c>
      <c r="F6" s="14" t="s">
        <v>47</v>
      </c>
      <c r="G6" s="14" t="s">
        <v>47</v>
      </c>
      <c r="I6">
        <v>19</v>
      </c>
      <c r="J6" s="18"/>
      <c r="K6" s="18"/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44550</v>
      </c>
      <c r="I7" s="18">
        <f>6+7+4</f>
        <v>17</v>
      </c>
      <c r="J7" s="18"/>
      <c r="K7" s="18"/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">
      <c r="A8" s="22" t="s">
        <v>41</v>
      </c>
      <c r="B8" s="3">
        <f t="array" ref="B8">(IFERROR((LOOKUP(2,1/(I$3:I$100&lt;&gt;""),I$3:I$100)),0))</f>
        <v>88</v>
      </c>
      <c r="D8" s="18"/>
      <c r="E8" s="18"/>
      <c r="F8" s="18"/>
      <c r="G8" s="18"/>
      <c r="H8" s="18"/>
      <c r="I8" s="18">
        <f>I7+7+12+8+11+6+11</f>
        <v>72</v>
      </c>
      <c r="J8" s="18"/>
      <c r="K8" s="18"/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">
      <c r="A9" s="22" t="s">
        <v>42</v>
      </c>
      <c r="B9" s="9">
        <f t="array" ref="B9">LOOKUP(2,1 / (H$3:H$100 &lt;&gt;""), H$3:H$100)</f>
        <v>44721</v>
      </c>
      <c r="D9" s="18"/>
      <c r="E9" s="18"/>
      <c r="F9" s="18"/>
      <c r="G9" s="18"/>
      <c r="H9" s="11">
        <v>44721</v>
      </c>
      <c r="I9" s="18">
        <v>88</v>
      </c>
      <c r="J9" s="18">
        <f ca="1">TODAY()-H9</f>
        <v>133</v>
      </c>
      <c r="K9" s="18" t="str">
        <f ca="1">IF(J9&gt;21, "Yes", "No")</f>
        <v>Yes</v>
      </c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">
      <c r="A10" s="22" t="s">
        <v>43</v>
      </c>
      <c r="B10" s="1" t="str">
        <f t="array" aca="1" ref="B10" ca="1">LOOKUP(2,1 / (K$3:K$100 &lt;&gt;""), K$3:K$100)</f>
        <v>Yes</v>
      </c>
    </row>
    <row r="11" spans="1:25" ht="18" customHeight="1" x14ac:dyDescent="0.3">
      <c r="A11" s="2" t="s">
        <v>44</v>
      </c>
      <c r="B11" s="3">
        <f>(IFERROR((LOOKUP(2,1/(Q$3:Q$100&lt;&gt;""),Q$3:Q$100)),0))</f>
        <v>0</v>
      </c>
    </row>
    <row r="12" spans="1:25" ht="18" customHeight="1" x14ac:dyDescent="0.3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C15"/>
  <sheetViews>
    <sheetView topLeftCell="B1" zoomScale="110" zoomScaleNormal="110" workbookViewId="0">
      <selection activeCell="H11" sqref="H11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48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85</v>
      </c>
      <c r="F3" s="18">
        <f ca="1">TODAY()-D3</f>
        <v>366</v>
      </c>
      <c r="G3" s="18" t="str">
        <f ca="1">IF(F3&lt;=21, "No", "Yes" )</f>
        <v>Yes</v>
      </c>
      <c r="H3" s="11">
        <v>44592</v>
      </c>
      <c r="I3" s="18">
        <f>10+13</f>
        <v>23</v>
      </c>
      <c r="J3" s="18">
        <f ca="1">TODAY()-H3</f>
        <v>262</v>
      </c>
      <c r="K3" s="18" t="str">
        <f ca="1">IF(J3&lt;=21, "No", "Yes" )</f>
        <v>Yes</v>
      </c>
      <c r="L3" s="11">
        <v>44480</v>
      </c>
      <c r="M3" s="18">
        <v>1</v>
      </c>
      <c r="N3" s="18">
        <f ca="1">TODAY()-L3</f>
        <v>374</v>
      </c>
      <c r="O3" s="18" t="str">
        <f ca="1">IF(N3&lt;=21, "No", "Yes" )</f>
        <v>Yes</v>
      </c>
      <c r="P3" s="11">
        <v>44592</v>
      </c>
      <c r="Q3" s="18">
        <v>6</v>
      </c>
      <c r="R3" s="18">
        <f ca="1">TODAY()-P3</f>
        <v>262</v>
      </c>
      <c r="S3" s="18" t="str">
        <f ca="1">IF(R3&lt;=21, "No", "Yes" )</f>
        <v>Yes</v>
      </c>
      <c r="T3" s="18"/>
      <c r="U3" s="18"/>
      <c r="V3" s="18"/>
      <c r="W3" s="18"/>
      <c r="Y3" s="12">
        <v>44491</v>
      </c>
      <c r="Z3" s="18">
        <v>2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7">
        <v>83</v>
      </c>
      <c r="F4" s="14"/>
      <c r="G4" s="14"/>
      <c r="H4" s="11"/>
      <c r="I4" s="18">
        <f>I3-18</f>
        <v>5</v>
      </c>
      <c r="J4" s="18"/>
      <c r="K4" s="18"/>
      <c r="L4" s="11">
        <v>44508</v>
      </c>
      <c r="M4" s="18">
        <v>71</v>
      </c>
      <c r="N4" s="18">
        <f ca="1">TODAY()-L4</f>
        <v>346</v>
      </c>
      <c r="O4" s="18" t="str">
        <f ca="1">IF(N4&lt;=21, "No", "Yes" )</f>
        <v>Yes</v>
      </c>
      <c r="P4" s="11">
        <v>44624</v>
      </c>
      <c r="Q4" s="18">
        <v>14</v>
      </c>
      <c r="R4" s="18">
        <f ca="1">TODAY()-P4</f>
        <v>230</v>
      </c>
      <c r="S4" s="18" t="str">
        <f ca="1">IF(R4&lt;=21, "No", "Yes" )</f>
        <v>Yes</v>
      </c>
      <c r="T4" s="18"/>
      <c r="U4" s="18"/>
      <c r="V4" s="18"/>
      <c r="W4" s="18"/>
      <c r="Y4" s="12">
        <v>44533</v>
      </c>
      <c r="Z4" s="18">
        <v>16</v>
      </c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 t="s">
        <v>32</v>
      </c>
      <c r="I5" s="18" t="s">
        <v>32</v>
      </c>
      <c r="J5" s="18" t="s">
        <v>32</v>
      </c>
      <c r="K5" s="18" t="s">
        <v>32</v>
      </c>
      <c r="L5" s="11"/>
      <c r="M5" s="18">
        <f>M4-16</f>
        <v>55</v>
      </c>
      <c r="N5" s="18"/>
      <c r="O5" s="18"/>
      <c r="P5" s="11">
        <v>44670</v>
      </c>
      <c r="Q5" s="18">
        <f>3+3+8+3+3+3</f>
        <v>23</v>
      </c>
      <c r="R5" s="18">
        <f ca="1">TODAY()-P5</f>
        <v>184</v>
      </c>
      <c r="S5" s="18" t="str">
        <f ca="1">IF(R5&lt;=21, "No", "Yes" )</f>
        <v>Yes</v>
      </c>
      <c r="T5" s="18"/>
      <c r="U5" s="18"/>
      <c r="V5" s="18"/>
      <c r="W5" s="18"/>
      <c r="Y5" s="12">
        <v>44550</v>
      </c>
      <c r="Z5" s="18"/>
      <c r="AA5" s="18"/>
      <c r="AB5" s="18">
        <v>7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M5-7</f>
        <v>48</v>
      </c>
      <c r="N6" s="18"/>
      <c r="O6" s="18"/>
      <c r="P6" s="11">
        <v>44706</v>
      </c>
      <c r="Q6" s="18">
        <v>10</v>
      </c>
      <c r="R6" s="18">
        <f ca="1">TODAY()-P6</f>
        <v>148</v>
      </c>
      <c r="S6" s="18" t="str">
        <f ca="1">IF(R6&lt;=21, "No", "Yes" )</f>
        <v>Yes</v>
      </c>
      <c r="T6" s="18"/>
      <c r="U6" s="18"/>
      <c r="V6" s="18"/>
      <c r="W6" s="18"/>
      <c r="Y6" s="12">
        <v>44592</v>
      </c>
      <c r="Z6" s="18"/>
      <c r="AA6" s="18"/>
      <c r="AB6" s="18">
        <v>20</v>
      </c>
      <c r="AC6" s="18"/>
    </row>
    <row r="7" spans="1:29" ht="18" customHeight="1" x14ac:dyDescent="0.3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1"/>
      <c r="I7" s="18"/>
      <c r="J7" s="18"/>
      <c r="K7" s="18"/>
      <c r="L7" s="11">
        <v>44550</v>
      </c>
      <c r="M7" s="18">
        <f>5+5+6+5+2+5+10+4+9+5+7+7</f>
        <v>70</v>
      </c>
      <c r="N7" s="18">
        <f ca="1">TODAY()-L7</f>
        <v>304</v>
      </c>
      <c r="O7" s="18" t="str">
        <f ca="1">IF(N7&lt;=21, "No", "Yes" )</f>
        <v>Yes</v>
      </c>
      <c r="P7" s="11">
        <v>44732</v>
      </c>
      <c r="Q7" s="18">
        <v>22</v>
      </c>
      <c r="R7" s="18">
        <f ca="1">TODAY()-P7</f>
        <v>122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18</v>
      </c>
      <c r="D8" s="18"/>
      <c r="E8" s="18"/>
      <c r="F8" s="18"/>
      <c r="G8" s="18"/>
      <c r="H8" s="18"/>
      <c r="I8" s="18"/>
      <c r="J8" s="18"/>
      <c r="K8" s="18"/>
      <c r="L8" s="18"/>
      <c r="M8" s="18">
        <f>M7-20</f>
        <v>50</v>
      </c>
      <c r="N8" s="18"/>
      <c r="O8" s="18"/>
      <c r="P8" s="11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44732</v>
      </c>
      <c r="D9" s="18"/>
      <c r="E9" s="18"/>
      <c r="F9" s="18"/>
      <c r="G9" s="18"/>
      <c r="H9" s="18"/>
      <c r="I9" s="18"/>
      <c r="J9" s="18"/>
      <c r="K9" s="18"/>
      <c r="L9" s="11">
        <v>44592</v>
      </c>
      <c r="M9" s="18">
        <f>24+20+15</f>
        <v>59</v>
      </c>
      <c r="N9" s="18">
        <f ca="1">TODAY()-L9</f>
        <v>262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M10">
        <f>M9-4</f>
        <v>55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22</v>
      </c>
      <c r="L11" s="12">
        <v>44624</v>
      </c>
      <c r="M11">
        <f>36+29</f>
        <v>65</v>
      </c>
      <c r="N11" s="18">
        <f ca="1">TODAY()-L11</f>
        <v>230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44732</v>
      </c>
      <c r="L12" s="12">
        <v>44670</v>
      </c>
      <c r="M12">
        <f>8+8+5</f>
        <v>21</v>
      </c>
      <c r="N12" s="18">
        <f ca="1">TODAY()-L12</f>
        <v>184</v>
      </c>
      <c r="O12" s="18" t="str">
        <f ca="1">IF(N12&lt;=21, "No", "Yes" )</f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  <c r="L13" s="12">
        <v>44706</v>
      </c>
      <c r="M13">
        <f>22+6</f>
        <v>28</v>
      </c>
      <c r="N13" s="18">
        <f ca="1">TODAY()-L13</f>
        <v>148</v>
      </c>
      <c r="O13" s="18" t="str">
        <f ca="1">IF(N13&lt;=21, "No", "Yes" 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22</v>
      </c>
      <c r="L14" s="12">
        <v>44732</v>
      </c>
      <c r="M14">
        <v>18</v>
      </c>
      <c r="N14">
        <f ca="1">TODAY()-L14</f>
        <v>122</v>
      </c>
      <c r="O14" t="str">
        <f ca="1">IF(N14&lt;=21, "No", "Yes" )</f>
        <v>Yes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Y12"/>
  <sheetViews>
    <sheetView zoomScale="119" zoomScaleNormal="130" workbookViewId="0">
      <selection activeCell="I9" sqref="I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7" max="17" width="10.7109375" style="27" bestFit="1" customWidth="1"/>
    <col min="21" max="21" width="10.7109375" style="27" bestFit="1" customWidth="1"/>
  </cols>
  <sheetData>
    <row r="1" spans="1:25" ht="18" customHeight="1" x14ac:dyDescent="0.3">
      <c r="A1" s="2" t="s">
        <v>20</v>
      </c>
      <c r="B1" s="3" t="s">
        <v>49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49</v>
      </c>
      <c r="F3" s="18">
        <f ca="1">TODAY()-D3</f>
        <v>366</v>
      </c>
      <c r="G3" s="18" t="str">
        <f ca="1">IF(F3&lt;=21, "No", "Yes" )</f>
        <v>Yes</v>
      </c>
      <c r="H3" s="11">
        <v>44510</v>
      </c>
      <c r="I3" s="18">
        <f>9+8+8+8+9+9+7</f>
        <v>58</v>
      </c>
      <c r="J3" s="18">
        <f ca="1">TODAY()-H3</f>
        <v>344</v>
      </c>
      <c r="K3" s="18" t="str">
        <f ca="1">IF(J3&lt;=21, "No", "Yes" )</f>
        <v>Yes</v>
      </c>
      <c r="L3" s="11"/>
      <c r="M3" s="18"/>
      <c r="N3" s="18"/>
      <c r="O3" s="18"/>
      <c r="P3" s="18"/>
      <c r="Q3" s="18"/>
      <c r="R3" s="18"/>
      <c r="S3" s="18"/>
      <c r="U3" s="12">
        <v>44551</v>
      </c>
      <c r="V3" s="18"/>
      <c r="W3" s="18"/>
      <c r="X3" s="18">
        <v>6</v>
      </c>
      <c r="Y3" s="18"/>
    </row>
    <row r="4" spans="1:25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>
        <v>52</v>
      </c>
      <c r="J4" s="18"/>
      <c r="K4" s="18"/>
      <c r="L4" s="11"/>
      <c r="M4" s="18"/>
      <c r="N4" s="18"/>
      <c r="O4" s="18"/>
      <c r="P4" s="18"/>
      <c r="Q4" s="18"/>
      <c r="R4" s="18"/>
      <c r="S4" s="18"/>
      <c r="U4" s="12">
        <v>44592</v>
      </c>
      <c r="V4" s="18"/>
      <c r="W4" s="18"/>
      <c r="X4" s="18">
        <v>9</v>
      </c>
      <c r="Y4" s="18"/>
    </row>
    <row r="5" spans="1:25" ht="18" customHeight="1" x14ac:dyDescent="0.3">
      <c r="A5" s="8" t="s">
        <v>36</v>
      </c>
      <c r="B5" s="3">
        <f t="array" ref="B5">(IFERROR((LOOKUP(2,1/(I$3:I$100&lt;&gt;""),I$3:I$100)),0))</f>
        <v>45</v>
      </c>
      <c r="D5" s="11"/>
      <c r="E5" s="18"/>
      <c r="F5" s="18"/>
      <c r="G5" s="18"/>
      <c r="H5" s="11">
        <v>44551</v>
      </c>
      <c r="I5" s="18">
        <f>6+3+4+6+6+6+6+6+5+7+8+7+8</f>
        <v>78</v>
      </c>
      <c r="J5" s="18">
        <f ca="1">TODAY()-H5</f>
        <v>303</v>
      </c>
      <c r="K5" s="18" t="str">
        <f ca="1">IF(J5&lt;=21, "No", "Yes" )</f>
        <v>Yes</v>
      </c>
      <c r="L5" s="11"/>
      <c r="M5" s="18"/>
      <c r="N5" s="18"/>
      <c r="O5" s="18"/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">
      <c r="A6" s="8" t="s">
        <v>37</v>
      </c>
      <c r="B6" s="9">
        <f t="array" ref="B6">LOOKUP(2,1 / (H$3:H$100 &lt;&gt;""), H$3:H$100)</f>
        <v>44592</v>
      </c>
      <c r="D6" s="18"/>
      <c r="E6" s="18"/>
      <c r="F6" s="18"/>
      <c r="G6" s="18"/>
      <c r="I6">
        <f>I5-9</f>
        <v>69</v>
      </c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44592</v>
      </c>
      <c r="I7" s="18">
        <f>10+20+5+19+10+5+19+5+4+12+8+8</f>
        <v>125</v>
      </c>
      <c r="J7" s="18">
        <f ca="1">TODAY()-H7</f>
        <v>262</v>
      </c>
      <c r="K7" s="18" t="str">
        <f ca="1">IF(J7&lt;=21, "No", "Yes" )</f>
        <v>Yes</v>
      </c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">
      <c r="A8" s="22" t="s">
        <v>41</v>
      </c>
      <c r="B8" s="3">
        <f t="array" ref="B8">(IFERROR((LOOKUP(2,1/(I$3:I$100&lt;&gt;""),I$3:I$100)),0))</f>
        <v>45</v>
      </c>
      <c r="D8" s="18"/>
      <c r="E8" s="18"/>
      <c r="F8" s="18"/>
      <c r="G8" s="18"/>
      <c r="H8" s="18"/>
      <c r="I8" s="18">
        <f>I7-25-31-24</f>
        <v>45</v>
      </c>
      <c r="J8" s="18"/>
      <c r="K8" s="18"/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">
      <c r="A9" s="22" t="s">
        <v>42</v>
      </c>
      <c r="B9" s="9">
        <f t="array" ref="B9">LOOKUP(2,1 / (H$3:H$100 &lt;&gt;""), H$3:H$100)</f>
        <v>44592</v>
      </c>
      <c r="D9" s="18"/>
      <c r="E9" s="18"/>
      <c r="F9" s="18"/>
      <c r="G9" s="18"/>
      <c r="H9" s="18"/>
      <c r="I9" s="18"/>
      <c r="J9" s="18"/>
      <c r="K9" s="18"/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">
      <c r="A10" s="22" t="s">
        <v>43</v>
      </c>
      <c r="B10" s="1" t="str">
        <f t="array" aca="1" ref="B10" ca="1">LOOKUP(2,1 / (K$3:K$100 &lt;&gt;""), K$3:K$100)</f>
        <v>Yes</v>
      </c>
    </row>
    <row r="11" spans="1:25" ht="18" customHeight="1" x14ac:dyDescent="0.3">
      <c r="A11" s="2" t="s">
        <v>44</v>
      </c>
      <c r="B11" s="3">
        <f>(IFERROR((LOOKUP(2,1/(Q$3:Q$100&lt;&gt;""),Q$3:Q$100)),0))</f>
        <v>0</v>
      </c>
    </row>
    <row r="12" spans="1:25" ht="18" customHeight="1" x14ac:dyDescent="0.3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Y12"/>
  <sheetViews>
    <sheetView tabSelected="1" zoomScaleNormal="100" workbookViewId="0">
      <selection activeCell="M6" sqref="M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</cols>
  <sheetData>
    <row r="1" spans="1:25" ht="18" customHeight="1" x14ac:dyDescent="0.3">
      <c r="A1" s="2" t="s">
        <v>20</v>
      </c>
      <c r="B1" s="3" t="s">
        <v>50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">
      <c r="A3" s="7" t="s">
        <v>30</v>
      </c>
      <c r="B3" s="9" t="e">
        <f t="array" ref="B3">LOOKUP(2,1 / (D$3:D$100 &lt;&gt;""), D$3:D$100)</f>
        <v>#N/A</v>
      </c>
      <c r="D3" s="11"/>
      <c r="E3" s="18"/>
      <c r="F3" s="18"/>
      <c r="G3" s="18"/>
      <c r="H3" s="11">
        <v>44480</v>
      </c>
      <c r="I3" s="18">
        <v>3</v>
      </c>
      <c r="J3" s="18">
        <f ca="1">TODAY()-H3</f>
        <v>374</v>
      </c>
      <c r="K3" s="18" t="str">
        <f ca="1">IF(J3&lt;=21, "No", "Yes" )</f>
        <v>Yes</v>
      </c>
      <c r="L3" s="11">
        <v>44586</v>
      </c>
      <c r="M3" s="18">
        <f>4+2+2+6+5+2+8+3+2+8+3+2+3</f>
        <v>50</v>
      </c>
      <c r="N3" s="18">
        <f ca="1">TODAY()-L3</f>
        <v>268</v>
      </c>
      <c r="O3" s="18" t="str">
        <f ca="1">IF(N3&lt;=21, "No", "Yes" )</f>
        <v>Yes</v>
      </c>
      <c r="P3" s="18"/>
      <c r="Q3" s="18"/>
      <c r="R3" s="18"/>
      <c r="S3" s="18"/>
      <c r="U3" s="12"/>
      <c r="V3" s="18"/>
      <c r="W3" s="18"/>
      <c r="X3" s="18"/>
      <c r="Y3" s="18"/>
    </row>
    <row r="4" spans="1:25" ht="18" customHeight="1" x14ac:dyDescent="0.3">
      <c r="A4" s="7" t="s">
        <v>31</v>
      </c>
      <c r="B4" s="1" t="e">
        <f>LOOKUP(2,1 / (G$3:G$1048576 &lt;&gt;""), G$3:G$1048576)</f>
        <v>#N/A</v>
      </c>
      <c r="D4" s="13"/>
      <c r="E4" s="14"/>
      <c r="F4" s="14"/>
      <c r="G4" s="14"/>
      <c r="H4" s="11">
        <v>44502</v>
      </c>
      <c r="I4" s="18">
        <v>10</v>
      </c>
      <c r="J4" s="18">
        <f ca="1">TODAY()-H4</f>
        <v>352</v>
      </c>
      <c r="K4" s="18" t="str">
        <f ca="1">IF(J4&lt;=21, "No", "Yes" )</f>
        <v>Yes</v>
      </c>
      <c r="L4" s="11">
        <v>44621</v>
      </c>
      <c r="M4" s="18">
        <f>3+3+3+5+3+5+6+9+8+3+3+3+1+6+14+16+3+3+2+8+2+8+8+3+2+8+25</f>
        <v>163</v>
      </c>
      <c r="N4" s="18">
        <f ca="1">TODAY()-L4</f>
        <v>233</v>
      </c>
      <c r="O4" s="18" t="str">
        <f ca="1">IF(N4&lt;=21, "No", "Yes" )</f>
        <v>Yes</v>
      </c>
      <c r="P4" s="18"/>
      <c r="Q4" s="18"/>
      <c r="R4" s="18"/>
      <c r="S4" s="18"/>
      <c r="U4" s="12"/>
      <c r="V4" s="18"/>
      <c r="W4" s="18"/>
      <c r="X4" s="18"/>
      <c r="Y4" s="18"/>
    </row>
    <row r="5" spans="1:25" ht="18" customHeight="1" x14ac:dyDescent="0.3">
      <c r="A5" s="8" t="s">
        <v>36</v>
      </c>
      <c r="B5" s="3">
        <f t="array" ref="B5">(IFERROR((LOOKUP(2,1/(I$3:I$100&lt;&gt;""),I$3:I$100)),0))</f>
        <v>171</v>
      </c>
      <c r="D5" s="11"/>
      <c r="E5" s="18"/>
      <c r="F5" s="18"/>
      <c r="G5" s="18"/>
      <c r="H5" s="11">
        <v>44523</v>
      </c>
      <c r="I5" s="18">
        <f>4+15+1+4+4</f>
        <v>28</v>
      </c>
      <c r="J5" s="18">
        <f ca="1">TODAY()-H5</f>
        <v>331</v>
      </c>
      <c r="K5" s="18" t="str">
        <f ca="1">IF(J5&lt;=21, "No", "Yes" )</f>
        <v>Yes</v>
      </c>
      <c r="L5" s="11">
        <v>44659</v>
      </c>
      <c r="M5" s="18">
        <f>24+17+13+22+10+3+3+3+3+4+1</f>
        <v>103</v>
      </c>
      <c r="N5" s="18">
        <f ca="1">TODAY()-L5</f>
        <v>195</v>
      </c>
      <c r="O5" s="18" t="str">
        <f ca="1">IF(N5&lt;=21, "No", "Yes" )</f>
        <v>Yes</v>
      </c>
      <c r="P5" s="18"/>
      <c r="Q5" s="18"/>
      <c r="R5" s="18"/>
      <c r="S5" s="18"/>
      <c r="U5" s="12"/>
      <c r="V5" s="18"/>
      <c r="W5" s="18"/>
      <c r="X5" s="18"/>
      <c r="Y5" s="18"/>
    </row>
    <row r="6" spans="1:25" ht="18" customHeight="1" x14ac:dyDescent="0.3">
      <c r="A6" s="8" t="s">
        <v>37</v>
      </c>
      <c r="B6" s="9">
        <f t="array" ref="B6">LOOKUP(2,1 / (H$3:H$100 &lt;&gt;""), H$3:H$100)</f>
        <v>44659</v>
      </c>
      <c r="D6" s="18"/>
      <c r="E6" s="18"/>
      <c r="F6" s="18"/>
      <c r="G6" s="18"/>
      <c r="H6" s="11">
        <v>44545</v>
      </c>
      <c r="I6" s="18">
        <f>4+6+6+3+6+6+6+11+2+7</f>
        <v>57</v>
      </c>
      <c r="J6" s="18">
        <f ca="1">TODAY()-H6</f>
        <v>309</v>
      </c>
      <c r="K6" s="18" t="str">
        <f ca="1">IF(J6&lt;=21, "No", "Yes" )</f>
        <v>Yes</v>
      </c>
      <c r="L6" s="11"/>
      <c r="M6" s="18"/>
      <c r="N6" s="18"/>
      <c r="O6" s="18"/>
      <c r="P6" s="18"/>
      <c r="Q6" s="18"/>
      <c r="R6" s="18"/>
      <c r="S6" s="18"/>
      <c r="U6" s="12"/>
      <c r="V6" s="18"/>
      <c r="W6" s="18"/>
      <c r="X6" s="18"/>
      <c r="Y6" s="18"/>
    </row>
    <row r="7" spans="1:25" ht="18" customHeight="1" x14ac:dyDescent="0.3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1">
        <v>44586</v>
      </c>
      <c r="I7" s="18">
        <f>4+8+12+16+4+8+13+12+4+4+8+8+8+8+25+12+5</f>
        <v>159</v>
      </c>
      <c r="J7" s="18">
        <f ca="1">TODAY()-H7</f>
        <v>268</v>
      </c>
      <c r="K7" s="18" t="str">
        <f ca="1">IF(J7&lt;=21, "No", "Yes" )</f>
        <v>Yes</v>
      </c>
      <c r="L7" s="18"/>
      <c r="M7" s="18"/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">
      <c r="A8" s="22" t="s">
        <v>41</v>
      </c>
      <c r="B8" s="3">
        <f t="array" ref="B8">(IFERROR((LOOKUP(2,1/(M$3:M$100&lt;&gt;""),M$3:M$100)),0))</f>
        <v>103</v>
      </c>
      <c r="D8" s="18"/>
      <c r="E8" s="18"/>
      <c r="F8" s="18"/>
      <c r="G8" s="18"/>
      <c r="H8" s="18" t="s">
        <v>32</v>
      </c>
      <c r="I8" s="18" t="s">
        <v>32</v>
      </c>
      <c r="J8" s="18" t="s">
        <v>32</v>
      </c>
      <c r="K8" s="18" t="s">
        <v>32</v>
      </c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">
      <c r="A9" s="22" t="s">
        <v>42</v>
      </c>
      <c r="B9" s="9">
        <f t="array" ref="B9">LOOKUP(2,1 / (L$3:L$100 &lt;&gt;""), L$3:L$100)</f>
        <v>44659</v>
      </c>
      <c r="D9" s="18"/>
      <c r="E9" s="18"/>
      <c r="F9" s="18"/>
      <c r="G9" s="18"/>
      <c r="H9" s="11">
        <v>44659</v>
      </c>
      <c r="I9" s="18">
        <f>20+20+24+32+36+16+23</f>
        <v>171</v>
      </c>
      <c r="J9" s="18">
        <f ca="1">TODAY()-H9</f>
        <v>195</v>
      </c>
      <c r="K9" s="18" t="str">
        <f ca="1">IF(J9&lt;=21, "No", "Yes" )</f>
        <v>Yes</v>
      </c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">
      <c r="A10" s="22" t="s">
        <v>43</v>
      </c>
      <c r="B10" s="1" t="str">
        <f t="array" aca="1" ref="B10" ca="1">LOOKUP(2,1 / (O$3:O$100 &lt;&gt;""), O$3:O$100)</f>
        <v>Yes</v>
      </c>
    </row>
    <row r="11" spans="1:25" ht="18" customHeight="1" x14ac:dyDescent="0.3">
      <c r="A11" s="2" t="s">
        <v>44</v>
      </c>
      <c r="B11" s="3">
        <f>(IFERROR((LOOKUP(2,1/(Q$3:Q$100&lt;&gt;""),Q$3:Q$100)),0))</f>
        <v>0</v>
      </c>
    </row>
    <row r="12" spans="1:25" ht="18" customHeight="1" x14ac:dyDescent="0.3">
      <c r="A12" s="2" t="s">
        <v>45</v>
      </c>
      <c r="B12" s="9" t="e">
        <f>LOOKUP(2,1 / (P$3:P$9 &lt;&gt;""), P$3:P$9)</f>
        <v>#N/A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Y13"/>
  <sheetViews>
    <sheetView zoomScale="93" zoomScaleNormal="110" workbookViewId="0">
      <selection activeCell="M9" sqref="M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7" max="17" width="10.7109375" style="27" bestFit="1" customWidth="1"/>
  </cols>
  <sheetData>
    <row r="1" spans="1:25" ht="18" customHeight="1" x14ac:dyDescent="0.3">
      <c r="A1" s="2" t="s">
        <v>20</v>
      </c>
      <c r="B1" s="3" t="s">
        <v>51</v>
      </c>
      <c r="D1" s="4" t="s">
        <v>15</v>
      </c>
      <c r="E1" s="18"/>
      <c r="F1" s="18"/>
      <c r="G1" s="18"/>
      <c r="H1" s="5" t="s">
        <v>17</v>
      </c>
      <c r="I1" s="18"/>
      <c r="J1" s="18"/>
      <c r="K1" s="18"/>
      <c r="L1" s="21" t="s">
        <v>18</v>
      </c>
      <c r="M1" s="18"/>
      <c r="N1" s="18"/>
      <c r="O1" s="18"/>
      <c r="P1" s="6" t="s">
        <v>22</v>
      </c>
      <c r="Q1" s="18"/>
      <c r="R1" s="18"/>
      <c r="S1" s="18"/>
      <c r="V1" s="6" t="s">
        <v>23</v>
      </c>
      <c r="W1" s="18"/>
      <c r="X1" s="18"/>
      <c r="Y1" s="18"/>
    </row>
    <row r="2" spans="1:25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25</v>
      </c>
      <c r="I2" s="5" t="s">
        <v>26</v>
      </c>
      <c r="J2" s="5" t="s">
        <v>27</v>
      </c>
      <c r="K2" s="5" t="s">
        <v>28</v>
      </c>
      <c r="L2" s="21" t="s">
        <v>25</v>
      </c>
      <c r="M2" s="21" t="s">
        <v>26</v>
      </c>
      <c r="N2" s="21" t="s">
        <v>27</v>
      </c>
      <c r="O2" s="21" t="s">
        <v>28</v>
      </c>
      <c r="P2" s="6" t="s">
        <v>25</v>
      </c>
      <c r="Q2" s="6" t="s">
        <v>26</v>
      </c>
      <c r="R2" s="6" t="s">
        <v>27</v>
      </c>
      <c r="S2" s="6" t="s">
        <v>28</v>
      </c>
      <c r="U2" s="10" t="s">
        <v>29</v>
      </c>
      <c r="V2" s="6" t="s">
        <v>15</v>
      </c>
      <c r="W2" s="6" t="s">
        <v>16</v>
      </c>
      <c r="X2" s="6" t="s">
        <v>17</v>
      </c>
      <c r="Y2" s="6" t="s">
        <v>22</v>
      </c>
    </row>
    <row r="3" spans="1:25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79</v>
      </c>
      <c r="F3" s="18">
        <f ca="1">TODAY()-D3</f>
        <v>366</v>
      </c>
      <c r="G3" s="18" t="str">
        <f ca="1">IF(F3&lt;=21, "No", "Yes" )</f>
        <v>Yes</v>
      </c>
      <c r="H3" s="11">
        <v>44510</v>
      </c>
      <c r="I3" s="18">
        <f>9+8+9+4+9+4+4+8+5+5</f>
        <v>65</v>
      </c>
      <c r="J3" s="18">
        <f ca="1">TODAY()-H3</f>
        <v>344</v>
      </c>
      <c r="K3" s="18" t="str">
        <f ca="1">IF(J3&lt;=21, "No", "Yes" )</f>
        <v>Yes</v>
      </c>
      <c r="L3" s="11">
        <v>44587</v>
      </c>
      <c r="M3" s="18">
        <f>1+2+2+2+2+3+3</f>
        <v>15</v>
      </c>
      <c r="N3" s="18">
        <f ca="1">TODAY()-L3</f>
        <v>267</v>
      </c>
      <c r="O3" s="18" t="str">
        <f ca="1">IF(N3&lt;=21, "No", "Yes" )</f>
        <v>Yes</v>
      </c>
      <c r="P3" s="18"/>
      <c r="Q3" s="18"/>
      <c r="R3" s="18"/>
      <c r="S3" s="18"/>
      <c r="U3" s="12">
        <v>44533</v>
      </c>
      <c r="V3" s="18">
        <v>16</v>
      </c>
      <c r="W3" s="18"/>
      <c r="X3" s="18"/>
      <c r="Y3" s="18"/>
    </row>
    <row r="4" spans="1:25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3" t="s">
        <v>32</v>
      </c>
      <c r="F4" s="13" t="s">
        <v>32</v>
      </c>
      <c r="G4" s="13" t="s">
        <v>32</v>
      </c>
      <c r="H4" s="11"/>
      <c r="I4" s="18">
        <f>I3-16</f>
        <v>49</v>
      </c>
      <c r="J4" s="18"/>
      <c r="K4" s="18"/>
      <c r="L4" s="11">
        <v>44622</v>
      </c>
      <c r="M4" s="18">
        <f>8+18+14</f>
        <v>40</v>
      </c>
      <c r="N4" s="18"/>
      <c r="O4" s="18"/>
      <c r="P4" s="18"/>
      <c r="Q4" s="18"/>
      <c r="R4" s="18"/>
      <c r="S4" s="18"/>
      <c r="U4" s="12">
        <v>44550</v>
      </c>
      <c r="V4" s="18"/>
      <c r="W4" s="18"/>
      <c r="X4" s="18">
        <v>9</v>
      </c>
      <c r="Y4" s="18"/>
    </row>
    <row r="5" spans="1:25" ht="18" customHeight="1" x14ac:dyDescent="0.3">
      <c r="A5" s="8" t="s">
        <v>36</v>
      </c>
      <c r="B5" s="3">
        <f t="array" ref="B5">(IFERROR((LOOKUP(2,1/(I$3:I$100&lt;&gt;""),I$3:I$100)),0))</f>
        <v>26</v>
      </c>
      <c r="D5" s="11"/>
      <c r="E5" s="18"/>
      <c r="F5" s="18"/>
      <c r="G5" s="18"/>
      <c r="H5" s="11"/>
      <c r="I5" s="18">
        <v>40</v>
      </c>
      <c r="J5" s="18"/>
      <c r="K5" s="18"/>
      <c r="L5" s="11">
        <v>44650</v>
      </c>
      <c r="M5" s="18">
        <f>3+3+3+3+4+4+3+3</f>
        <v>26</v>
      </c>
      <c r="N5" s="18">
        <f ca="1">TODAY()-L5</f>
        <v>204</v>
      </c>
      <c r="O5" s="18" t="str">
        <f ca="1">IF(N5&lt;=21, "No", "Yes" )</f>
        <v>Yes</v>
      </c>
      <c r="P5" s="18"/>
      <c r="Q5" s="18"/>
      <c r="R5" s="18"/>
      <c r="S5" s="18"/>
      <c r="U5" s="12">
        <v>44568</v>
      </c>
      <c r="V5" s="18"/>
      <c r="W5" s="18"/>
      <c r="X5" s="18">
        <v>5</v>
      </c>
      <c r="Y5" s="18"/>
    </row>
    <row r="6" spans="1:25" ht="18" customHeight="1" x14ac:dyDescent="0.3">
      <c r="A6" s="8" t="s">
        <v>37</v>
      </c>
      <c r="B6" s="9">
        <f t="array" ref="B6">LOOKUP(2,1 / (H$3:H$100 &lt;&gt;""), H$3:H$100)</f>
        <v>44813</v>
      </c>
      <c r="D6" s="18"/>
      <c r="E6" s="18"/>
      <c r="F6" s="18"/>
      <c r="G6" s="18"/>
      <c r="H6" s="11">
        <v>44550</v>
      </c>
      <c r="I6" s="18">
        <f>6+8+7+9+7</f>
        <v>37</v>
      </c>
      <c r="J6" s="18">
        <f ca="1">TODAY()-H6</f>
        <v>304</v>
      </c>
      <c r="K6" s="18" t="str">
        <f ca="1">IF(J6&lt;=21, "No", "Yes" )</f>
        <v>Yes</v>
      </c>
      <c r="L6" s="11">
        <v>44692</v>
      </c>
      <c r="M6" s="18">
        <f>14+8</f>
        <v>22</v>
      </c>
      <c r="N6" s="18">
        <f ca="1">TODAY()-L6</f>
        <v>162</v>
      </c>
      <c r="O6" s="18" t="str">
        <f ca="1">IF(N6&lt;=21, "No", "Yes" )</f>
        <v>Yes</v>
      </c>
      <c r="P6" s="18"/>
      <c r="Q6" s="18"/>
      <c r="R6" s="18"/>
      <c r="S6" s="18"/>
      <c r="U6" s="12">
        <v>44622</v>
      </c>
      <c r="V6" s="18"/>
      <c r="W6" s="18"/>
      <c r="X6" s="18">
        <v>10</v>
      </c>
      <c r="Y6" s="18"/>
    </row>
    <row r="7" spans="1:25" ht="18" customHeight="1" x14ac:dyDescent="0.3">
      <c r="A7" s="8" t="s">
        <v>39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>
        <f>I6-5</f>
        <v>32</v>
      </c>
      <c r="J7" s="18"/>
      <c r="K7" s="18"/>
      <c r="L7" s="11">
        <v>44813</v>
      </c>
      <c r="M7" s="18">
        <v>19</v>
      </c>
      <c r="N7" s="18"/>
      <c r="O7" s="18"/>
      <c r="P7" s="18"/>
      <c r="Q7" s="18"/>
      <c r="R7" s="18"/>
      <c r="S7" s="18"/>
      <c r="V7" s="18"/>
      <c r="W7" s="18"/>
      <c r="X7" s="18"/>
      <c r="Y7" s="18"/>
    </row>
    <row r="8" spans="1:25" ht="18" customHeight="1" x14ac:dyDescent="0.3">
      <c r="A8" s="22" t="s">
        <v>41</v>
      </c>
      <c r="B8" s="3">
        <f t="array" ref="B8">(IFERROR((LOOKUP(2,1/(M$3:M$100&lt;&gt;""),M$3:M$100)),0))</f>
        <v>19</v>
      </c>
      <c r="D8" s="18"/>
      <c r="E8" s="18"/>
      <c r="F8" s="18"/>
      <c r="G8" s="18"/>
      <c r="H8" s="11">
        <v>44587</v>
      </c>
      <c r="I8" s="18">
        <f>4+4+4+8+10+4+4+5</f>
        <v>43</v>
      </c>
      <c r="J8" s="18">
        <f ca="1">TODAY()-H8</f>
        <v>267</v>
      </c>
      <c r="K8" s="18" t="str">
        <f ca="1">IF(J8&lt;=21, "No", "Yes" )</f>
        <v>Yes</v>
      </c>
      <c r="L8" s="18"/>
      <c r="M8" s="18"/>
      <c r="N8" s="18"/>
      <c r="O8" s="18"/>
      <c r="P8" s="18"/>
      <c r="Q8" s="18"/>
      <c r="R8" s="18"/>
      <c r="S8" s="18"/>
      <c r="V8" s="18"/>
      <c r="W8" s="18"/>
      <c r="X8" s="18"/>
      <c r="Y8" s="18"/>
    </row>
    <row r="9" spans="1:25" ht="18" customHeight="1" x14ac:dyDescent="0.3">
      <c r="A9" s="22" t="s">
        <v>42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>
        <v>33</v>
      </c>
      <c r="J9" s="18"/>
      <c r="K9" s="18"/>
      <c r="L9" s="11"/>
      <c r="M9" s="18"/>
      <c r="N9" s="18"/>
      <c r="O9" s="18"/>
      <c r="P9" s="18"/>
      <c r="Q9" s="18"/>
      <c r="R9" s="18"/>
      <c r="S9" s="18"/>
      <c r="V9" s="18"/>
      <c r="W9" s="18"/>
      <c r="X9" s="18"/>
      <c r="Y9" s="18"/>
    </row>
    <row r="10" spans="1:25" ht="18" customHeight="1" x14ac:dyDescent="0.3">
      <c r="A10" s="22" t="s">
        <v>43</v>
      </c>
      <c r="B10" s="1" t="str">
        <f t="array" aca="1" ref="B10" ca="1">LOOKUP(2,1 / (O$3:O$100 &lt;&gt;""), O$3:O$100)</f>
        <v>Yes</v>
      </c>
      <c r="H10" t="s">
        <v>32</v>
      </c>
      <c r="I10" t="s">
        <v>32</v>
      </c>
      <c r="J10" t="s">
        <v>32</v>
      </c>
      <c r="K10" t="s">
        <v>32</v>
      </c>
    </row>
    <row r="11" spans="1:25" ht="18" customHeight="1" x14ac:dyDescent="0.3">
      <c r="A11" s="2" t="s">
        <v>44</v>
      </c>
      <c r="B11" s="3">
        <f>(IFERROR((LOOKUP(2,1/(Q$3:Q$100&lt;&gt;""),Q$3:Q$100)),0))</f>
        <v>0</v>
      </c>
      <c r="H11" s="12">
        <v>44650</v>
      </c>
      <c r="I11">
        <f>8+6+8</f>
        <v>22</v>
      </c>
      <c r="J11" s="18">
        <f ca="1">TODAY()-H11</f>
        <v>204</v>
      </c>
      <c r="K11" s="18" t="str">
        <f ca="1">IF(J11&lt;=21, "No", "Yes" )</f>
        <v>Yes</v>
      </c>
    </row>
    <row r="12" spans="1:25" ht="18" customHeight="1" x14ac:dyDescent="0.3">
      <c r="A12" s="2" t="s">
        <v>45</v>
      </c>
      <c r="B12" s="9" t="e">
        <f>LOOKUP(2,1 / (P$3:P$9 &lt;&gt;""), P$3:P$9)</f>
        <v>#N/A</v>
      </c>
      <c r="H12" s="12">
        <v>44692</v>
      </c>
      <c r="I12">
        <f>36+56</f>
        <v>92</v>
      </c>
      <c r="J12" s="18">
        <f ca="1">TODAY()-H12</f>
        <v>162</v>
      </c>
      <c r="K12" s="18" t="str">
        <f ca="1">IF(J12&lt;=21, "No", "Yes" )</f>
        <v>Yes</v>
      </c>
    </row>
    <row r="13" spans="1:25" x14ac:dyDescent="0.25">
      <c r="H13" s="12">
        <v>44813</v>
      </c>
      <c r="I13">
        <v>26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C16"/>
  <sheetViews>
    <sheetView zoomScale="85" zoomScaleNormal="85" workbookViewId="0">
      <selection activeCell="E6" sqref="E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5.5703125" style="27" bestFit="1" customWidth="1"/>
    <col min="13" max="13" width="9.85546875" style="27" bestFit="1" customWidth="1"/>
    <col min="14" max="14" width="15.42578125" style="27" bestFit="1" customWidth="1"/>
    <col min="16" max="16" width="15.570312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52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44488</v>
      </c>
      <c r="E3" s="18">
        <v>63</v>
      </c>
      <c r="F3" s="18">
        <f ca="1">TODAY()-D3</f>
        <v>366</v>
      </c>
      <c r="G3" s="18" t="str">
        <f ca="1">IF(F3&lt;=21, "No", "Yes" )</f>
        <v>Yes</v>
      </c>
      <c r="H3" s="11"/>
      <c r="I3" s="18"/>
      <c r="J3" s="18"/>
      <c r="K3" s="18"/>
      <c r="L3" s="11">
        <v>44510</v>
      </c>
      <c r="M3" s="18">
        <f>16+8+8+8+8+9</f>
        <v>57</v>
      </c>
      <c r="N3" s="18">
        <f ca="1">TODAY()-L3</f>
        <v>344</v>
      </c>
      <c r="O3" s="18" t="str">
        <f ca="1">IF(N3&lt;=21, "No", "Yes" )</f>
        <v>Yes</v>
      </c>
      <c r="P3" s="11">
        <v>44588</v>
      </c>
      <c r="Q3" s="18">
        <f>2+2+2+2+4+3+5+6</f>
        <v>26</v>
      </c>
      <c r="R3" s="18">
        <f ca="1">TODAY()-P3</f>
        <v>266</v>
      </c>
      <c r="S3" s="18" t="str">
        <f ca="1">IF(R3&lt;=21, "No", "Yes" )</f>
        <v>Yes</v>
      </c>
      <c r="T3" s="18"/>
      <c r="U3" s="18"/>
      <c r="V3" s="18"/>
      <c r="W3" s="18"/>
      <c r="Y3" s="12">
        <v>44550</v>
      </c>
      <c r="Z3" s="18"/>
      <c r="AA3" s="18"/>
      <c r="AB3" s="18">
        <v>4</v>
      </c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>
        <v>44585</v>
      </c>
      <c r="E4" s="14">
        <v>40</v>
      </c>
      <c r="F4" s="18">
        <f ca="1">TODAY()-D4</f>
        <v>269</v>
      </c>
      <c r="G4" s="18" t="str">
        <f ca="1">IF(F4&lt;=21, "No", "Yes" )</f>
        <v>Yes</v>
      </c>
      <c r="H4" s="13"/>
      <c r="I4" s="14"/>
      <c r="J4" s="14"/>
      <c r="K4" s="14"/>
      <c r="L4" s="11"/>
      <c r="M4" s="18">
        <v>53</v>
      </c>
      <c r="N4" s="18"/>
      <c r="O4" s="18"/>
      <c r="P4" s="11">
        <v>44624</v>
      </c>
      <c r="Q4" s="18">
        <f>1+26+18</f>
        <v>45</v>
      </c>
      <c r="R4" s="18">
        <f ca="1">TODAY()-P4</f>
        <v>230</v>
      </c>
      <c r="S4" s="18" t="str">
        <f ca="1">IF(R4&lt;=21, "No", "Yes" )</f>
        <v>Yes</v>
      </c>
      <c r="T4" s="18"/>
      <c r="U4" s="18"/>
      <c r="V4" s="18"/>
      <c r="W4" s="18"/>
      <c r="Y4" s="12">
        <v>44568</v>
      </c>
      <c r="Z4" s="18"/>
      <c r="AA4" s="18"/>
      <c r="AB4" s="18">
        <v>7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44550</v>
      </c>
      <c r="M5" s="18">
        <f>5+7+5+2+8+5+4+11+7+9+5+7</f>
        <v>75</v>
      </c>
      <c r="N5" s="18">
        <f ca="1">TODAY()-L5</f>
        <v>304</v>
      </c>
      <c r="O5" s="18" t="str">
        <f ca="1">IF(N5&lt;=21, "No", "Yes" )</f>
        <v>Yes</v>
      </c>
      <c r="P5" s="11"/>
      <c r="Q5" s="18">
        <f>Q4-17</f>
        <v>28</v>
      </c>
      <c r="R5" s="18"/>
      <c r="S5" s="18"/>
      <c r="T5" s="18"/>
      <c r="U5" s="18"/>
      <c r="V5" s="18"/>
      <c r="W5" s="18"/>
      <c r="Y5" s="12">
        <v>44588</v>
      </c>
      <c r="Z5" s="18"/>
      <c r="AA5" s="18"/>
      <c r="AB5" s="18">
        <f>6+4+5</f>
        <v>15</v>
      </c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M5-7</f>
        <v>68</v>
      </c>
      <c r="N6" s="18"/>
      <c r="O6" s="18"/>
      <c r="P6" s="11">
        <v>44651</v>
      </c>
      <c r="Q6" s="18">
        <f>21+3+3+3+3+3+1</f>
        <v>37</v>
      </c>
      <c r="R6" s="18">
        <f ca="1">TODAY()-P6</f>
        <v>203</v>
      </c>
      <c r="S6" s="18" t="str">
        <f ca="1">IF(R6&lt;=21, "No", "Yes" )</f>
        <v>Yes</v>
      </c>
      <c r="T6" s="18"/>
      <c r="U6" s="18"/>
      <c r="V6" s="18"/>
      <c r="W6" s="18"/>
      <c r="Y6" s="12">
        <v>44593</v>
      </c>
      <c r="Z6" s="18"/>
      <c r="AA6" s="18"/>
      <c r="AB6" s="18">
        <v>2</v>
      </c>
      <c r="AC6" s="18"/>
    </row>
    <row r="7" spans="1:29" ht="18" customHeight="1" x14ac:dyDescent="0.3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M6-15</f>
        <v>53</v>
      </c>
      <c r="N7" s="18"/>
      <c r="O7" s="18"/>
      <c r="P7" s="11">
        <v>44692</v>
      </c>
      <c r="Q7" s="18">
        <f>18+4</f>
        <v>22</v>
      </c>
      <c r="R7" s="18">
        <f ca="1">TODAY()-P7</f>
        <v>162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106</v>
      </c>
      <c r="D8" s="18"/>
      <c r="E8" s="18"/>
      <c r="F8" s="18"/>
      <c r="G8" s="18"/>
      <c r="H8" s="18"/>
      <c r="I8" s="18"/>
      <c r="J8" s="18"/>
      <c r="K8" s="18"/>
      <c r="L8" s="11">
        <v>44588</v>
      </c>
      <c r="M8" s="18">
        <f>4+8+18+10+5+4+8+17+10+5+8+9+12+8+4+5</f>
        <v>135</v>
      </c>
      <c r="N8" s="18">
        <f ca="1">TODAY()-L8</f>
        <v>266</v>
      </c>
      <c r="O8" s="18" t="str">
        <f ca="1">IF(N8&lt;=21, "No", "Yes" )</f>
        <v>Yes</v>
      </c>
      <c r="P8" s="11">
        <v>44732</v>
      </c>
      <c r="Q8" s="18">
        <v>62</v>
      </c>
      <c r="R8" s="18">
        <f ca="1">TODAY()-P8</f>
        <v>122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44827</v>
      </c>
      <c r="D9" s="18"/>
      <c r="E9" s="18"/>
      <c r="F9" s="18"/>
      <c r="G9" s="18"/>
      <c r="H9" s="18"/>
      <c r="I9" s="18"/>
      <c r="J9" s="18"/>
      <c r="K9" s="18"/>
      <c r="L9" s="18"/>
      <c r="M9" s="18">
        <v>133</v>
      </c>
      <c r="N9" s="18"/>
      <c r="O9" s="18"/>
      <c r="P9" s="11">
        <v>44827</v>
      </c>
      <c r="Q9" s="18">
        <v>15</v>
      </c>
      <c r="R9" s="18">
        <f ca="1">TODAY()-P9</f>
        <v>27</v>
      </c>
      <c r="S9" s="18" t="str">
        <f ca="1">IF(R9&lt;=21, "No", "Yes" )</f>
        <v>Yes</v>
      </c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/>
      <c r="M10">
        <f>M9+4+4</f>
        <v>141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15</v>
      </c>
      <c r="L11" s="12">
        <v>44624</v>
      </c>
      <c r="M11">
        <f>19+24+12+28+24</f>
        <v>107</v>
      </c>
      <c r="N11" s="18">
        <f ca="1">TODAY()-L11</f>
        <v>230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44827</v>
      </c>
      <c r="M12">
        <f>M11-31-10-40</f>
        <v>26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  <c r="L13" s="12">
        <v>44651</v>
      </c>
      <c r="M13">
        <f>24+15+8+8+8</f>
        <v>63</v>
      </c>
      <c r="N13" s="18">
        <f ca="1">TODAY()-L13</f>
        <v>203</v>
      </c>
      <c r="O13" s="18" t="str">
        <f ca="1">IF(N13&lt;=21, "No", "Yes" 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15</v>
      </c>
      <c r="L14" s="12">
        <v>44692</v>
      </c>
      <c r="M14">
        <f>32+36</f>
        <v>68</v>
      </c>
      <c r="N14" s="18">
        <f ca="1">TODAY()-L14</f>
        <v>162</v>
      </c>
      <c r="O14" s="18" t="str">
        <f ca="1">IF(N14&lt;=21, "No", "Yes" )</f>
        <v>Yes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  <c r="L15" s="12">
        <v>44732</v>
      </c>
      <c r="M15">
        <f>136</f>
        <v>136</v>
      </c>
      <c r="N15" s="18">
        <f ca="1">TODAY()-L15</f>
        <v>122</v>
      </c>
      <c r="O15" s="18" t="str">
        <f ca="1">IF(N15&lt;=21, "No", "Yes" )</f>
        <v>Yes</v>
      </c>
    </row>
    <row r="16" spans="1:29" x14ac:dyDescent="0.25">
      <c r="L16" s="12">
        <v>44827</v>
      </c>
      <c r="M16">
        <f>52+54</f>
        <v>106</v>
      </c>
      <c r="N16">
        <f ca="1">TODAY()-L16</f>
        <v>27</v>
      </c>
      <c r="O16" t="str">
        <f ca="1">IF(N16&lt;=21, "No", "Yes" )</f>
        <v>Yes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C15"/>
  <sheetViews>
    <sheetView topLeftCell="C1" zoomScale="106" zoomScaleNormal="110" workbookViewId="0">
      <selection activeCell="L13" sqref="L1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5703125" style="27" bestFit="1" customWidth="1"/>
    <col min="14" max="14" width="15.42578125" style="27" bestFit="1" customWidth="1"/>
    <col min="16" max="16" width="16" style="27" bestFit="1" customWidth="1"/>
    <col min="17" max="17" width="10.7109375" style="27" bestFit="1" customWidth="1"/>
    <col min="25" max="25" width="10.7109375" style="27" bestFit="1" customWidth="1"/>
  </cols>
  <sheetData>
    <row r="1" spans="1:29" ht="18" customHeight="1" x14ac:dyDescent="0.3">
      <c r="A1" s="2" t="s">
        <v>20</v>
      </c>
      <c r="B1" s="3" t="s">
        <v>53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f>36*3</f>
        <v>108</v>
      </c>
      <c r="F3" s="18">
        <f ca="1">TODAY()-D3</f>
        <v>363</v>
      </c>
      <c r="G3" s="18" t="str">
        <f ca="1">IF(F3&lt;=21, "No", "Yes" )</f>
        <v>Yes</v>
      </c>
      <c r="H3" s="11">
        <v>44594</v>
      </c>
      <c r="I3" s="18">
        <f>8+8+5</f>
        <v>21</v>
      </c>
      <c r="J3" s="18">
        <f ca="1">TODAY()-H3</f>
        <v>260</v>
      </c>
      <c r="K3" s="18" t="str">
        <f ca="1">IF(J3&lt;=21, "No", "Yes" )</f>
        <v>Yes</v>
      </c>
      <c r="L3" s="11">
        <v>44511</v>
      </c>
      <c r="M3" s="18">
        <f>24+16+10+4+8+8+7+5+3+8+4+8+7</f>
        <v>112</v>
      </c>
      <c r="N3" s="18">
        <f ca="1">TODAY()-L3</f>
        <v>343</v>
      </c>
      <c r="O3" s="18" t="str">
        <f ca="1">IF(N3&lt;=21, "No", "Yes" )</f>
        <v>Yes</v>
      </c>
      <c r="P3" s="11">
        <v>44594</v>
      </c>
      <c r="Q3" s="18">
        <f>3+2+1+1</f>
        <v>7</v>
      </c>
      <c r="R3" s="18">
        <f ca="1">TODAY()-P3</f>
        <v>260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19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M3-19</f>
        <v>93</v>
      </c>
      <c r="N4" s="18"/>
      <c r="O4" s="18"/>
      <c r="P4" s="11">
        <v>44627</v>
      </c>
      <c r="Q4" s="18">
        <f>3+12</f>
        <v>15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6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M4-6</f>
        <v>87</v>
      </c>
      <c r="N5" s="18"/>
      <c r="O5" s="18"/>
      <c r="P5" s="11">
        <v>44670</v>
      </c>
      <c r="Q5" s="18">
        <f>3+3+3+3+5</f>
        <v>17</v>
      </c>
      <c r="R5" s="18">
        <f ca="1">TODAY()-P5</f>
        <v>184</v>
      </c>
      <c r="S5" s="18" t="str">
        <f ca="1">IF(R5&lt;=21, "No", "Yes" )</f>
        <v>Yes</v>
      </c>
      <c r="T5" s="18"/>
      <c r="U5" s="18"/>
      <c r="V5" s="18"/>
      <c r="W5" s="18"/>
      <c r="Y5" s="12">
        <v>44627</v>
      </c>
      <c r="Z5" s="18"/>
      <c r="AA5" s="18"/>
      <c r="AB5" s="18">
        <v>3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7+5+7+6+8+4+8+5+2+4+4+8+4+9+5+5+4+6+5+6+3+3</f>
        <v>118</v>
      </c>
      <c r="N6" s="18">
        <f ca="1">TODAY()-L6</f>
        <v>303</v>
      </c>
      <c r="O6" s="18" t="str">
        <f ca="1">IF(N6&lt;=21, "No", "Yes" )</f>
        <v>Yes</v>
      </c>
      <c r="P6" s="11">
        <v>44701</v>
      </c>
      <c r="Q6" s="18">
        <v>12</v>
      </c>
      <c r="R6" s="18">
        <f ca="1">TODAY()-P6</f>
        <v>153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44594</v>
      </c>
      <c r="M7" s="18">
        <f>9+5+5+8+8+8+8+8+8+10+8+8+8</f>
        <v>101</v>
      </c>
      <c r="N7" s="18"/>
      <c r="O7" s="18"/>
      <c r="P7" s="11">
        <v>44818</v>
      </c>
      <c r="Q7" s="18">
        <v>6</v>
      </c>
      <c r="R7" s="18">
        <f ca="1">TODAY()-P7</f>
        <v>36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8"/>
      <c r="M8" s="18">
        <f>M7-3</f>
        <v>98</v>
      </c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20+26+24+35+19</f>
        <v>124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44670</v>
      </c>
      <c r="M10">
        <f>8+8+4+8+7</f>
        <v>35</v>
      </c>
      <c r="N10" s="18">
        <f ca="1">TODAY()-L10</f>
        <v>184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6</v>
      </c>
      <c r="L11" s="12">
        <v>44701</v>
      </c>
      <c r="M11">
        <f>36+12+22</f>
        <v>70</v>
      </c>
      <c r="N11" s="18">
        <f ca="1">TODAY()-L11</f>
        <v>153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44818</v>
      </c>
      <c r="L12" s="12">
        <v>44818</v>
      </c>
      <c r="M12">
        <v>20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6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C15"/>
  <sheetViews>
    <sheetView topLeftCell="D1" zoomScale="110" zoomScaleNormal="110" workbookViewId="0">
      <selection activeCell="P10" sqref="P10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54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f>36*3</f>
        <v>108</v>
      </c>
      <c r="F3" s="18">
        <f ca="1">TODAY()-D3</f>
        <v>363</v>
      </c>
      <c r="G3" s="18" t="str">
        <f ca="1">IF(F3&lt;=21, "No", "Yes" )</f>
        <v>Yes</v>
      </c>
      <c r="H3" s="11">
        <v>44592</v>
      </c>
      <c r="I3" s="18">
        <f>5+8+2+8+10+5+8+11+15+5+5+5+5+5+5+5+5+5+5+5+5+5+10+17</f>
        <v>164</v>
      </c>
      <c r="J3" s="18">
        <f ca="1">TODAY()-H3</f>
        <v>262</v>
      </c>
      <c r="K3" s="18" t="str">
        <f ca="1">IF(J3&lt;=21, "No", "Yes" )</f>
        <v>Yes</v>
      </c>
      <c r="L3" s="11">
        <v>44512</v>
      </c>
      <c r="M3" s="18">
        <f>8*12+18</f>
        <v>114</v>
      </c>
      <c r="N3" s="18">
        <f ca="1">TODAY()-L3</f>
        <v>342</v>
      </c>
      <c r="O3" s="18" t="str">
        <f ca="1">IF(N3&lt;=21, "No", "Yes" )</f>
        <v>Yes</v>
      </c>
      <c r="P3" s="11">
        <v>44592</v>
      </c>
      <c r="Q3" s="18">
        <f>2+2+2+1</f>
        <v>7</v>
      </c>
      <c r="R3" s="18">
        <f t="shared" ref="R3:R8" ca="1" si="0">TODAY()-P3</f>
        <v>262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44551</v>
      </c>
      <c r="Z3" s="18"/>
      <c r="AA3" s="18"/>
      <c r="AB3" s="18">
        <v>4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v>110</v>
      </c>
      <c r="N4" s="18"/>
      <c r="O4" s="18"/>
      <c r="P4" s="11">
        <v>44623</v>
      </c>
      <c r="Q4" s="18">
        <f>3+3+3+2+3+2+3+2+4+2+2</f>
        <v>29</v>
      </c>
      <c r="R4" s="18">
        <f t="shared" ca="1" si="0"/>
        <v>231</v>
      </c>
      <c r="S4" s="18" t="str">
        <f t="shared" ca="1" si="1"/>
        <v>Yes</v>
      </c>
      <c r="T4" s="18"/>
      <c r="U4" s="18"/>
      <c r="V4" s="18"/>
      <c r="W4" s="18"/>
      <c r="Y4" s="12">
        <v>44592</v>
      </c>
      <c r="Z4" s="18"/>
      <c r="AA4" s="18"/>
      <c r="AB4" s="18">
        <v>15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5+10+5+5+10+8+10+10+5+8+15+17+9+15+15+14+10</f>
        <v>171</v>
      </c>
      <c r="N5" s="18">
        <f ca="1">TODAY()-L5</f>
        <v>303</v>
      </c>
      <c r="O5" s="18" t="str">
        <f ca="1">IF(N5&lt;=21, "No", "Yes" )</f>
        <v>Yes</v>
      </c>
      <c r="P5" s="11">
        <v>44666</v>
      </c>
      <c r="Q5" s="18">
        <f>3+3+6+3+3+3+3+3+3+3+3+3+3</f>
        <v>42</v>
      </c>
      <c r="R5" s="18">
        <f t="shared" ca="1" si="0"/>
        <v>188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M5-15</f>
        <v>156</v>
      </c>
      <c r="N6" s="18"/>
      <c r="O6" s="18"/>
      <c r="P6" s="11">
        <v>44693</v>
      </c>
      <c r="Q6" s="18">
        <f>13+3</f>
        <v>16</v>
      </c>
      <c r="R6" s="18">
        <f t="shared" ca="1" si="0"/>
        <v>161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44592</v>
      </c>
      <c r="M7" s="18">
        <f>6+18+10+2+5+5+4+8+8+8+16+8+8+12+15</f>
        <v>133</v>
      </c>
      <c r="N7" s="18">
        <f ca="1">TODAY()-L7</f>
        <v>262</v>
      </c>
      <c r="O7" s="18" t="str">
        <f ca="1">IF(N7&lt;=21, "No", "Yes" )</f>
        <v>Yes</v>
      </c>
      <c r="P7" s="11">
        <v>44733</v>
      </c>
      <c r="Q7" s="18">
        <f>11+8</f>
        <v>19</v>
      </c>
      <c r="R7" s="18">
        <f t="shared" ca="1" si="0"/>
        <v>121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32</v>
      </c>
      <c r="D8" s="18"/>
      <c r="E8" s="18"/>
      <c r="F8" s="18"/>
      <c r="G8" s="18"/>
      <c r="H8" s="18"/>
      <c r="I8" s="18"/>
      <c r="J8" s="18"/>
      <c r="K8" s="18"/>
      <c r="L8" s="11">
        <v>44623</v>
      </c>
      <c r="M8" s="18">
        <f>19+8+18+5+8+8+8+8+5+8+8+8+4</f>
        <v>115</v>
      </c>
      <c r="N8" s="18"/>
      <c r="O8" s="18"/>
      <c r="P8" s="11">
        <v>44825</v>
      </c>
      <c r="Q8" s="18">
        <v>11</v>
      </c>
      <c r="R8" s="18">
        <f t="shared" ca="1" si="0"/>
        <v>29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1">
        <v>44666</v>
      </c>
      <c r="M9" s="18">
        <f>4+3+2+8+8+8+3</f>
        <v>36</v>
      </c>
      <c r="N9" s="18">
        <f ca="1">TODAY()-L9</f>
        <v>188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44693</v>
      </c>
      <c r="M10">
        <f>36+24+10+17</f>
        <v>87</v>
      </c>
      <c r="N10" s="18">
        <f ca="1">TODAY()-L10</f>
        <v>161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11</v>
      </c>
      <c r="L11" s="12">
        <v>44733</v>
      </c>
      <c r="M11">
        <f>30+10+17</f>
        <v>57</v>
      </c>
      <c r="N11" s="18">
        <f ca="1">TODAY()-L11</f>
        <v>121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44825</v>
      </c>
      <c r="L12" s="12">
        <v>44825</v>
      </c>
      <c r="M12">
        <f>12+6+14</f>
        <v>32</v>
      </c>
      <c r="N12" s="26">
        <f ca="1">TODAY()-L12</f>
        <v>29</v>
      </c>
      <c r="O12" s="26" t="str">
        <f ca="1">IF(N12&lt;=21, "No", "Yes" )</f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11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AC15"/>
  <sheetViews>
    <sheetView zoomScale="110" zoomScaleNormal="110" workbookViewId="0">
      <selection activeCell="B2" sqref="B2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8.140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55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44491</v>
      </c>
      <c r="E3" s="18">
        <v>106</v>
      </c>
      <c r="F3" s="18">
        <f ca="1">TODAY()-D3</f>
        <v>363</v>
      </c>
      <c r="G3" s="18" t="str">
        <f ca="1">IF(F3&lt;=21, "No", "Yes" )</f>
        <v>Yes</v>
      </c>
      <c r="H3" s="11" t="s">
        <v>32</v>
      </c>
      <c r="I3" s="18" t="s">
        <v>32</v>
      </c>
      <c r="J3" s="18" t="e">
        <f ca="1">TODAY()-H3</f>
        <v>#VALUE!</v>
      </c>
      <c r="K3" s="18" t="e">
        <f ca="1">IF(J3&lt;=21, "No", "Yes" )</f>
        <v>#VALUE!</v>
      </c>
      <c r="L3" s="11">
        <v>44515</v>
      </c>
      <c r="M3" s="18">
        <f>9+8+9+8+10+8+8+8+8+10+3+9+9+9+8+4</f>
        <v>128</v>
      </c>
      <c r="N3" s="18">
        <f ca="1">TODAY()-L3</f>
        <v>339</v>
      </c>
      <c r="O3" s="18" t="str">
        <f ca="1">IF(N3&lt;=21, "No", "Yes" )</f>
        <v>Yes</v>
      </c>
      <c r="P3" s="11">
        <v>44628</v>
      </c>
      <c r="Q3" s="18">
        <v>3</v>
      </c>
      <c r="R3" s="18">
        <f ca="1">TODAY()-P3</f>
        <v>226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8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M3-8</f>
        <v>120</v>
      </c>
      <c r="N4" s="18"/>
      <c r="O4" s="18"/>
      <c r="P4" s="11">
        <v>44663</v>
      </c>
      <c r="Q4" s="18">
        <v>1</v>
      </c>
      <c r="R4" s="18">
        <f ca="1">TODAY()-P4</f>
        <v>191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f>24</f>
        <v>24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M4-24</f>
        <v>96</v>
      </c>
      <c r="N5" s="18"/>
      <c r="O5" s="18"/>
      <c r="P5" s="11">
        <v>44813</v>
      </c>
      <c r="Q5" s="18">
        <v>4</v>
      </c>
      <c r="R5" s="18"/>
      <c r="S5" s="18"/>
      <c r="T5" s="18"/>
      <c r="U5" s="18"/>
      <c r="V5" s="18"/>
      <c r="W5" s="18"/>
      <c r="Y5" s="12">
        <v>44592</v>
      </c>
      <c r="Z5" s="18"/>
      <c r="AA5" s="18"/>
      <c r="AB5" s="18">
        <v>5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9+13+14+15+5+15+20+15+10+10+5</f>
        <v>131</v>
      </c>
      <c r="N6" s="18">
        <f ca="1">TODAY()-L6</f>
        <v>303</v>
      </c>
      <c r="O6" s="18" t="str">
        <f ca="1">IF(N6&lt;=21, "No", "Yes" )</f>
        <v>Yes</v>
      </c>
      <c r="P6" s="11" t="s">
        <v>56</v>
      </c>
      <c r="Q6" s="18">
        <v>8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aca="1" ref="B7" ca="1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M6-5</f>
        <v>126</v>
      </c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16</v>
      </c>
      <c r="D8" s="18"/>
      <c r="E8" s="18"/>
      <c r="F8" s="18"/>
      <c r="G8" s="18"/>
      <c r="H8" s="18"/>
      <c r="I8" s="18"/>
      <c r="J8" s="18"/>
      <c r="K8" s="18"/>
      <c r="L8" s="11">
        <v>44599</v>
      </c>
      <c r="M8" s="18">
        <v>9</v>
      </c>
      <c r="N8" s="18">
        <f ca="1">TODAY()-L8</f>
        <v>255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1">
        <v>44628</v>
      </c>
      <c r="M9" s="18">
        <v>4</v>
      </c>
      <c r="N9" s="18">
        <f ca="1">TODAY()-L9</f>
        <v>226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44663</v>
      </c>
      <c r="M10">
        <v>2</v>
      </c>
      <c r="N10" s="18">
        <f ca="1">TODAY()-L10</f>
        <v>191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8</v>
      </c>
      <c r="L11" s="12">
        <v>44813</v>
      </c>
      <c r="M11">
        <v>14</v>
      </c>
      <c r="N11" s="26">
        <f ca="1">TODAY()-L11</f>
        <v>41</v>
      </c>
      <c r="O11" s="26" t="str">
        <f ca="1">IF(N11&lt;=21, "No", "Yes" )</f>
        <v>Yes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10/18/2022</v>
      </c>
      <c r="L12" t="s">
        <v>56</v>
      </c>
      <c r="M12">
        <v>16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C15"/>
  <sheetViews>
    <sheetView topLeftCell="D1" zoomScale="110" zoomScaleNormal="110" workbookViewId="0">
      <selection activeCell="Q8" sqref="Q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1" max="21" width="10.7109375" style="27" bestFit="1" customWidth="1"/>
    <col min="25" max="25" width="10.7109375" style="27" bestFit="1" customWidth="1"/>
  </cols>
  <sheetData>
    <row r="1" spans="1:29" ht="18" customHeight="1" x14ac:dyDescent="0.3">
      <c r="A1" s="2" t="s">
        <v>20</v>
      </c>
      <c r="B1" s="3" t="s">
        <v>57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58</v>
      </c>
      <c r="F3" s="18">
        <f ca="1">TODAY()-D3</f>
        <v>360</v>
      </c>
      <c r="G3" s="18" t="str">
        <f ca="1">IF(F3&lt;=21, "No", "Yes" )</f>
        <v>Yes</v>
      </c>
      <c r="H3" s="11"/>
      <c r="I3" s="18"/>
      <c r="J3" s="18"/>
      <c r="K3" s="18"/>
      <c r="L3" s="11">
        <v>44515</v>
      </c>
      <c r="M3" s="18">
        <f>5+10+7+6+7+4+5+6+8+6+6+6+6+2</f>
        <v>84</v>
      </c>
      <c r="N3" s="18">
        <f ca="1">TODAY()-L3</f>
        <v>339</v>
      </c>
      <c r="O3" s="18" t="str">
        <f ca="1">IF(N3&lt;=21, "No", "Yes" )</f>
        <v>Yes</v>
      </c>
      <c r="P3" s="11">
        <v>44595</v>
      </c>
      <c r="Q3" s="18">
        <v>2</v>
      </c>
      <c r="R3" s="18">
        <f ca="1">TODAY()-P3</f>
        <v>259</v>
      </c>
      <c r="S3" s="18" t="str">
        <f ca="1">IF(R3&lt;=21, "No", "Yes" )</f>
        <v>Yes</v>
      </c>
      <c r="T3" s="18"/>
      <c r="U3" s="18"/>
      <c r="V3" s="18"/>
      <c r="W3" s="18"/>
      <c r="Y3" s="12">
        <v>44551</v>
      </c>
      <c r="Z3" s="18"/>
      <c r="AA3" s="18"/>
      <c r="AB3" s="18">
        <v>6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M3-6</f>
        <v>78</v>
      </c>
      <c r="N4" s="18"/>
      <c r="O4" s="18"/>
      <c r="P4" s="11">
        <v>44627</v>
      </c>
      <c r="Q4" s="18">
        <f>3+3+2</f>
        <v>8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44592</v>
      </c>
      <c r="Z4" s="18"/>
      <c r="AA4" s="18"/>
      <c r="AB4" s="18">
        <v>11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12+13+12+12+17+10+14+6</f>
        <v>96</v>
      </c>
      <c r="N5" s="18">
        <f ca="1">TODAY()-L5</f>
        <v>303</v>
      </c>
      <c r="O5" s="18" t="str">
        <f ca="1">IF(N5&lt;=21, "No", "Yes" )</f>
        <v>Yes</v>
      </c>
      <c r="P5" s="11">
        <v>44690</v>
      </c>
      <c r="Q5" s="18">
        <v>8</v>
      </c>
      <c r="R5" s="18">
        <f ca="1">TODAY()-P5</f>
        <v>164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M5-11</f>
        <v>85</v>
      </c>
      <c r="N6" s="18"/>
      <c r="O6" s="18"/>
      <c r="P6" s="11">
        <v>44818</v>
      </c>
      <c r="Q6" s="18">
        <v>5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44595</v>
      </c>
      <c r="M7" s="18">
        <v>8</v>
      </c>
      <c r="N7" s="18">
        <f ca="1">TODAY()-L7</f>
        <v>259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3</v>
      </c>
      <c r="D8" s="18"/>
      <c r="E8" s="18"/>
      <c r="F8" s="18"/>
      <c r="G8" s="18"/>
      <c r="H8" s="18"/>
      <c r="I8" s="18"/>
      <c r="J8" s="18"/>
      <c r="K8" s="18"/>
      <c r="L8" s="11">
        <v>44627</v>
      </c>
      <c r="M8" s="18">
        <v>9</v>
      </c>
      <c r="N8" s="18">
        <f ca="1">TODAY()-L8</f>
        <v>227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44690</v>
      </c>
      <c r="M9" s="18">
        <v>8</v>
      </c>
      <c r="N9" s="18">
        <f ca="1">TODAY()-L9</f>
        <v>164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44818</v>
      </c>
      <c r="M10" s="26">
        <v>3</v>
      </c>
      <c r="N10" s="26">
        <f ca="1">TODAY()-L10</f>
        <v>36</v>
      </c>
      <c r="O10" s="26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5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44818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5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AC15"/>
  <sheetViews>
    <sheetView topLeftCell="B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5" max="25" width="10.7109375" style="27" bestFit="1" customWidth="1"/>
  </cols>
  <sheetData>
    <row r="1" spans="1:29" ht="18" customHeight="1" x14ac:dyDescent="0.3">
      <c r="A1" s="2" t="s">
        <v>20</v>
      </c>
      <c r="B1" s="3" t="s">
        <v>58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120</v>
      </c>
      <c r="F3" s="18">
        <f ca="1">TODAY()-D3</f>
        <v>360</v>
      </c>
      <c r="G3" s="18" t="str">
        <f ca="1">IF(F3&lt;=21, "No", "Yes" )</f>
        <v>Yes</v>
      </c>
      <c r="H3" s="11">
        <v>44595</v>
      </c>
      <c r="I3" s="18">
        <v>2</v>
      </c>
      <c r="J3" s="18">
        <f ca="1">TODAY()-H3</f>
        <v>259</v>
      </c>
      <c r="K3" s="18" t="str">
        <f ca="1">IF(J3&lt;=21, "No", "Yes" )</f>
        <v>Yes</v>
      </c>
      <c r="L3" s="11">
        <v>44516</v>
      </c>
      <c r="M3" s="18">
        <f>6+9+8+8+5+8+6+4+5+8+4+8+4+8+5+5+4+6+5</f>
        <v>116</v>
      </c>
      <c r="N3" s="18">
        <f ca="1">TODAY()-L3</f>
        <v>338</v>
      </c>
      <c r="O3" s="18" t="str">
        <f ca="1">IF(N3&lt;=21, "No", "Yes" )</f>
        <v>Yes</v>
      </c>
      <c r="P3" s="11">
        <v>44595</v>
      </c>
      <c r="Q3" s="18">
        <f>2+3+10+3</f>
        <v>18</v>
      </c>
      <c r="R3" s="18">
        <f ca="1">TODAY()-P3</f>
        <v>259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28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M3-28</f>
        <v>88</v>
      </c>
      <c r="N4" s="18"/>
      <c r="O4" s="18"/>
      <c r="P4" s="11">
        <v>44627</v>
      </c>
      <c r="Q4" s="18">
        <f>3+4+8+2+2+2+3+2+2+2+4</f>
        <v>34</v>
      </c>
      <c r="R4" s="18">
        <f ca="1">TODAY()-P4</f>
        <v>227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6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2</v>
      </c>
      <c r="D5" s="11"/>
      <c r="E5" s="18"/>
      <c r="F5" s="18"/>
      <c r="G5" s="18"/>
      <c r="H5" s="11"/>
      <c r="I5" s="18"/>
      <c r="J5" s="18"/>
      <c r="K5" s="18"/>
      <c r="L5" s="11"/>
      <c r="M5" s="18">
        <v>82</v>
      </c>
      <c r="N5" s="18"/>
      <c r="O5" s="18"/>
      <c r="P5" s="11">
        <v>44663</v>
      </c>
      <c r="Q5" s="18">
        <f>32+42</f>
        <v>74</v>
      </c>
      <c r="R5" s="18">
        <f ca="1">TODAY()-P5</f>
        <v>191</v>
      </c>
      <c r="S5" s="18" t="str">
        <f ca="1">IF(R5&lt;=21, "No", "Yes" )</f>
        <v>Yes</v>
      </c>
      <c r="T5" s="18"/>
      <c r="U5" s="18"/>
      <c r="V5" s="18"/>
      <c r="W5" s="18"/>
      <c r="Y5" s="12">
        <v>44595</v>
      </c>
      <c r="Z5" s="18"/>
      <c r="AA5" s="18"/>
      <c r="AB5" s="18">
        <f>19+10+4</f>
        <v>33</v>
      </c>
      <c r="AC5" s="18"/>
    </row>
    <row r="6" spans="1:29" ht="18" customHeight="1" x14ac:dyDescent="0.3">
      <c r="A6" s="24" t="s">
        <v>34</v>
      </c>
      <c r="B6" s="9">
        <f t="array" ref="B6">LOOKUP(2,1 / (H$3:H$100 &lt;&gt;""), H$3:H$100)</f>
        <v>44595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6+8+4+8+8+10+8+7+6+7+6+7+9+4+14+13</f>
        <v>125</v>
      </c>
      <c r="N6" s="18">
        <f ca="1">TODAY()-L6</f>
        <v>303</v>
      </c>
      <c r="O6" s="18" t="str">
        <f ca="1">IF(N6&lt;=21, "No", "Yes" )</f>
        <v>Yes</v>
      </c>
      <c r="P6" s="11">
        <v>44699</v>
      </c>
      <c r="Q6" s="18">
        <v>28</v>
      </c>
      <c r="R6" s="18">
        <f ca="1">TODAY()-P6</f>
        <v>155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8"/>
      <c r="M7" s="18">
        <f>M6-33</f>
        <v>92</v>
      </c>
      <c r="N7" s="18"/>
      <c r="O7" s="18"/>
      <c r="P7" s="11">
        <v>44818</v>
      </c>
      <c r="Q7" s="18">
        <f>16+28</f>
        <v>44</v>
      </c>
      <c r="R7" s="18">
        <f ca="1">TODAY()-P7</f>
        <v>36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9</v>
      </c>
      <c r="D8" s="18"/>
      <c r="E8" s="18"/>
      <c r="F8" s="18"/>
      <c r="G8" s="18"/>
      <c r="H8" s="18"/>
      <c r="I8" s="18"/>
      <c r="J8" s="18"/>
      <c r="K8" s="18"/>
      <c r="L8" s="11">
        <v>44595</v>
      </c>
      <c r="M8" s="18">
        <f>8+12+8+8+7+16+16+16+12+12</f>
        <v>115</v>
      </c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3+8+8+4+8+18+8+8+16+8+8+8+5</f>
        <v>110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44663</v>
      </c>
      <c r="M10">
        <f>18+32</f>
        <v>50</v>
      </c>
      <c r="N10" s="18">
        <f ca="1">TODAY()-L10</f>
        <v>191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44</v>
      </c>
      <c r="L11" s="12">
        <v>44699</v>
      </c>
      <c r="M11">
        <v>72</v>
      </c>
      <c r="N11" s="18">
        <f ca="1">TODAY()-L11</f>
        <v>155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44818</v>
      </c>
      <c r="L12" s="12">
        <v>44818</v>
      </c>
      <c r="M12">
        <v>9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(IFERROR((LOOKUP(2,1/(Q$3:Q$100&lt;&gt;""),Q$3:Q$100)),0))</f>
        <v>44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C15"/>
  <sheetViews>
    <sheetView topLeftCell="E1" zoomScale="110" zoomScaleNormal="110" workbookViewId="0">
      <selection activeCell="Q7" sqref="Q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7" width="9.5703125" style="27" bestFit="1" customWidth="1"/>
    <col min="25" max="25" width="9.5703125" style="27" bestFit="1" customWidth="1"/>
  </cols>
  <sheetData>
    <row r="1" spans="1:29" ht="18" customHeight="1" x14ac:dyDescent="0.3">
      <c r="A1" s="2" t="s">
        <v>20</v>
      </c>
      <c r="B1" s="3" t="s">
        <v>59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80</v>
      </c>
      <c r="F3" s="18">
        <f ca="1">TODAY()-D3</f>
        <v>360</v>
      </c>
      <c r="G3" s="18" t="str">
        <f ca="1">IF(F3&lt;=21, "No", "Yes" )</f>
        <v>Yes</v>
      </c>
      <c r="H3" s="11">
        <v>44599</v>
      </c>
      <c r="I3" s="18">
        <v>9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5+4+4+5+5+8+4+9+5+5+6+8+8+9</f>
        <v>85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v>5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8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M3-8</f>
        <v>77</v>
      </c>
      <c r="N4" s="18"/>
      <c r="O4" s="18"/>
      <c r="P4" s="11">
        <v>44628</v>
      </c>
      <c r="Q4" s="18">
        <v>6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>
        <v>44599</v>
      </c>
      <c r="Z4" s="18"/>
      <c r="AA4" s="18"/>
      <c r="AB4" s="18">
        <v>45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6+8+6+10+6+10+6+13</f>
        <v>65</v>
      </c>
      <c r="N5" s="18">
        <f ca="1">TODAY()-L5</f>
        <v>297</v>
      </c>
      <c r="O5" s="18" t="str">
        <f ca="1">IF(N5&lt;=21, "No", "Yes" )</f>
        <v>Yes</v>
      </c>
      <c r="P5" s="11">
        <v>44685</v>
      </c>
      <c r="Q5" s="18">
        <v>10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M5-45</f>
        <v>20</v>
      </c>
      <c r="N6" s="18"/>
      <c r="O6" s="18"/>
      <c r="P6" s="11">
        <v>44729</v>
      </c>
      <c r="Q6" s="18">
        <v>1</v>
      </c>
      <c r="R6" s="18">
        <f ca="1">TODAY()-P6</f>
        <v>125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v>14</v>
      </c>
      <c r="N7" s="18">
        <f ca="1">TODAY()-L7</f>
        <v>255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11</v>
      </c>
      <c r="D8" s="18"/>
      <c r="E8" s="18"/>
      <c r="F8" s="18"/>
      <c r="G8" s="18"/>
      <c r="H8" s="18"/>
      <c r="I8" s="18"/>
      <c r="J8" s="18"/>
      <c r="K8" s="18"/>
      <c r="L8" s="11">
        <v>44628</v>
      </c>
      <c r="M8" s="18">
        <f>19</f>
        <v>19</v>
      </c>
      <c r="N8" s="18">
        <f ca="1">TODAY()-L8</f>
        <v>226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44729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13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44729</v>
      </c>
      <c r="M10">
        <f>11</f>
        <v>11</v>
      </c>
      <c r="N10" s="26">
        <f ca="1">TODAY()-L10</f>
        <v>125</v>
      </c>
      <c r="O10" s="26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44729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AC15"/>
  <sheetViews>
    <sheetView topLeftCell="D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44494</v>
      </c>
      <c r="E3" s="18">
        <v>86</v>
      </c>
      <c r="F3" s="18">
        <f ca="1">TODAY()-D3</f>
        <v>360</v>
      </c>
      <c r="G3" s="18" t="str">
        <f ca="1">IF(F3&lt;=21, "No", "Yes" )</f>
        <v>Yes</v>
      </c>
      <c r="H3" s="11">
        <v>44599</v>
      </c>
      <c r="I3" s="18">
        <f>4</f>
        <v>4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4+8+9+8+8+5+4+8+4+8+5+7+5+5+6</f>
        <v>94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1</f>
        <v>1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5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>
        <v>44643</v>
      </c>
      <c r="I4" s="14">
        <f>20+18</f>
        <v>38</v>
      </c>
      <c r="J4" s="18">
        <f ca="1">TODAY()-H4</f>
        <v>211</v>
      </c>
      <c r="K4" s="18" t="str">
        <f ca="1">IF(J4&lt;=21, "No", "Yes" )</f>
        <v>Yes</v>
      </c>
      <c r="L4" s="11"/>
      <c r="M4" s="18">
        <v>89</v>
      </c>
      <c r="N4" s="18"/>
      <c r="O4" s="18"/>
      <c r="P4" s="11">
        <v>44643</v>
      </c>
      <c r="Q4" s="18">
        <v>23</v>
      </c>
      <c r="R4" s="18">
        <f ca="1">TODAY()-P4</f>
        <v>211</v>
      </c>
      <c r="S4" s="18" t="str">
        <f ca="1">IF(R4&lt;=21, "No", "Yes" )</f>
        <v>Yes</v>
      </c>
      <c r="T4" s="18"/>
      <c r="U4" s="18"/>
      <c r="V4" s="18"/>
      <c r="W4" s="18"/>
      <c r="Y4" s="12">
        <v>44557</v>
      </c>
      <c r="Z4" s="18"/>
      <c r="AA4" s="18"/>
      <c r="AB4" s="18">
        <v>6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3" t="s">
        <v>32</v>
      </c>
      <c r="I5" s="14" t="s">
        <v>32</v>
      </c>
      <c r="J5" s="14" t="s">
        <v>32</v>
      </c>
      <c r="K5" s="14" t="s">
        <v>32</v>
      </c>
      <c r="L5" s="11"/>
      <c r="M5" s="18">
        <v>83</v>
      </c>
      <c r="N5" s="18"/>
      <c r="O5" s="18"/>
      <c r="P5" s="11">
        <v>44685</v>
      </c>
      <c r="Q5" s="18">
        <v>8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44557</v>
      </c>
      <c r="M6" s="18">
        <f>4+4+6+7+7+5+9+7+3+7+7+4+8+7+8+5+9+6+6</f>
        <v>119</v>
      </c>
      <c r="N6" s="18">
        <f t="shared" ref="N6:N11" ca="1" si="0">TODAY()-L6</f>
        <v>297</v>
      </c>
      <c r="O6" s="18" t="str">
        <f t="shared" ref="O6:O11" ca="1" si="1">IF(N6&lt;=21, "No", "Yes" )</f>
        <v>Yes</v>
      </c>
      <c r="P6" s="11">
        <v>44728</v>
      </c>
      <c r="Q6" s="18">
        <f>4+6+3+3+3</f>
        <v>19</v>
      </c>
      <c r="R6" s="18">
        <f ca="1">TODAY()-P6</f>
        <v>126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8+5+8+8+8+8+8+8+8</f>
        <v>69</v>
      </c>
      <c r="N7" s="18">
        <f t="shared" ca="1" si="0"/>
        <v>255</v>
      </c>
      <c r="O7" s="18" t="str">
        <f t="shared" ca="1" si="1"/>
        <v>Yes</v>
      </c>
      <c r="P7" s="11">
        <v>44823</v>
      </c>
      <c r="Q7" s="18">
        <v>6</v>
      </c>
      <c r="R7" s="18">
        <f ca="1">TODAY()-P7</f>
        <v>31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26</v>
      </c>
      <c r="D8" s="18"/>
      <c r="E8" s="18"/>
      <c r="F8" s="18"/>
      <c r="G8" s="18"/>
      <c r="H8" s="18"/>
      <c r="I8" s="18"/>
      <c r="J8" s="18"/>
      <c r="K8" s="18"/>
      <c r="L8" s="11">
        <v>44645</v>
      </c>
      <c r="M8" s="18">
        <v>4</v>
      </c>
      <c r="N8" s="18">
        <f t="shared" ca="1" si="0"/>
        <v>209</v>
      </c>
      <c r="O8" s="18" t="str">
        <f t="shared" ca="1" si="1"/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32</v>
      </c>
      <c r="N9" s="18">
        <f t="shared" ca="1" si="0"/>
        <v>169</v>
      </c>
      <c r="O9" s="18" t="str">
        <f t="shared" ca="1" si="1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f>10+10+10+5+6</f>
        <v>41</v>
      </c>
      <c r="N10" s="26">
        <f t="shared" ca="1" si="0"/>
        <v>126</v>
      </c>
      <c r="O10" s="26" t="str">
        <f t="shared" ca="1" si="1"/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6</v>
      </c>
      <c r="L11" s="12">
        <v>44823</v>
      </c>
      <c r="M11">
        <v>26</v>
      </c>
      <c r="N11" s="26">
        <f t="shared" ca="1" si="0"/>
        <v>31</v>
      </c>
      <c r="O11" s="26" t="str">
        <f t="shared" ca="1" si="1"/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44823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AC15"/>
  <sheetViews>
    <sheetView topLeftCell="G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40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v>5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8+7+7+5+5+6+7+5+10</f>
        <v>60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5+6+8+8+3+4+3</f>
        <v>37</v>
      </c>
      <c r="R3" s="18"/>
      <c r="S3" s="18"/>
      <c r="T3" s="18"/>
      <c r="U3" s="18"/>
      <c r="V3" s="18"/>
      <c r="W3" s="18"/>
      <c r="Y3" s="12">
        <v>44551</v>
      </c>
      <c r="Z3" s="18"/>
      <c r="AA3" s="18"/>
      <c r="AB3" s="18">
        <v>9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v>51</v>
      </c>
      <c r="N4" s="18"/>
      <c r="O4" s="18"/>
      <c r="P4" s="11">
        <v>44628</v>
      </c>
      <c r="Q4" s="18">
        <f>3+3+2+3+8+3+4+6+3+3+3</f>
        <v>41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44551</v>
      </c>
      <c r="M5" s="18">
        <f>15+13+10+10+17+8</f>
        <v>73</v>
      </c>
      <c r="N5" s="18">
        <f ca="1">TODAY()-L5</f>
        <v>303</v>
      </c>
      <c r="O5" s="18" t="str">
        <f ca="1">IF(N5&lt;=21, "No", "Yes" )</f>
        <v>Yes</v>
      </c>
      <c r="P5" s="11">
        <v>44663</v>
      </c>
      <c r="Q5" s="18">
        <f>8+4+5+3+3+3+3+3+3+3+3+4+3+2+3+3+3+3+2</f>
        <v>64</v>
      </c>
      <c r="R5" s="18">
        <f ca="1">TODAY()-P5</f>
        <v>191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44599</v>
      </c>
      <c r="M6" s="18">
        <f>8+12+4+8+8+2+8+8+28+21+8+6</f>
        <v>121</v>
      </c>
      <c r="N6" s="18"/>
      <c r="O6" s="18"/>
      <c r="P6" s="11">
        <v>44693</v>
      </c>
      <c r="Q6" s="18">
        <f>6+14</f>
        <v>20</v>
      </c>
      <c r="R6" s="18">
        <f ca="1">TODAY()-P6</f>
        <v>161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44628</v>
      </c>
      <c r="M7" s="18">
        <f>8+8+8+8+9+8+8+5+8+8+8+8+8+8+8</f>
        <v>118</v>
      </c>
      <c r="N7" s="18">
        <f ca="1">TODAY()-L7</f>
        <v>226</v>
      </c>
      <c r="O7" s="18" t="str">
        <f ca="1">IF(N7&lt;=21, "No", "Yes" )</f>
        <v>Yes</v>
      </c>
      <c r="P7" s="11">
        <v>44818</v>
      </c>
      <c r="Q7" s="18">
        <f>12+4+9+8</f>
        <v>33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68</v>
      </c>
      <c r="D8" s="18"/>
      <c r="E8" s="18"/>
      <c r="F8" s="18"/>
      <c r="G8" s="18"/>
      <c r="H8" s="18"/>
      <c r="I8" s="18"/>
      <c r="J8" s="18"/>
      <c r="K8" s="18"/>
      <c r="L8" s="11">
        <v>44663</v>
      </c>
      <c r="M8" s="18">
        <f>10+3+3+8+3+7+8</f>
        <v>42</v>
      </c>
      <c r="N8" s="18">
        <f ca="1">TODAY()-L8</f>
        <v>191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44818</v>
      </c>
      <c r="D9" s="18"/>
      <c r="E9" s="18"/>
      <c r="F9" s="18"/>
      <c r="G9" s="18"/>
      <c r="H9" s="18"/>
      <c r="I9" s="18"/>
      <c r="J9" s="18"/>
      <c r="K9" s="18"/>
      <c r="L9" s="11">
        <v>44693</v>
      </c>
      <c r="M9" s="18">
        <f>44+18+32+36+28</f>
        <v>158</v>
      </c>
      <c r="N9" s="18">
        <f ca="1">TODAY()-L9</f>
        <v>161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44818</v>
      </c>
      <c r="M10">
        <f>16+22+8+12+10</f>
        <v>68</v>
      </c>
      <c r="N10" s="26">
        <f ca="1">TODAY()-L10</f>
        <v>36</v>
      </c>
      <c r="O10" s="26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33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44818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AC15"/>
  <sheetViews>
    <sheetView topLeftCell="K1" zoomScale="110" zoomScaleNormal="110" workbookViewId="0">
      <selection activeCell="Q10" sqref="Q10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7" width="9.5703125" style="27" bestFit="1" customWidth="1"/>
    <col min="25" max="25" width="9.5703125" style="27" bestFit="1" customWidth="1"/>
  </cols>
  <sheetData>
    <row r="1" spans="1:29" ht="18" customHeight="1" x14ac:dyDescent="0.3">
      <c r="A1" s="2" t="s">
        <v>20</v>
      </c>
      <c r="B1" s="3" t="s">
        <v>62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44818</v>
      </c>
      <c r="D3" s="11">
        <v>44495</v>
      </c>
      <c r="E3" s="18">
        <v>116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13+10+16+8+15</f>
        <v>62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8+8+9+9+9+8+8+5+8+5+5+11+4+4+4+5+5+4</f>
        <v>119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4+3+4+3</f>
        <v>14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24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>
        <f>I3-11-13</f>
        <v>38</v>
      </c>
      <c r="J4" s="14"/>
      <c r="K4" s="14"/>
      <c r="L4" s="11"/>
      <c r="M4" s="18">
        <f>M3-24</f>
        <v>95</v>
      </c>
      <c r="N4" s="18"/>
      <c r="O4" s="18"/>
      <c r="P4" s="11"/>
      <c r="Q4" s="18">
        <f>Q3-1</f>
        <v>13</v>
      </c>
      <c r="R4" s="18"/>
      <c r="S4" s="18"/>
      <c r="T4" s="18"/>
      <c r="U4" s="18"/>
      <c r="V4" s="18"/>
      <c r="W4" s="18"/>
      <c r="Y4" s="12">
        <v>44599</v>
      </c>
      <c r="Z4" s="18"/>
      <c r="AA4" s="18"/>
      <c r="AB4" s="18">
        <f>5+21+3</f>
        <v>29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>
        <v>44818</v>
      </c>
      <c r="E5" s="18">
        <v>160</v>
      </c>
      <c r="F5" s="18"/>
      <c r="G5" s="18"/>
      <c r="H5" s="11" t="s">
        <v>32</v>
      </c>
      <c r="I5" s="18" t="s">
        <v>32</v>
      </c>
      <c r="J5" s="18" t="s">
        <v>32</v>
      </c>
      <c r="K5" s="18" t="s">
        <v>32</v>
      </c>
      <c r="L5" s="11">
        <v>44551</v>
      </c>
      <c r="M5" s="18">
        <f>12+13+7+9+3+10+9+10+10+4+5+10+5</f>
        <v>107</v>
      </c>
      <c r="N5" s="18">
        <f ca="1">TODAY()-L5</f>
        <v>303</v>
      </c>
      <c r="O5" s="18" t="str">
        <f ca="1">IF(N5&lt;=21, "No", "Yes" )</f>
        <v>Yes</v>
      </c>
      <c r="P5" s="11">
        <v>44627</v>
      </c>
      <c r="Q5" s="18">
        <f>9+8</f>
        <v>17</v>
      </c>
      <c r="R5" s="18">
        <f ca="1">TODAY()-P5</f>
        <v>227</v>
      </c>
      <c r="S5" s="18" t="str">
        <f ca="1">IF(R5&lt;=21, "No", "Yes" )</f>
        <v>Yes</v>
      </c>
      <c r="T5" s="18"/>
      <c r="U5" s="18"/>
      <c r="V5" s="18"/>
      <c r="W5" s="18"/>
      <c r="Y5" s="12">
        <v>44627</v>
      </c>
      <c r="Z5" s="18"/>
      <c r="AA5" s="18">
        <f>11+13</f>
        <v>24</v>
      </c>
      <c r="AB5" s="18">
        <v>5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M5-29</f>
        <v>78</v>
      </c>
      <c r="N6" s="18"/>
      <c r="O6" s="18"/>
      <c r="P6" s="11">
        <v>44690</v>
      </c>
      <c r="Q6" s="18">
        <v>3</v>
      </c>
      <c r="R6" s="18">
        <f ca="1">TODAY()-P6</f>
        <v>164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6+6+11+9+9</f>
        <v>41</v>
      </c>
      <c r="N7" s="18">
        <f ca="1">TODAY()-L7</f>
        <v>255</v>
      </c>
      <c r="O7" s="18" t="str">
        <f ca="1">IF(N7&lt;=21, "No", "Yes" )</f>
        <v>Yes</v>
      </c>
      <c r="P7" s="11">
        <v>44729</v>
      </c>
      <c r="Q7" s="18">
        <v>5</v>
      </c>
      <c r="R7" s="18">
        <f ca="1">TODAY()-P7</f>
        <v>125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10</v>
      </c>
      <c r="D8" s="18"/>
      <c r="E8" s="18"/>
      <c r="F8" s="18"/>
      <c r="G8" s="18"/>
      <c r="H8" s="18"/>
      <c r="I8" s="18"/>
      <c r="J8" s="18"/>
      <c r="K8" s="18"/>
      <c r="L8" s="18"/>
      <c r="M8" s="18">
        <f>M7-5</f>
        <v>36</v>
      </c>
      <c r="N8" s="18"/>
      <c r="O8" s="18"/>
      <c r="P8" s="11">
        <v>44825</v>
      </c>
      <c r="Q8" s="18">
        <v>5</v>
      </c>
      <c r="R8" s="18">
        <f ca="1">TODAY()-P8</f>
        <v>29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1">
        <v>44627</v>
      </c>
      <c r="M9" s="18">
        <f>32+20+30</f>
        <v>82</v>
      </c>
      <c r="N9" s="18">
        <f ca="1">TODAY()-L9</f>
        <v>227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44690</v>
      </c>
      <c r="M10">
        <v>6</v>
      </c>
      <c r="N10" s="18">
        <f ca="1">TODAY()-L10</f>
        <v>164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5</v>
      </c>
      <c r="L11" s="12">
        <v>44729</v>
      </c>
      <c r="M11">
        <v>13</v>
      </c>
      <c r="N11" s="18">
        <f ca="1">TODAY()-L11</f>
        <v>125</v>
      </c>
      <c r="O11" s="18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44825</v>
      </c>
      <c r="L12" s="12">
        <v>44825</v>
      </c>
      <c r="M12">
        <v>10</v>
      </c>
      <c r="N12" s="26">
        <f ca="1">TODAY()-L12</f>
        <v>29</v>
      </c>
      <c r="O12" s="26" t="str">
        <f ca="1">IF(N12&lt;=21, "No", "Yes" )</f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AC15"/>
  <sheetViews>
    <sheetView topLeftCell="J1" zoomScale="115" zoomScaleNormal="115" workbookViewId="0">
      <selection activeCell="R9" sqref="R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5703125" style="27" bestFit="1" customWidth="1"/>
    <col min="14" max="14" width="15.42578125" style="27" bestFit="1" customWidth="1"/>
    <col min="16" max="16" width="9.85546875" style="27" bestFit="1" customWidth="1"/>
    <col min="17" max="17" width="9.5703125" style="27" bestFit="1" customWidth="1"/>
    <col min="25" max="25" width="9.85546875" style="27" bestFit="1" customWidth="1"/>
  </cols>
  <sheetData>
    <row r="1" spans="1:29" ht="18" customHeight="1" x14ac:dyDescent="0.3">
      <c r="A1" s="2" t="s">
        <v>20</v>
      </c>
      <c r="B1" s="3" t="s">
        <v>63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76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11+14+21</f>
        <v>46</v>
      </c>
      <c r="J3" s="18">
        <f ca="1">TODAY()-H3</f>
        <v>255</v>
      </c>
      <c r="K3" s="18" t="str">
        <f ca="1">IF(J3&lt;=21, "No", "Yes" )</f>
        <v>Yes</v>
      </c>
      <c r="L3" s="11">
        <v>44516</v>
      </c>
      <c r="M3" s="18">
        <f>16+8+5+5+6+9+6+11+6+5+5+4+8</f>
        <v>94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f>6+4+6</f>
        <v>16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4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M3-4</f>
        <v>90</v>
      </c>
      <c r="N4" s="18"/>
      <c r="O4" s="18"/>
      <c r="P4" s="11">
        <v>44644</v>
      </c>
      <c r="Q4" s="18">
        <f>3+3+3</f>
        <v>9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>
        <v>44599</v>
      </c>
      <c r="Z4" s="18"/>
      <c r="AA4" s="18"/>
      <c r="AB4" s="18">
        <v>37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8+10+6+6+16+6+10+8+5+12+6+15</f>
        <v>108</v>
      </c>
      <c r="N5" s="18">
        <f ca="1">TODAY()-L5</f>
        <v>297</v>
      </c>
      <c r="O5" s="18" t="str">
        <f ca="1">IF(N5&lt;=21, "No", "Yes" )</f>
        <v>Yes</v>
      </c>
      <c r="P5" s="11">
        <v>44685</v>
      </c>
      <c r="Q5" s="18">
        <v>16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M5-37-6</f>
        <v>65</v>
      </c>
      <c r="N6" s="18"/>
      <c r="O6" s="18"/>
      <c r="P6" s="12">
        <v>44728</v>
      </c>
      <c r="Q6" s="18">
        <v>3</v>
      </c>
      <c r="R6" s="18">
        <f ca="1">TODAY()-P6</f>
        <v>126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4+4+3</f>
        <v>11</v>
      </c>
      <c r="N7" s="18"/>
      <c r="O7" s="18"/>
      <c r="P7" s="18" t="s">
        <v>38</v>
      </c>
      <c r="Q7" s="18">
        <v>13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60</v>
      </c>
      <c r="D8" s="18"/>
      <c r="E8" s="18"/>
      <c r="F8" s="18"/>
      <c r="G8" s="18"/>
      <c r="H8" s="18"/>
      <c r="I8" s="18"/>
      <c r="J8" s="18"/>
      <c r="K8" s="18"/>
      <c r="L8" s="11">
        <v>44644</v>
      </c>
      <c r="M8" s="18">
        <f>8+12+8</f>
        <v>28</v>
      </c>
      <c r="N8" s="18">
        <f ca="1">TODAY()-L8</f>
        <v>210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10/2/2022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33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f>45</f>
        <v>45</v>
      </c>
      <c r="N10" s="18">
        <f ca="1">TODAY()-L10</f>
        <v>126</v>
      </c>
      <c r="O10" s="18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13</v>
      </c>
      <c r="L11" t="s">
        <v>38</v>
      </c>
      <c r="M11">
        <v>60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10/2/2022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AC15"/>
  <sheetViews>
    <sheetView topLeftCell="D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v>80</v>
      </c>
      <c r="F3" s="18">
        <f ca="1">TODAY()-D3</f>
        <v>359</v>
      </c>
      <c r="G3" s="18" t="str">
        <f ca="1">IF(F3&lt;=21, "No", "Yes" )</f>
        <v>Yes</v>
      </c>
      <c r="H3" s="11">
        <v>44643</v>
      </c>
      <c r="I3" s="18">
        <v>13</v>
      </c>
      <c r="J3" s="18">
        <f ca="1">TODAY()-H3</f>
        <v>211</v>
      </c>
      <c r="K3" s="18" t="str">
        <f ca="1">IF(J3&lt;=21, "No", "Yes" )</f>
        <v>Yes</v>
      </c>
      <c r="L3" s="11">
        <v>44516</v>
      </c>
      <c r="M3" s="18">
        <f>9+8+8+8+6+10+6+6+6+5+5+5+6+7</f>
        <v>95</v>
      </c>
      <c r="N3" s="18">
        <f ca="1">TODAY()-L3</f>
        <v>338</v>
      </c>
      <c r="O3" s="18" t="str">
        <f ca="1">IF(N3&lt;=21, "No", "Yes" )</f>
        <v>Yes</v>
      </c>
      <c r="P3" s="11">
        <v>44599</v>
      </c>
      <c r="Q3" s="18">
        <v>3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>
        <v>6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M3-6</f>
        <v>89</v>
      </c>
      <c r="N4" s="18"/>
      <c r="O4" s="18"/>
      <c r="P4" s="11">
        <v>44643</v>
      </c>
      <c r="Q4" s="18">
        <v>14</v>
      </c>
      <c r="R4" s="18">
        <f ca="1">TODAY()-P4</f>
        <v>211</v>
      </c>
      <c r="S4" s="18" t="str">
        <f ca="1">IF(R4&lt;=21, "No", "Yes" )</f>
        <v>Yes</v>
      </c>
      <c r="T4" s="18"/>
      <c r="U4" s="18"/>
      <c r="V4" s="18"/>
      <c r="W4" s="18"/>
      <c r="Y4" s="12">
        <v>44557</v>
      </c>
      <c r="Z4" s="18"/>
      <c r="AA4" s="18"/>
      <c r="AB4" s="18">
        <v>35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13</v>
      </c>
      <c r="D5" s="11"/>
      <c r="E5" s="18"/>
      <c r="F5" s="18"/>
      <c r="G5" s="18"/>
      <c r="H5" s="11"/>
      <c r="I5" s="18"/>
      <c r="J5" s="18"/>
      <c r="K5" s="18"/>
      <c r="L5" s="11"/>
      <c r="M5" s="18">
        <f>M4-35</f>
        <v>54</v>
      </c>
      <c r="N5" s="18"/>
      <c r="O5" s="18"/>
      <c r="P5" s="11">
        <v>44685</v>
      </c>
      <c r="Q5" s="18">
        <v>10</v>
      </c>
      <c r="R5" s="18">
        <f ca="1">TODAY()-P5</f>
        <v>169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>
        <f t="array" ref="B6">LOOKUP(2,1 / (H$3:H$100 &lt;&gt;""), H$3:H$100)</f>
        <v>44643</v>
      </c>
      <c r="D6" s="18"/>
      <c r="E6" s="18"/>
      <c r="F6" s="18"/>
      <c r="G6" s="18"/>
      <c r="H6" s="18"/>
      <c r="I6" s="18"/>
      <c r="J6" s="18"/>
      <c r="K6" s="18"/>
      <c r="L6" s="11">
        <v>44557</v>
      </c>
      <c r="M6" s="18">
        <f>10+12+8+4+4+6+9+8+8+11</f>
        <v>80</v>
      </c>
      <c r="N6" s="18">
        <f ca="1">TODAY()-L6</f>
        <v>297</v>
      </c>
      <c r="O6" s="18" t="str">
        <f ca="1">IF(N6&lt;=21, "No", "Yes" )</f>
        <v>Yes</v>
      </c>
      <c r="P6" s="11">
        <v>44728</v>
      </c>
      <c r="Q6" s="18">
        <v>4</v>
      </c>
      <c r="R6" s="26">
        <f ca="1">TODAY()-P6</f>
        <v>126</v>
      </c>
      <c r="S6" s="26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1">
        <v>44599</v>
      </c>
      <c r="M7" s="18">
        <f>8+8+8+8</f>
        <v>32</v>
      </c>
      <c r="N7" s="18">
        <f ca="1">TODAY()-L7</f>
        <v>255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1">
        <v>44643</v>
      </c>
      <c r="M8" s="18">
        <v>6</v>
      </c>
      <c r="N8" s="18">
        <f ca="1">TODAY()-L8</f>
        <v>211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44728</v>
      </c>
      <c r="D9" s="18"/>
      <c r="E9" s="18"/>
      <c r="F9" s="18"/>
      <c r="G9" s="18"/>
      <c r="H9" s="18"/>
      <c r="I9" s="18"/>
      <c r="J9" s="18"/>
      <c r="K9" s="18"/>
      <c r="L9" s="11">
        <v>44685</v>
      </c>
      <c r="M9" s="18">
        <v>15</v>
      </c>
      <c r="N9" s="18">
        <f ca="1">TODAY()-L9</f>
        <v>169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44728</v>
      </c>
      <c r="M10">
        <v>20</v>
      </c>
      <c r="N10" s="26">
        <f ca="1">TODAY()-L10</f>
        <v>126</v>
      </c>
      <c r="O10" s="26" t="str">
        <f ca="1">IF(N10&lt;=21, "No", "Yes" 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4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44728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AC21"/>
  <sheetViews>
    <sheetView topLeftCell="G1" zoomScale="110" zoomScaleNormal="110" workbookViewId="0">
      <selection activeCell="Q8" sqref="Q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7" max="17" width="10.7109375" style="27" bestFit="1" customWidth="1"/>
    <col min="21" max="21" width="10.7109375" style="27" bestFit="1" customWidth="1"/>
  </cols>
  <sheetData>
    <row r="1" spans="1:29" ht="18" customHeight="1" x14ac:dyDescent="0.3">
      <c r="A1" s="2" t="s">
        <v>20</v>
      </c>
      <c r="B1" s="3" t="s">
        <v>65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44495</v>
      </c>
      <c r="E3" s="18">
        <f>36+40+34</f>
        <v>110</v>
      </c>
      <c r="F3" s="18">
        <f ca="1">TODAY()-D3</f>
        <v>359</v>
      </c>
      <c r="G3" s="18" t="str">
        <f ca="1">IF(F3&lt;=21, "No", "Yes" )</f>
        <v>Yes</v>
      </c>
      <c r="H3" s="11">
        <v>44599</v>
      </c>
      <c r="I3" s="18">
        <f>8+8+19+10+5+4</f>
        <v>54</v>
      </c>
      <c r="J3" s="18">
        <f ca="1">TODAY()-H3</f>
        <v>255</v>
      </c>
      <c r="K3" s="18" t="str">
        <f ca="1">IF(J3&lt;=21, "No", "Yes" )</f>
        <v>Yes</v>
      </c>
      <c r="L3" s="11">
        <v>44517</v>
      </c>
      <c r="M3" s="18">
        <f>5+10+9+10+10+10+5+8+10+8+10+7+12+8+6</f>
        <v>128</v>
      </c>
      <c r="N3" s="18">
        <f ca="1">TODAY()-L3</f>
        <v>337</v>
      </c>
      <c r="O3" s="18" t="str">
        <f ca="1">IF(N3&lt;=21, "No", "Yes" )</f>
        <v>Yes</v>
      </c>
      <c r="P3" s="11">
        <v>44599</v>
      </c>
      <c r="Q3" s="18">
        <f>3+2</f>
        <v>5</v>
      </c>
      <c r="R3" s="18">
        <f ca="1">TODAY()-P3</f>
        <v>255</v>
      </c>
      <c r="S3" s="18" t="str">
        <f ca="1">IF(R3&lt;=21, "No", "Yes" )</f>
        <v>Yes</v>
      </c>
      <c r="T3" s="18"/>
      <c r="U3" s="18"/>
      <c r="V3" s="18"/>
      <c r="W3" s="18"/>
      <c r="Y3" s="12">
        <v>44533</v>
      </c>
      <c r="Z3" s="18"/>
      <c r="AA3" s="18"/>
      <c r="AB3" s="18">
        <v>16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M3-16</f>
        <v>112</v>
      </c>
      <c r="N4" s="18"/>
      <c r="O4" s="18"/>
      <c r="P4" s="11">
        <v>44628</v>
      </c>
      <c r="Q4" s="18">
        <f>8</f>
        <v>8</v>
      </c>
      <c r="R4" s="18">
        <f ca="1">TODAY()-P4</f>
        <v>226</v>
      </c>
      <c r="S4" s="18" t="str">
        <f ca="1">IF(R4&lt;=21, "No", "Yes" )</f>
        <v>Yes</v>
      </c>
      <c r="T4" s="18"/>
      <c r="U4" s="18"/>
      <c r="V4" s="18"/>
      <c r="W4" s="18"/>
      <c r="Y4" s="12">
        <v>44551</v>
      </c>
      <c r="Z4" s="18"/>
      <c r="AA4" s="18"/>
      <c r="AB4" s="18">
        <v>5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M4-5</f>
        <v>107</v>
      </c>
      <c r="N5" s="18"/>
      <c r="O5" s="18"/>
      <c r="P5" s="11">
        <v>44690</v>
      </c>
      <c r="Q5" s="18">
        <v>24</v>
      </c>
      <c r="R5" s="18">
        <f ca="1">TODAY()-P5</f>
        <v>164</v>
      </c>
      <c r="S5" s="18" t="str">
        <f ca="1">IF(R5&lt;=21, "No", "Yes" )</f>
        <v>Yes</v>
      </c>
      <c r="T5" s="18"/>
      <c r="U5" s="18"/>
      <c r="V5" s="18"/>
      <c r="W5" s="18"/>
      <c r="Y5" s="12">
        <v>44592</v>
      </c>
      <c r="Z5" s="18"/>
      <c r="AA5" s="18"/>
      <c r="AB5" s="18">
        <f>35</f>
        <v>35</v>
      </c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44551</v>
      </c>
      <c r="M6" s="18">
        <f>7+10+10+14+9+5+15+9+15+9</f>
        <v>103</v>
      </c>
      <c r="N6" s="18">
        <f ca="1">TODAY()-L6</f>
        <v>303</v>
      </c>
      <c r="O6" s="18" t="str">
        <f ca="1">IF(N6&lt;=21, "No", "Yes" )</f>
        <v>Yes</v>
      </c>
      <c r="P6" s="11">
        <v>44813</v>
      </c>
      <c r="Q6" s="18">
        <v>2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M6-35</f>
        <v>68</v>
      </c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10</v>
      </c>
      <c r="D8" s="18"/>
      <c r="E8" s="18"/>
      <c r="F8" s="18"/>
      <c r="G8" s="18"/>
      <c r="H8" s="18"/>
      <c r="I8" s="18"/>
      <c r="J8" s="18"/>
      <c r="K8" s="18"/>
      <c r="L8" s="11">
        <v>44599</v>
      </c>
      <c r="M8" s="18">
        <f>9+8</f>
        <v>17</v>
      </c>
      <c r="N8" s="18">
        <f ca="1">TODAY()-L8</f>
        <v>255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/>
      <c r="J9" s="18"/>
      <c r="K9" s="18"/>
      <c r="L9" s="11">
        <v>44628</v>
      </c>
      <c r="M9" s="18">
        <f>37+25+6</f>
        <v>68</v>
      </c>
      <c r="N9" s="18">
        <f ca="1">TODAY()-L9</f>
        <v>226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44690</v>
      </c>
      <c r="M10">
        <v>10</v>
      </c>
      <c r="N10" s="18">
        <f ca="1">TODAY()-L10</f>
        <v>164</v>
      </c>
      <c r="O10" s="18" t="str">
        <f ca="1">IF(N10&lt;=21, "No", "Yes" )</f>
        <v>Yes</v>
      </c>
    </row>
    <row r="11" spans="1:29" ht="14.45" customHeight="1" x14ac:dyDescent="0.3">
      <c r="A11" s="22" t="s">
        <v>41</v>
      </c>
      <c r="B11" s="3">
        <f t="array" ref="B11">(IFERROR((LOOKUP(2,1/(Q$3:Q$100&lt;&gt;""),Q$3:Q$100)),0))</f>
        <v>2</v>
      </c>
      <c r="L11" s="12">
        <v>44813</v>
      </c>
      <c r="M11">
        <v>10</v>
      </c>
      <c r="N11" s="26">
        <f ca="1">TODAY()-L11</f>
        <v>41</v>
      </c>
      <c r="O11" s="26" t="str">
        <f ca="1">IF(N11&lt;=21, "No", "Yes" )</f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44813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  <row r="16" spans="1:29" x14ac:dyDescent="0.25">
      <c r="B16" s="20"/>
    </row>
    <row r="17" spans="2:2" x14ac:dyDescent="0.25">
      <c r="B17" s="20"/>
    </row>
    <row r="18" spans="2:2" x14ac:dyDescent="0.25">
      <c r="B18" s="20"/>
    </row>
    <row r="19" spans="2:2" x14ac:dyDescent="0.25">
      <c r="B19" s="20"/>
    </row>
    <row r="20" spans="2:2" x14ac:dyDescent="0.25">
      <c r="B20" s="20"/>
    </row>
    <row r="21" spans="2:2" x14ac:dyDescent="0.25">
      <c r="B21" s="20"/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AC15"/>
  <sheetViews>
    <sheetView topLeftCell="D1" zoomScale="110" zoomScaleNormal="110" workbookViewId="0">
      <selection activeCell="P9" sqref="P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7" width="9.5703125" style="27" bestFit="1" customWidth="1"/>
  </cols>
  <sheetData>
    <row r="1" spans="1:29" ht="18" customHeight="1" x14ac:dyDescent="0.3">
      <c r="A1" s="2" t="s">
        <v>20</v>
      </c>
      <c r="B1" s="3" t="s">
        <v>66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44504</v>
      </c>
      <c r="E3" s="18">
        <v>80</v>
      </c>
      <c r="F3" s="18">
        <f ca="1">TODAY()-D3</f>
        <v>350</v>
      </c>
      <c r="G3" s="18" t="str">
        <f ca="1">IF(F3&lt;=21, "No", "Yes" )</f>
        <v>Yes</v>
      </c>
      <c r="H3" s="11">
        <v>44600</v>
      </c>
      <c r="I3" s="18">
        <f>5</f>
        <v>5</v>
      </c>
      <c r="J3" s="18">
        <f ca="1">TODAY()-H3</f>
        <v>254</v>
      </c>
      <c r="K3" s="18" t="str">
        <f ca="1">IF(J3&lt;=21, "No", "Yes" )</f>
        <v>Yes</v>
      </c>
      <c r="L3" s="11">
        <v>44519</v>
      </c>
      <c r="M3" s="18">
        <f>13+9+8+9+8+12+8+5+12+4</f>
        <v>88</v>
      </c>
      <c r="N3" s="18">
        <f ca="1">TODAY()-L3</f>
        <v>335</v>
      </c>
      <c r="O3" s="18" t="str">
        <f ca="1">IF(N3&lt;=21, "No", "Yes" )</f>
        <v>Yes</v>
      </c>
      <c r="P3" s="11">
        <v>44600</v>
      </c>
      <c r="Q3" s="18">
        <f>12+11</f>
        <v>23</v>
      </c>
      <c r="R3" s="18">
        <f t="shared" ref="R3:R8" ca="1" si="0">TODAY()-P3</f>
        <v>254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44533</v>
      </c>
      <c r="Z3" s="18">
        <v>31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/>
      <c r="I4" s="14"/>
      <c r="J4" s="14"/>
      <c r="K4" s="14"/>
      <c r="L4" s="11"/>
      <c r="M4" s="18">
        <f>M3-31</f>
        <v>57</v>
      </c>
      <c r="N4" s="18"/>
      <c r="O4" s="18"/>
      <c r="P4" s="11">
        <v>44628</v>
      </c>
      <c r="Q4" s="18">
        <f>6+2+2+2+3+3+10+10+12</f>
        <v>50</v>
      </c>
      <c r="R4" s="18">
        <f t="shared" ca="1" si="0"/>
        <v>226</v>
      </c>
      <c r="S4" s="18" t="str">
        <f t="shared" ca="1" si="1"/>
        <v>Yes</v>
      </c>
      <c r="T4" s="18"/>
      <c r="U4" s="18"/>
      <c r="V4" s="18"/>
      <c r="W4" s="18"/>
      <c r="Y4" s="12">
        <v>44568</v>
      </c>
      <c r="Z4" s="18"/>
      <c r="AA4" s="18"/>
      <c r="AB4" s="18">
        <v>13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5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9+9+14+12+17+7+15</f>
        <v>83</v>
      </c>
      <c r="N5" s="18">
        <f ca="1">TODAY()-L5</f>
        <v>297</v>
      </c>
      <c r="O5" s="18" t="str">
        <f ca="1">IF(N5&lt;=21, "No", "Yes" )</f>
        <v>Yes</v>
      </c>
      <c r="P5" s="11">
        <v>44663</v>
      </c>
      <c r="Q5" s="18">
        <f>3+3+8+3+3+3+5+3+3+3+3+4</f>
        <v>44</v>
      </c>
      <c r="R5" s="18">
        <f t="shared" ca="1" si="0"/>
        <v>191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>
        <f t="array" ref="B6">LOOKUP(2,1 / (H$3:H$100 &lt;&gt;""), H$3:H$100)</f>
        <v>44600</v>
      </c>
      <c r="D6" s="18"/>
      <c r="E6" s="18"/>
      <c r="F6" s="18"/>
      <c r="G6" s="18"/>
      <c r="H6" s="18"/>
      <c r="I6" s="18"/>
      <c r="J6" s="18"/>
      <c r="K6" s="18"/>
      <c r="L6" s="18"/>
      <c r="M6" s="18">
        <f>M5-13</f>
        <v>70</v>
      </c>
      <c r="N6" s="18"/>
      <c r="O6" s="18"/>
      <c r="P6" s="11">
        <v>44692</v>
      </c>
      <c r="Q6" s="18">
        <v>14</v>
      </c>
      <c r="R6" s="18">
        <f t="shared" ca="1" si="0"/>
        <v>162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Yes</v>
      </c>
      <c r="D7" s="18"/>
      <c r="E7" s="18"/>
      <c r="F7" s="18"/>
      <c r="G7" s="18"/>
      <c r="H7" s="18"/>
      <c r="I7" s="18"/>
      <c r="J7" s="18"/>
      <c r="K7" s="18"/>
      <c r="L7" s="11">
        <v>44600</v>
      </c>
      <c r="M7" s="18">
        <f>22+25</f>
        <v>47</v>
      </c>
      <c r="N7" s="18">
        <f t="shared" ref="N7:N12" ca="1" si="2">TODAY()-L7</f>
        <v>254</v>
      </c>
      <c r="O7" s="18" t="str">
        <f t="shared" ref="O7:O12" ca="1" si="3">IF(N7&lt;=21, "No", "Yes" )</f>
        <v>Yes</v>
      </c>
      <c r="P7" s="11">
        <v>44732</v>
      </c>
      <c r="Q7" s="18">
        <v>5</v>
      </c>
      <c r="R7" s="18">
        <f t="shared" ca="1" si="0"/>
        <v>122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1">
        <v>44628</v>
      </c>
      <c r="M8" s="18">
        <f>16+4+4+11+5</f>
        <v>40</v>
      </c>
      <c r="N8" s="18">
        <f t="shared" ca="1" si="2"/>
        <v>226</v>
      </c>
      <c r="O8" s="18" t="str">
        <f t="shared" ca="1" si="3"/>
        <v>Yes</v>
      </c>
      <c r="P8" s="11">
        <v>44826</v>
      </c>
      <c r="Q8" s="18">
        <f>14+14+6</f>
        <v>34</v>
      </c>
      <c r="R8" s="18">
        <f t="shared" ca="1" si="0"/>
        <v>28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44826</v>
      </c>
      <c r="D9" s="18"/>
      <c r="E9" s="18"/>
      <c r="F9" s="18"/>
      <c r="G9" s="18"/>
      <c r="H9" s="18"/>
      <c r="I9" s="18"/>
      <c r="J9" s="18"/>
      <c r="K9" s="18"/>
      <c r="L9" s="11">
        <v>44663</v>
      </c>
      <c r="M9" s="18">
        <f>3+3+8+4</f>
        <v>18</v>
      </c>
      <c r="N9" s="18">
        <f t="shared" ca="1" si="2"/>
        <v>191</v>
      </c>
      <c r="O9" s="18" t="str">
        <f t="shared" ca="1" si="3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44692</v>
      </c>
      <c r="M10">
        <f>36+10</f>
        <v>46</v>
      </c>
      <c r="N10" s="26">
        <f t="shared" ca="1" si="2"/>
        <v>162</v>
      </c>
      <c r="O10" s="26" t="str">
        <f t="shared" ca="1" si="3"/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34</v>
      </c>
      <c r="L11" s="12">
        <v>44732</v>
      </c>
      <c r="M11">
        <f>122</f>
        <v>122</v>
      </c>
      <c r="N11" s="26">
        <f t="shared" ca="1" si="2"/>
        <v>122</v>
      </c>
      <c r="O11" s="26" t="str">
        <f t="shared" ca="1" si="3"/>
        <v>Yes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44826</v>
      </c>
      <c r="L12" s="12">
        <v>44826</v>
      </c>
      <c r="M12">
        <f>26+18+10</f>
        <v>54</v>
      </c>
      <c r="N12" s="26">
        <f t="shared" ca="1" si="2"/>
        <v>28</v>
      </c>
      <c r="O12" s="26" t="str">
        <f t="shared" ca="1" si="3"/>
        <v>Yes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AC16"/>
  <sheetViews>
    <sheetView topLeftCell="D1" zoomScale="110" zoomScaleNormal="110" workbookViewId="0">
      <selection activeCell="F23" sqref="F2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44504</v>
      </c>
      <c r="E3" s="18">
        <v>63</v>
      </c>
      <c r="F3" s="18">
        <f ca="1">TODAY()-D3</f>
        <v>350</v>
      </c>
      <c r="G3" s="18" t="str">
        <f ca="1">IF(F3&lt;=21, "No", "Yes" )</f>
        <v>Yes</v>
      </c>
      <c r="H3" s="11">
        <v>44644</v>
      </c>
      <c r="I3" s="18">
        <v>14</v>
      </c>
      <c r="J3" s="18"/>
      <c r="K3" s="18"/>
      <c r="L3" s="11">
        <v>44519</v>
      </c>
      <c r="M3" s="18">
        <f>11+8+8+8+8+10+6+8</f>
        <v>67</v>
      </c>
      <c r="N3" s="18">
        <f ca="1">TODAY()-L3</f>
        <v>335</v>
      </c>
      <c r="O3" s="18" t="str">
        <f ca="1">IF(N3&lt;=21, "No", "Yes" )</f>
        <v>Yes</v>
      </c>
      <c r="P3" s="11">
        <v>44600</v>
      </c>
      <c r="Q3" s="18">
        <f>2+1</f>
        <v>3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44557</v>
      </c>
      <c r="Z3" s="18"/>
      <c r="AA3" s="18"/>
      <c r="AB3" s="18">
        <v>8</v>
      </c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M3-8</f>
        <v>59</v>
      </c>
      <c r="N4" s="18"/>
      <c r="O4" s="18"/>
      <c r="P4" s="11">
        <v>44644</v>
      </c>
      <c r="Q4" s="18">
        <f>18+31+16</f>
        <v>65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>
        <v>44557</v>
      </c>
      <c r="M5" s="18">
        <f>10+12+8+8+15+15+17+14</f>
        <v>99</v>
      </c>
      <c r="N5" s="18">
        <f ca="1">TODAY()-L5</f>
        <v>297</v>
      </c>
      <c r="O5" s="18" t="str">
        <f ca="1">IF(N5&lt;=21, "No", "Yes" )</f>
        <v>Yes</v>
      </c>
      <c r="P5" s="11">
        <v>44671</v>
      </c>
      <c r="Q5" s="18">
        <f>17+21+13</f>
        <v>51</v>
      </c>
      <c r="R5" s="18">
        <f ca="1">TODAY()-P5</f>
        <v>183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44600</v>
      </c>
      <c r="M6" s="18">
        <f>9+8+8+9+12+8+9+8</f>
        <v>71</v>
      </c>
      <c r="N6" s="18">
        <f ca="1">TODAY()-L6</f>
        <v>254</v>
      </c>
      <c r="O6" s="18" t="str">
        <f ca="1">IF(N6&lt;=21, "No", "Yes" )</f>
        <v>Yes</v>
      </c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ref="B7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44644</v>
      </c>
      <c r="M7" s="18">
        <f>24+6</f>
        <v>30</v>
      </c>
      <c r="N7" s="18">
        <f ca="1">TODAY()-L7</f>
        <v>210</v>
      </c>
      <c r="O7" s="18" t="str">
        <f ca="1">IF(N7&lt;=21, "No", "Yes" )</f>
        <v>Yes</v>
      </c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63</v>
      </c>
      <c r="D8" s="18"/>
      <c r="E8" s="18"/>
      <c r="F8" s="18"/>
      <c r="G8" s="18"/>
      <c r="H8" s="18"/>
      <c r="I8" s="18"/>
      <c r="J8" s="18"/>
      <c r="K8" s="18"/>
      <c r="L8" s="11">
        <v>44671</v>
      </c>
      <c r="M8" s="18">
        <f>20+24+19</f>
        <v>63</v>
      </c>
      <c r="N8" s="18">
        <f ca="1">TODAY()-L8</f>
        <v>183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44671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51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44671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  <row r="16" spans="1:29" x14ac:dyDescent="0.25">
      <c r="B16" s="20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C15"/>
  <sheetViews>
    <sheetView topLeftCell="G1" zoomScale="110" zoomScaleNormal="11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</cols>
  <sheetData>
    <row r="1" spans="1:29" ht="18" customHeight="1" x14ac:dyDescent="0.3">
      <c r="A1" s="2" t="s">
        <v>20</v>
      </c>
      <c r="B1" s="3" t="s">
        <v>68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40+40+36+17</f>
        <v>133</v>
      </c>
      <c r="F3" s="18">
        <f ca="1">TODAY()-D3</f>
        <v>324</v>
      </c>
      <c r="G3" s="18" t="str">
        <f ca="1">IF(F3&lt;=21, "No", "Yes" )</f>
        <v>Yes</v>
      </c>
      <c r="H3" s="11"/>
      <c r="I3" s="18"/>
      <c r="J3" s="18"/>
      <c r="K3" s="18"/>
      <c r="L3" s="11">
        <v>44558</v>
      </c>
      <c r="M3" s="18">
        <v>110</v>
      </c>
      <c r="N3" s="18">
        <f ca="1">TODAY()-L3</f>
        <v>296</v>
      </c>
      <c r="O3" s="18" t="str">
        <f ca="1">IF(N3&lt;=21, "No", "Yes" )</f>
        <v>Yes</v>
      </c>
      <c r="P3" s="11">
        <v>44600</v>
      </c>
      <c r="Q3" s="18">
        <v>4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44547</v>
      </c>
      <c r="Z3" s="18">
        <f>50+17</f>
        <v>67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43+26</f>
        <v>69</v>
      </c>
      <c r="F4" s="14"/>
      <c r="G4" s="14"/>
      <c r="H4" s="13"/>
      <c r="I4" s="14"/>
      <c r="J4" s="14"/>
      <c r="K4" s="14"/>
      <c r="L4" s="11"/>
      <c r="M4" s="18">
        <f>M3-5</f>
        <v>105</v>
      </c>
      <c r="N4" s="18"/>
      <c r="O4" s="18"/>
      <c r="P4" s="11">
        <v>44644</v>
      </c>
      <c r="Q4" s="18">
        <f>5</f>
        <v>5</v>
      </c>
      <c r="R4" s="18">
        <f ca="1">TODAY()-P4</f>
        <v>210</v>
      </c>
      <c r="S4" s="18" t="str">
        <f ca="1">IF(R4&lt;=21, "No", "Yes" )</f>
        <v>Yes</v>
      </c>
      <c r="T4" s="18"/>
      <c r="U4" s="18"/>
      <c r="V4" s="18"/>
      <c r="W4" s="18"/>
      <c r="Y4" s="12">
        <v>44568</v>
      </c>
      <c r="Z4" s="18"/>
      <c r="AA4" s="18"/>
      <c r="AB4" s="18">
        <v>5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44600</v>
      </c>
      <c r="M5" s="18">
        <f>8+8+4+9</f>
        <v>29</v>
      </c>
      <c r="N5" s="18">
        <f ca="1">TODAY()-L5</f>
        <v>254</v>
      </c>
      <c r="O5" s="18" t="str">
        <f ca="1">IF(N5&lt;=21, "No", "Yes" )</f>
        <v>Yes</v>
      </c>
      <c r="P5" s="11">
        <v>44686</v>
      </c>
      <c r="Q5" s="18">
        <v>12</v>
      </c>
      <c r="R5" s="18">
        <f ca="1">TODAY()-P5</f>
        <v>168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1">
        <v>44644</v>
      </c>
      <c r="M6" s="18">
        <f>4+8+3</f>
        <v>15</v>
      </c>
      <c r="N6" s="18">
        <f ca="1">TODAY()-L6</f>
        <v>210</v>
      </c>
      <c r="O6" s="18" t="str">
        <f ca="1">IF(N6&lt;=21, "No", "Yes" )</f>
        <v>Yes</v>
      </c>
      <c r="P6" s="11">
        <v>44722</v>
      </c>
      <c r="Q6" s="18">
        <f>15+6</f>
        <v>21</v>
      </c>
      <c r="R6" s="18">
        <f ca="1">TODAY()-P6</f>
        <v>132</v>
      </c>
      <c r="S6" s="18" t="str">
        <f ca="1">IF(R6&lt;=21, "No", "Yes" )</f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(K$3:K$100 &lt;&gt;""), K$3:K$100)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44686</v>
      </c>
      <c r="M7" s="18">
        <v>25</v>
      </c>
      <c r="N7" s="18">
        <f ca="1">TODAY()-L7</f>
        <v>168</v>
      </c>
      <c r="O7" s="18" t="str">
        <f ca="1">IF(N7&lt;=21, "No", "Yes" )</f>
        <v>Yes</v>
      </c>
      <c r="P7" s="11">
        <v>44774</v>
      </c>
      <c r="Q7" s="18">
        <v>18</v>
      </c>
      <c r="R7" s="18">
        <f ca="1">TODAY()-P7</f>
        <v>80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96</v>
      </c>
      <c r="D8" s="18"/>
      <c r="E8" s="18"/>
      <c r="F8" s="18"/>
      <c r="G8" s="18"/>
      <c r="H8" s="18"/>
      <c r="I8" s="18"/>
      <c r="J8" s="18"/>
      <c r="K8" s="18"/>
      <c r="L8" s="11">
        <v>44722</v>
      </c>
      <c r="M8" s="18">
        <f>24+11</f>
        <v>35</v>
      </c>
      <c r="N8" s="18">
        <f ca="1">TODAY()-L8</f>
        <v>132</v>
      </c>
      <c r="O8" s="18" t="str">
        <f ca="1">IF(N8&lt;=21, "No", "Yes" 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44774</v>
      </c>
      <c r="D9" s="18"/>
      <c r="E9" s="18"/>
      <c r="F9" s="18"/>
      <c r="G9" s="18"/>
      <c r="H9" s="18"/>
      <c r="I9" s="18"/>
      <c r="J9" s="18"/>
      <c r="K9" s="18"/>
      <c r="L9" s="11">
        <v>44774</v>
      </c>
      <c r="M9" s="18">
        <v>96</v>
      </c>
      <c r="N9" s="18">
        <f ca="1">TODAY()-L9</f>
        <v>80</v>
      </c>
      <c r="O9" s="18" t="str">
        <f ca="1">IF(N9&lt;=21, "No", "Yes" 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18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44774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C15"/>
  <sheetViews>
    <sheetView zoomScale="95" zoomScaleNormal="100" workbookViewId="0">
      <selection activeCell="B11" sqref="B11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3" max="13" width="9" style="27" bestFit="1" customWidth="1"/>
    <col min="14" max="14" width="15.5703125" style="27" bestFit="1" customWidth="1"/>
    <col min="16" max="16" width="10" style="27" bestFit="1" customWidth="1"/>
    <col min="17" max="17" width="10.7109375" style="27" bestFit="1" customWidth="1"/>
    <col min="18" max="18" width="9" style="27" bestFit="1" customWidth="1"/>
    <col min="25" max="25" width="11.140625" style="27" bestFit="1" customWidth="1"/>
    <col min="26" max="26" width="9" style="27" bestFit="1" customWidth="1"/>
    <col min="28" max="28" width="9" style="27" bestFit="1" customWidth="1"/>
  </cols>
  <sheetData>
    <row r="1" spans="1:29" ht="18" customHeight="1" x14ac:dyDescent="0.3">
      <c r="A1" s="2" t="s">
        <v>20</v>
      </c>
      <c r="B1" s="3" t="s">
        <v>69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10/6/2022</v>
      </c>
      <c r="D3" s="11">
        <v>44530</v>
      </c>
      <c r="E3" s="18">
        <f>40+40+30</f>
        <v>110</v>
      </c>
      <c r="F3" s="18">
        <f ca="1">TODAY()-D3</f>
        <v>324</v>
      </c>
      <c r="G3" s="18" t="str">
        <f ca="1">IF(F3&lt;=21, "No", "Yes" )</f>
        <v>Yes</v>
      </c>
      <c r="H3" s="11"/>
      <c r="I3" s="18"/>
      <c r="J3" s="18"/>
      <c r="K3" s="18"/>
      <c r="L3" s="11">
        <v>44558</v>
      </c>
      <c r="M3" s="18">
        <v>101</v>
      </c>
      <c r="N3" s="18">
        <f ca="1">TODAY()-L3</f>
        <v>296</v>
      </c>
      <c r="O3" s="18" t="str">
        <f ca="1">IF(N3&lt;=21, "No", "Yes" )</f>
        <v>Yes</v>
      </c>
      <c r="P3" s="11">
        <v>44600</v>
      </c>
      <c r="Q3" s="18">
        <f>7+5+6+9+3</f>
        <v>30</v>
      </c>
      <c r="R3" s="18">
        <f t="shared" ref="R3:R8" ca="1" si="0">TODAY()-P3</f>
        <v>254</v>
      </c>
      <c r="S3" s="18" t="str">
        <f t="shared" ref="S3:S8" ca="1" si="1">IF(R3&lt;=21, "No", "Yes" )</f>
        <v>Yes</v>
      </c>
      <c r="T3" s="18"/>
      <c r="U3" s="18"/>
      <c r="V3" s="18"/>
      <c r="W3" s="18"/>
      <c r="Y3" s="12">
        <v>44547</v>
      </c>
      <c r="Z3" s="18">
        <f>22+12</f>
        <v>34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57+18</f>
        <v>75</v>
      </c>
      <c r="F4" s="14"/>
      <c r="G4" s="14"/>
      <c r="H4" s="13"/>
      <c r="I4" s="14"/>
      <c r="J4" s="14"/>
      <c r="K4" s="14"/>
      <c r="L4" s="11"/>
      <c r="M4" s="18">
        <f>M3-16</f>
        <v>85</v>
      </c>
      <c r="N4" s="18"/>
      <c r="O4" s="18"/>
      <c r="P4" s="11">
        <v>44628</v>
      </c>
      <c r="Q4" s="18">
        <f>12+6</f>
        <v>18</v>
      </c>
      <c r="R4" s="18">
        <f t="shared" ca="1" si="0"/>
        <v>226</v>
      </c>
      <c r="S4" s="18" t="str">
        <f t="shared" ca="1" si="1"/>
        <v>Yes</v>
      </c>
      <c r="T4" s="18"/>
      <c r="U4" s="18"/>
      <c r="V4" s="18"/>
      <c r="W4" s="18"/>
      <c r="Y4" s="12">
        <v>44568</v>
      </c>
      <c r="Z4" s="18"/>
      <c r="AA4" s="18"/>
      <c r="AB4" s="18">
        <v>16</v>
      </c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44600</v>
      </c>
      <c r="M5" s="18">
        <f>4+16+16+16+16+8+6</f>
        <v>82</v>
      </c>
      <c r="N5" s="18">
        <f t="shared" ref="N5:N10" ca="1" si="2">TODAY()-L5</f>
        <v>254</v>
      </c>
      <c r="O5" s="18" t="str">
        <f t="shared" ref="O5:O10" ca="1" si="3">IF(N5&lt;=21, "No", "Yes" )</f>
        <v>Yes</v>
      </c>
      <c r="P5" s="11">
        <v>44663</v>
      </c>
      <c r="Q5" s="18">
        <f>3+3+3+3+3+5+3+4+5+5</f>
        <v>37</v>
      </c>
      <c r="R5" s="18">
        <f t="shared" ca="1" si="0"/>
        <v>191</v>
      </c>
      <c r="S5" s="18" t="str">
        <f t="shared" ca="1" si="1"/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1">
        <v>44818</v>
      </c>
      <c r="E6" s="18">
        <v>120</v>
      </c>
      <c r="F6" s="18"/>
      <c r="G6" s="18"/>
      <c r="H6" s="18"/>
      <c r="I6" s="18"/>
      <c r="J6" s="18"/>
      <c r="K6" s="18"/>
      <c r="L6" s="11">
        <v>44628</v>
      </c>
      <c r="M6" s="18">
        <f>20+32+30</f>
        <v>82</v>
      </c>
      <c r="N6" s="18">
        <f t="shared" ca="1" si="2"/>
        <v>226</v>
      </c>
      <c r="O6" s="18" t="str">
        <f t="shared" ca="1" si="3"/>
        <v>Yes</v>
      </c>
      <c r="P6" s="11">
        <v>44693</v>
      </c>
      <c r="Q6" s="18">
        <v>22</v>
      </c>
      <c r="R6" s="18">
        <f t="shared" ca="1" si="0"/>
        <v>161</v>
      </c>
      <c r="S6" s="18" t="str">
        <f t="shared" ca="1" si="1"/>
        <v>Yes</v>
      </c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(K$3:K$100 &lt;&gt;""), K$3:K$100)</f>
        <v>#N/A</v>
      </c>
      <c r="D7" s="18" t="s">
        <v>70</v>
      </c>
      <c r="E7" s="18">
        <v>0</v>
      </c>
      <c r="F7" s="18"/>
      <c r="G7" s="18"/>
      <c r="H7" s="18"/>
      <c r="I7" s="18"/>
      <c r="J7" s="18"/>
      <c r="K7" s="18"/>
      <c r="L7" s="11">
        <v>44663</v>
      </c>
      <c r="M7" s="18">
        <f>9+7+4</f>
        <v>20</v>
      </c>
      <c r="N7" s="18">
        <f t="shared" ca="1" si="2"/>
        <v>191</v>
      </c>
      <c r="O7" s="18" t="str">
        <f t="shared" ca="1" si="3"/>
        <v>Yes</v>
      </c>
      <c r="P7" s="11">
        <v>44728</v>
      </c>
      <c r="Q7" s="18">
        <f>3+4+3+3+3+3+3+8</f>
        <v>30</v>
      </c>
      <c r="R7" s="18">
        <f t="shared" ca="1" si="0"/>
        <v>126</v>
      </c>
      <c r="S7" s="18" t="str">
        <f t="shared" ca="1" si="1"/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126</v>
      </c>
      <c r="D8" s="18"/>
      <c r="E8" s="18"/>
      <c r="F8" s="18"/>
      <c r="G8" s="18"/>
      <c r="H8" s="18"/>
      <c r="I8" s="18"/>
      <c r="J8" s="18"/>
      <c r="K8" s="18"/>
      <c r="L8" s="11">
        <v>44693</v>
      </c>
      <c r="M8" s="18">
        <f>40+48</f>
        <v>88</v>
      </c>
      <c r="N8" s="18">
        <f t="shared" ca="1" si="2"/>
        <v>161</v>
      </c>
      <c r="O8" s="18" t="str">
        <f t="shared" ca="1" si="3"/>
        <v>Yes</v>
      </c>
      <c r="P8" s="11">
        <v>44774</v>
      </c>
      <c r="Q8" s="18">
        <v>9</v>
      </c>
      <c r="R8" s="18">
        <f t="shared" ca="1" si="0"/>
        <v>80</v>
      </c>
      <c r="S8" s="18" t="str">
        <f t="shared" ca="1" si="1"/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10/06/2022</v>
      </c>
      <c r="D9" s="18"/>
      <c r="E9" s="18"/>
      <c r="F9" s="18"/>
      <c r="G9" s="18"/>
      <c r="H9" s="18"/>
      <c r="I9" s="18"/>
      <c r="J9" s="18"/>
      <c r="K9" s="18"/>
      <c r="L9" s="11">
        <v>44728</v>
      </c>
      <c r="M9" s="18">
        <f>10+10+10+10+38</f>
        <v>78</v>
      </c>
      <c r="N9" s="18">
        <f t="shared" ca="1" si="2"/>
        <v>126</v>
      </c>
      <c r="O9" s="18" t="str">
        <f t="shared" ca="1" si="3"/>
        <v>Yes</v>
      </c>
      <c r="P9" s="11" t="s">
        <v>71</v>
      </c>
      <c r="Q9" s="18">
        <v>8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44774</v>
      </c>
      <c r="M10">
        <f>100+84</f>
        <v>184</v>
      </c>
      <c r="N10" s="26">
        <f t="shared" ca="1" si="2"/>
        <v>80</v>
      </c>
      <c r="O10" s="26" t="str">
        <f t="shared" ca="1" si="3"/>
        <v>Yes</v>
      </c>
      <c r="P10" t="s">
        <v>70</v>
      </c>
      <c r="Q10">
        <v>8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8</v>
      </c>
      <c r="L11" t="s">
        <v>71</v>
      </c>
      <c r="M11">
        <v>60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10/6/2022</v>
      </c>
      <c r="L12" t="s">
        <v>71</v>
      </c>
      <c r="M12">
        <v>134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  <c r="L13" t="s">
        <v>70</v>
      </c>
      <c r="M13">
        <v>186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  <c r="L14" t="s">
        <v>72</v>
      </c>
      <c r="M14">
        <v>126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AC15"/>
  <sheetViews>
    <sheetView zoomScaleNormal="100" workbookViewId="0">
      <selection activeCell="P4" sqref="P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5703125" style="27" bestFit="1" customWidth="1"/>
    <col min="14" max="14" width="15.42578125" style="27" bestFit="1" customWidth="1"/>
    <col min="16" max="16" width="9.710937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73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</f>
        <v>80</v>
      </c>
      <c r="F3" s="18">
        <f ca="1">TODAY()-D3</f>
        <v>324</v>
      </c>
      <c r="G3" s="18" t="str">
        <f ca="1">IF(F3&lt;=21, "No", "Yes" )</f>
        <v>Yes</v>
      </c>
      <c r="H3" s="11">
        <v>44600</v>
      </c>
      <c r="I3" s="18">
        <v>18</v>
      </c>
      <c r="J3" s="18">
        <f ca="1">TODAY()-H3</f>
        <v>254</v>
      </c>
      <c r="K3" s="18" t="str">
        <f ca="1">IF(J3&lt;=21, "No", "Yes" )</f>
        <v>Yes</v>
      </c>
      <c r="L3" s="11">
        <v>44558</v>
      </c>
      <c r="M3" s="18">
        <f>5+8+9+9+7</f>
        <v>38</v>
      </c>
      <c r="N3" s="18">
        <f ca="1">TODAY()-L3</f>
        <v>296</v>
      </c>
      <c r="O3" s="18" t="str">
        <f ca="1">IF(N3&lt;=21, "No", "Yes" )</f>
        <v>Yes</v>
      </c>
      <c r="P3" s="11">
        <v>44825</v>
      </c>
      <c r="Q3" s="18">
        <v>30</v>
      </c>
      <c r="R3" s="18"/>
      <c r="S3" s="18"/>
      <c r="T3" s="18"/>
      <c r="U3" s="18"/>
      <c r="V3" s="18"/>
      <c r="W3" s="18"/>
      <c r="Y3" s="12">
        <v>44547</v>
      </c>
      <c r="Z3" s="18">
        <f>28+24</f>
        <v>52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12+15</f>
        <v>27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/>
      <c r="M4" s="18">
        <f>M3-13</f>
        <v>25</v>
      </c>
      <c r="N4" s="18"/>
      <c r="O4" s="18"/>
      <c r="P4" s="11"/>
      <c r="Q4" s="18"/>
      <c r="R4" s="18"/>
      <c r="S4" s="18"/>
      <c r="T4" s="18"/>
      <c r="U4" s="18"/>
      <c r="V4" s="18"/>
      <c r="W4" s="18"/>
      <c r="Y4" s="12">
        <v>44568</v>
      </c>
      <c r="Z4" s="18"/>
      <c r="AA4" s="18"/>
      <c r="AB4" s="18">
        <f>13</f>
        <v>13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 t="s">
        <v>32</v>
      </c>
      <c r="M5" s="18" t="s">
        <v>32</v>
      </c>
      <c r="N5" s="18" t="s">
        <v>32</v>
      </c>
      <c r="O5" s="18" t="s">
        <v>32</v>
      </c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44825</v>
      </c>
      <c r="M6" s="18">
        <v>54</v>
      </c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ref="B10">LOOKUP(2,1 / (O$3:O$100 &lt;&gt;""), O$3:O$100)</f>
        <v>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30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44825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C15"/>
  <sheetViews>
    <sheetView topLeftCell="E1" zoomScaleNormal="100" workbookViewId="0">
      <selection activeCell="Q9" sqref="Q9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  <col min="21" max="21" width="10.5703125" style="27" bestFit="1" customWidth="1"/>
  </cols>
  <sheetData>
    <row r="1" spans="1:29" ht="18" customHeight="1" x14ac:dyDescent="0.3">
      <c r="A1" s="2" t="s">
        <v>20</v>
      </c>
      <c r="B1" s="3" t="s">
        <v>74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44530</v>
      </c>
      <c r="E3" s="18">
        <f>40+40+40</f>
        <v>120</v>
      </c>
      <c r="F3" s="18">
        <f ca="1">TODAY()-D3</f>
        <v>324</v>
      </c>
      <c r="G3" s="18" t="str">
        <f ca="1">IF(F3&lt;=21, "No", "Yes" )</f>
        <v>Yes</v>
      </c>
      <c r="H3" s="11">
        <v>44600</v>
      </c>
      <c r="I3" s="18">
        <f>12+20+9+31</f>
        <v>72</v>
      </c>
      <c r="J3" s="18">
        <f ca="1">TODAY()-H3</f>
        <v>254</v>
      </c>
      <c r="K3" s="18" t="str">
        <f ca="1">IF(J3&lt;=21, "No", "Yes" )</f>
        <v>Yes</v>
      </c>
      <c r="L3" s="11">
        <v>44600</v>
      </c>
      <c r="M3" s="18">
        <f>12+12+8+18+18+8+16+13+11+39+24+24</f>
        <v>203</v>
      </c>
      <c r="N3" s="18">
        <f ca="1">TODAY()-L3</f>
        <v>254</v>
      </c>
      <c r="O3" s="18" t="str">
        <f ca="1">IF(N3&lt;=21, "No", "Yes" )</f>
        <v>Yes</v>
      </c>
      <c r="P3" s="11">
        <v>44600</v>
      </c>
      <c r="Q3" s="18">
        <f>2+2+2+2+3+3+2+3+10+3+6+6</f>
        <v>44</v>
      </c>
      <c r="R3" s="18">
        <f ca="1">TODAY()-P3</f>
        <v>254</v>
      </c>
      <c r="S3" s="18" t="str">
        <f ca="1">IF(R3&lt;=21, "No", "Yes" )</f>
        <v>Yes</v>
      </c>
      <c r="T3" s="18"/>
      <c r="U3" s="18"/>
      <c r="V3" s="18"/>
      <c r="W3" s="18"/>
      <c r="Y3" s="12">
        <v>44547</v>
      </c>
      <c r="Z3" s="18">
        <v>10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v>110</v>
      </c>
      <c r="F4" s="14"/>
      <c r="G4" s="14"/>
      <c r="H4" s="13" t="s">
        <v>32</v>
      </c>
      <c r="I4" s="14" t="s">
        <v>32</v>
      </c>
      <c r="J4" s="14" t="s">
        <v>32</v>
      </c>
      <c r="K4" s="14" t="s">
        <v>32</v>
      </c>
      <c r="L4" s="11">
        <v>44650</v>
      </c>
      <c r="M4" s="18">
        <f>32+32+32+28+12+8+5+11+8+9+3+11+9</f>
        <v>200</v>
      </c>
      <c r="N4" s="18">
        <f ca="1">TODAY()-L4</f>
        <v>204</v>
      </c>
      <c r="O4" s="18" t="str">
        <f ca="1">IF(N4&lt;=21, "No", "Yes" )</f>
        <v>Yes</v>
      </c>
      <c r="P4" s="11">
        <v>44650</v>
      </c>
      <c r="Q4" s="18">
        <f>12+8+3+12+22+9+67+4+5+3+6</f>
        <v>151</v>
      </c>
      <c r="R4" s="18">
        <f ca="1">TODAY()-P4</f>
        <v>204</v>
      </c>
      <c r="S4" s="18" t="str">
        <f ca="1">IF(R4&lt;=21, "No", "Yes" )</f>
        <v>Yes</v>
      </c>
      <c r="T4" s="18"/>
      <c r="U4" s="18"/>
      <c r="V4" s="18"/>
      <c r="W4" s="18"/>
      <c r="Y4" s="12">
        <v>44593</v>
      </c>
      <c r="Z4" s="18"/>
      <c r="AA4" s="18"/>
      <c r="AB4" s="18">
        <v>33</v>
      </c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44684</v>
      </c>
      <c r="M5" s="18">
        <f>15+8+8+8+8+8+8+8+8+8+8+23+8+5+44+23+48+8+8+8+5</f>
        <v>275</v>
      </c>
      <c r="N5" s="18">
        <f ca="1">TODAY()-L5</f>
        <v>170</v>
      </c>
      <c r="O5" s="18" t="str">
        <f ca="1">IF(N5&lt;=21, "No", "Yes" )</f>
        <v>Yes</v>
      </c>
      <c r="P5" s="11">
        <v>44684</v>
      </c>
      <c r="Q5" s="18">
        <f>3+3+3+3+3+4+3+3+3+3+3+8+8+3+3+1+3+3+3+12+19+3</f>
        <v>100</v>
      </c>
      <c r="R5" s="18">
        <f ca="1">TODAY()-P5</f>
        <v>170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v>197</v>
      </c>
      <c r="N6" s="18"/>
      <c r="O6" s="18"/>
      <c r="P6" s="11"/>
      <c r="Q6" s="18">
        <v>84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str">
        <f t="array" aca="1" ref="B7" ca="1">LOOKUP(2,1 / (K$3:K$100 &lt;&gt;""), K$3:K$100)</f>
        <v>N/A</v>
      </c>
      <c r="D7" s="18"/>
      <c r="E7" s="18"/>
      <c r="F7" s="18"/>
      <c r="G7" s="18"/>
      <c r="H7" s="18"/>
      <c r="I7" s="18"/>
      <c r="J7" s="18"/>
      <c r="K7" s="18"/>
      <c r="L7" s="11">
        <v>44725</v>
      </c>
      <c r="M7" s="18">
        <f>15+15+20+15+10+15+15+5+7+9+15+15+15+15+15+10+15+15+15+15+15+15+20+15+20+10+20+10+10+5+45</f>
        <v>456</v>
      </c>
      <c r="N7" s="18">
        <f ca="1">TODAY()-L7</f>
        <v>129</v>
      </c>
      <c r="O7" s="18" t="str">
        <f ca="1">IF(N7&lt;=21, "No", "Yes" )</f>
        <v>Yes</v>
      </c>
      <c r="P7" s="11">
        <v>44725</v>
      </c>
      <c r="Q7" s="18">
        <f>3+3+3+3+3+3+3+1+3+3+3+3+3+3+3+3+3+3+3+3+3+3+3+3+3+3+6</f>
        <v>82</v>
      </c>
      <c r="R7" s="18">
        <f ca="1">TODAY()-P7</f>
        <v>129</v>
      </c>
      <c r="S7" s="18" t="str">
        <f ca="1">IF(R7&lt;=21, "No", "Yes" )</f>
        <v>Yes</v>
      </c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648</v>
      </c>
      <c r="D8" s="18"/>
      <c r="E8" s="18"/>
      <c r="F8" s="18"/>
      <c r="G8" s="18"/>
      <c r="H8" s="18"/>
      <c r="I8" s="18"/>
      <c r="J8" s="18"/>
      <c r="K8" s="18"/>
      <c r="L8" s="11">
        <v>44768</v>
      </c>
      <c r="M8" s="18">
        <f>52+56+68+44+40+20+24+28+15+15+16+19+28+48+40</f>
        <v>513</v>
      </c>
      <c r="N8" s="18">
        <f ca="1">TODAY()-L8</f>
        <v>86</v>
      </c>
      <c r="O8" s="18" t="str">
        <f ca="1">IF(N8&lt;=21, "No", "Yes" )</f>
        <v>Yes</v>
      </c>
      <c r="P8" s="11">
        <v>44768</v>
      </c>
      <c r="Q8" s="18">
        <f>27+31+19+35+4+11+11+5+13+24+30+20</f>
        <v>230</v>
      </c>
      <c r="R8" s="18">
        <f ca="1">TODAY()-P8</f>
        <v>86</v>
      </c>
      <c r="S8" s="18" t="str">
        <f ca="1">IF(R8&lt;=21, "No", "Yes" )</f>
        <v>Yes</v>
      </c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10/11/2022</v>
      </c>
      <c r="D9" s="18"/>
      <c r="E9" s="18"/>
      <c r="F9" s="18"/>
      <c r="G9" s="18"/>
      <c r="H9" s="18"/>
      <c r="I9" s="18"/>
      <c r="J9" s="18"/>
      <c r="K9" s="18"/>
      <c r="L9" s="18" t="s">
        <v>75</v>
      </c>
      <c r="M9" s="18">
        <v>328</v>
      </c>
      <c r="N9" s="18"/>
      <c r="O9" s="18"/>
      <c r="P9" s="11" t="s">
        <v>75</v>
      </c>
      <c r="Q9" s="18">
        <v>160</v>
      </c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t="s">
        <v>40</v>
      </c>
      <c r="M10">
        <v>648</v>
      </c>
      <c r="P10" t="s">
        <v>40</v>
      </c>
      <c r="Q10">
        <v>228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228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10/11/2022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C15"/>
  <sheetViews>
    <sheetView zoomScaleNormal="100" workbookViewId="0">
      <selection activeCell="M5" sqref="M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7" max="17" width="10.5703125" style="27" bestFit="1" customWidth="1"/>
    <col min="21" max="21" width="9.5703125" style="27" bestFit="1" customWidth="1"/>
  </cols>
  <sheetData>
    <row r="1" spans="1:29" ht="18" customHeight="1" x14ac:dyDescent="0.3">
      <c r="A1" s="2" t="s">
        <v>20</v>
      </c>
      <c r="B1" s="3" t="s">
        <v>76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44575</v>
      </c>
      <c r="E3" s="18">
        <v>100</v>
      </c>
      <c r="F3" s="18">
        <f ca="1">TODAY()-D3</f>
        <v>279</v>
      </c>
      <c r="G3" s="18" t="str">
        <f ca="1">IF(F3&lt;=21, "No", "Yes" )</f>
        <v>Yes</v>
      </c>
      <c r="H3" s="11">
        <v>44600</v>
      </c>
      <c r="I3" s="18">
        <v>80</v>
      </c>
      <c r="J3" s="18">
        <f ca="1">TODAY()-H3</f>
        <v>254</v>
      </c>
      <c r="K3" s="18" t="str">
        <f ca="1">IF(J3&lt;=21, "No", "Yes" )</f>
        <v>Yes</v>
      </c>
      <c r="L3" s="11">
        <v>44644</v>
      </c>
      <c r="M3" s="18">
        <v>8</v>
      </c>
      <c r="N3" s="18">
        <f ca="1">TODAY()-L3</f>
        <v>210</v>
      </c>
      <c r="O3" s="18" t="str">
        <f ca="1">IF(N3&lt;=21, "No", "Yes" )</f>
        <v>Yes</v>
      </c>
      <c r="P3" s="11"/>
      <c r="Q3" s="18"/>
      <c r="R3" s="18"/>
      <c r="S3" s="18"/>
      <c r="T3" s="18"/>
      <c r="U3" s="18"/>
      <c r="V3" s="18"/>
      <c r="W3" s="18"/>
      <c r="Y3" s="12">
        <v>44606</v>
      </c>
      <c r="Z3" s="18">
        <v>30</v>
      </c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E3-30</f>
        <v>70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44644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C15"/>
  <sheetViews>
    <sheetView topLeftCell="D1" zoomScaleNormal="100" workbookViewId="0">
      <selection activeCell="P8" sqref="P8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77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44575</v>
      </c>
      <c r="E3" s="18">
        <v>120</v>
      </c>
      <c r="F3" s="18">
        <f ca="1">TODAY()-D3</f>
        <v>279</v>
      </c>
      <c r="G3" s="18" t="str">
        <f ca="1">IF(F3&lt;=21, "No", "Yes" )</f>
        <v>Yes</v>
      </c>
      <c r="H3" s="11">
        <v>44603</v>
      </c>
      <c r="I3" s="18">
        <f>28+30+15+25+18</f>
        <v>116</v>
      </c>
      <c r="J3" s="18">
        <f ca="1">TODAY()-H3</f>
        <v>251</v>
      </c>
      <c r="K3" s="18" t="str">
        <f ca="1">IF(J3&lt;=21, "No", "Yes" )</f>
        <v>Yes</v>
      </c>
      <c r="L3" s="11">
        <v>44603</v>
      </c>
      <c r="M3" s="18">
        <v>7</v>
      </c>
      <c r="N3" s="18">
        <f ca="1">TODAY()-L3</f>
        <v>251</v>
      </c>
      <c r="O3" s="18"/>
      <c r="P3" s="11">
        <v>44643</v>
      </c>
      <c r="Q3" s="18">
        <v>3</v>
      </c>
      <c r="R3" s="18">
        <f ca="1">TODAY()-P3</f>
        <v>211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1" t="s">
        <v>32</v>
      </c>
      <c r="E4" s="18" t="s">
        <v>32</v>
      </c>
      <c r="F4" s="18" t="s">
        <v>32</v>
      </c>
      <c r="G4" s="18" t="s">
        <v>32</v>
      </c>
      <c r="H4" s="18" t="s">
        <v>32</v>
      </c>
      <c r="I4" s="14">
        <v>0</v>
      </c>
      <c r="J4" s="14" t="s">
        <v>32</v>
      </c>
      <c r="K4" s="14" t="s">
        <v>32</v>
      </c>
      <c r="L4" s="11">
        <v>44643</v>
      </c>
      <c r="M4" s="18">
        <v>55</v>
      </c>
      <c r="N4" s="18">
        <f ca="1">TODAY()-L4</f>
        <v>211</v>
      </c>
      <c r="O4" s="18" t="str">
        <f ca="1">IF(N4&lt;=21, "No", "Yes" )</f>
        <v>Yes</v>
      </c>
      <c r="P4" s="11">
        <v>44686</v>
      </c>
      <c r="Q4" s="18">
        <v>28</v>
      </c>
      <c r="R4" s="18">
        <f ca="1">TODAY()-P4</f>
        <v>168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>
        <v>44686</v>
      </c>
      <c r="M5" s="18">
        <v>22</v>
      </c>
      <c r="N5" s="18">
        <f ca="1">TODAY()-L5</f>
        <v>168</v>
      </c>
      <c r="O5" s="18" t="str">
        <f ca="1">IF(N5&lt;=21, "No", "Yes" )</f>
        <v>Yes</v>
      </c>
      <c r="P5" s="11">
        <v>44721</v>
      </c>
      <c r="Q5" s="18">
        <f>2+7+1</f>
        <v>10</v>
      </c>
      <c r="R5" s="18">
        <f ca="1">TODAY()-P5</f>
        <v>133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1">
        <v>44721</v>
      </c>
      <c r="M6" s="18">
        <f>8+14+13</f>
        <v>35</v>
      </c>
      <c r="N6" s="18">
        <f ca="1">TODAY()-L6</f>
        <v>133</v>
      </c>
      <c r="O6" s="18" t="str">
        <f ca="1">IF(N6&lt;=21, "No", "Yes" )</f>
        <v>Yes</v>
      </c>
      <c r="P6" s="11">
        <v>44774</v>
      </c>
      <c r="Q6" s="18">
        <v>26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44774</v>
      </c>
      <c r="M7" s="18">
        <v>48</v>
      </c>
      <c r="N7" s="18">
        <f ca="1">TODAY()-L7</f>
        <v>80</v>
      </c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48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44774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26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44774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C15"/>
  <sheetViews>
    <sheetView zoomScaleNormal="100" workbookViewId="0">
      <selection activeCell="B2" sqref="B2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9.57031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78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134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44818</v>
      </c>
      <c r="D3" s="11">
        <v>44575</v>
      </c>
      <c r="E3" s="18">
        <v>118</v>
      </c>
      <c r="F3" s="18">
        <f ca="1">TODAY()-D3</f>
        <v>279</v>
      </c>
      <c r="G3" s="18" t="str">
        <f ca="1">IF(F3&lt;=21, "No", "Yes" )</f>
        <v>Yes</v>
      </c>
      <c r="H3" s="11">
        <v>44603</v>
      </c>
      <c r="I3" s="18">
        <f>25+6</f>
        <v>31</v>
      </c>
      <c r="J3" s="18">
        <f ca="1">TODAY()-H3</f>
        <v>251</v>
      </c>
      <c r="K3" s="18" t="str">
        <f ca="1">IF(J3&lt;=21, "No", "Yes" )</f>
        <v>Yes</v>
      </c>
      <c r="L3" s="11">
        <v>44603</v>
      </c>
      <c r="M3" s="18">
        <v>1</v>
      </c>
      <c r="N3" s="18">
        <f t="shared" ref="N3:N8" ca="1" si="0">TODAY()-L3</f>
        <v>251</v>
      </c>
      <c r="O3" s="18" t="str">
        <f t="shared" ref="O3:O8" ca="1" si="1">IF(N3&lt;=21, "No", "Yes" )</f>
        <v>Yes</v>
      </c>
      <c r="P3" s="11">
        <v>44644</v>
      </c>
      <c r="Q3" s="18">
        <f>3+3+2</f>
        <v>8</v>
      </c>
      <c r="R3" s="18">
        <f ca="1">TODAY()-P3</f>
        <v>210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v>108</v>
      </c>
      <c r="F4" s="14"/>
      <c r="G4" s="14"/>
      <c r="H4" s="11" t="s">
        <v>32</v>
      </c>
      <c r="I4" s="18" t="s">
        <v>32</v>
      </c>
      <c r="J4" s="18" t="s">
        <v>32</v>
      </c>
      <c r="K4" s="18" t="s">
        <v>32</v>
      </c>
      <c r="L4" s="11">
        <v>44644</v>
      </c>
      <c r="M4" s="18">
        <f>8+8+9+1</f>
        <v>26</v>
      </c>
      <c r="N4" s="18">
        <f t="shared" ca="1" si="0"/>
        <v>210</v>
      </c>
      <c r="O4" s="18" t="str">
        <f t="shared" ca="1" si="1"/>
        <v>Yes</v>
      </c>
      <c r="P4" s="11">
        <v>44686</v>
      </c>
      <c r="Q4" s="18">
        <v>20</v>
      </c>
      <c r="R4" s="18">
        <f ca="1">TODAY()-P4</f>
        <v>168</v>
      </c>
      <c r="S4" s="18" t="str">
        <f ca="1">IF(R4&lt;=21, "No", "Yes" )</f>
        <v>Yes</v>
      </c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>
        <v>44686</v>
      </c>
      <c r="M5" s="18">
        <v>28</v>
      </c>
      <c r="N5" s="18">
        <f t="shared" ca="1" si="0"/>
        <v>168</v>
      </c>
      <c r="O5" s="18" t="str">
        <f t="shared" ca="1" si="1"/>
        <v>Yes</v>
      </c>
      <c r="P5" s="11">
        <v>44721</v>
      </c>
      <c r="Q5" s="18">
        <f>6</f>
        <v>6</v>
      </c>
      <c r="R5" s="18">
        <f ca="1">TODAY()-P5</f>
        <v>133</v>
      </c>
      <c r="S5" s="18" t="str">
        <f ca="1">IF(R5&lt;=21, "No", "Yes" )</f>
        <v>Yes</v>
      </c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str">
        <f t="array" ref="B6">LOOKUP(2,1 / (H$3:H$100 &lt;&gt;""), H$3:H$100)</f>
        <v>N/A</v>
      </c>
      <c r="D6" s="11">
        <v>44818</v>
      </c>
      <c r="E6" s="18">
        <v>134</v>
      </c>
      <c r="F6" s="18"/>
      <c r="G6" s="11"/>
      <c r="H6" s="18"/>
      <c r="I6" s="18"/>
      <c r="J6" s="18"/>
      <c r="K6" s="18"/>
      <c r="L6" s="11">
        <v>44721</v>
      </c>
      <c r="M6" s="18">
        <f>24+16</f>
        <v>40</v>
      </c>
      <c r="N6" s="18">
        <f t="shared" ca="1" si="0"/>
        <v>133</v>
      </c>
      <c r="O6" s="18" t="str">
        <f t="shared" ca="1" si="1"/>
        <v>Yes</v>
      </c>
      <c r="P6" s="11">
        <v>44774</v>
      </c>
      <c r="Q6" s="18">
        <v>19</v>
      </c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1">
        <v>44774</v>
      </c>
      <c r="M7" s="18">
        <v>14</v>
      </c>
      <c r="N7" s="18">
        <f t="shared" ca="1" si="0"/>
        <v>80</v>
      </c>
      <c r="O7" s="18" t="str">
        <f t="shared" ca="1" si="1"/>
        <v>Yes</v>
      </c>
      <c r="P7" s="18" t="s">
        <v>56</v>
      </c>
      <c r="Q7" s="18">
        <v>6</v>
      </c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13</v>
      </c>
      <c r="D8" s="18"/>
      <c r="E8" s="18"/>
      <c r="F8" s="18"/>
      <c r="G8" s="18"/>
      <c r="H8" s="18"/>
      <c r="I8" s="18"/>
      <c r="J8" s="18"/>
      <c r="K8" s="18"/>
      <c r="L8" s="11" t="s">
        <v>56</v>
      </c>
      <c r="M8" s="18">
        <v>13</v>
      </c>
      <c r="N8" s="18">
        <f t="shared" ca="1" si="0"/>
        <v>2</v>
      </c>
      <c r="O8" s="18" t="str">
        <f t="shared" ca="1" si="1"/>
        <v>No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No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6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15"/>
  <sheetViews>
    <sheetView zoomScaleNormal="100" workbookViewId="0">
      <selection activeCell="K6" sqref="K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79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44681</v>
      </c>
      <c r="E3" s="18">
        <v>94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58+104</f>
        <v>162</v>
      </c>
      <c r="N3" s="18">
        <f ca="1">TODAY()-L3</f>
        <v>133</v>
      </c>
      <c r="O3" s="18" t="str">
        <f ca="1">IF(N3&lt;=21, "No", "Yes" )</f>
        <v>Yes</v>
      </c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E3+123</f>
        <v>217</v>
      </c>
      <c r="F4" s="14"/>
      <c r="G4" s="14"/>
      <c r="H4" s="11"/>
      <c r="I4" s="18"/>
      <c r="J4" s="18"/>
      <c r="K4" s="18"/>
      <c r="L4" s="11">
        <v>44823</v>
      </c>
      <c r="M4" s="18">
        <v>21</v>
      </c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15"/>
  <sheetViews>
    <sheetView topLeftCell="C1" zoomScaleNormal="100" workbookViewId="0">
      <selection activeCell="F7" sqref="F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146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44727</v>
      </c>
      <c r="D3" s="11">
        <v>44681</v>
      </c>
      <c r="E3" s="18">
        <v>98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44+13</f>
        <v>57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f>3</f>
        <v>3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>
        <f>E3+79</f>
        <v>177</v>
      </c>
      <c r="F4" s="14"/>
      <c r="G4" s="14"/>
      <c r="H4" s="11"/>
      <c r="I4" s="18"/>
      <c r="J4" s="18"/>
      <c r="K4" s="18"/>
      <c r="L4" s="11" t="s">
        <v>56</v>
      </c>
      <c r="M4" s="18">
        <v>13</v>
      </c>
      <c r="N4" s="18"/>
      <c r="O4" s="18"/>
      <c r="P4" s="11" t="s">
        <v>56</v>
      </c>
      <c r="Q4" s="18">
        <v>3</v>
      </c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1">
        <v>44727</v>
      </c>
      <c r="E6" s="18">
        <f>36+35+13+36+26</f>
        <v>146</v>
      </c>
      <c r="F6" s="18">
        <f ca="1">TODAY()-D6</f>
        <v>127</v>
      </c>
      <c r="G6" s="18" t="str">
        <f ca="1">IF(F6&lt;=21, "No", "Yes" )</f>
        <v>Yes</v>
      </c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15"/>
  <sheetViews>
    <sheetView topLeftCell="G1" zoomScaleNormal="100" workbookViewId="0">
      <selection activeCell="P6" sqref="P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44681</v>
      </c>
      <c r="E3" s="18">
        <v>120</v>
      </c>
      <c r="F3" s="18">
        <f ca="1">TODAY()-D3</f>
        <v>173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f>100+76</f>
        <v>176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v>3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E3+154</f>
        <v>274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176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44721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3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44721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15"/>
  <sheetViews>
    <sheetView zoomScaleNormal="100" workbookViewId="0">
      <selection activeCell="D4" sqref="D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44685</v>
      </c>
      <c r="D3" s="11">
        <v>44685</v>
      </c>
      <c r="E3" s="18">
        <v>160</v>
      </c>
      <c r="F3" s="18">
        <f ca="1">TODAY()-D3</f>
        <v>169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15"/>
  <sheetViews>
    <sheetView topLeftCell="G1" zoomScaleNormal="100" workbookViewId="0">
      <selection activeCell="N4" sqref="N4:O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44686</v>
      </c>
      <c r="E3" s="18">
        <v>74</v>
      </c>
      <c r="F3" s="18">
        <f ca="1">TODAY()-D3</f>
        <v>168</v>
      </c>
      <c r="G3" s="18" t="str">
        <f ca="1">IF(F3&lt;=21, "No", "Yes" )</f>
        <v>Yes</v>
      </c>
      <c r="H3" s="11"/>
      <c r="I3" s="18"/>
      <c r="J3" s="18"/>
      <c r="K3" s="18"/>
      <c r="L3" s="11">
        <v>44721</v>
      </c>
      <c r="M3" s="18">
        <v>42</v>
      </c>
      <c r="N3" s="18">
        <f ca="1">TODAY()-L3</f>
        <v>133</v>
      </c>
      <c r="O3" s="18" t="str">
        <f ca="1">IF(N3&lt;=21, "No", "Yes" )</f>
        <v>Yes</v>
      </c>
      <c r="P3" s="11">
        <v>44721</v>
      </c>
      <c r="Q3" s="18">
        <v>1</v>
      </c>
      <c r="R3" s="18">
        <f ca="1">TODAY()-P3</f>
        <v>133</v>
      </c>
      <c r="S3" s="18" t="str">
        <f ca="1">IF(R3&lt;=21, "No", "Yes" )</f>
        <v>Yes</v>
      </c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>
        <v>44734</v>
      </c>
      <c r="M4" s="18">
        <v>26</v>
      </c>
      <c r="N4" s="18">
        <f ca="1">TODAY()-L4</f>
        <v>120</v>
      </c>
      <c r="O4" s="18" t="str">
        <f ca="1">IF(N4&lt;=21, "No", "Yes" )</f>
        <v>Yes</v>
      </c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44734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44721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15"/>
  <sheetViews>
    <sheetView zoomScaleNormal="100" workbookViewId="0">
      <selection activeCell="D5" sqref="D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44729</v>
      </c>
      <c r="E3" s="18">
        <v>144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 t="s">
        <v>56</v>
      </c>
      <c r="M3" s="18">
        <v>1</v>
      </c>
      <c r="N3" s="18"/>
      <c r="O3" s="18"/>
      <c r="P3" s="11" t="s">
        <v>56</v>
      </c>
      <c r="Q3" s="18">
        <v>14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 t="s">
        <v>32</v>
      </c>
      <c r="E4" s="14">
        <v>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10/18/2022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14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10/18/2022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v>60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v>64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44727</v>
      </c>
      <c r="D3" s="11">
        <v>44727</v>
      </c>
      <c r="E3" s="18">
        <v>129</v>
      </c>
      <c r="F3" s="18">
        <f ca="1">TODAY()-D3</f>
        <v>127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15"/>
  <sheetViews>
    <sheetView zoomScaleNormal="100" workbookViewId="0">
      <selection activeCell="E4" sqref="E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f>36+36+36+16</f>
        <v>124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89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58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44729</v>
      </c>
      <c r="D3" s="11">
        <v>44729</v>
      </c>
      <c r="E3" s="18">
        <f>40+18</f>
        <v>58</v>
      </c>
      <c r="F3" s="18">
        <f ca="1">TODAY()-D3</f>
        <v>125</v>
      </c>
      <c r="G3" s="18" t="str">
        <f ca="1">IF(F3&lt;=21, "No", "Yes" )</f>
        <v>Yes</v>
      </c>
      <c r="H3" s="11"/>
      <c r="I3" s="18"/>
      <c r="J3" s="18"/>
      <c r="K3" s="18"/>
      <c r="L3" s="11" t="s">
        <v>75</v>
      </c>
      <c r="M3" s="18">
        <v>4</v>
      </c>
      <c r="N3" s="18"/>
      <c r="O3" s="18"/>
      <c r="P3" s="11" t="s">
        <v>75</v>
      </c>
      <c r="Q3" s="18">
        <v>2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str">
        <f t="array" ref="B9">LOOKUP(2,1 / (L$3:L$100 &lt;&gt;""), L$3:L$100)</f>
        <v>10/10/2022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2</v>
      </c>
    </row>
    <row r="12" spans="1:29" ht="18" customHeight="1" x14ac:dyDescent="0.3">
      <c r="A12" s="22" t="s">
        <v>42</v>
      </c>
      <c r="B12" s="9" t="str">
        <f t="array" ref="B12">LOOKUP(2,1 / (P$3:P$100 &lt;&gt;""), P$3:P$100)</f>
        <v>10/10/2022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76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76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15"/>
  <sheetViews>
    <sheetView zoomScaleNormal="100" workbookViewId="0">
      <selection activeCell="B2" sqref="B2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120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15"/>
  <sheetViews>
    <sheetView zoomScaleNormal="100" workbookViewId="0">
      <selection activeCell="E4" sqref="E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109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109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137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44735</v>
      </c>
      <c r="D3" s="11">
        <v>44735</v>
      </c>
      <c r="E3" s="18">
        <v>137</v>
      </c>
      <c r="F3" s="18">
        <f ca="1">TODAY()-D3</f>
        <v>119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C15"/>
  <sheetViews>
    <sheetView zoomScaleNormal="100" workbookViewId="0">
      <selection activeCell="D5" sqref="D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44818</v>
      </c>
      <c r="D3" s="11">
        <v>44739</v>
      </c>
      <c r="E3" s="18">
        <f>40+40+40+36+40</f>
        <v>196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>
        <v>44818</v>
      </c>
      <c r="E4" s="14">
        <v>120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15"/>
  <sheetViews>
    <sheetView zoomScaleNormal="100" workbookViewId="0">
      <selection activeCell="B2" sqref="B2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164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44739</v>
      </c>
      <c r="D3" s="11">
        <v>44739</v>
      </c>
      <c r="E3" s="18">
        <f>40+39+40+45</f>
        <v>164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120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44739</v>
      </c>
      <c r="D3" s="11">
        <v>44739</v>
      </c>
      <c r="E3" s="18">
        <v>120</v>
      </c>
      <c r="F3" s="18">
        <f ca="1">TODAY()-D3</f>
        <v>115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C15"/>
  <sheetViews>
    <sheetView zoomScaleNormal="100" workbookViewId="0">
      <selection activeCell="A26" sqref="A2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240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240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15"/>
  <sheetViews>
    <sheetView zoomScaleNormal="100" workbookViewId="0">
      <selection activeCell="E3" sqref="E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98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43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43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99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22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44747</v>
      </c>
      <c r="D3" s="11">
        <v>44747</v>
      </c>
      <c r="E3" s="18">
        <v>22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C15"/>
  <sheetViews>
    <sheetView zoomScaleNormal="100" workbookViewId="0">
      <selection activeCell="F5" sqref="F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100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44747</v>
      </c>
      <c r="E3" s="18">
        <f>40+40+39+20</f>
        <v>139</v>
      </c>
      <c r="F3" s="18">
        <f ca="1">TODAY()-D3</f>
        <v>107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38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38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15"/>
  <sheetViews>
    <sheetView zoomScaleNormal="100" workbookViewId="0">
      <selection activeCell="D4" sqref="D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72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36+36</f>
        <v>72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C15"/>
  <sheetViews>
    <sheetView zoomScaleNormal="100" workbookViewId="0">
      <selection activeCell="E4" sqref="E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102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71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36+35</f>
        <v>71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71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f>36+35</f>
        <v>71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C15"/>
  <sheetViews>
    <sheetView zoomScaleNormal="100" workbookViewId="0">
      <selection activeCell="E4" sqref="E4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65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65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C15"/>
  <sheetViews>
    <sheetView zoomScaleNormal="100" workbookViewId="0">
      <selection activeCell="B1" sqref="B1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47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47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C15"/>
  <sheetViews>
    <sheetView zoomScaleNormal="100" workbookViewId="0">
      <selection activeCell="E5" sqref="E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106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67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44753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D15"/>
  <sheetViews>
    <sheetView zoomScale="93" zoomScaleNormal="110" workbookViewId="0">
      <selection activeCell="P1" sqref="P1:P1048576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6.28515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14.7109375" style="27" bestFit="1" customWidth="1"/>
    <col min="14" max="14" width="15.42578125" style="27" bestFit="1" customWidth="1"/>
    <col min="16" max="16" width="14.7109375" style="27" bestFit="1" customWidth="1"/>
    <col min="17" max="17" width="10.7109375" style="27" bestFit="1" customWidth="1"/>
  </cols>
  <sheetData>
    <row r="1" spans="1:30" ht="18" customHeight="1" x14ac:dyDescent="0.3">
      <c r="A1" s="2" t="s">
        <v>20</v>
      </c>
      <c r="B1" s="3" t="s">
        <v>107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30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30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44515</v>
      </c>
      <c r="E3" s="18">
        <f>7*40</f>
        <v>280</v>
      </c>
      <c r="F3" s="18">
        <f ca="1">TODAY()-D3</f>
        <v>339</v>
      </c>
      <c r="G3" s="18" t="str">
        <f ca="1">IF(F3&gt;21, "Yes", "No")</f>
        <v>Yes</v>
      </c>
      <c r="H3" s="11">
        <v>44587</v>
      </c>
      <c r="I3" s="18">
        <f>4+3+5+5+10+5+4+4+3+9+3+3+5+4+6+3+4+4+9+7+3+5+4</f>
        <v>112</v>
      </c>
      <c r="J3" s="18">
        <f ca="1">TODAY()-H3</f>
        <v>267</v>
      </c>
      <c r="K3" s="18" t="str">
        <f ca="1">IF(J3&gt;21, "Yes", "No")</f>
        <v>Yes</v>
      </c>
      <c r="L3" s="11">
        <v>44547</v>
      </c>
      <c r="M3" s="18">
        <v>149</v>
      </c>
      <c r="N3" s="18">
        <f ca="1">TODAY()-L3</f>
        <v>307</v>
      </c>
      <c r="O3" s="18" t="str">
        <f ca="1">IF(N3&gt;21, "Yes", "No")</f>
        <v>Yes</v>
      </c>
      <c r="P3" s="11">
        <v>44587</v>
      </c>
      <c r="Q3" s="18">
        <f>2+3+2+4+2+4+3</f>
        <v>20</v>
      </c>
      <c r="R3" s="18">
        <f ca="1">TODAY()-P3</f>
        <v>267</v>
      </c>
      <c r="S3" s="18" t="str">
        <f ca="1">IF(R3&gt;21, "Yes", "No")</f>
        <v>Yes</v>
      </c>
      <c r="T3" s="18"/>
      <c r="U3" s="18"/>
      <c r="V3" s="18"/>
      <c r="W3" s="18"/>
      <c r="Y3" s="12">
        <v>44530</v>
      </c>
      <c r="Z3" s="18">
        <f>10+10+5+10+9+4</f>
        <v>48</v>
      </c>
      <c r="AA3" s="18"/>
      <c r="AB3" s="18"/>
      <c r="AC3" s="18"/>
      <c r="AD3" t="s">
        <v>108</v>
      </c>
    </row>
    <row r="4" spans="1:30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3" t="s">
        <v>32</v>
      </c>
      <c r="I4" s="14" t="s">
        <v>32</v>
      </c>
      <c r="J4" s="14" t="s">
        <v>32</v>
      </c>
      <c r="K4" s="14" t="s">
        <v>32</v>
      </c>
      <c r="L4" s="11"/>
      <c r="M4" s="18">
        <f>M3+11+12+10+12+8+8</f>
        <v>210</v>
      </c>
      <c r="N4" s="18"/>
      <c r="O4" s="18"/>
      <c r="P4" s="11">
        <v>44706</v>
      </c>
      <c r="Q4" s="18">
        <v>0</v>
      </c>
      <c r="R4" s="18">
        <f ca="1">TODAY()-P4</f>
        <v>148</v>
      </c>
      <c r="S4" s="18" t="str">
        <f ca="1">IF(R4&gt;21, "Yes", "No")</f>
        <v>Yes</v>
      </c>
      <c r="T4" s="18"/>
      <c r="U4" s="18"/>
      <c r="V4" s="18"/>
      <c r="W4" s="18"/>
      <c r="Y4" s="12">
        <v>44547</v>
      </c>
      <c r="Z4" s="18"/>
      <c r="AA4" s="18"/>
      <c r="AB4" s="18">
        <v>33</v>
      </c>
      <c r="AC4" s="18"/>
      <c r="AD4" t="s">
        <v>109</v>
      </c>
    </row>
    <row r="5" spans="1:30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/>
      <c r="E5" s="18"/>
      <c r="F5" s="18"/>
      <c r="G5" s="18"/>
      <c r="H5" s="11"/>
      <c r="I5" s="18"/>
      <c r="J5" s="18"/>
      <c r="K5" s="18"/>
      <c r="L5" s="11"/>
      <c r="M5" s="18">
        <f>M4-49</f>
        <v>161</v>
      </c>
      <c r="N5" s="18"/>
      <c r="O5" s="18"/>
      <c r="P5" s="11">
        <v>44813</v>
      </c>
      <c r="Q5" s="18">
        <v>2</v>
      </c>
      <c r="R5" s="18"/>
      <c r="S5" s="18"/>
      <c r="T5" s="18"/>
      <c r="U5" s="18"/>
      <c r="V5" s="18"/>
      <c r="W5" s="18"/>
      <c r="Y5" s="12">
        <v>44558</v>
      </c>
      <c r="Z5" s="18"/>
      <c r="AA5" s="18"/>
      <c r="AB5" s="18">
        <v>49</v>
      </c>
      <c r="AC5" s="18"/>
      <c r="AD5" t="s">
        <v>110</v>
      </c>
    </row>
    <row r="6" spans="1:30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8"/>
      <c r="I6" s="18"/>
      <c r="J6" s="18"/>
      <c r="K6" s="18"/>
      <c r="L6" s="18"/>
      <c r="M6" s="18">
        <f>M5-27</f>
        <v>134</v>
      </c>
      <c r="N6" s="18"/>
      <c r="O6" s="18"/>
      <c r="P6" s="11"/>
      <c r="Q6" s="18"/>
      <c r="R6" s="18"/>
      <c r="S6" s="18"/>
      <c r="T6" s="18"/>
      <c r="U6" s="18"/>
      <c r="V6" s="18"/>
      <c r="W6" s="18"/>
      <c r="Y6" s="12">
        <v>44568</v>
      </c>
      <c r="Z6" s="18"/>
      <c r="AA6" s="18"/>
      <c r="AB6" s="18">
        <f>27</f>
        <v>27</v>
      </c>
      <c r="AC6" s="18"/>
      <c r="AD6" t="s">
        <v>111</v>
      </c>
    </row>
    <row r="7" spans="1:30" ht="18" customHeight="1" x14ac:dyDescent="0.3">
      <c r="A7" s="24" t="s">
        <v>35</v>
      </c>
      <c r="B7" s="1" t="str">
        <f t="array" aca="1" ref="B7" ca="1">LOOKUP(2,1 / (K$3:K$1048576 &lt;&gt;""), K$3:K$1048576)</f>
        <v>N/A</v>
      </c>
      <c r="D7" s="18"/>
      <c r="E7" s="18"/>
      <c r="F7" s="18"/>
      <c r="G7" s="18"/>
      <c r="H7" s="18"/>
      <c r="I7" s="18"/>
      <c r="J7" s="18"/>
      <c r="K7" s="18"/>
      <c r="L7" s="18"/>
      <c r="M7" s="18">
        <f>M6-19</f>
        <v>115</v>
      </c>
      <c r="N7" s="18"/>
      <c r="O7" s="18"/>
      <c r="P7" s="18"/>
      <c r="Q7" s="18"/>
      <c r="R7" s="18"/>
      <c r="S7" s="18"/>
      <c r="T7" s="18"/>
      <c r="U7" s="18"/>
      <c r="V7" s="18"/>
      <c r="W7" s="18"/>
      <c r="Y7" s="12">
        <v>44587</v>
      </c>
      <c r="Z7" s="18"/>
      <c r="AA7" s="18"/>
      <c r="AB7" s="18">
        <f>5+5+4+3+2</f>
        <v>19</v>
      </c>
      <c r="AC7" s="18"/>
      <c r="AD7" t="s">
        <v>112</v>
      </c>
    </row>
    <row r="8" spans="1:30" ht="18" customHeight="1" x14ac:dyDescent="0.3">
      <c r="A8" s="8" t="s">
        <v>36</v>
      </c>
      <c r="B8" s="3">
        <f t="array" ref="B8">(IFERROR((LOOKUP(2,1/(M$3:M$100&lt;&gt;""),M$3:M$100)),0))</f>
        <v>5</v>
      </c>
      <c r="D8" s="18"/>
      <c r="E8" s="18"/>
      <c r="F8" s="18"/>
      <c r="G8" s="18"/>
      <c r="H8" s="18"/>
      <c r="I8" s="18"/>
      <c r="J8" s="18"/>
      <c r="K8" s="18"/>
      <c r="L8" s="11">
        <v>44587</v>
      </c>
      <c r="M8" s="18">
        <f>3+3+2</f>
        <v>8</v>
      </c>
      <c r="N8" s="18">
        <f ca="1">TODAY()-L8</f>
        <v>267</v>
      </c>
      <c r="O8" s="18" t="str">
        <f ca="1">IF(N8&gt;21, "Yes", "No")</f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30" ht="18" customHeight="1" x14ac:dyDescent="0.3">
      <c r="A9" s="8" t="s">
        <v>37</v>
      </c>
      <c r="B9" s="9">
        <f t="array" ref="B9">LOOKUP(2,1 / (L$3:L$100 &lt;&gt;""), L$3:L$100)</f>
        <v>44813</v>
      </c>
      <c r="D9" s="18"/>
      <c r="E9" s="18"/>
      <c r="F9" s="18"/>
      <c r="G9" s="18"/>
      <c r="H9" s="18"/>
      <c r="I9" s="18"/>
      <c r="J9" s="18"/>
      <c r="K9" s="18"/>
      <c r="L9" s="11">
        <v>44706</v>
      </c>
      <c r="M9" s="18">
        <f>10+5</f>
        <v>15</v>
      </c>
      <c r="N9" s="18">
        <f ca="1">TODAY()-L9</f>
        <v>148</v>
      </c>
      <c r="O9" s="18" t="str">
        <f ca="1">IF(N9&gt;21, "Yes", "No")</f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30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44813</v>
      </c>
      <c r="M10">
        <v>5</v>
      </c>
    </row>
    <row r="11" spans="1:30" ht="18" customHeight="1" x14ac:dyDescent="0.3">
      <c r="A11" s="22" t="s">
        <v>41</v>
      </c>
      <c r="B11" s="3">
        <f t="array" ref="B11">(IFERROR((LOOKUP(2,1/(Q$3:Q$100&lt;&gt;""),Q$3:Q$100)),0))</f>
        <v>2</v>
      </c>
    </row>
    <row r="12" spans="1:30" ht="18" customHeight="1" x14ac:dyDescent="0.3">
      <c r="A12" s="22" t="s">
        <v>42</v>
      </c>
      <c r="B12" s="9">
        <f t="array" ref="B12">LOOKUP(2,1 / (P$3:P$100 &lt;&gt;""), P$3:P$100)</f>
        <v>44813</v>
      </c>
    </row>
    <row r="13" spans="1:30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30" ht="18" customHeight="1" x14ac:dyDescent="0.3">
      <c r="A14" s="2" t="s">
        <v>44</v>
      </c>
      <c r="B14" s="3">
        <f>(IFERROR((LOOKUP(2,1/(Q$3:Q$100&lt;&gt;""),Q$3:Q$100)),0))</f>
        <v>2</v>
      </c>
    </row>
    <row r="15" spans="1:30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C15"/>
  <sheetViews>
    <sheetView topLeftCell="B1" zoomScaleNormal="100" workbookViewId="0">
      <selection activeCell="D3" sqref="D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113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44824</v>
      </c>
      <c r="M3" s="18">
        <v>44</v>
      </c>
      <c r="N3" s="18"/>
      <c r="O3" s="18"/>
      <c r="P3" s="11">
        <v>44824</v>
      </c>
      <c r="Q3" s="18">
        <v>13</v>
      </c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44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44824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13</v>
      </c>
    </row>
    <row r="12" spans="1:29" ht="18" customHeight="1" x14ac:dyDescent="0.3">
      <c r="A12" s="22" t="s">
        <v>42</v>
      </c>
      <c r="B12" s="9">
        <f t="array" ref="B12">LOOKUP(2,1 / (P$3:P$100 &lt;&gt;""), P$3:P$100)</f>
        <v>44824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C15"/>
  <sheetViews>
    <sheetView zoomScaleNormal="100" workbookViewId="0">
      <selection activeCell="M3" sqref="M3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114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24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C15"/>
  <sheetViews>
    <sheetView zoomScaleNormal="100" workbookViewId="0">
      <selection activeCell="L5" sqref="L5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115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44753</v>
      </c>
      <c r="E3" s="18">
        <v>67</v>
      </c>
      <c r="F3" s="18">
        <f ca="1">TODAY()-D3</f>
        <v>101</v>
      </c>
      <c r="G3" s="18" t="str">
        <f ca="1">IF(F3&lt;=21, "No", "Yes" )</f>
        <v>Yes</v>
      </c>
      <c r="H3" s="11"/>
      <c r="I3" s="18"/>
      <c r="J3" s="18"/>
      <c r="K3" s="18"/>
      <c r="L3" s="11">
        <v>44816</v>
      </c>
      <c r="M3" s="18">
        <v>20</v>
      </c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N/A</v>
      </c>
      <c r="D4" s="13" t="s">
        <v>32</v>
      </c>
      <c r="E4" s="14" t="s">
        <v>32</v>
      </c>
      <c r="F4" s="14" t="s">
        <v>32</v>
      </c>
      <c r="G4" s="14" t="s">
        <v>32</v>
      </c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20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>
        <f t="array" ref="B9">LOOKUP(2,1 / (L$3:L$100 &lt;&gt;""), L$3:L$100)</f>
        <v>44816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D15"/>
  <sheetViews>
    <sheetView topLeftCell="G1" zoomScale="110" zoomScaleNormal="110" workbookViewId="0">
      <selection activeCell="N12" sqref="N12"/>
    </sheetView>
  </sheetViews>
  <sheetFormatPr defaultRowHeight="15" x14ac:dyDescent="0.25"/>
  <cols>
    <col min="1" max="1" width="21.85546875" style="27" bestFit="1" customWidth="1"/>
    <col min="2" max="2" width="22.140625" style="27" bestFit="1" customWidth="1"/>
    <col min="4" max="4" width="14.5703125" style="27" bestFit="1" customWidth="1"/>
    <col min="5" max="5" width="9.42578125" style="27" bestFit="1" customWidth="1"/>
    <col min="6" max="6" width="15.140625" style="27" bestFit="1" customWidth="1"/>
    <col min="7" max="7" width="6.28515625" style="27" bestFit="1" customWidth="1"/>
    <col min="8" max="8" width="14.7109375" style="27" bestFit="1" customWidth="1"/>
    <col min="12" max="12" width="14.7109375" style="27" bestFit="1" customWidth="1"/>
    <col min="14" max="14" width="15.42578125" style="27" bestFit="1" customWidth="1"/>
    <col min="16" max="16" width="9.5703125" style="27" bestFit="1" customWidth="1"/>
    <col min="17" max="17" width="10.7109375" style="27" bestFit="1" customWidth="1"/>
    <col min="20" max="20" width="9.5703125" style="27" bestFit="1" customWidth="1"/>
  </cols>
  <sheetData>
    <row r="1" spans="1:30" ht="18" customHeight="1" x14ac:dyDescent="0.3">
      <c r="A1" s="2" t="s">
        <v>20</v>
      </c>
      <c r="B1" s="3" t="s">
        <v>116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30" ht="18" customHeight="1" x14ac:dyDescent="0.3">
      <c r="A2" s="7" t="s">
        <v>24</v>
      </c>
      <c r="B2" s="3" t="str">
        <f t="array" ref="B2">(IFERROR((LOOKUP(2,1/(E$3:E$98&lt;&gt;""),E$3:E$100)),0))</f>
        <v>N/A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30" ht="18" customHeight="1" x14ac:dyDescent="0.3">
      <c r="A3" s="7" t="s">
        <v>30</v>
      </c>
      <c r="B3" s="9" t="str">
        <f t="array" ref="B3">LOOKUP(2,1 / (D$3:D$100 &lt;&gt;""), D$3:D$100)</f>
        <v>N/A</v>
      </c>
      <c r="D3" s="11">
        <v>44515</v>
      </c>
      <c r="E3" s="18">
        <f>6*40</f>
        <v>240</v>
      </c>
      <c r="F3" s="18">
        <f ca="1">TODAY()-D3</f>
        <v>339</v>
      </c>
      <c r="G3" s="18" t="str">
        <f ca="1">IF(F3&gt;21, "Yes", "No")</f>
        <v>Yes</v>
      </c>
      <c r="H3" s="11">
        <v>44586</v>
      </c>
      <c r="I3" s="18">
        <f>10+8+6+4+3+4+3+7+3+3+11+4+4+8+4</f>
        <v>82</v>
      </c>
      <c r="J3" s="18">
        <f ca="1">TODAY()-H3</f>
        <v>268</v>
      </c>
      <c r="K3" s="18" t="str">
        <f ca="1">IF(J3&gt;21, "Yes", "No")</f>
        <v>Yes</v>
      </c>
      <c r="L3" s="11">
        <v>44547</v>
      </c>
      <c r="M3" s="18">
        <v>116</v>
      </c>
      <c r="N3" s="18">
        <f ca="1">TODAY()-L3</f>
        <v>307</v>
      </c>
      <c r="O3" s="18" t="str">
        <f ca="1">IF(N3&gt;21, "Yes", "No")</f>
        <v>Yes</v>
      </c>
      <c r="P3" s="11">
        <v>44586</v>
      </c>
      <c r="Q3" s="18">
        <f>3+4+4+2+3+4+3+3+3+6+1</f>
        <v>36</v>
      </c>
      <c r="R3" s="18">
        <f ca="1">TODAY()-P3</f>
        <v>268</v>
      </c>
      <c r="S3" s="18" t="str">
        <f ca="1">IF(R3&gt;21, "Yes", "No")</f>
        <v>Yes</v>
      </c>
      <c r="T3" s="11">
        <v>44606</v>
      </c>
      <c r="U3" s="18">
        <v>60</v>
      </c>
      <c r="V3" s="11">
        <f ca="1">TODAY()-T3</f>
        <v>248</v>
      </c>
      <c r="W3" s="18" t="str">
        <f ca="1">IF(V3&gt;21, "Yes", "No")</f>
        <v>Yes</v>
      </c>
      <c r="Y3" s="12">
        <f>11/30/2021</f>
        <v>1.8142833580735607E-4</v>
      </c>
      <c r="Z3" s="18">
        <f>78</f>
        <v>78</v>
      </c>
      <c r="AA3" s="18"/>
      <c r="AB3" s="18"/>
      <c r="AC3" s="18"/>
      <c r="AD3" t="s">
        <v>117</v>
      </c>
    </row>
    <row r="4" spans="1:30" ht="18" customHeight="1" x14ac:dyDescent="0.3">
      <c r="A4" s="7" t="s">
        <v>31</v>
      </c>
      <c r="B4" s="1" t="str">
        <f>LOOKUP(2,1 / (G$3:G$1048576 &lt;&gt;""), G$3:G$1048576)</f>
        <v>N/A</v>
      </c>
      <c r="D4" s="13"/>
      <c r="E4" s="14">
        <f>E3-78</f>
        <v>162</v>
      </c>
      <c r="F4" s="14"/>
      <c r="G4" s="14"/>
      <c r="H4" s="13">
        <v>44606</v>
      </c>
      <c r="I4" s="14">
        <v>144</v>
      </c>
      <c r="J4" s="18">
        <f ca="1">TODAY()-H4</f>
        <v>248</v>
      </c>
      <c r="K4" s="18" t="str">
        <f ca="1">IF(J4&gt;21, "Yes", "No")</f>
        <v>Yes</v>
      </c>
      <c r="L4" s="11"/>
      <c r="M4" s="18">
        <f>M3-32</f>
        <v>84</v>
      </c>
      <c r="N4" s="18"/>
      <c r="O4" s="18"/>
      <c r="P4" s="11">
        <v>44606</v>
      </c>
      <c r="Q4" s="18">
        <v>44</v>
      </c>
      <c r="R4" s="18">
        <f ca="1">TODAY()-P4</f>
        <v>248</v>
      </c>
      <c r="S4" s="18" t="str">
        <f ca="1">IF(R4&gt;21, "Yes", "No")</f>
        <v>Yes</v>
      </c>
      <c r="T4" s="18"/>
      <c r="U4" s="18"/>
      <c r="V4" s="18"/>
      <c r="W4" s="18"/>
      <c r="Y4" s="12">
        <v>44547</v>
      </c>
      <c r="Z4" s="18"/>
      <c r="AA4" s="18"/>
      <c r="AB4" s="18">
        <v>26</v>
      </c>
      <c r="AC4" s="18"/>
      <c r="AD4" t="s">
        <v>118</v>
      </c>
    </row>
    <row r="5" spans="1:30" ht="18" customHeight="1" x14ac:dyDescent="0.3">
      <c r="A5" s="24" t="s">
        <v>33</v>
      </c>
      <c r="B5" s="3" t="str">
        <f t="array" ref="B5">(IFERROR((LOOKUP(2,1/(I$3:I$100&lt;&gt;""),I$3:I$100)),0))</f>
        <v>N/A</v>
      </c>
      <c r="D5" s="11" t="s">
        <v>32</v>
      </c>
      <c r="E5" s="18" t="s">
        <v>32</v>
      </c>
      <c r="F5" s="18" t="s">
        <v>32</v>
      </c>
      <c r="G5" s="18" t="s">
        <v>32</v>
      </c>
      <c r="H5" s="11"/>
      <c r="I5" s="18">
        <f>I4-37</f>
        <v>107</v>
      </c>
      <c r="J5" s="18"/>
      <c r="K5" s="18"/>
      <c r="L5" s="11">
        <v>44586</v>
      </c>
      <c r="M5" s="18">
        <f>8+12+6+2+7+5+4+8+4</f>
        <v>56</v>
      </c>
      <c r="N5" s="18">
        <f t="shared" ref="N5:N10" ca="1" si="0">TODAY()-L5</f>
        <v>268</v>
      </c>
      <c r="O5" s="18" t="str">
        <f t="shared" ref="O5:O10" ca="1" si="1">IF(N5&gt;21, "Yes", "No")</f>
        <v>Yes</v>
      </c>
      <c r="P5" s="11">
        <v>44636</v>
      </c>
      <c r="Q5" s="18">
        <f>24</f>
        <v>24</v>
      </c>
      <c r="R5" s="18">
        <f ca="1">TODAY()-P5</f>
        <v>218</v>
      </c>
      <c r="S5" s="18" t="str">
        <f ca="1">IF(R5&gt;21, "Yes", "No")</f>
        <v>Yes</v>
      </c>
      <c r="T5" s="18"/>
      <c r="U5" s="18"/>
      <c r="V5" s="18"/>
      <c r="W5" s="18"/>
      <c r="Y5" s="12">
        <v>44558</v>
      </c>
      <c r="Z5" s="18"/>
      <c r="AA5" s="18"/>
      <c r="AB5" s="18">
        <v>32</v>
      </c>
      <c r="AC5" s="18"/>
      <c r="AD5" t="s">
        <v>119</v>
      </c>
    </row>
    <row r="6" spans="1:30" ht="18" customHeight="1" x14ac:dyDescent="0.3">
      <c r="A6" s="24" t="s">
        <v>34</v>
      </c>
      <c r="B6" s="9" t="str">
        <f t="array" ref="B6">LOOKUP(2,1 / (H$3:H$100 &lt;&gt;""), H$3:H$100)</f>
        <v>N/A</v>
      </c>
      <c r="D6" s="18"/>
      <c r="E6" s="18"/>
      <c r="F6" s="18"/>
      <c r="G6" s="18"/>
      <c r="H6" s="11">
        <v>44636</v>
      </c>
      <c r="I6" s="18">
        <v>110</v>
      </c>
      <c r="J6" s="18">
        <f ca="1">TODAY()-H6</f>
        <v>218</v>
      </c>
      <c r="K6" s="18" t="str">
        <f ca="1">IF(J6&gt;21, "Yes", "No")</f>
        <v>Yes</v>
      </c>
      <c r="L6" s="11">
        <v>44606</v>
      </c>
      <c r="M6" s="18">
        <v>17</v>
      </c>
      <c r="N6" s="18">
        <f t="shared" ca="1" si="0"/>
        <v>248</v>
      </c>
      <c r="O6" s="18" t="str">
        <f t="shared" ca="1" si="1"/>
        <v>Yes</v>
      </c>
      <c r="P6" s="11">
        <v>44683</v>
      </c>
      <c r="Q6" s="18">
        <f>1+24</f>
        <v>25</v>
      </c>
      <c r="R6" s="18">
        <f ca="1">TODAY()-P6</f>
        <v>171</v>
      </c>
      <c r="S6" s="18" t="str">
        <f ca="1">IF(R6&gt;21, "Yes", "No")</f>
        <v>Yes</v>
      </c>
      <c r="T6" s="18"/>
      <c r="U6" s="18"/>
      <c r="V6" s="18"/>
      <c r="W6" s="18"/>
      <c r="Y6" s="12"/>
      <c r="Z6" s="18"/>
      <c r="AA6" s="18"/>
      <c r="AB6" s="18"/>
      <c r="AC6" s="18"/>
      <c r="AD6" t="s">
        <v>120</v>
      </c>
    </row>
    <row r="7" spans="1:30" ht="18" customHeight="1" x14ac:dyDescent="0.3">
      <c r="A7" s="24" t="s">
        <v>35</v>
      </c>
      <c r="B7" s="1" t="str">
        <f t="array" aca="1" ref="B7" ca="1">LOOKUP(2,1 / (K$3:K$1048576 &lt;&gt;""), K$3:K$1048576)</f>
        <v>N/A</v>
      </c>
      <c r="D7" s="18"/>
      <c r="E7" s="18"/>
      <c r="F7" s="18"/>
      <c r="G7" s="18"/>
      <c r="H7" s="11" t="s">
        <v>32</v>
      </c>
      <c r="I7" s="18" t="s">
        <v>32</v>
      </c>
      <c r="J7" s="18" t="s">
        <v>32</v>
      </c>
      <c r="K7" s="18" t="s">
        <v>32</v>
      </c>
      <c r="L7" s="11">
        <v>44636</v>
      </c>
      <c r="M7" s="18">
        <v>72</v>
      </c>
      <c r="N7" s="18">
        <f t="shared" ca="1" si="0"/>
        <v>218</v>
      </c>
      <c r="O7" s="18" t="str">
        <f t="shared" ca="1" si="1"/>
        <v>Yes</v>
      </c>
      <c r="P7" s="11">
        <v>44720</v>
      </c>
      <c r="Q7" s="18">
        <f>16+4+6</f>
        <v>26</v>
      </c>
      <c r="R7" s="18">
        <f ca="1">TODAY()-P7</f>
        <v>134</v>
      </c>
      <c r="S7" s="18" t="str">
        <f ca="1">IF(R7&gt;21, "Yes", "No")</f>
        <v>Yes</v>
      </c>
      <c r="T7" s="18"/>
      <c r="U7" s="18"/>
      <c r="V7" s="18"/>
      <c r="W7" s="18"/>
      <c r="Z7" s="18"/>
      <c r="AA7" s="18"/>
      <c r="AB7" s="18"/>
      <c r="AC7" s="18"/>
    </row>
    <row r="8" spans="1:30" ht="18" customHeight="1" x14ac:dyDescent="0.3">
      <c r="A8" s="8" t="s">
        <v>36</v>
      </c>
      <c r="B8" s="3">
        <f t="array" ref="B8">(IFERROR((LOOKUP(2,1/(M$3:M$100&lt;&gt;""),M$3:M$100)),0))</f>
        <v>54</v>
      </c>
      <c r="D8" s="18"/>
      <c r="E8" s="18"/>
      <c r="F8" s="18"/>
      <c r="G8" s="18"/>
      <c r="H8" s="18"/>
      <c r="I8" s="18"/>
      <c r="J8" s="18"/>
      <c r="K8" s="18"/>
      <c r="L8" s="11">
        <v>44683</v>
      </c>
      <c r="M8" s="18">
        <f>8+5+8+8+8+8+8+4+18+148</f>
        <v>223</v>
      </c>
      <c r="N8" s="18">
        <f t="shared" ca="1" si="0"/>
        <v>171</v>
      </c>
      <c r="O8" s="18" t="str">
        <f t="shared" ca="1" si="1"/>
        <v>Yes</v>
      </c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30" ht="18" customHeight="1" x14ac:dyDescent="0.3">
      <c r="A9" s="8" t="s">
        <v>37</v>
      </c>
      <c r="B9" s="9">
        <f t="array" ref="B9">LOOKUP(2,1 / (L$3:L$100 &lt;&gt;""), L$3:L$100)</f>
        <v>44823</v>
      </c>
      <c r="D9" s="18"/>
      <c r="E9" s="18"/>
      <c r="F9" s="18"/>
      <c r="G9" s="18"/>
      <c r="H9" s="18"/>
      <c r="I9" s="18"/>
      <c r="J9" s="18"/>
      <c r="K9" s="18"/>
      <c r="L9" s="11">
        <v>44720</v>
      </c>
      <c r="M9" s="18">
        <f>32+28+26+10+10</f>
        <v>106</v>
      </c>
      <c r="N9" s="18">
        <f t="shared" ca="1" si="0"/>
        <v>134</v>
      </c>
      <c r="O9" s="18" t="str">
        <f t="shared" ca="1" si="1"/>
        <v>Yes</v>
      </c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30" ht="18" customHeight="1" x14ac:dyDescent="0.3">
      <c r="A10" s="8" t="s">
        <v>39</v>
      </c>
      <c r="B10" s="1" t="str">
        <f t="array" aca="1" ref="B10" ca="1">LOOKUP(2,1 / (O$3:O$100 &lt;&gt;""), O$3:O$100)</f>
        <v>Yes</v>
      </c>
      <c r="L10" s="12">
        <v>44823</v>
      </c>
      <c r="M10">
        <f>24+14+16</f>
        <v>54</v>
      </c>
      <c r="N10" s="26">
        <f t="shared" ca="1" si="0"/>
        <v>31</v>
      </c>
      <c r="O10" s="26" t="str">
        <f t="shared" ca="1" si="1"/>
        <v>Yes</v>
      </c>
    </row>
    <row r="11" spans="1:30" ht="18" customHeight="1" x14ac:dyDescent="0.3">
      <c r="A11" s="22" t="s">
        <v>41</v>
      </c>
      <c r="B11" s="3">
        <f t="array" ref="B11">(IFERROR((LOOKUP(2,1/(Q$3:Q$100&lt;&gt;""),Q$3:Q$100)),0))</f>
        <v>26</v>
      </c>
    </row>
    <row r="12" spans="1:30" ht="18" customHeight="1" x14ac:dyDescent="0.3">
      <c r="A12" s="22" t="s">
        <v>42</v>
      </c>
      <c r="B12" s="9">
        <f t="array" ref="B12">LOOKUP(2,1 / (P$3:P$100 &lt;&gt;""), P$3:P$100)</f>
        <v>44720</v>
      </c>
    </row>
    <row r="13" spans="1:30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30" ht="18" customHeight="1" x14ac:dyDescent="0.3">
      <c r="A14" s="2" t="s">
        <v>44</v>
      </c>
      <c r="B14" s="3">
        <f t="array" ref="B14">(IFERROR((LOOKUP(2,1/(U$3:U$100&lt;&gt;""),U$3:U$100)),0))</f>
        <v>60</v>
      </c>
    </row>
    <row r="15" spans="1:30" ht="18" customHeight="1" x14ac:dyDescent="0.3">
      <c r="A15" s="2" t="s">
        <v>45</v>
      </c>
      <c r="B15" s="9">
        <f t="array" ref="B15">LOOKUP(2,1 / (T$3:T$9 &lt;&gt;""), T$3:T$9)</f>
        <v>44606</v>
      </c>
    </row>
  </sheetData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C15"/>
  <sheetViews>
    <sheetView zoomScaleNormal="100" workbookViewId="0">
      <selection activeCell="E7" sqref="E7"/>
    </sheetView>
  </sheetViews>
  <sheetFormatPr defaultRowHeight="15" x14ac:dyDescent="0.25"/>
  <cols>
    <col min="1" max="1" width="21.85546875" style="27" bestFit="1" customWidth="1"/>
    <col min="2" max="2" width="26.7109375" style="27" bestFit="1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4" max="14" width="15.42578125" style="27" bestFit="1" customWidth="1"/>
    <col min="16" max="16" width="9.5703125" style="27" bestFit="1" customWidth="1"/>
    <col min="17" max="17" width="10.5703125" style="27" bestFit="1" customWidth="1"/>
  </cols>
  <sheetData>
    <row r="1" spans="1:29" ht="18" customHeight="1" x14ac:dyDescent="0.3">
      <c r="A1" s="2" t="s">
        <v>20</v>
      </c>
      <c r="B1" s="3" t="s">
        <v>115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69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44826</v>
      </c>
      <c r="D3" s="11">
        <v>44826</v>
      </c>
      <c r="E3" s="18">
        <v>69</v>
      </c>
      <c r="F3" s="18">
        <f ca="1">TODAY()-D3</f>
        <v>28</v>
      </c>
      <c r="G3" s="18" t="str">
        <f ca="1">IF(F3&lt;=21, "No", "Yes" )</f>
        <v>Yes</v>
      </c>
      <c r="H3" s="11"/>
      <c r="I3" s="18"/>
      <c r="J3" s="18"/>
      <c r="K3" s="18"/>
      <c r="L3" s="11"/>
      <c r="M3" s="18"/>
      <c r="N3" s="18"/>
      <c r="O3" s="18"/>
      <c r="P3" s="11"/>
      <c r="Q3" s="18"/>
      <c r="R3" s="18"/>
      <c r="S3" s="18"/>
      <c r="T3" s="18"/>
      <c r="U3" s="18"/>
      <c r="V3" s="18"/>
      <c r="W3" s="18"/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e">
        <f t="array" ref="B10">LOOKUP(2,1 / (O$3:O$100 &lt;&gt;""), O$3:O$100)</f>
        <v>#N/A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e">
        <f t="array" ref="B13">LOOKUP(2,1 / (S$3:S$100 &lt;&gt;""), S$3:S$100)</f>
        <v>#N/A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C15"/>
  <sheetViews>
    <sheetView workbookViewId="0">
      <selection activeCell="F4" sqref="F4"/>
    </sheetView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1" width="8.85546875" style="27" customWidth="1"/>
    <col min="32" max="16384" width="8.85546875" style="27"/>
  </cols>
  <sheetData>
    <row r="1" spans="1:29" ht="18" customHeight="1" x14ac:dyDescent="0.3">
      <c r="A1" s="2" t="s">
        <v>20</v>
      </c>
      <c r="B1" s="3" t="s">
        <v>121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93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122</v>
      </c>
      <c r="F3" s="11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C15"/>
  <sheetViews>
    <sheetView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1" width="8.85546875" style="27" customWidth="1"/>
    <col min="32" max="16384" width="8.85546875" style="27"/>
  </cols>
  <sheetData>
    <row r="1" spans="1:29" ht="18" customHeight="1" x14ac:dyDescent="0.3">
      <c r="A1" s="2" t="s">
        <v>20</v>
      </c>
      <c r="B1" s="3" t="s">
        <v>123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156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124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C15"/>
  <sheetViews>
    <sheetView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1" width="8.85546875" style="27" customWidth="1"/>
    <col min="32" max="16384" width="8.85546875" style="27"/>
  </cols>
  <sheetData>
    <row r="1" spans="1:29" ht="18" customHeight="1" x14ac:dyDescent="0.3">
      <c r="A1" s="2" t="s">
        <v>20</v>
      </c>
      <c r="B1" s="3" t="s">
        <v>125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88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126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C15"/>
  <sheetViews>
    <sheetView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1" width="8.85546875" style="27" customWidth="1"/>
    <col min="32" max="16384" width="8.85546875" style="27"/>
  </cols>
  <sheetData>
    <row r="1" spans="1:29" ht="18" customHeight="1" x14ac:dyDescent="0.3">
      <c r="A1" s="2" t="s">
        <v>20</v>
      </c>
      <c r="B1" s="3" t="s">
        <v>127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80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10/11/2022</v>
      </c>
      <c r="D3" s="11" t="s">
        <v>40</v>
      </c>
      <c r="E3" s="18" t="s">
        <v>128</v>
      </c>
      <c r="F3" s="18">
        <f ca="1">TODAY()-D3</f>
        <v>9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C15"/>
  <sheetViews>
    <sheetView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1" width="8.85546875" style="27" customWidth="1"/>
    <col min="32" max="16384" width="8.85546875" style="27"/>
  </cols>
  <sheetData>
    <row r="1" spans="1:29" ht="18" customHeight="1" x14ac:dyDescent="0.3">
      <c r="A1" s="2" t="s">
        <v>20</v>
      </c>
      <c r="B1" s="3" t="s">
        <v>129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 t="str">
        <f>(IFERROR((LOOKUP(2,1/(E$3:E$98&lt;&gt;""),E$3:E$100)),0))</f>
        <v>80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str">
        <f>LOOKUP(2,1 / (D$3:D$100 &lt;&gt;""), D$3:D$100)</f>
        <v>10/20/2022</v>
      </c>
      <c r="D3" s="11" t="s">
        <v>130</v>
      </c>
      <c r="E3" s="18" t="s">
        <v>128</v>
      </c>
      <c r="F3" s="18">
        <f ca="1">TODAY()-D3</f>
        <v>0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C15"/>
  <sheetViews>
    <sheetView workbookViewId="0">
      <selection activeCell="B3" sqref="B3"/>
    </sheetView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1" width="8.85546875" style="27" customWidth="1"/>
    <col min="32" max="16384" width="8.85546875" style="27"/>
  </cols>
  <sheetData>
    <row r="1" spans="1:29" ht="18" customHeight="1" x14ac:dyDescent="0.3">
      <c r="A1" s="2" t="s">
        <v>20</v>
      </c>
      <c r="B1" s="3" t="s">
        <v>131</v>
      </c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>(IFERROR((LOOKUP(2,1/(E$3:E$98&lt;&gt;""),E$3:E$100)),0))</f>
        <v>50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>
        <f t="array" ref="B3">LOOKUP(2,1 / (D$3:D$100 &lt;&gt;""), D$3:D$100)</f>
        <v>36193</v>
      </c>
      <c r="D3" s="11" t="s">
        <v>130</v>
      </c>
      <c r="E3" s="18" t="s">
        <v>132</v>
      </c>
      <c r="F3" s="18">
        <f ca="1">TODAY()-D3</f>
        <v>0</v>
      </c>
      <c r="G3" s="18" t="str">
        <f ca="1">IF(F3&lt;=21, "No", "Yes" )</f>
        <v>No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No</v>
      </c>
      <c r="D4" s="13" t="s">
        <v>133</v>
      </c>
      <c r="E4" s="14">
        <v>50</v>
      </c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>(IFERROR((LOOKUP(2,1/(I$3:I$100&lt;&gt;""),I$3:I$100)),0))</f>
        <v>0</v>
      </c>
      <c r="D5" s="11">
        <v>43881</v>
      </c>
      <c r="E5" s="18">
        <v>50</v>
      </c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>LOOKUP(2,1 / (H$3:H$100 &lt;&gt;""), H$3:H$100)</f>
        <v>#N/A</v>
      </c>
      <c r="D6" s="29">
        <v>36193</v>
      </c>
      <c r="E6" s="18">
        <v>50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ca="1">LOOKUP(2,1 / (O$3:O$100 &lt;&gt;""), O$3:O$100)</f>
        <v>Yes</v>
      </c>
    </row>
    <row r="11" spans="1:29" ht="18" customHeight="1" x14ac:dyDescent="0.3">
      <c r="A11" s="22" t="s">
        <v>41</v>
      </c>
      <c r="B11" s="3">
        <f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>LOOKUP(2,1 / (P$3:P$100 &lt;&gt;""), P$3:P$100)</f>
        <v>#N/A</v>
      </c>
    </row>
    <row r="13" spans="1:29" ht="18" customHeight="1" x14ac:dyDescent="0.3">
      <c r="A13" s="22" t="s">
        <v>43</v>
      </c>
      <c r="B13" s="1" t="str">
        <f ca="1">LOOKUP(2,1 / (S$3:S$100 &lt;&gt;""), S$3:S$100)</f>
        <v>Yes</v>
      </c>
    </row>
    <row r="14" spans="1:29" ht="18" customHeight="1" x14ac:dyDescent="0.3">
      <c r="A14" s="2" t="s">
        <v>44</v>
      </c>
      <c r="B14" s="3">
        <f>(IFERROR((LOOKUP(2,1/(U$3:U$100&lt;&gt;""),U$3:U$100)),0))</f>
        <v>0</v>
      </c>
    </row>
    <row r="15" spans="1:29" ht="18" customHeight="1" x14ac:dyDescent="0.3">
      <c r="A15" s="2" t="s">
        <v>45</v>
      </c>
      <c r="B15" s="9" t="e">
        <f>LOOKUP(2,1 / (T$3:T$9 &lt;&gt;""), T$3:T$9)</f>
        <v>#N/A</v>
      </c>
    </row>
  </sheetData>
  <pageMargins left="0.7" right="0.7" top="0.75" bottom="0.75" header="0.3" footer="0.3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C15"/>
  <sheetViews>
    <sheetView zoomScaleNormal="100" workbookViewId="0"/>
  </sheetViews>
  <sheetFormatPr defaultColWidth="8.85546875" defaultRowHeight="15" x14ac:dyDescent="0.25"/>
  <cols>
    <col min="1" max="1" width="21.85546875" style="27" bestFit="1" customWidth="1"/>
    <col min="2" max="2" width="26.7109375" style="27" bestFit="1" customWidth="1"/>
    <col min="3" max="3" width="8.85546875" style="27" customWidth="1"/>
    <col min="4" max="4" width="14.7109375" style="27" bestFit="1" customWidth="1"/>
    <col min="5" max="5" width="9.5703125" style="27" bestFit="1" customWidth="1"/>
    <col min="6" max="6" width="15.42578125" style="27" bestFit="1" customWidth="1"/>
    <col min="7" max="7" width="8.140625" style="27" bestFit="1" customWidth="1"/>
    <col min="8" max="8" width="14.7109375" style="27" bestFit="1" customWidth="1"/>
    <col min="9" max="9" width="9.5703125" style="27" bestFit="1" customWidth="1"/>
    <col min="10" max="10" width="15.42578125" style="27" bestFit="1" customWidth="1"/>
    <col min="11" max="11" width="6.28515625" style="27" bestFit="1" customWidth="1"/>
    <col min="12" max="12" width="9.5703125" style="27" bestFit="1" customWidth="1"/>
    <col min="13" max="13" width="8.85546875" style="27" customWidth="1"/>
    <col min="14" max="14" width="15.42578125" style="27" bestFit="1" customWidth="1"/>
    <col min="15" max="15" width="8.85546875" style="27" customWidth="1"/>
    <col min="16" max="16" width="9.5703125" style="27" bestFit="1" customWidth="1"/>
    <col min="17" max="17" width="10.5703125" style="27" bestFit="1" customWidth="1"/>
    <col min="18" max="31" width="8.85546875" style="27" customWidth="1"/>
    <col min="32" max="16384" width="8.85546875" style="27"/>
  </cols>
  <sheetData>
    <row r="1" spans="1:29" ht="18" customHeight="1" x14ac:dyDescent="0.3">
      <c r="A1" s="2" t="s">
        <v>20</v>
      </c>
      <c r="B1" s="3"/>
      <c r="D1" s="4" t="s">
        <v>15</v>
      </c>
      <c r="E1" s="18"/>
      <c r="F1" s="18"/>
      <c r="G1" s="18"/>
      <c r="H1" s="23" t="s">
        <v>16</v>
      </c>
      <c r="I1" s="18"/>
      <c r="J1" s="18"/>
      <c r="K1" s="18"/>
      <c r="L1" s="5" t="s">
        <v>17</v>
      </c>
      <c r="M1" s="18"/>
      <c r="N1" s="18"/>
      <c r="O1" s="18"/>
      <c r="P1" s="21" t="s">
        <v>18</v>
      </c>
      <c r="Q1" s="18"/>
      <c r="R1" s="18"/>
      <c r="S1" s="18"/>
      <c r="T1" s="6" t="s">
        <v>22</v>
      </c>
      <c r="U1" s="18"/>
      <c r="V1" s="18"/>
      <c r="W1" s="18"/>
      <c r="Z1" s="6" t="s">
        <v>23</v>
      </c>
      <c r="AA1" s="18"/>
      <c r="AB1" s="18"/>
      <c r="AC1" s="18"/>
    </row>
    <row r="2" spans="1:29" ht="18" customHeight="1" x14ac:dyDescent="0.3">
      <c r="A2" s="7" t="s">
        <v>24</v>
      </c>
      <c r="B2" s="3">
        <f t="array" ref="B2">(IFERROR((LOOKUP(2,1/(E$3:E$98&lt;&gt;""),E$3:E$100)),0))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23" t="s">
        <v>25</v>
      </c>
      <c r="I2" s="23" t="s">
        <v>26</v>
      </c>
      <c r="J2" s="23" t="s">
        <v>27</v>
      </c>
      <c r="K2" s="23" t="s">
        <v>28</v>
      </c>
      <c r="L2" s="5" t="s">
        <v>25</v>
      </c>
      <c r="M2" s="5" t="s">
        <v>26</v>
      </c>
      <c r="N2" s="5" t="s">
        <v>27</v>
      </c>
      <c r="O2" s="5" t="s">
        <v>28</v>
      </c>
      <c r="P2" s="21" t="s">
        <v>25</v>
      </c>
      <c r="Q2" s="21" t="s">
        <v>26</v>
      </c>
      <c r="R2" s="21" t="s">
        <v>27</v>
      </c>
      <c r="S2" s="21" t="s">
        <v>28</v>
      </c>
      <c r="T2" s="6" t="s">
        <v>25</v>
      </c>
      <c r="U2" s="6" t="s">
        <v>26</v>
      </c>
      <c r="V2" s="6" t="s">
        <v>27</v>
      </c>
      <c r="W2" s="6" t="s">
        <v>28</v>
      </c>
      <c r="Y2" s="10" t="s">
        <v>29</v>
      </c>
      <c r="Z2" s="6" t="s">
        <v>15</v>
      </c>
      <c r="AA2" s="6" t="s">
        <v>16</v>
      </c>
      <c r="AB2" s="6" t="s">
        <v>17</v>
      </c>
      <c r="AC2" s="6" t="s">
        <v>22</v>
      </c>
    </row>
    <row r="3" spans="1:29" ht="18" customHeight="1" x14ac:dyDescent="0.3">
      <c r="A3" s="7" t="s">
        <v>30</v>
      </c>
      <c r="B3" s="9" t="e">
        <f t="array" ref="B3">LOOKUP(2,1 / (D$3:D$100 &lt;&gt;""), D$3:D$100)</f>
        <v>#N/A</v>
      </c>
      <c r="D3" s="11"/>
      <c r="E3" s="18"/>
      <c r="F3" s="18">
        <f ca="1">TODAY()-D3</f>
        <v>44854</v>
      </c>
      <c r="G3" s="18" t="str">
        <f ca="1">IF(F3&lt;=21, "No", "Yes" )</f>
        <v>Yes</v>
      </c>
      <c r="H3" s="11"/>
      <c r="I3" s="18"/>
      <c r="J3" s="18">
        <f ca="1">TODAY()-H3</f>
        <v>44854</v>
      </c>
      <c r="K3" s="18" t="str">
        <f ca="1">IF(J3&lt;=21, "No", "Yes" )</f>
        <v>Yes</v>
      </c>
      <c r="L3" s="11"/>
      <c r="M3" s="18"/>
      <c r="N3" s="18">
        <f ca="1">TODAY()-L3</f>
        <v>44854</v>
      </c>
      <c r="O3" s="18" t="str">
        <f ca="1">IF(N3&lt;=21, "No", "Yes" )</f>
        <v>Yes</v>
      </c>
      <c r="P3" s="11"/>
      <c r="Q3" s="18"/>
      <c r="R3" s="18">
        <f ca="1">TODAY()-P3</f>
        <v>44854</v>
      </c>
      <c r="S3" s="18" t="str">
        <f ca="1">IF(R3&lt;=21, "No", "Yes" )</f>
        <v>Yes</v>
      </c>
      <c r="T3" s="18"/>
      <c r="U3" s="18"/>
      <c r="V3" s="18">
        <f ca="1">TODAY()-T3</f>
        <v>44854</v>
      </c>
      <c r="W3" s="18" t="str">
        <f ca="1">IF(V3&lt;=21, "No", "Yes" )</f>
        <v>Yes</v>
      </c>
      <c r="Y3" s="12"/>
      <c r="Z3" s="18"/>
      <c r="AA3" s="18"/>
      <c r="AB3" s="18"/>
      <c r="AC3" s="18"/>
    </row>
    <row r="4" spans="1:29" ht="18" customHeight="1" x14ac:dyDescent="0.3">
      <c r="A4" s="7" t="s">
        <v>31</v>
      </c>
      <c r="B4" s="1" t="str">
        <f ca="1">LOOKUP(2,1 / (G$3:G$1048576 &lt;&gt;""), G$3:G$1048576)</f>
        <v>Yes</v>
      </c>
      <c r="D4" s="13"/>
      <c r="E4" s="14"/>
      <c r="F4" s="14"/>
      <c r="G4" s="14"/>
      <c r="H4" s="11"/>
      <c r="I4" s="18"/>
      <c r="J4" s="18"/>
      <c r="K4" s="18"/>
      <c r="L4" s="11"/>
      <c r="M4" s="18"/>
      <c r="N4" s="18"/>
      <c r="O4" s="18"/>
      <c r="P4" s="11"/>
      <c r="Q4" s="18"/>
      <c r="R4" s="18"/>
      <c r="S4" s="18"/>
      <c r="T4" s="18"/>
      <c r="U4" s="18"/>
      <c r="V4" s="18"/>
      <c r="W4" s="18"/>
      <c r="Y4" s="12"/>
      <c r="Z4" s="18"/>
      <c r="AA4" s="18"/>
      <c r="AB4" s="18"/>
      <c r="AC4" s="18"/>
    </row>
    <row r="5" spans="1:29" ht="18" customHeight="1" x14ac:dyDescent="0.3">
      <c r="A5" s="24" t="s">
        <v>33</v>
      </c>
      <c r="B5" s="3">
        <f t="array" ref="B5">(IFERROR((LOOKUP(2,1/(I$3:I$100&lt;&gt;""),I$3:I$100)),0))</f>
        <v>0</v>
      </c>
      <c r="D5" s="11"/>
      <c r="E5" s="18"/>
      <c r="F5" s="18"/>
      <c r="G5" s="18"/>
      <c r="H5" s="11"/>
      <c r="I5" s="18"/>
      <c r="J5" s="18"/>
      <c r="K5" s="18"/>
      <c r="L5" s="11"/>
      <c r="M5" s="18"/>
      <c r="N5" s="18"/>
      <c r="O5" s="18"/>
      <c r="P5" s="11"/>
      <c r="Q5" s="18"/>
      <c r="R5" s="18"/>
      <c r="S5" s="18"/>
      <c r="T5" s="18"/>
      <c r="U5" s="18"/>
      <c r="V5" s="18"/>
      <c r="W5" s="18"/>
      <c r="Y5" s="12"/>
      <c r="Z5" s="18"/>
      <c r="AA5" s="18"/>
      <c r="AB5" s="18"/>
      <c r="AC5" s="18"/>
    </row>
    <row r="6" spans="1:29" ht="18" customHeight="1" x14ac:dyDescent="0.3">
      <c r="A6" s="24" t="s">
        <v>34</v>
      </c>
      <c r="B6" s="9" t="e">
        <f t="array" ref="B6">LOOKUP(2,1 / (H$3:H$100 &lt;&gt;""), H$3:H$100)</f>
        <v>#N/A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  <c r="Q6" s="18"/>
      <c r="R6" s="18"/>
      <c r="S6" s="18"/>
      <c r="T6" s="18"/>
      <c r="U6" s="18"/>
      <c r="V6" s="18"/>
      <c r="W6" s="18"/>
      <c r="Y6" s="12"/>
      <c r="Z6" s="18"/>
      <c r="AA6" s="18"/>
      <c r="AB6" s="18"/>
      <c r="AC6" s="18"/>
    </row>
    <row r="7" spans="1:29" ht="18" customHeight="1" x14ac:dyDescent="0.3">
      <c r="A7" s="24" t="s">
        <v>35</v>
      </c>
      <c r="B7" s="1" t="e">
        <f t="array" ref="B7">LOOKUP(2,1 / (K$10:K$100 &lt;&gt;""), K$10:K$100)</f>
        <v>#N/A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Z7" s="18"/>
      <c r="AA7" s="18"/>
      <c r="AB7" s="18"/>
      <c r="AC7" s="18"/>
    </row>
    <row r="8" spans="1:29" ht="18" customHeight="1" x14ac:dyDescent="0.3">
      <c r="A8" s="8" t="s">
        <v>36</v>
      </c>
      <c r="B8" s="3">
        <f t="array" ref="B8">(IFERROR((LOOKUP(2,1/(M$3:M$100&lt;&gt;""),M$3:M$100)),0))</f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Z8" s="18"/>
      <c r="AA8" s="18"/>
      <c r="AB8" s="18"/>
      <c r="AC8" s="18"/>
    </row>
    <row r="9" spans="1:29" ht="18" customHeight="1" x14ac:dyDescent="0.3">
      <c r="A9" s="8" t="s">
        <v>37</v>
      </c>
      <c r="B9" s="9" t="e">
        <f t="array" ref="B9">LOOKUP(2,1 / (L$3:L$100 &lt;&gt;""), L$3:L$100)</f>
        <v>#N/A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  <c r="Q9" s="18"/>
      <c r="R9" s="18"/>
      <c r="S9" s="18"/>
      <c r="T9" s="18"/>
      <c r="U9" s="18"/>
      <c r="V9" s="18"/>
      <c r="W9" s="18"/>
      <c r="Z9" s="18"/>
      <c r="AA9" s="18"/>
      <c r="AB9" s="18"/>
      <c r="AC9" s="18"/>
    </row>
    <row r="10" spans="1:29" ht="18" customHeight="1" x14ac:dyDescent="0.3">
      <c r="A10" s="8" t="s">
        <v>39</v>
      </c>
      <c r="B10" s="1" t="str">
        <f t="array" aca="1" ref="B10" ca="1">LOOKUP(2,1 / (O$3:O$100 &lt;&gt;""), O$3:O$100)</f>
        <v>Yes</v>
      </c>
    </row>
    <row r="11" spans="1:29" ht="18" customHeight="1" x14ac:dyDescent="0.3">
      <c r="A11" s="22" t="s">
        <v>41</v>
      </c>
      <c r="B11" s="3">
        <f t="array" ref="B11">(IFERROR((LOOKUP(2,1/(Q$3:Q$100&lt;&gt;""),Q$3:Q$100)),0))</f>
        <v>0</v>
      </c>
    </row>
    <row r="12" spans="1:29" ht="18" customHeight="1" x14ac:dyDescent="0.3">
      <c r="A12" s="22" t="s">
        <v>42</v>
      </c>
      <c r="B12" s="9" t="e">
        <f t="array" ref="B12">LOOKUP(2,1 / (P$3:P$100 &lt;&gt;""), P$3:P$100)</f>
        <v>#N/A</v>
      </c>
    </row>
    <row r="13" spans="1:29" ht="18" customHeight="1" x14ac:dyDescent="0.3">
      <c r="A13" s="22" t="s">
        <v>43</v>
      </c>
      <c r="B13" s="1" t="str">
        <f t="array" aca="1" ref="B13" ca="1">LOOKUP(2,1 / (S$3:S$100 &lt;&gt;""), S$3:S$100)</f>
        <v>Yes</v>
      </c>
    </row>
    <row r="14" spans="1:29" ht="18" customHeight="1" x14ac:dyDescent="0.3">
      <c r="A14" s="2" t="s">
        <v>44</v>
      </c>
      <c r="B14" s="3">
        <f t="array" ref="B14">(IFERROR((LOOKUP(2,1/(U$3:U$100&lt;&gt;""),U$3:U$100)),0))</f>
        <v>0</v>
      </c>
    </row>
    <row r="15" spans="1:29" ht="18" customHeight="1" x14ac:dyDescent="0.3">
      <c r="A15" s="2" t="s">
        <v>45</v>
      </c>
      <c r="B15" s="9" t="e">
        <f t="array" ref="B15">LOOKUP(2,1 / (T$3:T$9 &lt;&gt;""), T$3:T$9)</f>
        <v>#N/A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Master List</vt:lpstr>
      <vt:lpstr>Purple Punch</vt:lpstr>
      <vt:lpstr>Cotton Candy Cookies #15</vt:lpstr>
      <vt:lpstr>Vanilla Wafer</vt:lpstr>
      <vt:lpstr>Blue Kush</vt:lpstr>
      <vt:lpstr>Blue Kush meristem</vt:lpstr>
      <vt:lpstr>PEZ</vt:lpstr>
      <vt:lpstr>Skittlez</vt:lpstr>
      <vt:lpstr>Super Silver Fusion</vt:lpstr>
      <vt:lpstr>Monster Profit</vt:lpstr>
      <vt:lpstr>PoG</vt:lpstr>
      <vt:lpstr>Chem Valley</vt:lpstr>
      <vt:lpstr>Banana Afghani</vt:lpstr>
      <vt:lpstr>Wedding Scotch</vt:lpstr>
      <vt:lpstr>Night Terror</vt:lpstr>
      <vt:lpstr>Mendo OG</vt:lpstr>
      <vt:lpstr>GG #4</vt:lpstr>
      <vt:lpstr>Sunday Brunch</vt:lpstr>
      <vt:lpstr>Blue Dream</vt:lpstr>
      <vt:lpstr>Ultra Sour</vt:lpstr>
      <vt:lpstr>Skunk Band</vt:lpstr>
      <vt:lpstr>Blueberry Kush</vt:lpstr>
      <vt:lpstr>Ice Cream Cake</vt:lpstr>
      <vt:lpstr>Platinum Garlic</vt:lpstr>
      <vt:lpstr>Mimosa</vt:lpstr>
      <vt:lpstr>Titty Sprinkles</vt:lpstr>
      <vt:lpstr>GDP</vt:lpstr>
      <vt:lpstr>Mimosa V2</vt:lpstr>
      <vt:lpstr>Kobe</vt:lpstr>
      <vt:lpstr>Sol Fire</vt:lpstr>
      <vt:lpstr>Deep Pockets</vt:lpstr>
      <vt:lpstr>Black Cherry Punch</vt:lpstr>
      <vt:lpstr>Space Runtz</vt:lpstr>
      <vt:lpstr>Fruit Punch</vt:lpstr>
      <vt:lpstr>Runtz Muffin</vt:lpstr>
      <vt:lpstr>Wedding Cake</vt:lpstr>
      <vt:lpstr>Lemon Mints</vt:lpstr>
      <vt:lpstr>Jedi</vt:lpstr>
      <vt:lpstr>Rug Burn</vt:lpstr>
      <vt:lpstr>GMO</vt:lpstr>
      <vt:lpstr>Dirty Little Secret</vt:lpstr>
      <vt:lpstr>Divine Slurricane</vt:lpstr>
      <vt:lpstr>Mellow 2</vt:lpstr>
      <vt:lpstr>Slow and Sweet</vt:lpstr>
      <vt:lpstr>Ice Cream Cake V2</vt:lpstr>
      <vt:lpstr>Farmer Fire</vt:lpstr>
      <vt:lpstr>Sunny D</vt:lpstr>
      <vt:lpstr>GG1</vt:lpstr>
      <vt:lpstr>Member Berry</vt:lpstr>
      <vt:lpstr>Mendo Breath</vt:lpstr>
      <vt:lpstr>Goblin</vt:lpstr>
      <vt:lpstr>Mars Hotel</vt:lpstr>
      <vt:lpstr>Gas Light</vt:lpstr>
      <vt:lpstr>Chem D</vt:lpstr>
      <vt:lpstr>Dosi 33</vt:lpstr>
      <vt:lpstr>Blueberry</vt:lpstr>
      <vt:lpstr>Fire and Rain</vt:lpstr>
      <vt:lpstr>I95</vt:lpstr>
      <vt:lpstr>Apple Fritter</vt:lpstr>
      <vt:lpstr>Orangeade</vt:lpstr>
      <vt:lpstr>Wedding Pie</vt:lpstr>
      <vt:lpstr>SFV</vt:lpstr>
      <vt:lpstr>Fish 10</vt:lpstr>
      <vt:lpstr>Bazooka</vt:lpstr>
      <vt:lpstr>Pink Grapes</vt:lpstr>
      <vt:lpstr>Grape Pie</vt:lpstr>
      <vt:lpstr>Vapor Fuel</vt:lpstr>
      <vt:lpstr>Lemon Gelato</vt:lpstr>
      <vt:lpstr>Zack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Guignardi</cp:lastModifiedBy>
  <cp:lastPrinted>2022-04-29T20:49:36Z</cp:lastPrinted>
  <dcterms:created xsi:type="dcterms:W3CDTF">2019-02-24T04:31:45Z</dcterms:created>
  <dcterms:modified xsi:type="dcterms:W3CDTF">2022-10-21T01:22:45Z</dcterms:modified>
</cp:coreProperties>
</file>