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852" firstSheet="0" activeTab="0" autoFilterDateGrouping="1"/>
  </bookViews>
  <sheets>
    <sheet name="Master List" sheetId="1" state="visible" r:id="rId1"/>
    <sheet name="Purple Punch" sheetId="2" state="visible" r:id="rId2"/>
    <sheet name="Cotton Candy Cookies #15" sheetId="3" state="visible" r:id="rId3"/>
    <sheet name="Vanilla Wafer" sheetId="4" state="visible" r:id="rId4"/>
    <sheet name="Blue Kush" sheetId="5" state="visible" r:id="rId5"/>
    <sheet name="Blue Kush meristem" sheetId="6" state="visible" r:id="rId6"/>
    <sheet name="PEZ" sheetId="7" state="visible" r:id="rId7"/>
    <sheet name="Skittlez" sheetId="8" state="visible" r:id="rId8"/>
    <sheet name="Super Silver Fusion" sheetId="9" state="visible" r:id="rId9"/>
    <sheet name="Monster Profit" sheetId="10" state="visible" r:id="rId10"/>
    <sheet name="PoG" sheetId="11" state="visible" r:id="rId11"/>
    <sheet name="Chem Valley" sheetId="12" state="visible" r:id="rId12"/>
    <sheet name="Banana Afghani" sheetId="13" state="visible" r:id="rId13"/>
    <sheet name="Wedding Scotch" sheetId="14" state="visible" r:id="rId14"/>
    <sheet name="Night Terror" sheetId="15" state="visible" r:id="rId15"/>
    <sheet name="Mendo OG" sheetId="16" state="visible" r:id="rId16"/>
    <sheet name="GG #4" sheetId="17" state="visible" r:id="rId17"/>
    <sheet name="Sunday Brunch" sheetId="18" state="visible" r:id="rId18"/>
    <sheet name="Blue Dream" sheetId="19" state="visible" r:id="rId19"/>
    <sheet name="Ultra Sour" sheetId="20" state="visible" r:id="rId20"/>
    <sheet name="Skunk Band" sheetId="21" state="visible" r:id="rId21"/>
    <sheet name="Blueberry Kush" sheetId="22" state="visible" r:id="rId22"/>
    <sheet name="Ice Cream Cake" sheetId="23" state="visible" r:id="rId23"/>
    <sheet name="Platinum Garlic" sheetId="24" state="visible" r:id="rId24"/>
    <sheet name="Mimosa" sheetId="25" state="visible" r:id="rId25"/>
    <sheet name="Titty Sprinkles" sheetId="26" state="visible" r:id="rId26"/>
    <sheet name="GDP" sheetId="27" state="visible" r:id="rId27"/>
    <sheet name="Mimosa V2" sheetId="28" state="visible" r:id="rId28"/>
    <sheet name="Kobe" sheetId="29" state="visible" r:id="rId29"/>
    <sheet name="Sol Fire" sheetId="30" state="visible" r:id="rId30"/>
    <sheet name="Deep Pockets" sheetId="31" state="visible" r:id="rId31"/>
    <sheet name="Black Cherry Punch" sheetId="32" state="visible" r:id="rId32"/>
    <sheet name="Space Runtz" sheetId="33" state="visible" r:id="rId33"/>
    <sheet name="Fruit Punch" sheetId="34" state="visible" r:id="rId34"/>
    <sheet name="Runtz Muffin" sheetId="35" state="visible" r:id="rId35"/>
    <sheet name="Wedding Cake" sheetId="36" state="visible" r:id="rId36"/>
    <sheet name="Lemon Mints" sheetId="37" state="visible" r:id="rId37"/>
    <sheet name="Jedi" sheetId="38" state="visible" r:id="rId38"/>
    <sheet name="Rug Burn" sheetId="39" state="visible" r:id="rId39"/>
    <sheet name="GMO" sheetId="40" state="visible" r:id="rId40"/>
    <sheet name="Dirty Little Secret" sheetId="41" state="visible" r:id="rId41"/>
    <sheet name="Divine Slurricane" sheetId="42" state="visible" r:id="rId42"/>
    <sheet name="Mellow 2" sheetId="43" state="visible" r:id="rId43"/>
    <sheet name="Slow and Sweet" sheetId="44" state="visible" r:id="rId44"/>
    <sheet name="Ice Cream Cake V2" sheetId="45" state="visible" r:id="rId45"/>
    <sheet name="Farmer Fire" sheetId="46" state="visible" r:id="rId46"/>
    <sheet name="Sunny D" sheetId="47" state="visible" r:id="rId47"/>
    <sheet name="GG1" sheetId="48" state="visible" r:id="rId48"/>
    <sheet name="Member Berry" sheetId="49" state="visible" r:id="rId49"/>
    <sheet name="Mendo Breath" sheetId="50" state="visible" r:id="rId50"/>
    <sheet name="Goblin" sheetId="51" state="visible" r:id="rId51"/>
    <sheet name="Mars Hotel" sheetId="52" state="visible" r:id="rId52"/>
    <sheet name="Gas Light" sheetId="53" state="visible" r:id="rId53"/>
    <sheet name="Chem D" sheetId="54" state="visible" r:id="rId54"/>
    <sheet name="Dosi 33" sheetId="55" state="visible" r:id="rId55"/>
    <sheet name="Blueberry" sheetId="56" state="visible" r:id="rId56"/>
    <sheet name="Fire and Rain" sheetId="57" state="visible" r:id="rId57"/>
    <sheet name="I95" sheetId="58" state="visible" r:id="rId58"/>
    <sheet name="Apple Fritter" sheetId="59" state="visible" r:id="rId59"/>
    <sheet name="Orangeade" sheetId="60" state="visible" r:id="rId60"/>
    <sheet name="Wedding Pie" sheetId="61" state="visible" r:id="rId61"/>
    <sheet name="SFV" sheetId="62" state="visible" r:id="rId62"/>
    <sheet name="Fish 10" sheetId="63" state="visible" r:id="rId63"/>
    <sheet name="Bazooka" sheetId="64" state="visible" r:id="rId64"/>
    <sheet name="Pink Grapes" sheetId="65" state="visible" r:id="rId65"/>
    <sheet name="Grape Pie" sheetId="66" state="visible" r:id="rId66"/>
    <sheet name="Vapor Fuel" sheetId="67" state="visible" r:id="rId67"/>
    <sheet name="Lemon Gelato" sheetId="68" state="visible" r:id="rId68"/>
    <sheet name="Template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14" fontId="3" fillId="0" borderId="1" pivotButton="0" quotePrefix="0" xfId="0"/>
    <xf numFmtId="0" fontId="4" fillId="2" borderId="1" pivotButton="0" quotePrefix="0" xfId="0"/>
    <xf numFmtId="0" fontId="3" fillId="0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2" fillId="2" borderId="1" pivotButton="0" quotePrefix="0" xfId="0"/>
    <xf numFmtId="0" fontId="4" fillId="3" borderId="1" pivotButton="0" quotePrefix="0" xfId="0"/>
    <xf numFmtId="0" fontId="4" fillId="4" borderId="1" pivotButton="0" quotePrefix="0" xfId="0"/>
    <xf numFmtId="14" fontId="4" fillId="0" borderId="1" pivotButton="0" quotePrefix="0" xfId="0"/>
    <xf numFmtId="0" fontId="2" fillId="2" borderId="2" pivotButton="0" quotePrefix="0" xfId="0"/>
    <xf numFmtId="14" fontId="0" fillId="0" borderId="1" pivotButton="0" quotePrefix="0" xfId="0"/>
    <xf numFmtId="14" fontId="0" fillId="0" borderId="0" pivotButton="0" quotePrefix="0" xfId="0"/>
    <xf numFmtId="14" fontId="1" fillId="0" borderId="1" pivotButton="0" quotePrefix="0" xfId="0"/>
    <xf numFmtId="0" fontId="1" fillId="0" borderId="1" pivotButton="0" quotePrefix="0" xfId="0"/>
    <xf numFmtId="0" fontId="5" fillId="2" borderId="1" pivotButton="0" quotePrefix="0" xfId="0"/>
    <xf numFmtId="1" fontId="0" fillId="0" borderId="1" pivotButton="0" quotePrefix="0" xfId="0"/>
    <xf numFmtId="0" fontId="6" fillId="0" borderId="1" pivotButton="0" quotePrefix="0" xfId="0"/>
    <xf numFmtId="0" fontId="0" fillId="0" borderId="1" pivotButton="0" quotePrefix="0" xfId="0"/>
    <xf numFmtId="14" fontId="6" fillId="0" borderId="1" pivotButton="0" quotePrefix="0" xfId="0"/>
    <xf numFmtId="0" fontId="0" fillId="0" borderId="0" applyAlignment="1" pivotButton="0" quotePrefix="0" xfId="0">
      <alignment horizontal="center" wrapText="1"/>
    </xf>
    <xf numFmtId="0" fontId="2" fillId="5" borderId="1" pivotButton="0" quotePrefix="0" xfId="0"/>
    <xf numFmtId="0" fontId="4" fillId="5" borderId="1" pivotButton="0" quotePrefix="0" xfId="0"/>
    <xf numFmtId="0" fontId="2" fillId="6" borderId="1" pivotButton="0" quotePrefix="0" xfId="0"/>
    <xf numFmtId="0" fontId="4" fillId="6" borderId="1" pivotButton="0" quotePrefix="0" xfId="0"/>
    <xf numFmtId="0" fontId="0" fillId="6" borderId="1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dxfs count="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U63"/>
  <sheetViews>
    <sheetView tabSelected="1" topLeftCell="A48" zoomScale="85" zoomScaleNormal="85" workbookViewId="0">
      <selection activeCell="C63" sqref="C63"/>
    </sheetView>
  </sheetViews>
  <sheetFormatPr baseColWidth="8" defaultRowHeight="14.4"/>
  <cols>
    <col width="18.77734375" bestFit="1" customWidth="1" style="27" min="1" max="1"/>
    <col width="28.6640625" bestFit="1" customWidth="1" style="27" min="3" max="3"/>
    <col width="8.5546875" bestFit="1" customWidth="1" style="27" min="4" max="4"/>
    <col width="9.21875" bestFit="1" customWidth="1" style="27" min="5" max="5"/>
    <col width="14.21875" bestFit="1" customWidth="1" style="27" min="6" max="8"/>
    <col width="12.33203125" bestFit="1" customWidth="1" style="27" min="9" max="9"/>
    <col width="13.109375" bestFit="1" customWidth="1" style="27" min="10" max="10"/>
    <col width="14.44140625" bestFit="1" customWidth="1" style="27" min="11" max="11"/>
    <col width="13.5546875" bestFit="1" customWidth="1" style="27" min="12" max="13"/>
    <col width="14.44140625" bestFit="1" customWidth="1" style="27" min="14" max="14"/>
    <col width="12.109375" bestFit="1" customWidth="1" style="27" min="15" max="15"/>
    <col width="13.5546875" bestFit="1" customWidth="1" style="27" min="16" max="16"/>
    <col width="7.77734375" bestFit="1" customWidth="1" style="27" min="20" max="20"/>
    <col width="8.6640625" bestFit="1" customWidth="1" style="27" min="21" max="21"/>
  </cols>
  <sheetData>
    <row r="1" ht="21" customHeight="1" s="27">
      <c r="A1" s="15" t="inlineStr">
        <is>
          <t>Total Explants</t>
        </is>
      </c>
      <c r="C1" s="6" t="inlineStr">
        <is>
          <t>Variety</t>
        </is>
      </c>
      <c r="D1" s="4" t="inlineStr">
        <is>
          <t>Stage I #</t>
        </is>
      </c>
      <c r="E1" s="23" t="inlineStr">
        <is>
          <t>Stage II #</t>
        </is>
      </c>
      <c r="F1" s="21" t="inlineStr">
        <is>
          <t>Stage 2.5 #</t>
        </is>
      </c>
      <c r="G1" s="5" t="inlineStr">
        <is>
          <t>Stage III #</t>
        </is>
      </c>
      <c r="H1" s="6" t="inlineStr">
        <is>
          <t>Total # Explants</t>
        </is>
      </c>
      <c r="I1" s="4" t="inlineStr">
        <is>
          <t>Stage I Date</t>
        </is>
      </c>
      <c r="J1" s="4" t="inlineStr">
        <is>
          <t>Stage I Ready</t>
        </is>
      </c>
      <c r="K1" s="23" t="inlineStr">
        <is>
          <t>Stage II Date</t>
        </is>
      </c>
      <c r="L1" s="23" t="inlineStr">
        <is>
          <t>Stage II Ready</t>
        </is>
      </c>
      <c r="M1" s="21" t="inlineStr">
        <is>
          <t>Stage 2.5 Date</t>
        </is>
      </c>
      <c r="N1" s="21" t="inlineStr">
        <is>
          <t>Stage 2.5 Ready</t>
        </is>
      </c>
      <c r="O1" s="5" t="inlineStr">
        <is>
          <t>Stage III Date</t>
        </is>
      </c>
      <c r="P1" s="5" t="inlineStr">
        <is>
          <t>Stage III Ready</t>
        </is>
      </c>
      <c r="R1" s="4" t="inlineStr">
        <is>
          <t>Stage I</t>
        </is>
      </c>
      <c r="S1" s="25" t="inlineStr">
        <is>
          <t>Stage II</t>
        </is>
      </c>
      <c r="T1" s="5" t="inlineStr">
        <is>
          <t>Stage III</t>
        </is>
      </c>
      <c r="U1" s="21" t="inlineStr">
        <is>
          <t>Stage 2.5</t>
        </is>
      </c>
    </row>
    <row r="2">
      <c r="A2" s="16">
        <f>SUM(R2:U2)</f>
        <v/>
      </c>
      <c r="C2" s="18">
        <f>'Purple Punch'!B1</f>
        <v/>
      </c>
      <c r="D2" s="18">
        <f>'Purple Punch'!B2</f>
        <v/>
      </c>
      <c r="E2" s="18">
        <f>'Purple Punch'!B5</f>
        <v/>
      </c>
      <c r="F2" s="18">
        <f>'Purple Punch'!B11</f>
        <v/>
      </c>
      <c r="G2" s="18">
        <f>'Purple Punch'!B8</f>
        <v/>
      </c>
      <c r="H2" s="18">
        <f>SUM(D2:G2)</f>
        <v/>
      </c>
      <c r="I2" s="11">
        <f>'Purple Punch'!B3</f>
        <v/>
      </c>
      <c r="J2" s="18">
        <f>IF(TODAY() - I2 &gt;= 21, "Yes", "No")</f>
        <v/>
      </c>
      <c r="K2" s="11">
        <f>'Purple Punch'!B6</f>
        <v/>
      </c>
      <c r="L2" s="18">
        <f>IF(TODAY() - K2 &gt;= 28, "Yes", "No")</f>
        <v/>
      </c>
      <c r="M2" s="11">
        <f>'Purple Punch'!B12</f>
        <v/>
      </c>
      <c r="N2" s="18">
        <f>IF(TODAY() - M2 &gt;= 28, "Yes", "No")</f>
        <v/>
      </c>
      <c r="O2" s="11">
        <f>'Purple Punch'!B9</f>
        <v/>
      </c>
      <c r="P2" s="18">
        <f>IF(TODAY() - O2 &gt;= 28, "Yes", "No")</f>
        <v/>
      </c>
      <c r="R2" s="18">
        <f>SUM(D2:D47)</f>
        <v/>
      </c>
      <c r="S2" s="18">
        <f>SUM(E2:E41)</f>
        <v/>
      </c>
      <c r="T2" s="16">
        <f>SUM(G2:G42)</f>
        <v/>
      </c>
      <c r="U2" s="18">
        <f>SUM(F2:F48)</f>
        <v/>
      </c>
    </row>
    <row r="3">
      <c r="A3" t="inlineStr">
        <is>
          <t xml:space="preserve"> </t>
        </is>
      </c>
      <c r="C3" s="18">
        <f>'Cotton Candy Cookies #15'!B1</f>
        <v/>
      </c>
      <c r="D3" s="18">
        <f>'Cotton Candy Cookies #15'!B2</f>
        <v/>
      </c>
      <c r="E3" s="18" t="n"/>
      <c r="F3" s="18" t="n"/>
      <c r="G3" s="18">
        <f>'Cotton Candy Cookies #15'!B5</f>
        <v/>
      </c>
      <c r="H3" s="18">
        <f>SUM(D3:G3)</f>
        <v/>
      </c>
      <c r="I3" s="11">
        <f>'Cotton Candy Cookies #15'!B3</f>
        <v/>
      </c>
      <c r="J3" s="18">
        <f>IF(TODAY() - I3 &gt;= 21, "Yes", "No")</f>
        <v/>
      </c>
      <c r="K3" s="18" t="n"/>
      <c r="L3" s="18" t="n"/>
      <c r="M3" s="18" t="n"/>
      <c r="N3" s="18" t="n"/>
      <c r="O3" s="11">
        <f>'Cotton Candy Cookies #15'!B6</f>
        <v/>
      </c>
      <c r="P3" s="18">
        <f>IF(TODAY() - O3 &gt;= 28, "Yes", "No")</f>
        <v/>
      </c>
    </row>
    <row r="4">
      <c r="C4" s="18">
        <f>'Vanilla Wafer'!B1</f>
        <v/>
      </c>
      <c r="D4" s="18">
        <f>'Vanilla Wafer'!B2</f>
        <v/>
      </c>
      <c r="E4" s="18">
        <f>'Vanilla Wafer'!B5</f>
        <v/>
      </c>
      <c r="F4" s="18">
        <f>'Vanilla Wafer'!B11</f>
        <v/>
      </c>
      <c r="G4" s="18">
        <f>'Vanilla Wafer'!B8</f>
        <v/>
      </c>
      <c r="H4" s="18">
        <f>SUM(D4:G4)</f>
        <v/>
      </c>
      <c r="I4" s="11">
        <f>'Vanilla Wafer'!B3</f>
        <v/>
      </c>
      <c r="J4" s="18">
        <f>IF(TODAY() - I4 &gt;= 21, "Yes", "No")</f>
        <v/>
      </c>
      <c r="K4" s="11">
        <f>'Vanilla Wafer'!B6</f>
        <v/>
      </c>
      <c r="L4" s="18">
        <f>IF(TODAY() - K4 &gt;= 28, "Yes", "No")</f>
        <v/>
      </c>
      <c r="M4" s="11">
        <f>'Vanilla Wafer'!B12</f>
        <v/>
      </c>
      <c r="N4" s="18">
        <f>IF(TODAY() - M4 &gt;= 28, "Yes", "No")</f>
        <v/>
      </c>
      <c r="O4" s="11">
        <f>'Vanilla Wafer'!B9</f>
        <v/>
      </c>
      <c r="P4" s="18">
        <f>IF(TODAY() - O4 &gt;= 28, "Yes", "No")</f>
        <v/>
      </c>
    </row>
    <row r="5">
      <c r="C5" s="18">
        <f>'Blue Kush'!B1</f>
        <v/>
      </c>
      <c r="D5" s="18">
        <f>'Blue Kush'!B2</f>
        <v/>
      </c>
      <c r="E5" s="18" t="n"/>
      <c r="F5" s="18" t="n"/>
      <c r="G5" s="18">
        <f>'Blue Kush'!B5</f>
        <v/>
      </c>
      <c r="H5" s="18">
        <f>SUM(D5:G5)</f>
        <v/>
      </c>
      <c r="I5" s="11">
        <f>'Blue Kush'!B3</f>
        <v/>
      </c>
      <c r="J5" s="18">
        <f>IF(TODAY() - I5 &gt;= 21, "Yes", "No")</f>
        <v/>
      </c>
      <c r="K5" s="18" t="n"/>
      <c r="L5" s="18" t="n"/>
      <c r="M5" s="18" t="n"/>
      <c r="N5" s="18" t="n"/>
      <c r="O5" s="11">
        <f>'Blue Kush'!B6</f>
        <v/>
      </c>
      <c r="P5" s="18">
        <f>IF(TODAY() - O5 &gt;= 28, "Yes", "No")</f>
        <v/>
      </c>
    </row>
    <row r="6">
      <c r="C6" s="18">
        <f>'Blue Kush meristem'!B1</f>
        <v/>
      </c>
      <c r="D6" s="18">
        <f>'Blue Kush meristem'!B2</f>
        <v/>
      </c>
      <c r="E6" s="18" t="n"/>
      <c r="F6" s="18">
        <f>'Blue Kush meristem'!B8</f>
        <v/>
      </c>
      <c r="G6" s="18">
        <f>'Blue Kush meristem'!B5</f>
        <v/>
      </c>
      <c r="H6" s="18">
        <f>SUM(D6:G6)</f>
        <v/>
      </c>
      <c r="I6" s="11">
        <f>'Blue Kush meristem'!B3</f>
        <v/>
      </c>
      <c r="J6" s="18">
        <f>IF(TODAY() - I6 &gt;= 21, "Yes", "No")</f>
        <v/>
      </c>
      <c r="K6" s="18" t="n"/>
      <c r="L6" s="18" t="n"/>
      <c r="M6" s="11">
        <f>'Blue Kush meristem'!B9</f>
        <v/>
      </c>
      <c r="N6" s="18">
        <f>IF(TODAY() - M6 &gt;= 28, "Yes", "No")</f>
        <v/>
      </c>
      <c r="O6" s="11">
        <f>'Blue Kush meristem'!B6</f>
        <v/>
      </c>
      <c r="P6" s="18">
        <f>IF(TODAY() - O6 &gt;= 28, "Yes", "No")</f>
        <v/>
      </c>
    </row>
    <row r="7">
      <c r="C7" s="18">
        <f>PEZ!B1</f>
        <v/>
      </c>
      <c r="D7" s="18">
        <f>PEZ!B2</f>
        <v/>
      </c>
      <c r="E7" s="18" t="n"/>
      <c r="F7" s="18">
        <f>PEZ!B8</f>
        <v/>
      </c>
      <c r="G7" s="18">
        <f>PEZ!B5</f>
        <v/>
      </c>
      <c r="H7" s="18">
        <f>SUM(D7:G7)</f>
        <v/>
      </c>
      <c r="I7" s="11">
        <f>PEZ!B3</f>
        <v/>
      </c>
      <c r="J7" s="18">
        <f>IF(TODAY() - I7 &gt;= 21, "Yes", "No")</f>
        <v/>
      </c>
      <c r="K7" s="18" t="n"/>
      <c r="L7" s="18" t="n"/>
      <c r="M7" s="11">
        <f>PEZ!B9</f>
        <v/>
      </c>
      <c r="N7" s="18">
        <f>IF(TODAY() - M7 &gt;= 28, "Yes", "No")</f>
        <v/>
      </c>
      <c r="O7" s="11">
        <f>PEZ!B6</f>
        <v/>
      </c>
      <c r="P7" s="18">
        <f>IF(TODAY() - O7 &gt;= 28, "Yes", "No")</f>
        <v/>
      </c>
    </row>
    <row r="8">
      <c r="C8" s="18">
        <f>Skittlez!B1</f>
        <v/>
      </c>
      <c r="D8" s="18">
        <f>Skittlez!B2</f>
        <v/>
      </c>
      <c r="E8" s="18">
        <f>Skittlez!B5</f>
        <v/>
      </c>
      <c r="F8" s="18">
        <f>Skittlez!B11</f>
        <v/>
      </c>
      <c r="G8" s="18">
        <f>Skittlez!B8</f>
        <v/>
      </c>
      <c r="H8" s="18">
        <f>SUM(D8:G8)</f>
        <v/>
      </c>
      <c r="I8" s="11">
        <f>Skittlez!B3</f>
        <v/>
      </c>
      <c r="J8" s="18">
        <f>IF(TODAY() - I8 &gt;= 21, "Yes", "No")</f>
        <v/>
      </c>
      <c r="K8" s="11">
        <f>Skittlez!B6</f>
        <v/>
      </c>
      <c r="L8" s="18">
        <f>IF(TODAY() - K8 &gt;= 28, "Yes", "No")</f>
        <v/>
      </c>
      <c r="M8" s="11">
        <f>Skittlez!B12</f>
        <v/>
      </c>
      <c r="N8" s="18">
        <f>IF(TODAY() - M8 &gt;= 28, "Yes", "No")</f>
        <v/>
      </c>
      <c r="O8" s="11">
        <f>Skittlez!B9</f>
        <v/>
      </c>
      <c r="P8" s="18">
        <f>IF(TODAY() - O8 &gt;= 28, "Yes", "No")</f>
        <v/>
      </c>
    </row>
    <row r="9">
      <c r="C9" s="18">
        <f>'Super Silver Fusion'!B1</f>
        <v/>
      </c>
      <c r="D9" s="18">
        <f>'Super Silver Fusion'!B2</f>
        <v/>
      </c>
      <c r="E9" s="18">
        <f>'Super Silver Fusion'!B5</f>
        <v/>
      </c>
      <c r="F9" s="18">
        <f>'Super Silver Fusion'!B11</f>
        <v/>
      </c>
      <c r="G9" s="18">
        <f>'Super Silver Fusion'!B8</f>
        <v/>
      </c>
      <c r="H9" s="18">
        <f>SUM(D9:G9)</f>
        <v/>
      </c>
      <c r="I9" s="11">
        <f>'Super Silver Fusion'!B3</f>
        <v/>
      </c>
      <c r="J9" s="18">
        <f>IF(TODAY() - I9 &gt;= 21, "Yes", "No")</f>
        <v/>
      </c>
      <c r="K9" s="11">
        <f>'Super Silver Fusion'!B6</f>
        <v/>
      </c>
      <c r="L9" s="18">
        <f>IF(TODAY() - K9 &gt;= 28, "Yes", "No")</f>
        <v/>
      </c>
      <c r="M9" s="11">
        <f>'Super Silver Fusion'!B12</f>
        <v/>
      </c>
      <c r="N9" s="18">
        <f>IF(TODAY() - M9 &gt;= 28, "Yes", "No")</f>
        <v/>
      </c>
      <c r="O9" s="11">
        <f>'Super Silver Fusion'!B9</f>
        <v/>
      </c>
      <c r="P9" s="18">
        <f>IF(TODAY() - O9 &gt;= 28, "Yes", "No")</f>
        <v/>
      </c>
    </row>
    <row r="10">
      <c r="C10" s="17">
        <f>'Monster Profit'!B1</f>
        <v/>
      </c>
      <c r="D10" s="18">
        <f>'Monster Profit'!B2</f>
        <v/>
      </c>
      <c r="E10" s="18">
        <f>'Monster Profit'!B5</f>
        <v/>
      </c>
      <c r="F10" s="18">
        <f>'Monster Profit'!B11</f>
        <v/>
      </c>
      <c r="G10" s="18">
        <f>'Monster Profit'!B8</f>
        <v/>
      </c>
      <c r="H10" s="18">
        <f>SUM(D10:G10)</f>
        <v/>
      </c>
      <c r="I10" s="11">
        <f>'Monster Profit'!B3</f>
        <v/>
      </c>
      <c r="J10" s="18">
        <f>IF(TODAY() - I10 &gt;= 21, "Yes", "No")</f>
        <v/>
      </c>
      <c r="K10" s="11">
        <f>'Monster Profit'!B6</f>
        <v/>
      </c>
      <c r="L10" s="18">
        <f>IF(TODAY() - K10 &gt;= 28, "Yes", "No")</f>
        <v/>
      </c>
      <c r="M10" s="11">
        <f>'Monster Profit'!B12</f>
        <v/>
      </c>
      <c r="N10" s="18">
        <f>IF(TODAY() - M10 &gt;= 28, "Yes", "No")</f>
        <v/>
      </c>
      <c r="O10" s="11">
        <f>'Monster Profit'!B9</f>
        <v/>
      </c>
      <c r="P10" s="18">
        <f>IF(TODAY() - O10 &gt;= 28, "Yes", "No")</f>
        <v/>
      </c>
    </row>
    <row r="11">
      <c r="C11" s="17">
        <f>PoG!B1</f>
        <v/>
      </c>
      <c r="D11" s="18">
        <f>PoG!B2</f>
        <v/>
      </c>
      <c r="E11" s="18">
        <f>PoG!B5</f>
        <v/>
      </c>
      <c r="F11" s="18">
        <f>PoG!B11</f>
        <v/>
      </c>
      <c r="G11" s="18">
        <f>PoG!B8</f>
        <v/>
      </c>
      <c r="H11" s="18">
        <f>SUM(D11:G11)</f>
        <v/>
      </c>
      <c r="I11" s="11">
        <f>PoG!B3</f>
        <v/>
      </c>
      <c r="J11" s="18">
        <f>IF(TODAY() - I11 &gt;= 21, "Yes", "No")</f>
        <v/>
      </c>
      <c r="K11" s="11">
        <f>PoG!B6</f>
        <v/>
      </c>
      <c r="L11" s="18">
        <f>IF(TODAY() - K11 &gt;= 28, "Yes", "No")</f>
        <v/>
      </c>
      <c r="M11" s="11">
        <f>PoG!B12</f>
        <v/>
      </c>
      <c r="N11" s="18">
        <f>IF(TODAY() - M11 &gt;= 28, "Yes", "No")</f>
        <v/>
      </c>
      <c r="O11" s="11">
        <f>PoG!B9</f>
        <v/>
      </c>
      <c r="P11" s="18">
        <f>IF(TODAY() - O11 &gt;= 28, "Yes", "No")</f>
        <v/>
      </c>
    </row>
    <row r="12">
      <c r="C12" s="17">
        <f>'Chem Valley'!B1</f>
        <v/>
      </c>
      <c r="D12" s="18">
        <f>'Chem Valley'!B2</f>
        <v/>
      </c>
      <c r="E12" s="18">
        <f>'Chem Valley'!B5</f>
        <v/>
      </c>
      <c r="F12" s="18">
        <f>'Chem Valley'!B11</f>
        <v/>
      </c>
      <c r="G12" s="18">
        <f>'Chem Valley'!B8</f>
        <v/>
      </c>
      <c r="H12" s="18">
        <f>SUM(D12:G12)</f>
        <v/>
      </c>
      <c r="I12" s="11">
        <f>'Chem Valley'!B3</f>
        <v/>
      </c>
      <c r="J12" s="18">
        <f>IF(TODAY() - I12 &gt;= 21, "Yes", "No")</f>
        <v/>
      </c>
      <c r="K12" s="11">
        <f>'Chem Valley'!B6</f>
        <v/>
      </c>
      <c r="L12" s="18">
        <f>IF(TODAY() - K12 &gt;= 28, "Yes", "No")</f>
        <v/>
      </c>
      <c r="M12" s="11">
        <f>'Chem Valley'!B12</f>
        <v/>
      </c>
      <c r="N12" s="18">
        <f>IF(TODAY() - M12 &gt;= 28, "Yes", "No")</f>
        <v/>
      </c>
      <c r="O12" s="11">
        <f>'Chem Valley'!B9</f>
        <v/>
      </c>
      <c r="P12" s="18">
        <f>IF(TODAY() - O12 &gt;= 28, "Yes", "No")</f>
        <v/>
      </c>
    </row>
    <row r="13">
      <c r="C13" s="17">
        <f>'Banana Afghani'!B1</f>
        <v/>
      </c>
      <c r="D13" s="18">
        <f>'Banana Afghani'!B2</f>
        <v/>
      </c>
      <c r="E13" s="18">
        <f>'Banana Afghani'!B5</f>
        <v/>
      </c>
      <c r="F13" s="18">
        <f>'Banana Afghani'!B11</f>
        <v/>
      </c>
      <c r="G13" s="18">
        <f>'Banana Afghani'!B8</f>
        <v/>
      </c>
      <c r="H13" s="18">
        <f>SUM(D13:G13)</f>
        <v/>
      </c>
      <c r="I13" s="11">
        <f>'Banana Afghani'!B3</f>
        <v/>
      </c>
      <c r="J13" s="18">
        <f>IF(TODAY() - I13 &gt;= 21, "Yes", "No")</f>
        <v/>
      </c>
      <c r="K13" s="11">
        <f>'Banana Afghani'!B6</f>
        <v/>
      </c>
      <c r="L13" s="18">
        <f>IF(TODAY() - K13 &gt;= 28, "Yes", "No")</f>
        <v/>
      </c>
      <c r="M13" s="11">
        <f>'Banana Afghani'!B12</f>
        <v/>
      </c>
      <c r="N13" s="18">
        <f>IF(TODAY() - M13 &gt;= 28, "Yes", "No")</f>
        <v/>
      </c>
      <c r="O13" s="11">
        <f>'Banana Afghani'!B9</f>
        <v/>
      </c>
      <c r="P13" s="18">
        <f>IF(TODAY() - O13 &gt;= 28, "Yes", "No")</f>
        <v/>
      </c>
    </row>
    <row r="14">
      <c r="C14" s="17">
        <f>'Wedding Scotch'!B1</f>
        <v/>
      </c>
      <c r="D14" s="18">
        <f>'Wedding Scotch'!B2</f>
        <v/>
      </c>
      <c r="E14" s="18">
        <f>'Wedding Scotch'!B5</f>
        <v/>
      </c>
      <c r="F14" s="18">
        <f>'Wedding Scotch'!B11</f>
        <v/>
      </c>
      <c r="G14" s="18">
        <f>'Wedding Scotch'!B8</f>
        <v/>
      </c>
      <c r="H14" s="18">
        <f>SUM(D14:G14)</f>
        <v/>
      </c>
      <c r="I14" s="11">
        <f>'Wedding Scotch'!B3</f>
        <v/>
      </c>
      <c r="J14" s="18">
        <f>IF(TODAY() - I14 &gt;= 21, "Yes", "No")</f>
        <v/>
      </c>
      <c r="K14" s="11">
        <f>'Wedding Scotch'!B6</f>
        <v/>
      </c>
      <c r="L14" s="18">
        <f>IF(TODAY() - K14 &gt;= 28, "Yes", "No")</f>
        <v/>
      </c>
      <c r="M14" s="11">
        <f>'Wedding Scotch'!B12</f>
        <v/>
      </c>
      <c r="N14" s="18">
        <f>IF(TODAY() - M14 &gt;= 28, "Yes", "No")</f>
        <v/>
      </c>
      <c r="O14" s="11">
        <f>'Wedding Scotch'!B9</f>
        <v/>
      </c>
      <c r="P14" s="18">
        <f>IF(TODAY() - O14 &gt;= 28, "Yes", "No")</f>
        <v/>
      </c>
    </row>
    <row r="15">
      <c r="C15" s="17">
        <f>'Night Terror'!B1</f>
        <v/>
      </c>
      <c r="D15" s="18">
        <f>'Night Terror'!B2</f>
        <v/>
      </c>
      <c r="E15" s="18">
        <f>'Night Terror'!B5</f>
        <v/>
      </c>
      <c r="F15" s="18">
        <f>'Night Terror'!B11</f>
        <v/>
      </c>
      <c r="G15" s="18">
        <f>'Night Terror'!B8</f>
        <v/>
      </c>
      <c r="H15" s="18">
        <f>SUM(D15:G15)</f>
        <v/>
      </c>
      <c r="I15" s="11">
        <f>'Night Terror'!B3</f>
        <v/>
      </c>
      <c r="J15" s="18">
        <f>IF(TODAY() - I15 &gt;= 21, "Yes", "No")</f>
        <v/>
      </c>
      <c r="K15" s="11">
        <f>'Night Terror'!B6</f>
        <v/>
      </c>
      <c r="L15" s="18">
        <f>IF(TODAY() - K15 &gt;= 28, "Yes", "No")</f>
        <v/>
      </c>
      <c r="M15" s="11">
        <f>'Night Terror'!B12</f>
        <v/>
      </c>
      <c r="N15" s="18">
        <f>IF(TODAY() - M15 &gt;= 28, "Yes", "No")</f>
        <v/>
      </c>
      <c r="O15" s="11">
        <f>'Night Terror'!B9</f>
        <v/>
      </c>
      <c r="P15" s="18">
        <f>IF(TODAY() - O15 &gt;= 28, "Yes", "No")</f>
        <v/>
      </c>
    </row>
    <row r="16">
      <c r="C16" s="17">
        <f>'Mendo OG'!B1</f>
        <v/>
      </c>
      <c r="D16" s="18">
        <f>'Mendo OG'!B2</f>
        <v/>
      </c>
      <c r="E16" s="18">
        <f>'Mendo OG'!B5</f>
        <v/>
      </c>
      <c r="F16" s="18">
        <f>'Mendo OG'!B11</f>
        <v/>
      </c>
      <c r="G16" s="18">
        <f>'Mendo OG'!B8</f>
        <v/>
      </c>
      <c r="H16" s="18">
        <f>SUM(D16:G16)</f>
        <v/>
      </c>
      <c r="I16" s="11">
        <f>'Mendo OG'!B3</f>
        <v/>
      </c>
      <c r="J16" s="18">
        <f>IF(TODAY() - I16 &gt;= 21, "Yes", "No")</f>
        <v/>
      </c>
      <c r="K16" s="11">
        <f>'Mendo OG'!B6</f>
        <v/>
      </c>
      <c r="L16" s="18">
        <f>IF(TODAY() - K16 &gt;= 28, "Yes", "No")</f>
        <v/>
      </c>
      <c r="M16" s="11">
        <f>'Mendo OG'!B12</f>
        <v/>
      </c>
      <c r="N16" s="18">
        <f>IF(TODAY() - M16 &gt;= 28, "Yes", "No")</f>
        <v/>
      </c>
      <c r="O16" s="11">
        <f>'Mendo OG'!B9</f>
        <v/>
      </c>
      <c r="P16" s="18">
        <f>IF(TODAY() - O16 &gt;= 28, "Yes", "No")</f>
        <v/>
      </c>
    </row>
    <row r="17">
      <c r="C17" s="17">
        <f>'GG #4'!B1</f>
        <v/>
      </c>
      <c r="D17" s="18">
        <f>'GG #4'!B2</f>
        <v/>
      </c>
      <c r="E17" s="18">
        <f>'GG #4'!B5</f>
        <v/>
      </c>
      <c r="F17" s="18">
        <f>'GG #4'!B11</f>
        <v/>
      </c>
      <c r="G17" s="18">
        <f>'GG #4'!B8</f>
        <v/>
      </c>
      <c r="H17" s="18">
        <f>SUM(D17:G17)</f>
        <v/>
      </c>
      <c r="I17" s="11">
        <f>'GG #4'!B3</f>
        <v/>
      </c>
      <c r="J17" s="18">
        <f>IF(TODAY() - I17 &gt;= 21, "Yes", "No")</f>
        <v/>
      </c>
      <c r="K17" s="11">
        <f>'GG #4'!B6</f>
        <v/>
      </c>
      <c r="L17" s="18">
        <f>IF(TODAY() - K17 &gt;= 28, "Yes", "No")</f>
        <v/>
      </c>
      <c r="M17" s="11">
        <f>'GG #4'!B12</f>
        <v/>
      </c>
      <c r="N17" s="18">
        <f>IF(TODAY() - M17 &gt;= 28, "Yes", "No")</f>
        <v/>
      </c>
      <c r="O17" s="11">
        <f>'GG #4'!B9</f>
        <v/>
      </c>
      <c r="P17" s="18">
        <f>IF(TODAY() - O17 &gt;= 28, "Yes", "No")</f>
        <v/>
      </c>
    </row>
    <row r="18">
      <c r="C18" s="17">
        <f>'Sunday Brunch'!B1</f>
        <v/>
      </c>
      <c r="D18" s="18">
        <f>'Sunday Brunch'!B2</f>
        <v/>
      </c>
      <c r="E18" s="18">
        <f>'Sunday Brunch'!B5</f>
        <v/>
      </c>
      <c r="F18" s="18">
        <f>'Sunday Brunch'!B11</f>
        <v/>
      </c>
      <c r="G18" s="18">
        <f>'Sunday Brunch'!B8</f>
        <v/>
      </c>
      <c r="H18" s="18">
        <f>SUM(D18:G18)</f>
        <v/>
      </c>
      <c r="I18" s="11">
        <f>'Sunday Brunch'!B3</f>
        <v/>
      </c>
      <c r="J18" s="18">
        <f>IF(TODAY() - I18 &gt;= 21, "Yes", "No")</f>
        <v/>
      </c>
      <c r="K18" s="11">
        <f>'Sunday Brunch'!B6</f>
        <v/>
      </c>
      <c r="L18" s="18">
        <f>IF(TODAY() - K18 &gt;= 28, "Yes", "No")</f>
        <v/>
      </c>
      <c r="M18" s="11">
        <f>'Sunday Brunch'!B12</f>
        <v/>
      </c>
      <c r="N18" s="18">
        <f>IF(TODAY() - M18 &gt;= 28, "Yes", "No")</f>
        <v/>
      </c>
      <c r="O18" s="11">
        <f>'Sunday Brunch'!B9</f>
        <v/>
      </c>
      <c r="P18" s="18">
        <f>IF(TODAY() - O18 &gt;= 28, "Yes", "No")</f>
        <v/>
      </c>
    </row>
    <row r="19">
      <c r="C19" s="17">
        <f>'Blue Dream'!B1</f>
        <v/>
      </c>
      <c r="D19" s="18">
        <f>'Blue Dream'!B2</f>
        <v/>
      </c>
      <c r="E19" s="18">
        <f>'Blue Dream'!B5</f>
        <v/>
      </c>
      <c r="F19" s="18">
        <f>'Blue Dream'!B11</f>
        <v/>
      </c>
      <c r="G19" s="18">
        <f>'Blue Dream'!B8</f>
        <v/>
      </c>
      <c r="H19" s="18">
        <f>SUM(D19:G19)</f>
        <v/>
      </c>
      <c r="I19" s="11">
        <f>'Blue Dream'!B3</f>
        <v/>
      </c>
      <c r="J19" s="18">
        <f>IF(TODAY() - I19 &gt;= 21, "Yes", "No")</f>
        <v/>
      </c>
      <c r="K19" s="11">
        <f>'Blue Dream'!B6</f>
        <v/>
      </c>
      <c r="L19" s="18" t="n"/>
      <c r="M19" s="11">
        <f>'Blue Dream'!B12</f>
        <v/>
      </c>
      <c r="N19" s="18">
        <f>IF(TODAY() - M19 &gt;= 28, "Yes", "No")</f>
        <v/>
      </c>
      <c r="O19" s="11">
        <f>'Blue Dream'!B9</f>
        <v/>
      </c>
      <c r="P19" s="18">
        <f>IF(TODAY() - O19 &gt;= 28, "Yes", "No")</f>
        <v/>
      </c>
    </row>
    <row r="20">
      <c r="C20" s="17">
        <f>'Ultra Sour'!B1</f>
        <v/>
      </c>
      <c r="D20" s="18">
        <f>'Ultra Sour'!B2</f>
        <v/>
      </c>
      <c r="E20" s="18">
        <f>'Ultra Sour'!B5</f>
        <v/>
      </c>
      <c r="F20" s="18">
        <f>'Ultra Sour'!B11</f>
        <v/>
      </c>
      <c r="G20" s="18">
        <f>'Ultra Sour'!B8</f>
        <v/>
      </c>
      <c r="H20" s="18">
        <f>SUM(D20:G20)</f>
        <v/>
      </c>
      <c r="I20" s="11">
        <f>'Ultra Sour'!B3</f>
        <v/>
      </c>
      <c r="J20" s="18">
        <f>IF(TODAY() - I20 &gt;= 21, "Yes", "No")</f>
        <v/>
      </c>
      <c r="K20" s="11">
        <f>'Ultra Sour'!B6</f>
        <v/>
      </c>
      <c r="L20" s="18">
        <f>IF(TODAY() - K20 &gt;= 28, "Yes", "No")</f>
        <v/>
      </c>
      <c r="M20" s="11">
        <f>'Ultra Sour'!B12</f>
        <v/>
      </c>
      <c r="N20" s="18">
        <f>IF(TODAY() - M20 &gt;= 28, "Yes", "No")</f>
        <v/>
      </c>
      <c r="O20" s="11">
        <f>'Ultra Sour'!B9</f>
        <v/>
      </c>
      <c r="P20" s="18">
        <f>IF(TODAY() - O20 &gt;= 28, "Yes", "No")</f>
        <v/>
      </c>
    </row>
    <row r="21">
      <c r="C21" s="17">
        <f>'Skunk Band'!B1</f>
        <v/>
      </c>
      <c r="D21" s="18">
        <f>'Skunk Band'!B2</f>
        <v/>
      </c>
      <c r="E21" s="18">
        <f>'Skunk Band'!B5</f>
        <v/>
      </c>
      <c r="F21" s="18">
        <f>'Skunk Band'!B11</f>
        <v/>
      </c>
      <c r="G21" s="18">
        <f>'Skunk Band'!B8</f>
        <v/>
      </c>
      <c r="H21" s="18">
        <f>SUM(D21:G21)</f>
        <v/>
      </c>
      <c r="I21" s="11">
        <f>'Skunk Band'!B3</f>
        <v/>
      </c>
      <c r="J21" s="18">
        <f>IF(TODAY() - I21 &gt;= 21, "Yes", "No")</f>
        <v/>
      </c>
      <c r="K21" s="11">
        <f>'Skunk Band'!B6</f>
        <v/>
      </c>
      <c r="L21" s="18">
        <f>IF(TODAY() - K21 &gt;= 28, "Yes", "No")</f>
        <v/>
      </c>
      <c r="M21" s="11">
        <f>'Skunk Band'!B12</f>
        <v/>
      </c>
      <c r="N21" s="18">
        <f>IF(TODAY() - M21 &gt;= 28, "Yes", "No")</f>
        <v/>
      </c>
      <c r="O21" s="11">
        <f>'Skunk Band'!B9</f>
        <v/>
      </c>
      <c r="P21" s="18">
        <f>IF(TODAY() - O21 &gt;= 28, "Yes", "No")</f>
        <v/>
      </c>
    </row>
    <row r="22">
      <c r="C22" s="18">
        <f>'Blueberry Kush'!B1</f>
        <v/>
      </c>
      <c r="D22" s="18">
        <f>'Blueberry Kush'!B2</f>
        <v/>
      </c>
      <c r="E22" s="18">
        <f>'Blueberry Kush'!B5</f>
        <v/>
      </c>
      <c r="F22" s="18">
        <f>'Blueberry Kush'!B11</f>
        <v/>
      </c>
      <c r="G22" s="18">
        <f>'Blueberry Kush'!B8</f>
        <v/>
      </c>
      <c r="H22" s="18">
        <f>SUM(D22:G22)</f>
        <v/>
      </c>
      <c r="I22" s="11">
        <f>'Blueberry Kush'!B3</f>
        <v/>
      </c>
      <c r="J22" s="18">
        <f>IF(TODAY() - I22 &gt;= 21, "Yes", "No")</f>
        <v/>
      </c>
      <c r="K22" s="11">
        <f>'Blueberry Kush'!B6</f>
        <v/>
      </c>
      <c r="L22" s="18">
        <f>IF(TODAY() - K22 &gt;= 28, "Yes", "No")</f>
        <v/>
      </c>
      <c r="M22" s="11">
        <f>'Blueberry Kush'!B12</f>
        <v/>
      </c>
      <c r="N22" s="18">
        <f>IF(TODAY() - M22 &gt;= 28, "Yes", "No")</f>
        <v/>
      </c>
      <c r="O22" s="11">
        <f>'Blueberry Kush'!B9</f>
        <v/>
      </c>
      <c r="P22" s="18">
        <f>IF(TODAY() - O22 &gt;= 28, "Yes", "No")</f>
        <v/>
      </c>
    </row>
    <row r="23">
      <c r="C23" s="17">
        <f>'Ice Cream Cake'!B1</f>
        <v/>
      </c>
      <c r="D23" s="17">
        <f>'Ice Cream Cake'!B2</f>
        <v/>
      </c>
      <c r="E23" s="18">
        <f>'Ice Cream Cake'!B5</f>
        <v/>
      </c>
      <c r="F23" s="18">
        <f>'Ice Cream Cake'!B11</f>
        <v/>
      </c>
      <c r="G23" s="17">
        <f>'Ice Cream Cake'!B8</f>
        <v/>
      </c>
      <c r="H23" s="18">
        <f>SUM(D23:G23)</f>
        <v/>
      </c>
      <c r="I23" s="19">
        <f>'Ice Cream Cake'!B3</f>
        <v/>
      </c>
      <c r="J23" s="18">
        <f>IF(TODAY() - I23 &gt;= 21, "Yes", "No")</f>
        <v/>
      </c>
      <c r="K23" s="11">
        <f>'Ice Cream Cake'!B6</f>
        <v/>
      </c>
      <c r="L23" s="18">
        <f>IF(TODAY() - K23 &gt;= 28, "Yes", "No")</f>
        <v/>
      </c>
      <c r="M23" s="11">
        <f>'Ice Cream Cake'!B12</f>
        <v/>
      </c>
      <c r="N23" s="18">
        <f>IF(TODAY() - M23 &gt;= 28, "Yes", "No")</f>
        <v/>
      </c>
      <c r="O23" s="19">
        <f>'Ice Cream Cake'!B9</f>
        <v/>
      </c>
      <c r="P23" s="18">
        <f>IF(TODAY() - O23 &gt;= 28, "Yes", "No")</f>
        <v/>
      </c>
    </row>
    <row r="24">
      <c r="C24" s="17">
        <f>'Platinum Garlic'!B1</f>
        <v/>
      </c>
      <c r="D24" s="17">
        <f>'Platinum Garlic'!B2</f>
        <v/>
      </c>
      <c r="E24" s="18">
        <f>'Platinum Garlic'!B5</f>
        <v/>
      </c>
      <c r="F24" s="18">
        <f>'Platinum Garlic'!B11</f>
        <v/>
      </c>
      <c r="G24" s="17">
        <f>'Platinum Garlic'!B8</f>
        <v/>
      </c>
      <c r="H24" s="18">
        <f>SUM(D24:G24)</f>
        <v/>
      </c>
      <c r="I24" s="19">
        <f>'Platinum Garlic'!B3</f>
        <v/>
      </c>
      <c r="J24" s="18">
        <f>IF(TODAY() - I24 &gt;= 21, "Yes", "No")</f>
        <v/>
      </c>
      <c r="K24" s="11">
        <f>'Platinum Garlic'!B6</f>
        <v/>
      </c>
      <c r="L24" s="18">
        <f>IF(TODAY() - K24 &gt;= 28, "Yes", "No")</f>
        <v/>
      </c>
      <c r="M24" s="11">
        <f>'Platinum Garlic'!B12</f>
        <v/>
      </c>
      <c r="N24" s="18">
        <f>IF(TODAY() - M24 &gt;= 28, "Yes", "No")</f>
        <v/>
      </c>
      <c r="O24" s="19">
        <f>'Platinum Garlic'!B9</f>
        <v/>
      </c>
      <c r="P24" s="18">
        <f>IF(TODAY() - O24 &gt;= 28, "Yes", "No")</f>
        <v/>
      </c>
    </row>
    <row r="25">
      <c r="C25" s="17">
        <f>Mimosa!B1</f>
        <v/>
      </c>
      <c r="D25" s="17">
        <f>Mimosa!B2</f>
        <v/>
      </c>
      <c r="E25" s="18">
        <f>Mimosa!B5</f>
        <v/>
      </c>
      <c r="F25" s="18">
        <f>Mimosa!B11</f>
        <v/>
      </c>
      <c r="G25" s="17">
        <f>Mimosa!B8</f>
        <v/>
      </c>
      <c r="H25" s="18">
        <f>SUM(D25:G25)</f>
        <v/>
      </c>
      <c r="I25" s="19">
        <f>Mimosa!B3</f>
        <v/>
      </c>
      <c r="J25" s="18">
        <f>IF(TODAY() - I25 &gt;= 21, "Yes", "No")</f>
        <v/>
      </c>
      <c r="K25" s="11">
        <f>Mimosa!B6</f>
        <v/>
      </c>
      <c r="L25" s="18">
        <f>IF(TODAY() - K25 &gt;= 28, "Yes", "No")</f>
        <v/>
      </c>
      <c r="M25" s="11">
        <f>Mimosa!B12</f>
        <v/>
      </c>
      <c r="N25" s="18">
        <f>IF(TODAY() - M25 &gt;= 28, "Yes", "No")</f>
        <v/>
      </c>
      <c r="O25" s="19">
        <f>Mimosa!B9</f>
        <v/>
      </c>
      <c r="P25" s="18">
        <f>IF(TODAY() - O25 &gt;= 28, "Yes", "No")</f>
        <v/>
      </c>
    </row>
    <row r="26">
      <c r="C26" s="17">
        <f>'Titty Sprinkles'!B1</f>
        <v/>
      </c>
      <c r="D26" s="17">
        <f>'Titty Sprinkles'!B2</f>
        <v/>
      </c>
      <c r="E26" s="18">
        <f>'Titty Sprinkles'!B5</f>
        <v/>
      </c>
      <c r="F26" s="18">
        <f>'Titty Sprinkles'!B11</f>
        <v/>
      </c>
      <c r="G26" s="17">
        <f>'Titty Sprinkles'!B8</f>
        <v/>
      </c>
      <c r="H26" s="18">
        <f>SUM(D26:G26)</f>
        <v/>
      </c>
      <c r="I26" s="19">
        <f>'Titty Sprinkles'!B3</f>
        <v/>
      </c>
      <c r="J26" s="18">
        <f>IF(TODAY() - I26 &gt;= 21, "Yes", "No")</f>
        <v/>
      </c>
      <c r="K26" s="11">
        <f>'Titty Sprinkles'!B6</f>
        <v/>
      </c>
      <c r="L26" s="18">
        <f>IF(TODAY() - K26 &gt;= 28, "Yes", "No")</f>
        <v/>
      </c>
      <c r="M26" s="11">
        <f>'Titty Sprinkles'!B12</f>
        <v/>
      </c>
      <c r="N26" s="18">
        <f>IF(TODAY() - M26 &gt;= 28, "Yes", "No")</f>
        <v/>
      </c>
      <c r="O26" s="19">
        <f>'Titty Sprinkles'!B9</f>
        <v/>
      </c>
      <c r="P26" s="18">
        <f>IF(TODAY() - O26 &gt;= 28, "Yes", "No")</f>
        <v/>
      </c>
    </row>
    <row r="27">
      <c r="C27" s="17">
        <f>GDP!B1</f>
        <v/>
      </c>
      <c r="D27" s="17">
        <f>GDP!B2</f>
        <v/>
      </c>
      <c r="E27" s="18">
        <f>GDP!B5</f>
        <v/>
      </c>
      <c r="F27" s="18">
        <f>GDP!B11</f>
        <v/>
      </c>
      <c r="G27" s="17">
        <f>GDP!B8</f>
        <v/>
      </c>
      <c r="H27" s="18">
        <f>SUM(D27:G27)</f>
        <v/>
      </c>
      <c r="I27" s="19">
        <f>GDP!B3</f>
        <v/>
      </c>
      <c r="J27" s="18">
        <f>IF(TODAY() - I27 &gt;= 21, "Yes", "No")</f>
        <v/>
      </c>
      <c r="K27" s="11">
        <f>GDP!B6</f>
        <v/>
      </c>
      <c r="L27" s="18">
        <f>IF(TODAY() - K27 &gt;= 28, "Yes", "No")</f>
        <v/>
      </c>
      <c r="M27" s="11">
        <f>GDP!B12</f>
        <v/>
      </c>
      <c r="N27" s="18">
        <f>IF(TODAY() - M27 &gt;= 28, "Yes", "No")</f>
        <v/>
      </c>
      <c r="O27" s="19">
        <f>GDP!B9</f>
        <v/>
      </c>
      <c r="P27" s="18">
        <f>IF(TODAY() - O27 &gt;= 28, "Yes", "No")</f>
        <v/>
      </c>
    </row>
    <row r="28">
      <c r="C28" s="17">
        <f>'Mimosa V2'!B1</f>
        <v/>
      </c>
      <c r="D28" s="17">
        <f>'Mimosa V2'!B2</f>
        <v/>
      </c>
      <c r="E28" s="18">
        <f>'Mimosa V2'!B5</f>
        <v/>
      </c>
      <c r="F28" s="18">
        <f>'Mimosa V2'!B11</f>
        <v/>
      </c>
      <c r="G28" s="17">
        <f>'Mimosa V2'!B8</f>
        <v/>
      </c>
      <c r="H28" s="18">
        <f>SUM(D28:G28)</f>
        <v/>
      </c>
      <c r="I28" s="19">
        <f>'Mimosa V2'!B3</f>
        <v/>
      </c>
      <c r="J28" s="18">
        <f>IF(TODAY() - I28 &gt;= 21, "Yes", "No")</f>
        <v/>
      </c>
      <c r="K28" s="11">
        <f>'Mimosa V2'!B6</f>
        <v/>
      </c>
      <c r="L28" s="18">
        <f>IF(TODAY() - K28 &gt;= 28, "Yes", "No")</f>
        <v/>
      </c>
      <c r="M28" s="11">
        <f>'Mimosa V2'!B12</f>
        <v/>
      </c>
      <c r="N28" s="18">
        <f>IF(TODAY() - M28 &gt;= 28, "Yes", "No")</f>
        <v/>
      </c>
      <c r="O28" s="19">
        <f>'Mimosa V2'!B9</f>
        <v/>
      </c>
      <c r="P28" s="18">
        <f>IF(TODAY() - O28 &gt;= 28, "Yes", "No")</f>
        <v/>
      </c>
    </row>
    <row r="29">
      <c r="C29" s="17">
        <f>Kobe!B1</f>
        <v/>
      </c>
      <c r="D29" s="17">
        <f>Kobe!B2</f>
        <v/>
      </c>
      <c r="E29" s="18">
        <f>Kobe!B5</f>
        <v/>
      </c>
      <c r="F29" s="18">
        <f>Kobe!B11</f>
        <v/>
      </c>
      <c r="G29" s="17">
        <f>Kobe!B8</f>
        <v/>
      </c>
      <c r="H29" s="18">
        <f>SUM(D29:G29)</f>
        <v/>
      </c>
      <c r="I29" s="19">
        <f>Kobe!B3</f>
        <v/>
      </c>
      <c r="J29" s="18">
        <f>IF(TODAY() - I29 &gt;= 21, "Yes", "No")</f>
        <v/>
      </c>
      <c r="K29" s="11">
        <f>Kobe!B6</f>
        <v/>
      </c>
      <c r="L29" s="18">
        <f>IF(TODAY() - K29 &gt;= 28, "Yes", "No")</f>
        <v/>
      </c>
      <c r="M29" s="11">
        <f>Kobe!B12</f>
        <v/>
      </c>
      <c r="N29" s="18">
        <f>IF(TODAY() - M29 &gt;= 28, "Yes", "No")</f>
        <v/>
      </c>
      <c r="O29" s="19">
        <f>Kobe!B9</f>
        <v/>
      </c>
      <c r="P29" s="18">
        <f>IF(TODAY() - O29 &gt;= 28, "Yes", "No")</f>
        <v/>
      </c>
    </row>
    <row r="30">
      <c r="C30" s="17">
        <f>'Sol Fire'!B1</f>
        <v/>
      </c>
      <c r="D30" s="17">
        <f>'Sol Fire'!B2</f>
        <v/>
      </c>
      <c r="E30" s="18">
        <f>'Sol Fire'!B5</f>
        <v/>
      </c>
      <c r="F30" s="18">
        <f>'Sol Fire'!B11</f>
        <v/>
      </c>
      <c r="G30" s="17">
        <f>'Sol Fire'!B8</f>
        <v/>
      </c>
      <c r="H30" s="18">
        <f>SUM(D30,F30,G30)</f>
        <v/>
      </c>
      <c r="I30" s="19">
        <f>'Sol Fire'!B3</f>
        <v/>
      </c>
      <c r="J30" s="18">
        <f>IF(TODAY() - I30 &gt;= 21, "Yes", "No")</f>
        <v/>
      </c>
      <c r="K30" s="11">
        <f>'Sol Fire'!B6</f>
        <v/>
      </c>
      <c r="L30" s="18">
        <f>IF(TODAY() - K30 &gt;= 28, "Yes", "No")</f>
        <v/>
      </c>
      <c r="M30" s="11">
        <f>'Sol Fire'!B12</f>
        <v/>
      </c>
      <c r="N30" s="18">
        <f>IF(TODAY() - M30 &gt;= 28, "Yes", "No")</f>
        <v/>
      </c>
      <c r="O30" s="19">
        <f>'Sol Fire'!B9</f>
        <v/>
      </c>
      <c r="P30" s="18">
        <f>IF(TODAY() - O30 &gt;= 28, "Yes", "No")</f>
        <v/>
      </c>
    </row>
    <row r="31">
      <c r="C31" s="17">
        <f>'Deep Pockets'!B1</f>
        <v/>
      </c>
      <c r="D31" s="17">
        <f>'Deep Pockets'!B2</f>
        <v/>
      </c>
      <c r="E31" s="18">
        <f>'Deep Pockets'!B5</f>
        <v/>
      </c>
      <c r="F31" s="18">
        <f>'Deep Pockets'!B11</f>
        <v/>
      </c>
      <c r="G31" s="17">
        <f>'Deep Pockets'!B8</f>
        <v/>
      </c>
      <c r="H31" s="18">
        <f>SUM(D31,F31,G31)</f>
        <v/>
      </c>
      <c r="I31" s="19">
        <f>'Deep Pockets'!B3</f>
        <v/>
      </c>
      <c r="J31" s="18">
        <f>IF(TODAY() - I31 &gt;= 21, "Yes", "No")</f>
        <v/>
      </c>
      <c r="K31" s="11">
        <f>'Deep Pockets'!B6</f>
        <v/>
      </c>
      <c r="L31" s="18">
        <f>IF(TODAY() - K31 &gt;= 28, "Yes", "No")</f>
        <v/>
      </c>
      <c r="M31" s="11">
        <f>'Deep Pockets'!B12</f>
        <v/>
      </c>
      <c r="N31" s="18">
        <f>IF(TODAY() - M31 &gt;= 28, "Yes", "No")</f>
        <v/>
      </c>
      <c r="O31" s="19">
        <f>'Deep Pockets'!B9</f>
        <v/>
      </c>
      <c r="P31" s="18">
        <f>IF(TODAY() - O31 &gt;= 28, "Yes", "No")</f>
        <v/>
      </c>
    </row>
    <row r="32">
      <c r="C32" s="17">
        <f>'Black Cherry Punch'!B1</f>
        <v/>
      </c>
      <c r="D32" s="17">
        <f>'Black Cherry Punch'!B2</f>
        <v/>
      </c>
      <c r="E32" s="18">
        <f>'Black Cherry Punch'!B5</f>
        <v/>
      </c>
      <c r="F32" s="18">
        <f>'Black Cherry Punch'!B11</f>
        <v/>
      </c>
      <c r="G32" s="17">
        <f>'Black Cherry Punch'!B8</f>
        <v/>
      </c>
      <c r="H32" s="18">
        <f>SUM(D32,F32,G32)</f>
        <v/>
      </c>
      <c r="I32" s="19">
        <f>'Black Cherry Punch'!B3</f>
        <v/>
      </c>
      <c r="J32" s="18">
        <f>IF(TODAY() - I32 &gt;= 21, "Yes", "No")</f>
        <v/>
      </c>
      <c r="K32" s="11">
        <f>'Black Cherry Punch'!B6</f>
        <v/>
      </c>
      <c r="L32" s="18">
        <f>IF(TODAY() - K32 &gt;= 28, "Yes", "No")</f>
        <v/>
      </c>
      <c r="M32" s="11">
        <f>'Black Cherry Punch'!B12</f>
        <v/>
      </c>
      <c r="N32" s="18">
        <f>IF(TODAY() - M32 &gt;= 28, "Yes", "No")</f>
        <v/>
      </c>
      <c r="O32" s="19">
        <f>'Black Cherry Punch'!B9</f>
        <v/>
      </c>
      <c r="P32" s="18">
        <f>IF(TODAY() - O32 &gt;= 28, "Yes", "No")</f>
        <v/>
      </c>
    </row>
    <row r="33">
      <c r="C33" s="17">
        <f>'Space Runtz'!B1</f>
        <v/>
      </c>
      <c r="D33" s="17">
        <f>'Space Runtz'!B2</f>
        <v/>
      </c>
      <c r="E33" s="18">
        <f>'Space Runtz'!B5</f>
        <v/>
      </c>
      <c r="F33" s="18">
        <f>'Space Runtz'!B11</f>
        <v/>
      </c>
      <c r="G33" s="17">
        <f>'Space Runtz'!B8</f>
        <v/>
      </c>
      <c r="H33" s="18">
        <f>SUM(D33,F33,G33)</f>
        <v/>
      </c>
      <c r="I33" s="19">
        <f>'Space Runtz'!B3</f>
        <v/>
      </c>
      <c r="J33" s="18">
        <f>IF(TODAY() - I33 &gt;= 21, "Yes", "No")</f>
        <v/>
      </c>
      <c r="K33" s="11">
        <f>'Space Runtz'!B6</f>
        <v/>
      </c>
      <c r="L33" s="18">
        <f>IF(TODAY() - K33 &gt;= 28, "Yes", "No")</f>
        <v/>
      </c>
      <c r="M33" s="11">
        <f>'Space Runtz'!B12</f>
        <v/>
      </c>
      <c r="N33" s="18">
        <f>IF(TODAY() - M33 &gt;= 28, "Yes", "No")</f>
        <v/>
      </c>
      <c r="O33" s="19">
        <f>'Space Runtz'!B9</f>
        <v/>
      </c>
      <c r="P33" s="18">
        <f>IF(TODAY() - O33 &gt;= 28, "Yes", "No")</f>
        <v/>
      </c>
    </row>
    <row r="34">
      <c r="C34" s="17">
        <f>'Fruit Punch'!B1</f>
        <v/>
      </c>
      <c r="D34" s="17">
        <f>'Fruit Punch'!B2</f>
        <v/>
      </c>
      <c r="E34" s="18">
        <f>'Fruit Punch'!B5</f>
        <v/>
      </c>
      <c r="F34" s="18">
        <f>'Fruit Punch'!B11</f>
        <v/>
      </c>
      <c r="G34" s="17">
        <f>'Fruit Punch'!B8</f>
        <v/>
      </c>
      <c r="H34" s="18">
        <f>SUM(D34,F34,G34)</f>
        <v/>
      </c>
      <c r="I34" s="19">
        <f>'Fruit Punch'!B3</f>
        <v/>
      </c>
      <c r="J34" s="18">
        <f>IF(TODAY() - I34 &gt;= 21, "Yes", "No")</f>
        <v/>
      </c>
      <c r="K34" s="11">
        <f>'Fruit Punch'!B6</f>
        <v/>
      </c>
      <c r="L34" s="18">
        <f>IF(TODAY() - K34 &gt;= 28, "Yes", "No")</f>
        <v/>
      </c>
      <c r="M34" s="11">
        <f>'Fruit Punch'!B12</f>
        <v/>
      </c>
      <c r="N34" s="18">
        <f>IF(TODAY() - M34 &gt;= 28, "Yes", "No")</f>
        <v/>
      </c>
      <c r="O34" s="19">
        <f>'Fruit Punch'!B9</f>
        <v/>
      </c>
      <c r="P34" s="18">
        <f>IF(TODAY() - O34 &gt;= 28, "Yes", "No")</f>
        <v/>
      </c>
    </row>
    <row r="35">
      <c r="C35" s="17">
        <f>'Runtz Muffin'!B1</f>
        <v/>
      </c>
      <c r="D35" s="17">
        <f>'Runtz Muffin'!B2</f>
        <v/>
      </c>
      <c r="E35" s="18">
        <f>'Runtz Muffin'!B5</f>
        <v/>
      </c>
      <c r="F35" s="18">
        <f>'Runtz Muffin'!B11</f>
        <v/>
      </c>
      <c r="G35" s="17">
        <f>'Runtz Muffin'!B8</f>
        <v/>
      </c>
      <c r="H35" s="18">
        <f>SUM(D35,F35,G35)</f>
        <v/>
      </c>
      <c r="I35" s="19">
        <f>'Runtz Muffin'!B3</f>
        <v/>
      </c>
      <c r="J35" s="18">
        <f>IF(TODAY() - I35 &gt;= 21, "Yes", "No")</f>
        <v/>
      </c>
      <c r="K35" s="11">
        <f>'Runtz Muffin'!B6</f>
        <v/>
      </c>
      <c r="L35" s="18">
        <f>IF(TODAY() - K35 &gt;= 28, "Yes", "No")</f>
        <v/>
      </c>
      <c r="M35" s="11">
        <f>'Runtz Muffin'!B12</f>
        <v/>
      </c>
      <c r="N35" s="18">
        <f>IF(TODAY() - M35 &gt;= 28, "Yes", "No")</f>
        <v/>
      </c>
      <c r="O35" s="19">
        <f>'Runtz Muffin'!B9</f>
        <v/>
      </c>
      <c r="P35" s="18">
        <f>IF(TODAY() - O35 &gt;= 28, "Yes", "No")</f>
        <v/>
      </c>
    </row>
    <row r="36">
      <c r="C36" s="17">
        <f>'Wedding Cake'!B1</f>
        <v/>
      </c>
      <c r="D36" s="17">
        <f>'Wedding Cake'!B2</f>
        <v/>
      </c>
      <c r="E36" s="18">
        <f>'Wedding Cake'!B5</f>
        <v/>
      </c>
      <c r="F36" s="18">
        <f>'Wedding Cake'!B11</f>
        <v/>
      </c>
      <c r="G36" s="17">
        <f>'Wedding Cake'!B8</f>
        <v/>
      </c>
      <c r="H36" s="18">
        <f>SUM(D36,F36,G36)</f>
        <v/>
      </c>
      <c r="I36" s="19">
        <f>'Wedding Cake'!B3</f>
        <v/>
      </c>
      <c r="J36" s="18">
        <f>IF(TODAY() - I36 &gt;= 21, "Yes", "No")</f>
        <v/>
      </c>
      <c r="K36" s="11">
        <f>'Wedding Cake'!B6</f>
        <v/>
      </c>
      <c r="L36" s="18">
        <f>IF(TODAY() - K36 &gt;= 28, "Yes", "No")</f>
        <v/>
      </c>
      <c r="M36" s="11">
        <f>'Wedding Cake'!B12</f>
        <v/>
      </c>
      <c r="N36" s="18">
        <f>IF(TODAY() - M36 &gt;= 28, "Yes", "No")</f>
        <v/>
      </c>
      <c r="O36" s="19">
        <f>'Wedding Cake'!B9</f>
        <v/>
      </c>
      <c r="P36" s="18">
        <f>IF(TODAY() - O36 &gt;= 28, "Yes", "No")</f>
        <v/>
      </c>
    </row>
    <row r="37">
      <c r="C37" s="17">
        <f>'Lemon Mints'!B1</f>
        <v/>
      </c>
      <c r="D37" s="17">
        <f>'Lemon Mints'!B2</f>
        <v/>
      </c>
      <c r="E37" s="18">
        <f>'Lemon Mints'!B5</f>
        <v/>
      </c>
      <c r="F37" s="18">
        <f>'Lemon Mints'!B11</f>
        <v/>
      </c>
      <c r="G37" s="17">
        <f>'Lemon Mints'!B8</f>
        <v/>
      </c>
      <c r="H37" s="18">
        <f>SUM(D37,F37,G37)</f>
        <v/>
      </c>
      <c r="I37" s="19">
        <f>'Lemon Mints'!B3</f>
        <v/>
      </c>
      <c r="J37" s="18">
        <f>IF(TODAY() - I37 &gt;= 21, "Yes", "No")</f>
        <v/>
      </c>
      <c r="K37" s="11">
        <f>'Lemon Mints'!B6</f>
        <v/>
      </c>
      <c r="L37" s="18">
        <f>IF(TODAY() - K37 &gt;= 28, "Yes", "No")</f>
        <v/>
      </c>
      <c r="M37" s="11">
        <f>'Lemon Mints'!B12</f>
        <v/>
      </c>
      <c r="N37" s="18">
        <f>IF(TODAY() - M37 &gt;= 28, "Yes", "No")</f>
        <v/>
      </c>
      <c r="O37" s="19">
        <f>'Lemon Mints'!B9</f>
        <v/>
      </c>
      <c r="P37" s="18">
        <f>IF(TODAY() - O37 &gt;= 28, "Yes", "No")</f>
        <v/>
      </c>
    </row>
    <row r="38">
      <c r="C38" s="17">
        <f>Jedi!B1</f>
        <v/>
      </c>
      <c r="D38" s="17">
        <f>Jedi!B2</f>
        <v/>
      </c>
      <c r="E38" s="18">
        <f>Jedi!B5</f>
        <v/>
      </c>
      <c r="F38" s="18">
        <f>Jedi!B11</f>
        <v/>
      </c>
      <c r="G38" s="17">
        <f>Jedi!B8</f>
        <v/>
      </c>
      <c r="H38" s="18">
        <f>SUM(D38,F38,G38)</f>
        <v/>
      </c>
      <c r="I38" s="19">
        <f>Jedi!B3</f>
        <v/>
      </c>
      <c r="J38" s="18">
        <f>IF(TODAY() - I38 &gt;= 21, "Yes", "No")</f>
        <v/>
      </c>
      <c r="K38" s="11">
        <f>Jedi!B6</f>
        <v/>
      </c>
      <c r="L38" s="18">
        <f>IF(TODAY() - K38 &gt;= 28, "Yes", "No")</f>
        <v/>
      </c>
      <c r="M38" s="11">
        <f>Jedi!B12</f>
        <v/>
      </c>
      <c r="N38" s="18">
        <f>IF(TODAY() - M38 &gt;= 28, "Yes", "No")</f>
        <v/>
      </c>
      <c r="O38" s="19">
        <f>Jedi!B9</f>
        <v/>
      </c>
      <c r="P38" s="18">
        <f>IF(TODAY() - O38 &gt;= 28, "Yes", "No")</f>
        <v/>
      </c>
    </row>
    <row r="39">
      <c r="C39" s="17">
        <f>'Rug Burn'!B1</f>
        <v/>
      </c>
      <c r="D39" s="17">
        <f>'Rug Burn'!B2</f>
        <v/>
      </c>
      <c r="E39" s="18">
        <f>'Rug Burn'!B5</f>
        <v/>
      </c>
      <c r="F39" s="18">
        <f>'Rug Burn'!B11</f>
        <v/>
      </c>
      <c r="G39" s="17">
        <f>'Rug Burn'!B8</f>
        <v/>
      </c>
      <c r="H39" s="18">
        <f>SUM(D39,F39,G39)</f>
        <v/>
      </c>
      <c r="I39" s="19">
        <f>'Rug Burn'!B3</f>
        <v/>
      </c>
      <c r="J39" s="18">
        <f>IF(TODAY() - I39 &gt;= 21, "Yes", "No")</f>
        <v/>
      </c>
      <c r="K39" s="11">
        <f>'Rug Burn'!B6</f>
        <v/>
      </c>
      <c r="L39" s="18">
        <f>IF(TODAY() - K39 &gt;= 28, "Yes", "No")</f>
        <v/>
      </c>
      <c r="M39" s="11">
        <f>'Rug Burn'!B12</f>
        <v/>
      </c>
      <c r="N39" s="18">
        <f>IF(TODAY() - M39 &gt;= 28, "Yes", "No")</f>
        <v/>
      </c>
      <c r="O39" s="19">
        <f>'Rug Burn'!B9</f>
        <v/>
      </c>
      <c r="P39" s="18">
        <f>IF(TODAY() - O39 &gt;= 28, "Yes", "No")</f>
        <v/>
      </c>
    </row>
    <row r="40">
      <c r="C40" s="17">
        <f>GMO!B1</f>
        <v/>
      </c>
      <c r="D40" s="17">
        <f>GMO!B2</f>
        <v/>
      </c>
      <c r="E40" s="18">
        <f>GMO!B5</f>
        <v/>
      </c>
      <c r="F40" s="18">
        <f>GMO!B11</f>
        <v/>
      </c>
      <c r="G40" s="17">
        <f>GMO!B8</f>
        <v/>
      </c>
      <c r="H40" s="18">
        <f>SUM(D40,F40,G40)</f>
        <v/>
      </c>
      <c r="I40" s="19">
        <f>GMO!B3</f>
        <v/>
      </c>
      <c r="J40" s="18">
        <f>IF(TODAY() - I40 &gt;= 21, "Yes", "No")</f>
        <v/>
      </c>
      <c r="K40" s="11">
        <f>GMO!B6</f>
        <v/>
      </c>
      <c r="L40" s="18">
        <f>IF(TODAY() - K40 &gt;= 28, "Yes", "No")</f>
        <v/>
      </c>
      <c r="M40" s="11">
        <f>GMO!B12</f>
        <v/>
      </c>
      <c r="N40" s="18">
        <f>IF(TODAY() - M40 &gt;= 28, "Yes", "No")</f>
        <v/>
      </c>
      <c r="O40" s="19">
        <f>GMO!B9</f>
        <v/>
      </c>
      <c r="P40" s="18">
        <f>IF(TODAY() - O40 &gt;= 28, "Yes", "No")</f>
        <v/>
      </c>
    </row>
    <row r="41">
      <c r="C41" s="17">
        <f>'Dirty Little Secret'!B1</f>
        <v/>
      </c>
      <c r="D41" s="17">
        <f>'Dirty Little Secret'!B2</f>
        <v/>
      </c>
      <c r="E41" s="18">
        <f>'Dirty Little Secret'!B5</f>
        <v/>
      </c>
      <c r="F41" s="18">
        <f>'Dirty Little Secret'!B11</f>
        <v/>
      </c>
      <c r="G41" s="17">
        <f>'Dirty Little Secret'!B8</f>
        <v/>
      </c>
      <c r="H41" s="18">
        <f>SUM(D41,F41,G41)</f>
        <v/>
      </c>
      <c r="I41" s="19">
        <f>'Dirty Little Secret'!B3</f>
        <v/>
      </c>
      <c r="J41" s="18">
        <f>IF(TODAY() - I41 &gt;= 21, "Yes", "No")</f>
        <v/>
      </c>
      <c r="K41" s="11">
        <f>'Dirty Little Secret'!B6</f>
        <v/>
      </c>
      <c r="L41" s="18">
        <f>IF(TODAY() - K41 &gt;= 28, "Yes", "No")</f>
        <v/>
      </c>
      <c r="M41" s="11">
        <f>'Dirty Little Secret'!B12</f>
        <v/>
      </c>
      <c r="N41" s="18">
        <f>IF(TODAY() - M41 &gt;= 28, "Yes", "No")</f>
        <v/>
      </c>
      <c r="O41" s="19">
        <f>'Dirty Little Secret'!B9</f>
        <v/>
      </c>
      <c r="P41" s="18">
        <f>IF(TODAY() - O41 &gt;= 28, "Yes", "No")</f>
        <v/>
      </c>
    </row>
    <row r="42">
      <c r="C42" s="17">
        <f>'Divine Slurricane'!B1</f>
        <v/>
      </c>
      <c r="D42" s="17">
        <f>'Divine Slurricane'!B2</f>
        <v/>
      </c>
      <c r="E42" s="18">
        <f>'Divine Slurricane'!B5</f>
        <v/>
      </c>
      <c r="F42" s="18">
        <f>'Divine Slurricane'!B11</f>
        <v/>
      </c>
      <c r="G42" s="17">
        <f>'Divine Slurricane'!B8</f>
        <v/>
      </c>
      <c r="H42" s="18">
        <f>SUM(D42,F42,G42)</f>
        <v/>
      </c>
      <c r="I42" s="19">
        <f>'Divine Slurricane'!B3</f>
        <v/>
      </c>
      <c r="J42" s="18">
        <f>IF(TODAY() - I42 &gt;= 21, "Yes", "No")</f>
        <v/>
      </c>
      <c r="K42" s="11">
        <f>'Divine Slurricane'!B6</f>
        <v/>
      </c>
      <c r="L42" s="18">
        <f>IF(TODAY() - K42 &gt;= 28, "Yes", "No")</f>
        <v/>
      </c>
      <c r="M42" s="11">
        <f>'Divine Slurricane'!B12</f>
        <v/>
      </c>
      <c r="N42" s="18">
        <f>IF(TODAY() - M42 &gt;= 28, "Yes", "No")</f>
        <v/>
      </c>
      <c r="O42" s="19">
        <f>'Divine Slurricane'!B9</f>
        <v/>
      </c>
      <c r="P42" s="18">
        <f>IF(TODAY() - O42 &gt;= 28, "Yes", "No")</f>
        <v/>
      </c>
    </row>
    <row r="43">
      <c r="C43" s="17">
        <f>'Mellow 2'!B1</f>
        <v/>
      </c>
      <c r="D43" s="17">
        <f>'Mellow 2'!B2</f>
        <v/>
      </c>
      <c r="E43" s="18">
        <f>'Mellow 2'!B5</f>
        <v/>
      </c>
      <c r="F43" s="18">
        <f>'Mellow 2'!B11</f>
        <v/>
      </c>
      <c r="G43" s="17">
        <f>'Mellow 2'!B8</f>
        <v/>
      </c>
      <c r="H43" s="18">
        <f>SUM(D43,F43,G43)</f>
        <v/>
      </c>
      <c r="I43" s="19">
        <f>'Mellow 2'!B3</f>
        <v/>
      </c>
      <c r="J43" s="18">
        <f>IF(TODAY() - I43 &gt;= 21, "Yes", "No")</f>
        <v/>
      </c>
      <c r="K43" s="11">
        <f>'Mellow 2'!B6</f>
        <v/>
      </c>
      <c r="L43" s="18">
        <f>IF(TODAY() - K43 &gt;= 28, "Yes", "No")</f>
        <v/>
      </c>
      <c r="M43" s="11">
        <f>'Mellow 2'!B12</f>
        <v/>
      </c>
      <c r="N43" s="18">
        <f>IF(TODAY() - M43 &gt;= 28, "Yes", "No")</f>
        <v/>
      </c>
      <c r="O43" s="19">
        <f>'Mellow 2'!B9</f>
        <v/>
      </c>
      <c r="P43" s="18">
        <f>IF(TODAY() - O43 &gt;= 28, "Yes", "No")</f>
        <v/>
      </c>
    </row>
    <row r="44">
      <c r="C44" s="17">
        <f>'Slow and Sweet'!B1</f>
        <v/>
      </c>
      <c r="D44" s="17">
        <f>'Slow and Sweet'!B2</f>
        <v/>
      </c>
      <c r="E44" s="18">
        <f>'Slow and Sweet'!B5</f>
        <v/>
      </c>
      <c r="F44" s="18">
        <f>'Slow and Sweet'!B11</f>
        <v/>
      </c>
      <c r="G44" s="17">
        <f>'Slow and Sweet'!B8</f>
        <v/>
      </c>
      <c r="H44" s="18">
        <f>SUM(D44,F44,G44)</f>
        <v/>
      </c>
      <c r="I44" s="19">
        <f>'Slow and Sweet'!B3</f>
        <v/>
      </c>
      <c r="J44" s="18">
        <f>IF(TODAY() - I44 &gt;= 21, "Yes", "No")</f>
        <v/>
      </c>
      <c r="K44" s="11">
        <f>'Slow and Sweet'!B6</f>
        <v/>
      </c>
      <c r="L44" s="18">
        <f>IF(TODAY() - K44 &gt;= 28, "Yes", "No")</f>
        <v/>
      </c>
      <c r="M44" s="11">
        <f>'Slow and Sweet'!B12</f>
        <v/>
      </c>
      <c r="N44" s="18">
        <f>IF(TODAY() - M44 &gt;= 28, "Yes", "No")</f>
        <v/>
      </c>
      <c r="O44" s="19">
        <f>'Slow and Sweet'!B9</f>
        <v/>
      </c>
      <c r="P44" s="18">
        <f>IF(TODAY() - O44 &gt;= 28, "Yes", "No")</f>
        <v/>
      </c>
    </row>
    <row r="45">
      <c r="C45" s="17">
        <f>'Ice Cream Cake V2'!B1</f>
        <v/>
      </c>
      <c r="D45" s="17">
        <f>'Ice Cream Cake V2'!B2</f>
        <v/>
      </c>
      <c r="E45" s="18">
        <f>'Ice Cream Cake V2'!B5</f>
        <v/>
      </c>
      <c r="F45" s="18">
        <f>'Ice Cream Cake V2'!B11</f>
        <v/>
      </c>
      <c r="G45" s="17">
        <f>'Ice Cream Cake V2'!B8</f>
        <v/>
      </c>
      <c r="H45" s="18">
        <f>SUM(D45,F45,G45)</f>
        <v/>
      </c>
      <c r="I45" s="19">
        <f>'Ice Cream Cake V2'!B3</f>
        <v/>
      </c>
      <c r="J45" s="18">
        <f>IF(TODAY() - I45 &gt;= 21, "Yes", "No")</f>
        <v/>
      </c>
      <c r="K45" s="11">
        <f>'Ice Cream Cake V2'!B6</f>
        <v/>
      </c>
      <c r="L45" s="18">
        <f>IF(TODAY() - K45 &gt;= 28, "Yes", "No")</f>
        <v/>
      </c>
      <c r="M45" s="11">
        <f>'Ice Cream Cake V2'!B12</f>
        <v/>
      </c>
      <c r="N45" s="18">
        <f>IF(TODAY() - M45 &gt;= 28, "Yes", "No")</f>
        <v/>
      </c>
      <c r="O45" s="19">
        <f>'Ice Cream Cake V2'!B9</f>
        <v/>
      </c>
      <c r="P45" s="18">
        <f>IF(TODAY() - O45 &gt;= 28, "Yes", "No")</f>
        <v/>
      </c>
    </row>
    <row r="46">
      <c r="C46" s="17">
        <f>'Farmer Fire'!B1</f>
        <v/>
      </c>
      <c r="D46" s="17">
        <f>'Farmer Fire'!B2</f>
        <v/>
      </c>
      <c r="E46" s="18">
        <f>'Farmer Fire'!B5</f>
        <v/>
      </c>
      <c r="F46" s="18">
        <f>'Farmer Fire'!B11</f>
        <v/>
      </c>
      <c r="G46" s="17">
        <f>'Farmer Fire'!B8</f>
        <v/>
      </c>
      <c r="H46" s="18">
        <f>SUM(D46,F46,G46)</f>
        <v/>
      </c>
      <c r="I46" s="19">
        <f>'Farmer Fire'!B3</f>
        <v/>
      </c>
      <c r="J46" s="18">
        <f>IF(TODAY() - I46 &gt;= 21, "Yes", "No")</f>
        <v/>
      </c>
      <c r="K46" s="11">
        <f>'Farmer Fire'!B6</f>
        <v/>
      </c>
      <c r="L46" s="18">
        <f>IF(TODAY() - K46 &gt;= 28, "Yes", "No")</f>
        <v/>
      </c>
      <c r="M46" s="11">
        <f>'Farmer Fire'!B12</f>
        <v/>
      </c>
      <c r="N46" s="18">
        <f>IF(TODAY() - M46 &gt;= 28, "Yes", "No")</f>
        <v/>
      </c>
      <c r="O46" s="19">
        <f>'Farmer Fire'!B9</f>
        <v/>
      </c>
      <c r="P46" s="18">
        <f>IF(TODAY() - O46 &gt;= 28, "Yes", "No")</f>
        <v/>
      </c>
    </row>
    <row r="47">
      <c r="C47" s="17">
        <f>'Sunny D'!B1</f>
        <v/>
      </c>
      <c r="D47" s="17">
        <f>'Sunny D'!B2</f>
        <v/>
      </c>
      <c r="E47" s="18">
        <f>'Sunny D'!B5</f>
        <v/>
      </c>
      <c r="F47" s="18">
        <f>'Sunny D'!B11</f>
        <v/>
      </c>
      <c r="G47" s="17">
        <f>'Sunny D'!B8</f>
        <v/>
      </c>
      <c r="H47" s="18">
        <f>SUM(D47,F47,G47)</f>
        <v/>
      </c>
      <c r="I47" s="19">
        <f>'Sunny D'!B3</f>
        <v/>
      </c>
      <c r="J47" s="18">
        <f>IF(TODAY() - I47 &gt;= 21, "Yes", "No")</f>
        <v/>
      </c>
      <c r="K47" s="11">
        <f>'Sunny D'!B6</f>
        <v/>
      </c>
      <c r="L47" s="18">
        <f>IF(TODAY() - K47 &gt;= 28, "Yes", "No")</f>
        <v/>
      </c>
      <c r="M47" s="11">
        <f>'Sunny D'!B12</f>
        <v/>
      </c>
      <c r="N47" s="18">
        <f>IF(TODAY() - M47 &gt;= 28, "Yes", "No")</f>
        <v/>
      </c>
      <c r="O47" s="19">
        <f>'Sunny D'!B9</f>
        <v/>
      </c>
      <c r="P47" s="18">
        <f>IF(TODAY() - O47 &gt;= 28, "Yes", "No")</f>
        <v/>
      </c>
    </row>
    <row r="48">
      <c r="C48" s="17">
        <f>'GG1'!B1</f>
        <v/>
      </c>
      <c r="D48" s="17">
        <f>'GG1'!B2</f>
        <v/>
      </c>
      <c r="E48" s="18">
        <f>'GG1'!B5</f>
        <v/>
      </c>
      <c r="F48" s="18">
        <f>'GG1'!B11</f>
        <v/>
      </c>
      <c r="G48" s="17">
        <f>'GG1'!B8</f>
        <v/>
      </c>
      <c r="H48" s="18">
        <f>SUM(D48,F48,G48)</f>
        <v/>
      </c>
      <c r="I48" s="19">
        <f>'GG1'!B3</f>
        <v/>
      </c>
      <c r="J48" s="18">
        <f>IF(TODAY() - I48 &gt;= 21, "Yes", "No")</f>
        <v/>
      </c>
      <c r="K48" s="11">
        <f>'GG1'!B6</f>
        <v/>
      </c>
      <c r="L48" s="18">
        <f>IF(TODAY() - K48 &gt;= 28, "Yes", "No")</f>
        <v/>
      </c>
      <c r="M48" s="11">
        <f>'GG1'!B12</f>
        <v/>
      </c>
      <c r="N48" s="18">
        <f>IF(TODAY() - M48 &gt;= 28, "Yes", "No")</f>
        <v/>
      </c>
      <c r="O48" s="19">
        <f>'GG1'!B9</f>
        <v/>
      </c>
      <c r="P48" s="18">
        <f>IF(TODAY() - O48 &gt;= 28, "Yes", "No")</f>
        <v/>
      </c>
    </row>
    <row r="49">
      <c r="C49" s="18">
        <f>'Member Berry'!B1</f>
        <v/>
      </c>
      <c r="D49" s="18">
        <f>'Member Berry'!B2</f>
        <v/>
      </c>
      <c r="E49" s="18">
        <f>'Member Berry'!B5</f>
        <v/>
      </c>
      <c r="F49" s="18">
        <f>'Member Berry'!B11</f>
        <v/>
      </c>
      <c r="G49" s="18">
        <f>'Member Berry'!B8</f>
        <v/>
      </c>
      <c r="H49" s="18">
        <f>SUM(D49,F49,G49)</f>
        <v/>
      </c>
      <c r="I49" s="11">
        <f>'Member Berry'!B3</f>
        <v/>
      </c>
      <c r="J49" s="18">
        <f>IF(TODAY() - I49 &gt;= 21, "Yes", "No")</f>
        <v/>
      </c>
      <c r="K49" s="11">
        <f>'Member Berry'!B6</f>
        <v/>
      </c>
      <c r="L49" s="18">
        <f>IF(TODAY() - K49 &gt;= 28, "Yes", "No")</f>
        <v/>
      </c>
      <c r="M49" s="11">
        <f>'Member Berry'!B12</f>
        <v/>
      </c>
      <c r="N49" s="18">
        <f>IF(TODAY() - M49 &gt;= 28, "Yes", "No")</f>
        <v/>
      </c>
      <c r="O49" s="11">
        <f>'Member Berry'!B9</f>
        <v/>
      </c>
      <c r="P49" s="18">
        <f>IF(TODAY() - O49 &gt;= 28, "Yes", "No")</f>
        <v/>
      </c>
    </row>
    <row r="50">
      <c r="C50" s="18">
        <f>'Mendo Breath'!B1</f>
        <v/>
      </c>
      <c r="D50" s="18">
        <f>'Mendo Breath'!B2</f>
        <v/>
      </c>
      <c r="E50" s="18">
        <f>'Mendo Breath'!B5</f>
        <v/>
      </c>
      <c r="F50" s="18">
        <f>'Mendo Breath'!B11</f>
        <v/>
      </c>
      <c r="G50" s="18">
        <f>'Mendo Breath'!B8</f>
        <v/>
      </c>
      <c r="H50" s="18">
        <f>SUM(D50,F50,G50)</f>
        <v/>
      </c>
      <c r="I50" s="11">
        <f>'Mendo Breath'!B3</f>
        <v/>
      </c>
      <c r="J50" s="18">
        <f>IF(TODAY() - I50 &gt;= 21, "Yes", "No")</f>
        <v/>
      </c>
      <c r="K50" s="11">
        <f>'Mendo Breath'!B6</f>
        <v/>
      </c>
      <c r="L50" s="18">
        <f>IF(TODAY() - K50 &gt;= 28, "Yes", "No")</f>
        <v/>
      </c>
      <c r="M50" s="11">
        <f>'Mendo Breath'!B12</f>
        <v/>
      </c>
      <c r="N50" s="18">
        <f>IF(TODAY() - M50 &gt;= 28, "Yes", "No")</f>
        <v/>
      </c>
      <c r="O50" s="11">
        <f>'Mendo Breath'!B9</f>
        <v/>
      </c>
      <c r="P50" s="18">
        <f>IF(TODAY() - O50 &gt;= 28, "Yes", "No")</f>
        <v/>
      </c>
    </row>
    <row r="51">
      <c r="C51" s="18">
        <f>Goblin!B1</f>
        <v/>
      </c>
      <c r="D51" s="18">
        <f>Goblin!B2</f>
        <v/>
      </c>
      <c r="E51" s="18">
        <f>Goblin!B5</f>
        <v/>
      </c>
      <c r="F51" s="18">
        <f>Goblin!B11</f>
        <v/>
      </c>
      <c r="G51" s="18">
        <f>Goblin!B8</f>
        <v/>
      </c>
      <c r="H51" s="18">
        <f>SUM(D51,F51,G51)</f>
        <v/>
      </c>
      <c r="I51" s="11">
        <f>Goblin!B3</f>
        <v/>
      </c>
      <c r="J51" s="18">
        <f>IF(TODAY() - I51 &gt;= 21, "Yes", "No")</f>
        <v/>
      </c>
      <c r="K51" s="11">
        <f>Goblin!B6</f>
        <v/>
      </c>
      <c r="L51" s="18">
        <f>IF(TODAY() - K51 &gt;= 28, "Yes", "No")</f>
        <v/>
      </c>
      <c r="M51" s="11">
        <f>Goblin!B12</f>
        <v/>
      </c>
      <c r="N51" s="18">
        <f>IF(TODAY() - M51 &gt;= 28, "Yes", "No")</f>
        <v/>
      </c>
      <c r="O51" s="11">
        <f>Goblin!B9</f>
        <v/>
      </c>
      <c r="P51" s="18">
        <f>IF(TODAY() - O51 &gt;= 28, "Yes", "No")</f>
        <v/>
      </c>
    </row>
    <row r="52">
      <c r="C52" s="18">
        <f>'I95'!B1</f>
        <v/>
      </c>
      <c r="D52" s="18">
        <f>'I95'!B2</f>
        <v/>
      </c>
      <c r="E52" s="18">
        <f>'I95'!B5</f>
        <v/>
      </c>
      <c r="F52" s="28">
        <f>'I95'!B11</f>
        <v/>
      </c>
      <c r="G52" s="18">
        <f>'I95'!B8</f>
        <v/>
      </c>
      <c r="H52" s="18">
        <f>SUM(D52,F52,G52)</f>
        <v/>
      </c>
      <c r="I52" s="11">
        <f>'I95'!B3</f>
        <v/>
      </c>
      <c r="J52" s="18">
        <f>IF(TODAY() - I52 &gt;= 21, "Yes", "No")</f>
        <v/>
      </c>
      <c r="K52" s="11">
        <f>'I95'!B6</f>
        <v/>
      </c>
      <c r="L52" s="18">
        <f>IF(TODAY() - K52 &gt;= 28, "Yes", "No")</f>
        <v/>
      </c>
      <c r="M52" s="11">
        <f>'I95'!B12</f>
        <v/>
      </c>
      <c r="N52" s="18">
        <f>IF(TODAY() - M52 &gt;= 28, "Yes", "No")</f>
        <v/>
      </c>
      <c r="O52" s="11">
        <f>'I95'!B9</f>
        <v/>
      </c>
      <c r="P52" s="18">
        <f>IF(TODAY() - O52 &gt;= 28, "Yes", "No")</f>
        <v/>
      </c>
    </row>
    <row r="53">
      <c r="C53" s="18">
        <f>'Apple Fritter'!B1</f>
        <v/>
      </c>
      <c r="D53" s="18">
        <f>'Apple Fritter'!B2</f>
        <v/>
      </c>
      <c r="E53" s="18">
        <f>'Apple Fritter'!B5</f>
        <v/>
      </c>
      <c r="F53" s="18">
        <f>'Apple Fritter'!B11</f>
        <v/>
      </c>
      <c r="G53" s="18">
        <f>'Apple Fritter'!B8</f>
        <v/>
      </c>
      <c r="H53" s="18">
        <f>SUM(D53,F53,G53)</f>
        <v/>
      </c>
      <c r="I53" s="11">
        <f>'Apple Fritter'!B3</f>
        <v/>
      </c>
      <c r="J53" s="18">
        <f>IF(TODAY() - I53 &gt;= 21, "Yes", "No")</f>
        <v/>
      </c>
      <c r="K53" s="11">
        <f>'Apple Fritter'!B6</f>
        <v/>
      </c>
      <c r="L53" s="18">
        <f>IF(TODAY() - K53 &gt;= 28, "Yes", "No")</f>
        <v/>
      </c>
      <c r="M53" s="11">
        <f>'Apple Fritter'!B12</f>
        <v/>
      </c>
      <c r="N53" s="18">
        <f>IF(TODAY() - M53 &gt;= 28, "Yes", "No")</f>
        <v/>
      </c>
      <c r="O53" s="11">
        <f>'Apple Fritter'!B9</f>
        <v/>
      </c>
      <c r="P53" s="18">
        <f>IF(TODAY() - O53 &gt;= 28, "Yes", "No")</f>
        <v/>
      </c>
    </row>
    <row r="54">
      <c r="C54" s="18">
        <f>Orangeade!B1</f>
        <v/>
      </c>
      <c r="D54" s="18">
        <f>Orangeade!B2</f>
        <v/>
      </c>
      <c r="E54" s="18">
        <f>Orangeade!B5</f>
        <v/>
      </c>
      <c r="F54" s="18">
        <f>Orangeade!B11</f>
        <v/>
      </c>
      <c r="G54" s="18">
        <f>Orangeade!B8</f>
        <v/>
      </c>
      <c r="H54" s="18">
        <f>SUM(D54,F54,G54)</f>
        <v/>
      </c>
      <c r="I54" s="11">
        <f>Orangeade!B3</f>
        <v/>
      </c>
      <c r="J54" s="18">
        <f>IF(TODAY() - I54 &gt;= 21, "Yes", "No")</f>
        <v/>
      </c>
      <c r="K54" s="11">
        <f>Orangeade!B6</f>
        <v/>
      </c>
      <c r="L54" s="18">
        <f>IF(TODAY() - K54 &gt;= 28, "Yes", "No")</f>
        <v/>
      </c>
      <c r="M54" s="11">
        <f>Orangeade!B12</f>
        <v/>
      </c>
      <c r="N54" s="18">
        <f>IF(TODAY() - M54 &gt;= 28, "Yes", "No")</f>
        <v/>
      </c>
      <c r="O54" s="11">
        <f>Orangeade!B9</f>
        <v/>
      </c>
      <c r="P54" s="18">
        <f>IF(TODAY() - O54 &gt;= 28, "Yes", "No")</f>
        <v/>
      </c>
    </row>
    <row r="55">
      <c r="C55" s="18">
        <f>'Wedding Pie'!B1</f>
        <v/>
      </c>
      <c r="D55" s="18">
        <f>'Wedding Pie'!B2</f>
        <v/>
      </c>
      <c r="E55" s="18">
        <f>'Wedding Pie'!B5</f>
        <v/>
      </c>
      <c r="F55" s="18">
        <f>'Wedding Pie'!B11</f>
        <v/>
      </c>
      <c r="G55" s="18">
        <f>'Wedding Pie'!B8</f>
        <v/>
      </c>
      <c r="H55" s="18" t="n"/>
      <c r="I55" s="11">
        <f>'Wedding Pie'!B3</f>
        <v/>
      </c>
      <c r="J55" s="18">
        <f>IF(TODAY() - I55 &gt;= 21, "Yes", "No")</f>
        <v/>
      </c>
      <c r="K55" s="11">
        <f>'Wedding Pie'!B6</f>
        <v/>
      </c>
      <c r="L55" s="18">
        <f>IF(TODAY() - K55 &gt;= 28, "Yes", "No")</f>
        <v/>
      </c>
      <c r="M55" s="11">
        <f>'Wedding Pie'!B12</f>
        <v/>
      </c>
      <c r="N55" s="18">
        <f>IF(TODAY() - M55 &gt;= 28, "Yes", "No")</f>
        <v/>
      </c>
      <c r="O55" s="11">
        <f>'Wedding Pie'!B9</f>
        <v/>
      </c>
      <c r="P55" s="18">
        <f>IF(TODAY() - O55 &gt;= 28, "Yes", "No")</f>
        <v/>
      </c>
    </row>
    <row r="56">
      <c r="C56" s="18">
        <f>SFV!B1</f>
        <v/>
      </c>
      <c r="D56" s="18">
        <f>SFV!B2</f>
        <v/>
      </c>
      <c r="E56" s="18">
        <f>SFV!B5</f>
        <v/>
      </c>
      <c r="F56" s="18">
        <f>SFV!B11</f>
        <v/>
      </c>
      <c r="G56" s="18">
        <f>SFV!B8</f>
        <v/>
      </c>
      <c r="H56" s="18" t="n"/>
      <c r="I56" s="11">
        <f>SFV!B3</f>
        <v/>
      </c>
      <c r="J56" s="18">
        <f>IF(TODAY() - I56 &gt;= 21, "Yes", "No")</f>
        <v/>
      </c>
      <c r="K56" s="11">
        <f>SFV!B6</f>
        <v/>
      </c>
      <c r="L56" s="18">
        <f>IF(TODAY() - K56 &gt;= 28, "Yes", "No")</f>
        <v/>
      </c>
      <c r="M56" s="11">
        <f>SFV!B12</f>
        <v/>
      </c>
      <c r="N56" s="18">
        <f>IF(TODAY() - M56 &gt;= 28, "Yes", "No")</f>
        <v/>
      </c>
      <c r="O56" s="11">
        <f>SFV!B9</f>
        <v/>
      </c>
      <c r="P56" s="18">
        <f>IF(TODAY() - O56 &gt;= 28, "Yes", "No")</f>
        <v/>
      </c>
    </row>
    <row r="57">
      <c r="C57" s="18">
        <f>Bazooka!B1</f>
        <v/>
      </c>
      <c r="D57" s="18">
        <f>Bazooka!B2</f>
        <v/>
      </c>
      <c r="E57" s="18">
        <f>Bazooka!B5</f>
        <v/>
      </c>
      <c r="F57" s="18">
        <f>Bazooka!B11</f>
        <v/>
      </c>
      <c r="G57" s="18">
        <f>Bazooka!B8</f>
        <v/>
      </c>
      <c r="H57" s="18">
        <f>SUM(D57:G57)</f>
        <v/>
      </c>
      <c r="I57" s="18">
        <f>Bazooka!D3</f>
        <v/>
      </c>
      <c r="J57" s="18">
        <f>IF(TODAY() - I57 &gt;= 21, "Yes", "No")</f>
        <v/>
      </c>
      <c r="K57" s="18">
        <f>Bazooka!B6</f>
        <v/>
      </c>
      <c r="L57" s="18">
        <f>IF(TODAY() - K57 &gt;= 21, "Yes", "No")</f>
        <v/>
      </c>
      <c r="M57" s="18">
        <f>Bazooka!B12</f>
        <v/>
      </c>
      <c r="N57" s="18">
        <f>IF(TODAY() - M57 &gt;= 21, "Yes", "No")</f>
        <v/>
      </c>
      <c r="O57" s="18">
        <f>Bazooka!B9</f>
        <v/>
      </c>
      <c r="P57" s="18">
        <f>IF(TODAY() - O57 &gt;= 21, "Yes", "No")</f>
        <v/>
      </c>
    </row>
    <row r="58">
      <c r="C58" s="18">
        <f>'Pink Grapes'!B1</f>
        <v/>
      </c>
      <c r="D58" s="18">
        <f>'Pink Grapes'!B2</f>
        <v/>
      </c>
      <c r="E58" s="18">
        <f>'Pink Grapes'!B5</f>
        <v/>
      </c>
      <c r="F58" s="18">
        <f>'Pink Grapes'!B11</f>
        <v/>
      </c>
      <c r="G58" s="18">
        <f>'Pink Grapes'!B8</f>
        <v/>
      </c>
      <c r="H58" s="18">
        <f>SUM(D58:G58)</f>
        <v/>
      </c>
      <c r="I58" s="18">
        <f>'Pink Grapes'!D3</f>
        <v/>
      </c>
      <c r="J58" s="18">
        <f>IF(TODAY() - I58 &gt;= 21, "Yes", "No")</f>
        <v/>
      </c>
      <c r="K58" s="18">
        <f>'Pink Grapes'!B6</f>
        <v/>
      </c>
      <c r="L58" s="18">
        <f>IF(TODAY() - K58 &gt;= 21, "Yes", "No")</f>
        <v/>
      </c>
      <c r="M58" s="18">
        <f>'Pink Grapes'!B12</f>
        <v/>
      </c>
      <c r="N58" s="18">
        <f>IF(TODAY() - M58 &gt;= 21, "Yes", "No")</f>
        <v/>
      </c>
      <c r="O58" s="18">
        <f>'Pink Grapes'!B9</f>
        <v/>
      </c>
      <c r="P58" s="18">
        <f>IF(TODAY() - O58 &gt;= 21, "Yes", "No")</f>
        <v/>
      </c>
    </row>
    <row r="59">
      <c r="C59" s="18">
        <f>'Grape Pie'!B1</f>
        <v/>
      </c>
      <c r="D59" s="18">
        <f>'Grape Pie'!B2</f>
        <v/>
      </c>
      <c r="E59" s="18">
        <f>'Grape Pie'!B5</f>
        <v/>
      </c>
      <c r="F59" s="18">
        <f>'Grape Pie'!B11</f>
        <v/>
      </c>
      <c r="G59" s="18">
        <f>'Grape Pie'!B8</f>
        <v/>
      </c>
      <c r="H59" s="18">
        <f>SUM(D59:G59)</f>
        <v/>
      </c>
      <c r="I59" s="18">
        <f>'Grape Pie'!D3</f>
        <v/>
      </c>
      <c r="J59" s="18">
        <f>IF(TODAY() - I59 &gt;= 21, "Yes", "No")</f>
        <v/>
      </c>
      <c r="K59" s="18">
        <f>'Grape Pie'!B6</f>
        <v/>
      </c>
      <c r="L59" s="18">
        <f>IF(TODAY() - K59 &gt;= 21, "Yes", "No")</f>
        <v/>
      </c>
      <c r="M59" s="18">
        <f>'Grape Pie'!B12</f>
        <v/>
      </c>
      <c r="N59" s="18">
        <f>IF(TODAY() - M59 &gt;= 21, "Yes", "No")</f>
        <v/>
      </c>
      <c r="O59" s="18">
        <f>'Grape Pie'!B9</f>
        <v/>
      </c>
      <c r="P59" s="18">
        <f>IF(TODAY() - O59 &gt;= 21, "Yes", "No")</f>
        <v/>
      </c>
    </row>
    <row r="60">
      <c r="C60" s="18">
        <f>'Vapor Fuel'!B1</f>
        <v/>
      </c>
      <c r="D60" s="18">
        <f>'Vapor Fuel'!B2</f>
        <v/>
      </c>
      <c r="E60" s="18">
        <f>'Vapor Fuel'!B5</f>
        <v/>
      </c>
      <c r="F60" s="18">
        <f>'Vapor Fuel'!B11</f>
        <v/>
      </c>
      <c r="G60" s="18">
        <f>'Vapor Fuel'!B8</f>
        <v/>
      </c>
      <c r="H60" s="18">
        <f>SUM(D60:G60)</f>
        <v/>
      </c>
      <c r="I60" s="18">
        <f>'Vapor Fuel'!D3</f>
        <v/>
      </c>
      <c r="J60" s="18">
        <f>IF(TODAY() - I60 &gt;= 21, "Yes", "No")</f>
        <v/>
      </c>
      <c r="K60" s="18">
        <f>'Vapor Fuel'!B6</f>
        <v/>
      </c>
      <c r="L60" s="18">
        <f>IF(TODAY() - K60 &gt;= 21, "Yes", "No")</f>
        <v/>
      </c>
      <c r="M60" s="18">
        <f>'Vapor Fuel'!B12</f>
        <v/>
      </c>
      <c r="N60" s="18">
        <f>IF(TODAY() - M60 &gt;= 21, "Yes", "No")</f>
        <v/>
      </c>
      <c r="O60" s="18">
        <f>'Vapor Fuel'!B9</f>
        <v/>
      </c>
      <c r="P60" s="18">
        <f>IF(TODAY() - O60 &gt;= 21, "Yes", "No")</f>
        <v/>
      </c>
    </row>
    <row r="61">
      <c r="C61" s="18">
        <f>'Lemon Gelato'!B1</f>
        <v/>
      </c>
      <c r="D61" s="18">
        <f>'Lemon Gelato'!B2</f>
        <v/>
      </c>
      <c r="E61" s="18">
        <f>'Lemon Gelato'!B5</f>
        <v/>
      </c>
      <c r="F61" s="18">
        <f>'Lemon Gelato'!B11</f>
        <v/>
      </c>
      <c r="G61" s="18">
        <f>'Lemon Gelato'!B8</f>
        <v/>
      </c>
      <c r="H61" s="18">
        <f>SUM(D61:G61)</f>
        <v/>
      </c>
      <c r="I61" s="18">
        <f>'Lemon Gelato'!D3</f>
        <v/>
      </c>
      <c r="J61" s="18">
        <f>IF(TODAY() - I61 &gt;= 21, "Yes", "No")</f>
        <v/>
      </c>
      <c r="K61" s="18">
        <f>'Lemon Gelato'!B6</f>
        <v/>
      </c>
      <c r="L61" s="18">
        <f>IF(TODAY() - K61 &gt;= 21, "Yes", "No")</f>
        <v/>
      </c>
      <c r="M61" s="18">
        <f>'Lemon Gelato'!B12</f>
        <v/>
      </c>
      <c r="N61" s="18">
        <f>IF(TODAY() - M61 &gt;= 21, "Yes", "No")</f>
        <v/>
      </c>
      <c r="O61" s="18">
        <f>'Lemon Gelato'!B9</f>
        <v/>
      </c>
      <c r="P61" s="18">
        <f>IF(TODAY() - O61 &gt;= 21, "Yes", "No")</f>
        <v/>
      </c>
    </row>
    <row r="62"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</row>
    <row r="63"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</row>
  </sheetData>
  <conditionalFormatting sqref="N6:N8">
    <cfRule type="containsText" priority="73" operator="containsText" dxfId="0" text="Yes">
      <formula>NOT(ISERROR(SEARCH("Yes",N6)))</formula>
    </cfRule>
    <cfRule type="containsText" priority="74" operator="containsText" dxfId="1" text="No">
      <formula>NOT(ISERROR(SEARCH("No",N6)))</formula>
    </cfRule>
  </conditionalFormatting>
  <conditionalFormatting sqref="N2">
    <cfRule type="containsText" priority="71" operator="containsText" dxfId="0" text="Yes">
      <formula>NOT(ISERROR(SEARCH("Yes",N2)))</formula>
    </cfRule>
    <cfRule type="containsText" priority="72" operator="containsText" dxfId="1" text="No">
      <formula>NOT(ISERROR(SEARCH("No",N2)))</formula>
    </cfRule>
  </conditionalFormatting>
  <conditionalFormatting sqref="L4">
    <cfRule type="containsText" priority="69" operator="containsText" dxfId="0" text="Yes">
      <formula>NOT(ISERROR(SEARCH("Yes",L4)))</formula>
    </cfRule>
    <cfRule type="containsText" priority="70" operator="containsText" dxfId="1" text="No">
      <formula>NOT(ISERROR(SEARCH("No",L4)))</formula>
    </cfRule>
  </conditionalFormatting>
  <conditionalFormatting sqref="N4">
    <cfRule type="containsText" priority="67" operator="containsText" dxfId="0" text="Yes">
      <formula>NOT(ISERROR(SEARCH("Yes",N4)))</formula>
    </cfRule>
    <cfRule type="containsText" priority="68" operator="containsText" dxfId="1" text="No">
      <formula>NOT(ISERROR(SEARCH("No",N4)))</formula>
    </cfRule>
  </conditionalFormatting>
  <conditionalFormatting sqref="L10:L11">
    <cfRule type="containsText" priority="65" operator="containsText" dxfId="0" text="Yes">
      <formula>NOT(ISERROR(SEARCH("Yes",L10)))</formula>
    </cfRule>
    <cfRule type="containsText" priority="66" operator="containsText" dxfId="1" text="No">
      <formula>NOT(ISERROR(SEARCH("No",L10)))</formula>
    </cfRule>
  </conditionalFormatting>
  <conditionalFormatting sqref="N10:N11">
    <cfRule type="containsText" priority="63" operator="containsText" dxfId="0" text="Yes">
      <formula>NOT(ISERROR(SEARCH("Yes",N10)))</formula>
    </cfRule>
    <cfRule type="containsText" priority="64" operator="containsText" dxfId="1" text="No">
      <formula>NOT(ISERROR(SEARCH("No",N10)))</formula>
    </cfRule>
  </conditionalFormatting>
  <conditionalFormatting sqref="L9">
    <cfRule type="containsText" priority="61" operator="containsText" dxfId="0" text="Yes">
      <formula>NOT(ISERROR(SEARCH("Yes",L9)))</formula>
    </cfRule>
    <cfRule type="containsText" priority="62" operator="containsText" dxfId="1" text="No">
      <formula>NOT(ISERROR(SEARCH("No",L9)))</formula>
    </cfRule>
  </conditionalFormatting>
  <conditionalFormatting sqref="N9">
    <cfRule type="containsText" priority="59" operator="containsText" dxfId="0" text="Yes">
      <formula>NOT(ISERROR(SEARCH("Yes",N9)))</formula>
    </cfRule>
    <cfRule type="containsText" priority="60" operator="containsText" dxfId="1" text="No">
      <formula>NOT(ISERROR(SEARCH("No",N9)))</formula>
    </cfRule>
  </conditionalFormatting>
  <conditionalFormatting sqref="L12:L15">
    <cfRule type="containsText" priority="57" operator="containsText" dxfId="0" text="Yes">
      <formula>NOT(ISERROR(SEARCH("Yes",L12)))</formula>
    </cfRule>
    <cfRule type="containsText" priority="58" operator="containsText" dxfId="1" text="No">
      <formula>NOT(ISERROR(SEARCH("No",L12)))</formula>
    </cfRule>
  </conditionalFormatting>
  <conditionalFormatting sqref="N12:N15">
    <cfRule type="containsText" priority="55" operator="containsText" dxfId="0" text="Yes">
      <formula>NOT(ISERROR(SEARCH("Yes",N12)))</formula>
    </cfRule>
    <cfRule type="containsText" priority="56" operator="containsText" dxfId="1" text="No">
      <formula>NOT(ISERROR(SEARCH("No",N12)))</formula>
    </cfRule>
  </conditionalFormatting>
  <conditionalFormatting sqref="L17:L18">
    <cfRule type="containsText" priority="53" operator="containsText" dxfId="0" text="Yes">
      <formula>NOT(ISERROR(SEARCH("Yes",L17)))</formula>
    </cfRule>
    <cfRule type="containsText" priority="54" operator="containsText" dxfId="1" text="No">
      <formula>NOT(ISERROR(SEARCH("No",L17)))</formula>
    </cfRule>
  </conditionalFormatting>
  <conditionalFormatting sqref="N17:N19">
    <cfRule type="containsText" priority="51" operator="containsText" dxfId="0" text="Yes">
      <formula>NOT(ISERROR(SEARCH("Yes",N17)))</formula>
    </cfRule>
    <cfRule type="containsText" priority="52" operator="containsText" dxfId="1" text="No">
      <formula>NOT(ISERROR(SEARCH("No",N17)))</formula>
    </cfRule>
  </conditionalFormatting>
  <conditionalFormatting sqref="L16">
    <cfRule type="containsText" priority="49" operator="containsText" dxfId="0" text="Yes">
      <formula>NOT(ISERROR(SEARCH("Yes",L16)))</formula>
    </cfRule>
    <cfRule type="containsText" priority="50" operator="containsText" dxfId="1" text="No">
      <formula>NOT(ISERROR(SEARCH("No",L16)))</formula>
    </cfRule>
  </conditionalFormatting>
  <conditionalFormatting sqref="N16">
    <cfRule type="containsText" priority="47" operator="containsText" dxfId="0" text="Yes">
      <formula>NOT(ISERROR(SEARCH("Yes",N16)))</formula>
    </cfRule>
    <cfRule type="containsText" priority="48" operator="containsText" dxfId="1" text="No">
      <formula>NOT(ISERROR(SEARCH("No",N16)))</formula>
    </cfRule>
  </conditionalFormatting>
  <conditionalFormatting sqref="L20:L21">
    <cfRule type="containsText" priority="45" operator="containsText" dxfId="0" text="Yes">
      <formula>NOT(ISERROR(SEARCH("Yes",L20)))</formula>
    </cfRule>
    <cfRule type="containsText" priority="46" operator="containsText" dxfId="1" text="No">
      <formula>NOT(ISERROR(SEARCH("No",L20)))</formula>
    </cfRule>
  </conditionalFormatting>
  <conditionalFormatting sqref="N20:N21">
    <cfRule type="containsText" priority="43" operator="containsText" dxfId="0" text="Yes">
      <formula>NOT(ISERROR(SEARCH("Yes",N20)))</formula>
    </cfRule>
    <cfRule type="containsText" priority="44" operator="containsText" dxfId="1" text="No">
      <formula>NOT(ISERROR(SEARCH("No",N20)))</formula>
    </cfRule>
  </conditionalFormatting>
  <conditionalFormatting sqref="L22">
    <cfRule type="containsText" priority="41" operator="containsText" dxfId="0" text="Yes">
      <formula>NOT(ISERROR(SEARCH("Yes",L22)))</formula>
    </cfRule>
    <cfRule type="containsText" priority="42" operator="containsText" dxfId="1" text="No">
      <formula>NOT(ISERROR(SEARCH("No",L22)))</formula>
    </cfRule>
  </conditionalFormatting>
  <conditionalFormatting sqref="N22">
    <cfRule type="containsText" priority="39" operator="containsText" dxfId="0" text="Yes">
      <formula>NOT(ISERROR(SEARCH("Yes",N22)))</formula>
    </cfRule>
    <cfRule type="containsText" priority="40" operator="containsText" dxfId="1" text="No">
      <formula>NOT(ISERROR(SEARCH("No",N22)))</formula>
    </cfRule>
  </conditionalFormatting>
  <conditionalFormatting sqref="L23">
    <cfRule type="containsText" priority="37" operator="containsText" dxfId="0" text="Yes">
      <formula>NOT(ISERROR(SEARCH("Yes",L23)))</formula>
    </cfRule>
    <cfRule type="containsText" priority="38" operator="containsText" dxfId="1" text="No">
      <formula>NOT(ISERROR(SEARCH("No",L23)))</formula>
    </cfRule>
  </conditionalFormatting>
  <conditionalFormatting sqref="N23">
    <cfRule type="containsText" priority="35" operator="containsText" dxfId="0" text="Yes">
      <formula>NOT(ISERROR(SEARCH("Yes",N23)))</formula>
    </cfRule>
    <cfRule type="containsText" priority="36" operator="containsText" dxfId="1" text="No">
      <formula>NOT(ISERROR(SEARCH("No",N23)))</formula>
    </cfRule>
  </conditionalFormatting>
  <conditionalFormatting sqref="L26">
    <cfRule type="containsText" priority="33" operator="containsText" dxfId="0" text="Yes">
      <formula>NOT(ISERROR(SEARCH("Yes",L26)))</formula>
    </cfRule>
    <cfRule type="containsText" priority="34" operator="containsText" dxfId="1" text="No">
      <formula>NOT(ISERROR(SEARCH("No",L26)))</formula>
    </cfRule>
  </conditionalFormatting>
  <conditionalFormatting sqref="N26">
    <cfRule type="containsText" priority="31" operator="containsText" dxfId="0" text="Yes">
      <formula>NOT(ISERROR(SEARCH("Yes",N26)))</formula>
    </cfRule>
    <cfRule type="containsText" priority="32" operator="containsText" dxfId="1" text="No">
      <formula>NOT(ISERROR(SEARCH("No",N26)))</formula>
    </cfRule>
  </conditionalFormatting>
  <conditionalFormatting sqref="L25">
    <cfRule type="containsText" priority="29" operator="containsText" dxfId="0" text="Yes">
      <formula>NOT(ISERROR(SEARCH("Yes",L25)))</formula>
    </cfRule>
    <cfRule type="containsText" priority="30" operator="containsText" dxfId="1" text="No">
      <formula>NOT(ISERROR(SEARCH("No",L25)))</formula>
    </cfRule>
  </conditionalFormatting>
  <conditionalFormatting sqref="N25">
    <cfRule type="containsText" priority="27" operator="containsText" dxfId="0" text="Yes">
      <formula>NOT(ISERROR(SEARCH("Yes",N25)))</formula>
    </cfRule>
    <cfRule type="containsText" priority="28" operator="containsText" dxfId="1" text="No">
      <formula>NOT(ISERROR(SEARCH("No",N25)))</formula>
    </cfRule>
  </conditionalFormatting>
  <conditionalFormatting sqref="L24">
    <cfRule type="containsText" priority="25" operator="containsText" dxfId="0" text="Yes">
      <formula>NOT(ISERROR(SEARCH("Yes",L24)))</formula>
    </cfRule>
    <cfRule type="containsText" priority="26" operator="containsText" dxfId="1" text="No">
      <formula>NOT(ISERROR(SEARCH("No",L24)))</formula>
    </cfRule>
  </conditionalFormatting>
  <conditionalFormatting sqref="N24">
    <cfRule type="containsText" priority="23" operator="containsText" dxfId="0" text="Yes">
      <formula>NOT(ISERROR(SEARCH("Yes",N24)))</formula>
    </cfRule>
    <cfRule type="containsText" priority="24" operator="containsText" dxfId="1" text="No">
      <formula>NOT(ISERROR(SEARCH("No",N24)))</formula>
    </cfRule>
  </conditionalFormatting>
  <conditionalFormatting sqref="L2">
    <cfRule type="containsText" priority="21" operator="containsText" dxfId="0" text="Yes">
      <formula>NOT(ISERROR(SEARCH("Yes",L2)))</formula>
    </cfRule>
    <cfRule type="containsText" priority="22" operator="containsText" dxfId="1" text="No">
      <formula>NOT(ISERROR(SEARCH("No",L2)))</formula>
    </cfRule>
  </conditionalFormatting>
  <conditionalFormatting sqref="L8">
    <cfRule type="containsText" priority="19" operator="containsText" dxfId="0" text="Yes">
      <formula>NOT(ISERROR(SEARCH("Yes",L8)))</formula>
    </cfRule>
    <cfRule type="containsText" priority="20" operator="containsText" dxfId="1" text="No">
      <formula>NOT(ISERROR(SEARCH("No",L8)))</formula>
    </cfRule>
  </conditionalFormatting>
  <conditionalFormatting sqref="L27">
    <cfRule type="containsText" priority="17" operator="containsText" dxfId="0" text="Yes">
      <formula>NOT(ISERROR(SEARCH("Yes",L27)))</formula>
    </cfRule>
    <cfRule type="containsText" priority="18" operator="containsText" dxfId="1" text="No">
      <formula>NOT(ISERROR(SEARCH("No",L27)))</formula>
    </cfRule>
  </conditionalFormatting>
  <conditionalFormatting sqref="N27">
    <cfRule type="containsText" priority="15" operator="containsText" dxfId="0" text="Yes">
      <formula>NOT(ISERROR(SEARCH("Yes",N27)))</formula>
    </cfRule>
    <cfRule type="containsText" priority="16" operator="containsText" dxfId="1" text="No">
      <formula>NOT(ISERROR(SEARCH("No",N27)))</formula>
    </cfRule>
  </conditionalFormatting>
  <conditionalFormatting sqref="L28">
    <cfRule type="containsText" priority="13" operator="containsText" dxfId="0" text="Yes">
      <formula>NOT(ISERROR(SEARCH("Yes",L28)))</formula>
    </cfRule>
    <cfRule type="containsText" priority="14" operator="containsText" dxfId="1" text="No">
      <formula>NOT(ISERROR(SEARCH("No",L28)))</formula>
    </cfRule>
  </conditionalFormatting>
  <conditionalFormatting sqref="N28">
    <cfRule type="containsText" priority="11" operator="containsText" dxfId="0" text="Yes">
      <formula>NOT(ISERROR(SEARCH("Yes",N28)))</formula>
    </cfRule>
    <cfRule type="containsText" priority="12" operator="containsText" dxfId="1" text="No">
      <formula>NOT(ISERROR(SEARCH("No",N28)))</formula>
    </cfRule>
  </conditionalFormatting>
  <conditionalFormatting sqref="L29:L56">
    <cfRule type="containsText" priority="9" operator="containsText" dxfId="0" text="Yes">
      <formula>NOT(ISERROR(SEARCH("Yes",L29)))</formula>
    </cfRule>
  </conditionalFormatting>
  <conditionalFormatting sqref="N29:N56">
    <cfRule type="containsText" priority="7" operator="containsText" dxfId="0" text="Yes">
      <formula>NOT(ISERROR(SEARCH("Yes",N29)))</formula>
    </cfRule>
    <cfRule type="containsText" priority="8" operator="containsText" dxfId="1" text="No">
      <formula>NOT(ISERROR(SEARCH("No",N29)))</formula>
    </cfRule>
  </conditionalFormatting>
  <conditionalFormatting sqref="L29:L90">
    <cfRule type="containsText" priority="10" operator="containsText" dxfId="1" text="No">
      <formula>NOT(ISERROR(SEARCH("No",L29)))</formula>
    </cfRule>
  </conditionalFormatting>
  <conditionalFormatting sqref="J2:J96 P2:P96">
    <cfRule type="containsText" priority="171" operator="containsText" dxfId="1" text="No">
      <formula>NOT(ISERROR(SEARCH("No",J2)))</formula>
    </cfRule>
    <cfRule type="containsText" priority="170" operator="containsText" dxfId="0" text="Yes">
      <formula>NOT(ISERROR(SEARCH("Yes",J2)))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AC18"/>
  <sheetViews>
    <sheetView topLeftCell="D1" zoomScale="110" zoomScaleNormal="110" workbookViewId="0">
      <selection activeCell="P14" sqref="P14"/>
    </sheetView>
  </sheetViews>
  <sheetFormatPr baseColWidth="8" defaultRowHeight="14.4"/>
  <cols>
    <col width="21.88671875" bestFit="1" customWidth="1" style="27" min="1" max="1"/>
    <col width="22.10937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14.6640625" bestFit="1" customWidth="1" style="27" min="16" max="16"/>
    <col width="10.6640625" bestFit="1" customWidth="1" style="27" min="17" max="17"/>
    <col width="10.6640625" bestFit="1" customWidth="1" style="27" min="21" max="21"/>
  </cols>
  <sheetData>
    <row r="1" ht="18" customHeight="1" s="27">
      <c r="A1" s="2" t="inlineStr">
        <is>
          <t>Strain Name:</t>
        </is>
      </c>
      <c r="B1" s="3" t="inlineStr">
        <is>
          <t>Purple Punch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44487</v>
      </c>
      <c r="E3" s="18" t="n">
        <v>200</v>
      </c>
      <c r="F3" s="18">
        <f>TODAY()-D3</f>
        <v/>
      </c>
      <c r="G3" s="18">
        <f>IF(F3&gt;21, "Yes", "No")</f>
        <v/>
      </c>
      <c r="H3" s="11" t="n">
        <v>44600</v>
      </c>
      <c r="I3" s="18">
        <f>5</f>
        <v/>
      </c>
      <c r="J3" s="18">
        <f>TODAY()-H3</f>
        <v/>
      </c>
      <c r="K3" s="18">
        <f>IF(J3&gt;21, "Yes", "No")</f>
        <v/>
      </c>
      <c r="L3" s="11" t="n">
        <v>44508</v>
      </c>
      <c r="M3" s="18">
        <f>121+41</f>
        <v/>
      </c>
      <c r="N3" s="18">
        <f>TODAY()-L3</f>
        <v/>
      </c>
      <c r="O3" s="18">
        <f>IF(N3&gt;21, "Yes", "No")</f>
        <v/>
      </c>
      <c r="P3" s="11" t="n">
        <v>44587</v>
      </c>
      <c r="Q3" s="18">
        <f>3+2+2+2+1</f>
        <v/>
      </c>
      <c r="R3" s="18">
        <f>TODAY()-P3</f>
        <v/>
      </c>
      <c r="S3" s="18">
        <f>IF(R3&gt;21, "Yes", "No")</f>
        <v/>
      </c>
      <c r="T3" s="18" t="n"/>
      <c r="U3" s="18" t="n"/>
      <c r="V3" s="18" t="n"/>
      <c r="W3" s="18" t="n"/>
      <c r="Y3" s="12" t="n">
        <v>44533</v>
      </c>
      <c r="Z3" s="18" t="n">
        <v>36</v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8" t="inlineStr">
        <is>
          <t>N/A</t>
        </is>
      </c>
      <c r="G4" s="18" t="inlineStr">
        <is>
          <t>N/A</t>
        </is>
      </c>
      <c r="H4" s="13" t="n"/>
      <c r="I4" s="14" t="n"/>
      <c r="J4" s="14" t="n"/>
      <c r="K4" s="14" t="n"/>
      <c r="L4" s="11" t="n"/>
      <c r="M4" s="18">
        <f>M3-36</f>
        <v/>
      </c>
      <c r="N4" s="18" t="n"/>
      <c r="O4" s="18" t="n"/>
      <c r="P4" s="11" t="n">
        <v>44600</v>
      </c>
      <c r="Q4" s="18">
        <f>10+9+2+19+25</f>
        <v/>
      </c>
      <c r="R4" s="18">
        <f>TODAY()-P4</f>
        <v/>
      </c>
      <c r="S4" s="18">
        <f>IF(R4&gt;21, "Yes", "No")</f>
        <v/>
      </c>
      <c r="T4" s="18" t="n"/>
      <c r="U4" s="18" t="n"/>
      <c r="V4" s="18" t="n"/>
      <c r="W4" s="18" t="n"/>
      <c r="Y4" s="12" t="n">
        <v>44550</v>
      </c>
      <c r="Z4" s="18" t="n"/>
      <c r="AA4" s="18" t="n"/>
      <c r="AB4" s="18">
        <f>21+9+10+5+8</f>
        <v/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M5" s="18">
        <f>M4-53</f>
        <v/>
      </c>
      <c r="N5" s="18" t="n"/>
      <c r="O5" s="18" t="n"/>
      <c r="P5" s="11" t="n"/>
      <c r="Q5" s="18">
        <f>Q4-20-2</f>
        <v/>
      </c>
      <c r="R5" s="18" t="n"/>
      <c r="S5" s="18" t="n"/>
      <c r="T5" s="18" t="n"/>
      <c r="U5" s="18" t="n"/>
      <c r="V5" s="18" t="n"/>
      <c r="W5" s="18" t="n"/>
      <c r="Y5" s="12" t="n">
        <v>44568</v>
      </c>
      <c r="Z5" s="18" t="n"/>
      <c r="AA5" s="18" t="n"/>
      <c r="AB5" s="18" t="n">
        <v>14</v>
      </c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1" t="n">
        <v>44550</v>
      </c>
      <c r="M6" s="18">
        <f>4+4+5+5+3+6+4+5+4+4+4+4+3+3+6+6+4+4+5+4</f>
        <v/>
      </c>
      <c r="N6" s="18">
        <f>TODAY()-L6</f>
        <v/>
      </c>
      <c r="O6" s="18">
        <f>IF(N6&gt;21, "Yes", "No")</f>
        <v/>
      </c>
      <c r="P6" s="11" t="n">
        <v>44651</v>
      </c>
      <c r="Q6" s="18">
        <f>10+4</f>
        <v/>
      </c>
      <c r="R6" s="18">
        <f>TODAY()-P6</f>
        <v/>
      </c>
      <c r="S6" s="18">
        <f>IF(R6&gt;21, "Yes", "No")</f>
        <v/>
      </c>
      <c r="T6" s="18" t="n"/>
      <c r="U6" s="18" t="n"/>
      <c r="V6" s="18" t="n"/>
      <c r="W6" s="18" t="n"/>
      <c r="Y6" s="12" t="n">
        <v>44587</v>
      </c>
      <c r="Z6" s="18" t="n"/>
      <c r="AA6" s="18" t="n"/>
      <c r="AB6" s="18">
        <f>9+8+5+5+5+9</f>
        <v/>
      </c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>
        <f>M6-14</f>
        <v/>
      </c>
      <c r="N7" s="18" t="n"/>
      <c r="O7" s="18" t="n"/>
      <c r="P7" s="11" t="n">
        <v>44692</v>
      </c>
      <c r="Q7" s="18" t="n">
        <v>19</v>
      </c>
      <c r="R7" s="18">
        <f>TODAY()-P7</f>
        <v/>
      </c>
      <c r="S7" s="18">
        <f>IF(R7&gt;21, "Yes", "No")</f>
        <v/>
      </c>
      <c r="T7" s="18" t="n"/>
      <c r="U7" s="18" t="n"/>
      <c r="V7" s="18" t="n"/>
      <c r="W7" s="18" t="n"/>
      <c r="Y7" s="12" t="n">
        <v>44592</v>
      </c>
      <c r="Z7" s="18" t="n"/>
      <c r="AA7" s="18" t="n"/>
      <c r="AB7" s="18" t="n">
        <v>26</v>
      </c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>
        <f>M7+23</f>
        <v/>
      </c>
      <c r="N8" s="18" t="n"/>
      <c r="O8" s="18" t="n"/>
      <c r="P8" s="11" t="n">
        <v>44734</v>
      </c>
      <c r="Q8" s="18" t="n">
        <v>13</v>
      </c>
      <c r="R8" s="18">
        <f>TODAY()-P8</f>
        <v/>
      </c>
      <c r="S8" s="18">
        <f>IF(R8&gt;21, "Yes", "No")</f>
        <v/>
      </c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>
        <f>M8-41</f>
        <v/>
      </c>
      <c r="N9" s="18" t="n"/>
      <c r="O9" s="18" t="n"/>
      <c r="P9" s="11" t="inlineStr">
        <is>
          <t>10/2/2022</t>
        </is>
      </c>
      <c r="Q9" s="18" t="n">
        <v>15</v>
      </c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44587</v>
      </c>
      <c r="M10">
        <f>8+9+9+4+8+9+6</f>
        <v/>
      </c>
      <c r="N10" s="18">
        <f>TODAY()-L10</f>
        <v/>
      </c>
      <c r="O10" s="18">
        <f>IF(N10&gt;21, "Yes", "No")</f>
        <v/>
      </c>
      <c r="P10" t="inlineStr">
        <is>
          <t>10/11/2022</t>
        </is>
      </c>
      <c r="Q10" t="n">
        <v>5</v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M11">
        <f>M10-2-24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  <c r="L12" s="12" t="n">
        <v>44600</v>
      </c>
      <c r="M12">
        <f>8+13+5</f>
        <v/>
      </c>
      <c r="N12" s="18">
        <f>TODAY()-L12</f>
        <v/>
      </c>
      <c r="O12" s="18">
        <f>IF(N12&gt;21, "Yes", "No")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  <c r="M13">
        <f>M12-8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  <c r="L14" s="12" t="n">
        <v>44651</v>
      </c>
      <c r="M14">
        <f>13+4</f>
        <v/>
      </c>
      <c r="N14" s="18">
        <f>TODAY()-L14</f>
        <v/>
      </c>
      <c r="O14" s="18">
        <f>IF(N14&gt;21, "Yes", "No")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  <c r="L15" s="12" t="n">
        <v>44692</v>
      </c>
      <c r="M15" t="n">
        <v>21</v>
      </c>
      <c r="N15" s="18">
        <f>TODAY()-L15</f>
        <v/>
      </c>
      <c r="O15" s="18">
        <f>IF(N15&gt;21, "Yes", "No")</f>
        <v/>
      </c>
    </row>
    <row r="16">
      <c r="L16" s="12" t="n">
        <v>44734</v>
      </c>
      <c r="M16">
        <f>15+24</f>
        <v/>
      </c>
      <c r="N16" s="18">
        <f>TODAY()-L16</f>
        <v/>
      </c>
      <c r="O16" s="18">
        <f>IF(N16&gt;21, "Yes", "No")</f>
        <v/>
      </c>
    </row>
    <row r="17">
      <c r="L17" t="inlineStr">
        <is>
          <t>10/2/2022</t>
        </is>
      </c>
      <c r="M17" t="n">
        <v>44</v>
      </c>
    </row>
    <row r="18">
      <c r="L18" t="inlineStr">
        <is>
          <t>10/11/2022</t>
        </is>
      </c>
      <c r="M18" t="n">
        <v>28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Y12"/>
  <sheetViews>
    <sheetView topLeftCell="B1" zoomScale="110" zoomScaleNormal="110" workbookViewId="0">
      <selection activeCell="H10" sqref="H10"/>
    </sheetView>
  </sheetViews>
  <sheetFormatPr baseColWidth="8" defaultRowHeight="14.4"/>
  <cols>
    <col width="21.88671875" bestFit="1" customWidth="1" style="27" min="1" max="1"/>
    <col width="29.8867187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Cotton Candy Cookies #15</t>
        </is>
      </c>
      <c r="D1" s="4" t="inlineStr">
        <is>
          <t>Stage I</t>
        </is>
      </c>
      <c r="E1" s="18" t="n"/>
      <c r="F1" s="18" t="n"/>
      <c r="G1" s="18" t="n"/>
      <c r="H1" s="5" t="inlineStr">
        <is>
          <t>Stage III</t>
        </is>
      </c>
      <c r="I1" s="18" t="n"/>
      <c r="J1" s="18" t="n"/>
      <c r="K1" s="18" t="n"/>
      <c r="L1" s="21" t="inlineStr">
        <is>
          <t>Stage 2.5</t>
        </is>
      </c>
      <c r="M1" s="18" t="n"/>
      <c r="N1" s="18" t="n"/>
      <c r="O1" s="18" t="n"/>
      <c r="P1" s="6" t="inlineStr">
        <is>
          <t>Stage IV</t>
        </is>
      </c>
      <c r="Q1" s="18" t="n"/>
      <c r="R1" s="18" t="n"/>
      <c r="S1" s="18" t="n"/>
      <c r="V1" s="6" t="inlineStr">
        <is>
          <t>Infection</t>
        </is>
      </c>
      <c r="W1" s="18" t="n"/>
      <c r="X1" s="18" t="n"/>
      <c r="Y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5" t="inlineStr">
        <is>
          <t>Subculture Date</t>
        </is>
      </c>
      <c r="I2" s="5" t="inlineStr">
        <is>
          <t># Explants</t>
        </is>
      </c>
      <c r="J2" s="5" t="inlineStr">
        <is>
          <t># Days in Culture</t>
        </is>
      </c>
      <c r="K2" s="5" t="inlineStr">
        <is>
          <t>Ready</t>
        </is>
      </c>
      <c r="L2" s="21" t="inlineStr">
        <is>
          <t>Subculture Date</t>
        </is>
      </c>
      <c r="M2" s="21" t="inlineStr">
        <is>
          <t># Explants</t>
        </is>
      </c>
      <c r="N2" s="21" t="inlineStr">
        <is>
          <t># Days in Culture</t>
        </is>
      </c>
      <c r="O2" s="21" t="inlineStr">
        <is>
          <t>Ready</t>
        </is>
      </c>
      <c r="P2" s="6" t="inlineStr">
        <is>
          <t>Subculture Date</t>
        </is>
      </c>
      <c r="Q2" s="6" t="inlineStr">
        <is>
          <t># Explants</t>
        </is>
      </c>
      <c r="R2" s="6" t="inlineStr">
        <is>
          <t># Days in Culture</t>
        </is>
      </c>
      <c r="S2" s="6" t="inlineStr">
        <is>
          <t>Ready</t>
        </is>
      </c>
      <c r="U2" s="10" t="inlineStr">
        <is>
          <t>Date</t>
        </is>
      </c>
      <c r="V2" s="6" t="inlineStr">
        <is>
          <t>Stage I</t>
        </is>
      </c>
      <c r="W2" s="6" t="inlineStr">
        <is>
          <t>Stage II</t>
        </is>
      </c>
      <c r="X2" s="6" t="inlineStr">
        <is>
          <t>Stage III</t>
        </is>
      </c>
      <c r="Y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44487</v>
      </c>
      <c r="E3" s="18" t="n">
        <v>40</v>
      </c>
      <c r="F3" s="18">
        <f>TODAY()-D3</f>
        <v/>
      </c>
      <c r="G3" s="18">
        <f>IF(F3&gt;21, "Yes", "No")</f>
        <v/>
      </c>
      <c r="H3" s="11" t="n">
        <v>44508</v>
      </c>
      <c r="I3" s="18" t="n">
        <v>37</v>
      </c>
      <c r="J3" s="18">
        <f>TODAY()-H3</f>
        <v/>
      </c>
      <c r="K3" s="18">
        <f>IF(J3&gt;21, "Yes", "No")</f>
        <v/>
      </c>
      <c r="L3" s="11" t="n">
        <v>44721</v>
      </c>
      <c r="M3" s="18" t="n">
        <v>1</v>
      </c>
      <c r="N3" s="18">
        <f>TODAY()-L3</f>
        <v/>
      </c>
      <c r="O3" s="18">
        <f>IF(N3&gt;21, "Yes", "No")</f>
        <v/>
      </c>
      <c r="P3" s="18" t="n"/>
      <c r="Q3" s="18" t="n"/>
      <c r="R3" s="18" t="n"/>
      <c r="S3" s="18" t="n"/>
      <c r="U3" s="12" t="n">
        <v>44533</v>
      </c>
      <c r="V3" s="18" t="n">
        <v>28</v>
      </c>
      <c r="W3" s="18" t="n"/>
      <c r="X3" s="18" t="n"/>
      <c r="Y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NA</t>
        </is>
      </c>
      <c r="E4" s="14" t="inlineStr">
        <is>
          <t>NA</t>
        </is>
      </c>
      <c r="F4" s="14" t="inlineStr">
        <is>
          <t>NA</t>
        </is>
      </c>
      <c r="G4" s="14" t="inlineStr">
        <is>
          <t>NA</t>
        </is>
      </c>
      <c r="H4" s="11" t="n"/>
      <c r="I4" s="18">
        <f>I3-28</f>
        <v/>
      </c>
      <c r="J4" s="18" t="n"/>
      <c r="K4" s="18" t="n"/>
      <c r="L4" s="11" t="n"/>
      <c r="M4" s="18" t="n"/>
      <c r="N4" s="18" t="n"/>
      <c r="O4" s="18" t="n"/>
      <c r="P4" s="18" t="n"/>
      <c r="Q4" s="18" t="n"/>
      <c r="R4" s="18" t="n"/>
      <c r="S4" s="18" t="n"/>
      <c r="U4" s="12" t="n"/>
      <c r="V4" s="18" t="n"/>
      <c r="W4" s="18" t="n"/>
      <c r="X4" s="18" t="n"/>
      <c r="Y4" s="18" t="n"/>
    </row>
    <row r="5" ht="18" customHeight="1" s="27">
      <c r="A5" s="8" t="inlineStr">
        <is>
          <t>Stage III # Explants:</t>
        </is>
      </c>
      <c r="B5" s="3">
        <f t="array" ref="B5">(IFERROR((LOOKUP(2,1/(I$3:I$100&lt;&gt;""),I$3:I$100)),0))</f>
        <v/>
      </c>
      <c r="D5" s="11" t="n">
        <v>44686</v>
      </c>
      <c r="E5" s="18" t="n">
        <v>112</v>
      </c>
      <c r="F5" s="18">
        <f>TODAY()-D5</f>
        <v/>
      </c>
      <c r="G5" s="18">
        <f>IF(F5&gt;21, "Yes", "No")</f>
        <v/>
      </c>
      <c r="H5" s="11" t="n"/>
      <c r="I5" s="18" t="n">
        <v>27</v>
      </c>
      <c r="J5" s="18" t="n"/>
      <c r="K5" s="18" t="n"/>
      <c r="L5" s="11" t="n"/>
      <c r="M5" s="18" t="n"/>
      <c r="N5" s="18" t="n"/>
      <c r="O5" s="18" t="n"/>
      <c r="P5" s="18" t="n"/>
      <c r="Q5" s="18" t="n"/>
      <c r="R5" s="18" t="n"/>
      <c r="S5" s="18" t="n"/>
      <c r="U5" s="12" t="n"/>
      <c r="V5" s="18" t="n"/>
      <c r="W5" s="18" t="n"/>
      <c r="X5" s="18" t="n"/>
      <c r="Y5" s="18" t="n"/>
    </row>
    <row r="6" ht="18" customHeight="1" s="27">
      <c r="A6" s="8" t="inlineStr">
        <is>
          <t>Stage III Date:</t>
        </is>
      </c>
      <c r="B6" s="9">
        <f t="array" ref="B6">LOOKUP(2,1 / (H$3:H$100 &lt;&gt;""), H$3:H$100)</f>
        <v/>
      </c>
      <c r="D6" s="13" t="inlineStr">
        <is>
          <t>NA</t>
        </is>
      </c>
      <c r="E6" s="14" t="inlineStr">
        <is>
          <t>NA</t>
        </is>
      </c>
      <c r="F6" s="14" t="inlineStr">
        <is>
          <t>NA</t>
        </is>
      </c>
      <c r="G6" s="14" t="inlineStr">
        <is>
          <t>NA</t>
        </is>
      </c>
      <c r="I6" t="n">
        <v>19</v>
      </c>
      <c r="J6" s="18" t="n"/>
      <c r="K6" s="18" t="n"/>
      <c r="L6" s="11" t="n"/>
      <c r="M6" s="18" t="n"/>
      <c r="N6" s="18" t="n"/>
      <c r="O6" s="18" t="n"/>
      <c r="P6" s="18" t="n"/>
      <c r="Q6" s="18" t="n"/>
      <c r="R6" s="18" t="n"/>
      <c r="S6" s="18" t="n"/>
      <c r="U6" s="12" t="n"/>
      <c r="V6" s="18" t="n"/>
      <c r="W6" s="18" t="n"/>
      <c r="X6" s="18" t="n"/>
      <c r="Y6" s="18" t="n"/>
    </row>
    <row r="7" ht="18" customHeight="1" s="27">
      <c r="A7" s="8" t="inlineStr">
        <is>
          <t>Stage III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1" t="n">
        <v>44550</v>
      </c>
      <c r="I7" s="18">
        <f>6+7+4</f>
        <v/>
      </c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V7" s="18" t="n"/>
      <c r="W7" s="18" t="n"/>
      <c r="X7" s="18" t="n"/>
      <c r="Y7" s="18" t="n"/>
    </row>
    <row r="8" ht="18" customHeight="1" s="27">
      <c r="A8" s="22" t="inlineStr">
        <is>
          <t>Stage 2.5 # Explants:</t>
        </is>
      </c>
      <c r="B8" s="3">
        <f t="array" ref="B8">(IFERROR((LOOKUP(2,1/(I$3:I$100&lt;&gt;""),I$3:I$100)),0))</f>
        <v/>
      </c>
      <c r="D8" s="18" t="n"/>
      <c r="E8" s="18" t="n"/>
      <c r="F8" s="18" t="n"/>
      <c r="G8" s="18" t="n"/>
      <c r="H8" s="18" t="n"/>
      <c r="I8" s="18">
        <f>I7+7+12+8+11+6+11</f>
        <v/>
      </c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V8" s="18" t="n"/>
      <c r="W8" s="18" t="n"/>
      <c r="X8" s="18" t="n"/>
      <c r="Y8" s="18" t="n"/>
    </row>
    <row r="9" ht="18" customHeight="1" s="27">
      <c r="A9" s="22" t="inlineStr">
        <is>
          <t>Stage 2.5 Date:</t>
        </is>
      </c>
      <c r="B9" s="9">
        <f t="array" ref="B9">LOOKUP(2,1 / (H$3:H$100 &lt;&gt;""), H$3:H$100)</f>
        <v/>
      </c>
      <c r="D9" s="18" t="n"/>
      <c r="E9" s="18" t="n"/>
      <c r="F9" s="18" t="n"/>
      <c r="G9" s="18" t="n"/>
      <c r="H9" s="11" t="n">
        <v>44721</v>
      </c>
      <c r="I9" s="18" t="n">
        <v>88</v>
      </c>
      <c r="J9" s="18">
        <f>TODAY()-H9</f>
        <v/>
      </c>
      <c r="K9" s="18">
        <f>IF(J9&gt;21, "Yes", "No")</f>
        <v/>
      </c>
      <c r="L9" s="11" t="n"/>
      <c r="M9" s="18" t="n"/>
      <c r="N9" s="18" t="n"/>
      <c r="O9" s="18" t="n"/>
      <c r="P9" s="18" t="n"/>
      <c r="Q9" s="18" t="n"/>
      <c r="R9" s="18" t="n"/>
      <c r="S9" s="18" t="n"/>
      <c r="V9" s="18" t="n"/>
      <c r="W9" s="18" t="n"/>
      <c r="X9" s="18" t="n"/>
      <c r="Y9" s="18" t="n"/>
    </row>
    <row r="10" ht="18" customHeight="1" s="27">
      <c r="A10" s="22" t="inlineStr">
        <is>
          <t>Stage 2.5 Subculture</t>
        </is>
      </c>
      <c r="B10" s="1">
        <f t="array" aca="1" ref="B10" ca="1">LOOKUP(2,1 / (K$3:K$100 &lt;&gt;""), K$3:K$100)</f>
        <v/>
      </c>
    </row>
    <row r="11" ht="18" customHeight="1" s="27">
      <c r="A11" s="2" t="inlineStr">
        <is>
          <t>Stage IV # Explants:</t>
        </is>
      </c>
      <c r="B11" s="3">
        <f>(IFERROR((LOOKUP(2,1/(Q$3:Q$100&lt;&gt;""),Q$3:Q$100)),0))</f>
        <v/>
      </c>
    </row>
    <row r="12" ht="18" customHeight="1" s="27">
      <c r="A12" s="2" t="inlineStr">
        <is>
          <t>Stage IV Date:</t>
        </is>
      </c>
      <c r="B12" s="9">
        <f>LOOKUP(2,1 / (P$3:P$9 &lt;&gt;""), P$3:P$9)</f>
        <v/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AC15"/>
  <sheetViews>
    <sheetView topLeftCell="B1" zoomScale="110" zoomScaleNormal="110" workbookViewId="0">
      <selection activeCell="H11" sqref="H11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10.6640625" bestFit="1" customWidth="1" style="27" min="16" max="17"/>
    <col width="10.6640625" bestFit="1" customWidth="1" style="27" min="21" max="21"/>
  </cols>
  <sheetData>
    <row r="1" ht="18" customHeight="1" s="27">
      <c r="A1" s="2" t="inlineStr">
        <is>
          <t>Strain Name:</t>
        </is>
      </c>
      <c r="B1" s="3" t="inlineStr">
        <is>
          <t>Vanilla Wafer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44488</v>
      </c>
      <c r="E3" s="18" t="n">
        <v>85</v>
      </c>
      <c r="F3" s="18">
        <f>TODAY()-D3</f>
        <v/>
      </c>
      <c r="G3" s="18">
        <f>IF(F3&lt;=21, "No", "Yes" )</f>
        <v/>
      </c>
      <c r="H3" s="11" t="n">
        <v>44592</v>
      </c>
      <c r="I3" s="18">
        <f>10+13</f>
        <v/>
      </c>
      <c r="J3" s="18">
        <f>TODAY()-H3</f>
        <v/>
      </c>
      <c r="K3" s="18">
        <f>IF(J3&lt;=21, "No", "Yes" )</f>
        <v/>
      </c>
      <c r="L3" s="11" t="n">
        <v>44480</v>
      </c>
      <c r="M3" s="18" t="n">
        <v>1</v>
      </c>
      <c r="N3" s="18">
        <f>TODAY()-L3</f>
        <v/>
      </c>
      <c r="O3" s="18">
        <f>IF(N3&lt;=21, "No", "Yes" )</f>
        <v/>
      </c>
      <c r="P3" s="11" t="n">
        <v>44592</v>
      </c>
      <c r="Q3" s="18" t="n">
        <v>6</v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44491</v>
      </c>
      <c r="Z3" s="18" t="n">
        <v>2</v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7" t="n">
        <v>83</v>
      </c>
      <c r="F4" s="14" t="n"/>
      <c r="G4" s="14" t="n"/>
      <c r="H4" s="11" t="n"/>
      <c r="I4" s="18">
        <f>I3-18</f>
        <v/>
      </c>
      <c r="J4" s="18" t="n"/>
      <c r="K4" s="18" t="n"/>
      <c r="L4" s="11" t="n">
        <v>44508</v>
      </c>
      <c r="M4" s="18" t="n">
        <v>71</v>
      </c>
      <c r="N4" s="18">
        <f>TODAY()-L4</f>
        <v/>
      </c>
      <c r="O4" s="18">
        <f>IF(N4&lt;=21, "No", "Yes" )</f>
        <v/>
      </c>
      <c r="P4" s="11" t="n">
        <v>44624</v>
      </c>
      <c r="Q4" s="18" t="n">
        <v>14</v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44533</v>
      </c>
      <c r="Z4" s="18" t="n">
        <v>16</v>
      </c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inlineStr">
        <is>
          <t>N/A</t>
        </is>
      </c>
      <c r="I5" s="18" t="inlineStr">
        <is>
          <t>N/A</t>
        </is>
      </c>
      <c r="J5" s="18" t="inlineStr">
        <is>
          <t>N/A</t>
        </is>
      </c>
      <c r="K5" s="18" t="inlineStr">
        <is>
          <t>N/A</t>
        </is>
      </c>
      <c r="L5" s="11" t="n"/>
      <c r="M5" s="18">
        <f>M4-16</f>
        <v/>
      </c>
      <c r="N5" s="18" t="n"/>
      <c r="O5" s="18" t="n"/>
      <c r="P5" s="11" t="n">
        <v>44670</v>
      </c>
      <c r="Q5" s="18">
        <f>3+3+8+3+3+3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>
        <v>44550</v>
      </c>
      <c r="Z5" s="18" t="n"/>
      <c r="AA5" s="18" t="n"/>
      <c r="AB5" s="18" t="n">
        <v>7</v>
      </c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>
        <f>M5-7</f>
        <v/>
      </c>
      <c r="N6" s="18" t="n"/>
      <c r="O6" s="18" t="n"/>
      <c r="P6" s="11" t="n">
        <v>44706</v>
      </c>
      <c r="Q6" s="18" t="n">
        <v>10</v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>
        <v>44592</v>
      </c>
      <c r="Z6" s="18" t="n"/>
      <c r="AA6" s="18" t="n"/>
      <c r="AB6" s="18" t="n">
        <v>20</v>
      </c>
      <c r="AC6" s="18" t="n"/>
    </row>
    <row r="7" ht="18" customHeight="1" s="27">
      <c r="A7" s="24" t="inlineStr">
        <is>
          <t>Stage II Subculture</t>
        </is>
      </c>
      <c r="B7" s="1">
        <f t="array" ref="B7">LOOKUP(2,1 / (K$3:K$100 &lt;&gt;""), K$3:K$100)</f>
        <v/>
      </c>
      <c r="D7" s="18" t="n"/>
      <c r="E7" s="18" t="n"/>
      <c r="F7" s="18" t="n"/>
      <c r="G7" s="18" t="n"/>
      <c r="H7" s="11" t="n"/>
      <c r="I7" s="18" t="n"/>
      <c r="J7" s="18" t="n"/>
      <c r="K7" s="18" t="n"/>
      <c r="L7" s="11" t="n">
        <v>44550</v>
      </c>
      <c r="M7" s="18">
        <f>5+5+6+5+2+5+10+4+9+5+7+7</f>
        <v/>
      </c>
      <c r="N7" s="18">
        <f>TODAY()-L7</f>
        <v/>
      </c>
      <c r="O7" s="18">
        <f>IF(N7&lt;=21, "No", "Yes" )</f>
        <v/>
      </c>
      <c r="P7" s="11" t="n">
        <v>44732</v>
      </c>
      <c r="Q7" s="18" t="n">
        <v>22</v>
      </c>
      <c r="R7" s="18">
        <f>TODAY()-P7</f>
        <v/>
      </c>
      <c r="S7" s="18">
        <f>IF(R7&lt;=21, "No", "Yes" 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>
        <f>M7-20</f>
        <v/>
      </c>
      <c r="N8" s="18" t="n"/>
      <c r="O8" s="18" t="n"/>
      <c r="P8" s="11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44592</v>
      </c>
      <c r="M9" s="18">
        <f>24+20+15</f>
        <v/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M10">
        <f>M9-4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s="12" t="n">
        <v>44624</v>
      </c>
      <c r="M11">
        <f>36+29</f>
        <v/>
      </c>
      <c r="N11" s="18">
        <f>TODAY()-L11</f>
        <v/>
      </c>
      <c r="O11" s="18">
        <f>IF(N11&lt;=21, "No", "Yes" 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  <c r="L12" s="12" t="n">
        <v>44670</v>
      </c>
      <c r="M12">
        <f>8+8+5</f>
        <v/>
      </c>
      <c r="N12" s="18">
        <f>TODAY()-L12</f>
        <v/>
      </c>
      <c r="O12" s="18">
        <f>IF(N12&lt;=21, "No", "Yes" 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  <c r="L13" s="12" t="n">
        <v>44706</v>
      </c>
      <c r="M13">
        <f>22+6</f>
        <v/>
      </c>
      <c r="N13" s="18">
        <f>TODAY()-L13</f>
        <v/>
      </c>
      <c r="O13" s="18">
        <f>IF(N13&lt;=21, "No", "Yes" )</f>
        <v/>
      </c>
    </row>
    <row r="14" ht="18" customHeight="1" s="27">
      <c r="A14" s="2" t="inlineStr">
        <is>
          <t>Stage IV # Explants:</t>
        </is>
      </c>
      <c r="B14" s="3">
        <f>(IFERROR((LOOKUP(2,1/(Q$3:Q$100&lt;&gt;""),Q$3:Q$100)),0))</f>
        <v/>
      </c>
      <c r="L14" s="12" t="n">
        <v>44732</v>
      </c>
      <c r="M14" t="n">
        <v>18</v>
      </c>
      <c r="N14">
        <f>TODAY()-L14</f>
        <v/>
      </c>
      <c r="O14">
        <f>IF(N14&lt;=21, "No", "Yes" 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Y12"/>
  <sheetViews>
    <sheetView zoomScale="119" zoomScaleNormal="130" workbookViewId="0">
      <selection activeCell="I9" sqref="I9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10.6640625" bestFit="1" customWidth="1" style="27" min="17" max="17"/>
    <col width="10.6640625" bestFit="1" customWidth="1" style="27" min="21" max="21"/>
  </cols>
  <sheetData>
    <row r="1" ht="18" customHeight="1" s="27">
      <c r="A1" s="2" t="inlineStr">
        <is>
          <t>Strain Name:</t>
        </is>
      </c>
      <c r="B1" s="3" t="inlineStr">
        <is>
          <t>Blue Kush</t>
        </is>
      </c>
      <c r="D1" s="4" t="inlineStr">
        <is>
          <t>Stage I</t>
        </is>
      </c>
      <c r="E1" s="18" t="n"/>
      <c r="F1" s="18" t="n"/>
      <c r="G1" s="18" t="n"/>
      <c r="H1" s="5" t="inlineStr">
        <is>
          <t>Stage III</t>
        </is>
      </c>
      <c r="I1" s="18" t="n"/>
      <c r="J1" s="18" t="n"/>
      <c r="K1" s="18" t="n"/>
      <c r="L1" s="21" t="inlineStr">
        <is>
          <t>Stage 2.5</t>
        </is>
      </c>
      <c r="M1" s="18" t="n"/>
      <c r="N1" s="18" t="n"/>
      <c r="O1" s="18" t="n"/>
      <c r="P1" s="6" t="inlineStr">
        <is>
          <t>Stage IV</t>
        </is>
      </c>
      <c r="Q1" s="18" t="n"/>
      <c r="R1" s="18" t="n"/>
      <c r="S1" s="18" t="n"/>
      <c r="V1" s="6" t="inlineStr">
        <is>
          <t>Infection</t>
        </is>
      </c>
      <c r="W1" s="18" t="n"/>
      <c r="X1" s="18" t="n"/>
      <c r="Y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5" t="inlineStr">
        <is>
          <t>Subculture Date</t>
        </is>
      </c>
      <c r="I2" s="5" t="inlineStr">
        <is>
          <t># Explants</t>
        </is>
      </c>
      <c r="J2" s="5" t="inlineStr">
        <is>
          <t># Days in Culture</t>
        </is>
      </c>
      <c r="K2" s="5" t="inlineStr">
        <is>
          <t>Ready</t>
        </is>
      </c>
      <c r="L2" s="21" t="inlineStr">
        <is>
          <t>Subculture Date</t>
        </is>
      </c>
      <c r="M2" s="21" t="inlineStr">
        <is>
          <t># Explants</t>
        </is>
      </c>
      <c r="N2" s="21" t="inlineStr">
        <is>
          <t># Days in Culture</t>
        </is>
      </c>
      <c r="O2" s="21" t="inlineStr">
        <is>
          <t>Ready</t>
        </is>
      </c>
      <c r="P2" s="6" t="inlineStr">
        <is>
          <t>Subculture Date</t>
        </is>
      </c>
      <c r="Q2" s="6" t="inlineStr">
        <is>
          <t># Explants</t>
        </is>
      </c>
      <c r="R2" s="6" t="inlineStr">
        <is>
          <t># Days in Culture</t>
        </is>
      </c>
      <c r="S2" s="6" t="inlineStr">
        <is>
          <t>Ready</t>
        </is>
      </c>
      <c r="U2" s="10" t="inlineStr">
        <is>
          <t>Date</t>
        </is>
      </c>
      <c r="V2" s="6" t="inlineStr">
        <is>
          <t>Stage I</t>
        </is>
      </c>
      <c r="W2" s="6" t="inlineStr">
        <is>
          <t>Stage II</t>
        </is>
      </c>
      <c r="X2" s="6" t="inlineStr">
        <is>
          <t>Stage III</t>
        </is>
      </c>
      <c r="Y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44488</v>
      </c>
      <c r="E3" s="18" t="n">
        <v>49</v>
      </c>
      <c r="F3" s="18">
        <f>TODAY()-D3</f>
        <v/>
      </c>
      <c r="G3" s="18">
        <f>IF(F3&lt;=21, "No", "Yes" )</f>
        <v/>
      </c>
      <c r="H3" s="11" t="n">
        <v>44510</v>
      </c>
      <c r="I3" s="18">
        <f>9+8+8+8+9+9+7</f>
        <v/>
      </c>
      <c r="J3" s="18">
        <f>TODAY()-H3</f>
        <v/>
      </c>
      <c r="K3" s="18">
        <f>IF(J3&lt;=21, "No", "Yes" )</f>
        <v/>
      </c>
      <c r="L3" s="11" t="n"/>
      <c r="M3" s="18" t="n"/>
      <c r="N3" s="18" t="n"/>
      <c r="O3" s="18" t="n"/>
      <c r="P3" s="18" t="n"/>
      <c r="Q3" s="18" t="n"/>
      <c r="R3" s="18" t="n"/>
      <c r="S3" s="18" t="n"/>
      <c r="U3" s="12" t="n">
        <v>44551</v>
      </c>
      <c r="V3" s="18" t="n"/>
      <c r="W3" s="18" t="n"/>
      <c r="X3" s="18" t="n">
        <v>6</v>
      </c>
      <c r="Y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1" t="n"/>
      <c r="I4" s="18" t="n">
        <v>52</v>
      </c>
      <c r="J4" s="18" t="n"/>
      <c r="K4" s="18" t="n"/>
      <c r="L4" s="11" t="n"/>
      <c r="M4" s="18" t="n"/>
      <c r="N4" s="18" t="n"/>
      <c r="O4" s="18" t="n"/>
      <c r="P4" s="18" t="n"/>
      <c r="Q4" s="18" t="n"/>
      <c r="R4" s="18" t="n"/>
      <c r="S4" s="18" t="n"/>
      <c r="U4" s="12" t="n">
        <v>44592</v>
      </c>
      <c r="V4" s="18" t="n"/>
      <c r="W4" s="18" t="n"/>
      <c r="X4" s="18" t="n">
        <v>9</v>
      </c>
      <c r="Y4" s="18" t="n"/>
    </row>
    <row r="5" ht="18" customHeight="1" s="27">
      <c r="A5" s="8" t="inlineStr">
        <is>
          <t>Stage III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>
        <v>44551</v>
      </c>
      <c r="I5" s="18">
        <f>6+3+4+6+6+6+6+6+5+7+8+7+8</f>
        <v/>
      </c>
      <c r="J5" s="18">
        <f>TODAY()-H5</f>
        <v/>
      </c>
      <c r="K5" s="18">
        <f>IF(J5&lt;=21, "No", "Yes" )</f>
        <v/>
      </c>
      <c r="L5" s="11" t="n"/>
      <c r="M5" s="18" t="n"/>
      <c r="N5" s="18" t="n"/>
      <c r="O5" s="18" t="n"/>
      <c r="P5" s="18" t="n"/>
      <c r="Q5" s="18" t="n"/>
      <c r="R5" s="18" t="n"/>
      <c r="S5" s="18" t="n"/>
      <c r="U5" s="12" t="n"/>
      <c r="V5" s="18" t="n"/>
      <c r="W5" s="18" t="n"/>
      <c r="X5" s="18" t="n"/>
      <c r="Y5" s="18" t="n"/>
    </row>
    <row r="6" ht="18" customHeight="1" s="27">
      <c r="A6" s="8" t="inlineStr">
        <is>
          <t>Stage III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I6">
        <f>I5-9</f>
        <v/>
      </c>
      <c r="L6" s="11" t="n"/>
      <c r="M6" s="18" t="n"/>
      <c r="N6" s="18" t="n"/>
      <c r="O6" s="18" t="n"/>
      <c r="P6" s="18" t="n"/>
      <c r="Q6" s="18" t="n"/>
      <c r="R6" s="18" t="n"/>
      <c r="S6" s="18" t="n"/>
      <c r="U6" s="12" t="n"/>
      <c r="V6" s="18" t="n"/>
      <c r="W6" s="18" t="n"/>
      <c r="X6" s="18" t="n"/>
      <c r="Y6" s="18" t="n"/>
    </row>
    <row r="7" ht="18" customHeight="1" s="27">
      <c r="A7" s="8" t="inlineStr">
        <is>
          <t>Stage III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1" t="n">
        <v>44592</v>
      </c>
      <c r="I7" s="18">
        <f>10+20+5+19+10+5+19+5+4+12+8+8</f>
        <v/>
      </c>
      <c r="J7" s="18">
        <f>TODAY()-H7</f>
        <v/>
      </c>
      <c r="K7" s="18">
        <f>IF(J7&lt;=21, "No", "Yes" )</f>
        <v/>
      </c>
      <c r="L7" s="18" t="n"/>
      <c r="M7" s="18" t="n"/>
      <c r="N7" s="18" t="n"/>
      <c r="O7" s="18" t="n"/>
      <c r="P7" s="18" t="n"/>
      <c r="Q7" s="18" t="n"/>
      <c r="R7" s="18" t="n"/>
      <c r="S7" s="18" t="n"/>
      <c r="V7" s="18" t="n"/>
      <c r="W7" s="18" t="n"/>
      <c r="X7" s="18" t="n"/>
      <c r="Y7" s="18" t="n"/>
    </row>
    <row r="8" ht="18" customHeight="1" s="27">
      <c r="A8" s="22" t="inlineStr">
        <is>
          <t>Stage 2.5 # Explants:</t>
        </is>
      </c>
      <c r="B8" s="3">
        <f t="array" ref="B8">(IFERROR((LOOKUP(2,1/(I$3:I$100&lt;&gt;""),I$3:I$100)),0))</f>
        <v/>
      </c>
      <c r="D8" s="18" t="n"/>
      <c r="E8" s="18" t="n"/>
      <c r="F8" s="18" t="n"/>
      <c r="G8" s="18" t="n"/>
      <c r="H8" s="18" t="n"/>
      <c r="I8" s="18">
        <f>I7-25-31-24</f>
        <v/>
      </c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V8" s="18" t="n"/>
      <c r="W8" s="18" t="n"/>
      <c r="X8" s="18" t="n"/>
      <c r="Y8" s="18" t="n"/>
    </row>
    <row r="9" ht="18" customHeight="1" s="27">
      <c r="A9" s="22" t="inlineStr">
        <is>
          <t>Stage 2.5 Date:</t>
        </is>
      </c>
      <c r="B9" s="9">
        <f t="array" ref="B9">LOOKUP(2,1 / (H$3:H$100 &lt;&gt;""), H$3:H$100)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/>
      <c r="M9" s="18" t="n"/>
      <c r="N9" s="18" t="n"/>
      <c r="O9" s="18" t="n"/>
      <c r="P9" s="18" t="n"/>
      <c r="Q9" s="18" t="n"/>
      <c r="R9" s="18" t="n"/>
      <c r="S9" s="18" t="n"/>
      <c r="V9" s="18" t="n"/>
      <c r="W9" s="18" t="n"/>
      <c r="X9" s="18" t="n"/>
      <c r="Y9" s="18" t="n"/>
    </row>
    <row r="10" ht="18" customHeight="1" s="27">
      <c r="A10" s="22" t="inlineStr">
        <is>
          <t>Stage 2.5 Subculture</t>
        </is>
      </c>
      <c r="B10" s="1">
        <f t="array" aca="1" ref="B10" ca="1">LOOKUP(2,1 / (K$3:K$100 &lt;&gt;""), K$3:K$100)</f>
        <v/>
      </c>
    </row>
    <row r="11" ht="18" customHeight="1" s="27">
      <c r="A11" s="2" t="inlineStr">
        <is>
          <t>Stage IV # Explants:</t>
        </is>
      </c>
      <c r="B11" s="3">
        <f>(IFERROR((LOOKUP(2,1/(Q$3:Q$100&lt;&gt;""),Q$3:Q$100)),0))</f>
        <v/>
      </c>
    </row>
    <row r="12" ht="18" customHeight="1" s="27">
      <c r="A12" s="2" t="inlineStr">
        <is>
          <t>Stage IV Date:</t>
        </is>
      </c>
      <c r="B12" s="9">
        <f>LOOKUP(2,1 / (P$3:P$9 &lt;&gt;""), P$3:P$9)</f>
        <v/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7">
    <outlinePr summaryBelow="1" summaryRight="1"/>
    <pageSetUpPr/>
  </sheetPr>
  <dimension ref="A1:Y12"/>
  <sheetViews>
    <sheetView zoomScaleNormal="100" workbookViewId="0">
      <selection activeCell="M6" sqref="M6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</cols>
  <sheetData>
    <row r="1" ht="18" customHeight="1" s="27">
      <c r="A1" s="2" t="inlineStr">
        <is>
          <t>Strain Name:</t>
        </is>
      </c>
      <c r="B1" s="3" t="inlineStr">
        <is>
          <t>Blue Kush meristem</t>
        </is>
      </c>
      <c r="D1" s="4" t="inlineStr">
        <is>
          <t>Stage I</t>
        </is>
      </c>
      <c r="E1" s="18" t="n"/>
      <c r="F1" s="18" t="n"/>
      <c r="G1" s="18" t="n"/>
      <c r="H1" s="5" t="inlineStr">
        <is>
          <t>Stage III</t>
        </is>
      </c>
      <c r="I1" s="18" t="n"/>
      <c r="J1" s="18" t="n"/>
      <c r="K1" s="18" t="n"/>
      <c r="L1" s="21" t="inlineStr">
        <is>
          <t>Stage 2.5</t>
        </is>
      </c>
      <c r="M1" s="18" t="n"/>
      <c r="N1" s="18" t="n"/>
      <c r="O1" s="18" t="n"/>
      <c r="P1" s="6" t="inlineStr">
        <is>
          <t>Stage IV</t>
        </is>
      </c>
      <c r="Q1" s="18" t="n"/>
      <c r="R1" s="18" t="n"/>
      <c r="S1" s="18" t="n"/>
      <c r="V1" s="6" t="inlineStr">
        <is>
          <t>Infection</t>
        </is>
      </c>
      <c r="W1" s="18" t="n"/>
      <c r="X1" s="18" t="n"/>
      <c r="Y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5" t="inlineStr">
        <is>
          <t>Subculture Date</t>
        </is>
      </c>
      <c r="I2" s="5" t="inlineStr">
        <is>
          <t># Explants</t>
        </is>
      </c>
      <c r="J2" s="5" t="inlineStr">
        <is>
          <t># Days in Culture</t>
        </is>
      </c>
      <c r="K2" s="5" t="inlineStr">
        <is>
          <t>Ready</t>
        </is>
      </c>
      <c r="L2" s="21" t="inlineStr">
        <is>
          <t>Subculture Date</t>
        </is>
      </c>
      <c r="M2" s="21" t="inlineStr">
        <is>
          <t># Explants</t>
        </is>
      </c>
      <c r="N2" s="21" t="inlineStr">
        <is>
          <t># Days in Culture</t>
        </is>
      </c>
      <c r="O2" s="21" t="inlineStr">
        <is>
          <t>Ready</t>
        </is>
      </c>
      <c r="P2" s="6" t="inlineStr">
        <is>
          <t>Subculture Date</t>
        </is>
      </c>
      <c r="Q2" s="6" t="inlineStr">
        <is>
          <t># Explants</t>
        </is>
      </c>
      <c r="R2" s="6" t="inlineStr">
        <is>
          <t># Days in Culture</t>
        </is>
      </c>
      <c r="S2" s="6" t="inlineStr">
        <is>
          <t>Ready</t>
        </is>
      </c>
      <c r="U2" s="10" t="inlineStr">
        <is>
          <t>Date</t>
        </is>
      </c>
      <c r="V2" s="6" t="inlineStr">
        <is>
          <t>Stage I</t>
        </is>
      </c>
      <c r="W2" s="6" t="inlineStr">
        <is>
          <t>Stage II</t>
        </is>
      </c>
      <c r="X2" s="6" t="inlineStr">
        <is>
          <t>Stage III</t>
        </is>
      </c>
      <c r="Y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/>
      <c r="E3" s="18" t="n"/>
      <c r="F3" s="18" t="n"/>
      <c r="G3" s="18" t="n"/>
      <c r="H3" s="11" t="n">
        <v>44480</v>
      </c>
      <c r="I3" s="18" t="n">
        <v>3</v>
      </c>
      <c r="J3" s="18">
        <f>TODAY()-H3</f>
        <v/>
      </c>
      <c r="K3" s="18">
        <f>IF(J3&lt;=21, "No", "Yes" )</f>
        <v/>
      </c>
      <c r="L3" s="11" t="n">
        <v>44586</v>
      </c>
      <c r="M3" s="18">
        <f>4+2+2+6+5+2+8+3+2+8+3+2+3</f>
        <v/>
      </c>
      <c r="N3" s="18">
        <f>TODAY()-L3</f>
        <v/>
      </c>
      <c r="O3" s="18">
        <f>IF(N3&lt;=21, "No", "Yes" )</f>
        <v/>
      </c>
      <c r="P3" s="18" t="n"/>
      <c r="Q3" s="18" t="n"/>
      <c r="R3" s="18" t="n"/>
      <c r="S3" s="18" t="n"/>
      <c r="U3" s="12" t="n"/>
      <c r="V3" s="18" t="n"/>
      <c r="W3" s="18" t="n"/>
      <c r="X3" s="18" t="n"/>
      <c r="Y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>
        <v>44502</v>
      </c>
      <c r="I4" s="18" t="n">
        <v>10</v>
      </c>
      <c r="J4" s="18">
        <f>TODAY()-H4</f>
        <v/>
      </c>
      <c r="K4" s="18">
        <f>IF(J4&lt;=21, "No", "Yes" )</f>
        <v/>
      </c>
      <c r="L4" s="11" t="n">
        <v>44621</v>
      </c>
      <c r="M4" s="18">
        <f>3+3+3+5+3+5+6+9+8+3+3+3+1+6+14+16+3+3+2+8+2+8+8+3+2+8+25</f>
        <v/>
      </c>
      <c r="N4" s="18">
        <f>TODAY()-L4</f>
        <v/>
      </c>
      <c r="O4" s="18">
        <f>IF(N4&lt;=21, "No", "Yes" )</f>
        <v/>
      </c>
      <c r="P4" s="18" t="n"/>
      <c r="Q4" s="18" t="n"/>
      <c r="R4" s="18" t="n"/>
      <c r="S4" s="18" t="n"/>
      <c r="U4" s="12" t="n"/>
      <c r="V4" s="18" t="n"/>
      <c r="W4" s="18" t="n"/>
      <c r="X4" s="18" t="n"/>
      <c r="Y4" s="18" t="n"/>
    </row>
    <row r="5" ht="18" customHeight="1" s="27">
      <c r="A5" s="8" t="inlineStr">
        <is>
          <t>Stage III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>
        <v>44523</v>
      </c>
      <c r="I5" s="18">
        <f>4+15+1+4+4</f>
        <v/>
      </c>
      <c r="J5" s="18">
        <f>TODAY()-H5</f>
        <v/>
      </c>
      <c r="K5" s="18">
        <f>IF(J5&lt;=21, "No", "Yes" )</f>
        <v/>
      </c>
      <c r="L5" s="11" t="n">
        <v>44659</v>
      </c>
      <c r="M5" s="18">
        <f>24+17+13+22+10+3+3+3+3+4+1</f>
        <v/>
      </c>
      <c r="N5" s="18">
        <f>TODAY()-L5</f>
        <v/>
      </c>
      <c r="O5" s="18">
        <f>IF(N5&lt;=21, "No", "Yes" )</f>
        <v/>
      </c>
      <c r="P5" s="18" t="n"/>
      <c r="Q5" s="18" t="n"/>
      <c r="R5" s="18" t="n"/>
      <c r="S5" s="18" t="n"/>
      <c r="U5" s="12" t="n"/>
      <c r="V5" s="18" t="n"/>
      <c r="W5" s="18" t="n"/>
      <c r="X5" s="18" t="n"/>
      <c r="Y5" s="18" t="n"/>
    </row>
    <row r="6" ht="18" customHeight="1" s="27">
      <c r="A6" s="8" t="inlineStr">
        <is>
          <t>Stage III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1" t="n">
        <v>44545</v>
      </c>
      <c r="I6" s="18">
        <f>4+6+6+3+6+6+6+11+2+7</f>
        <v/>
      </c>
      <c r="J6" s="18">
        <f>TODAY()-H6</f>
        <v/>
      </c>
      <c r="K6" s="18">
        <f>IF(J6&lt;=21, "No", "Yes" )</f>
        <v/>
      </c>
      <c r="L6" s="11" t="n"/>
      <c r="M6" s="18" t="n"/>
      <c r="N6" s="18" t="n"/>
      <c r="O6" s="18" t="n"/>
      <c r="P6" s="18" t="n"/>
      <c r="Q6" s="18" t="n"/>
      <c r="R6" s="18" t="n"/>
      <c r="S6" s="18" t="n"/>
      <c r="U6" s="12" t="n"/>
      <c r="V6" s="18" t="n"/>
      <c r="W6" s="18" t="n"/>
      <c r="X6" s="18" t="n"/>
      <c r="Y6" s="18" t="n"/>
    </row>
    <row r="7" ht="18" customHeight="1" s="27">
      <c r="A7" s="8" t="inlineStr">
        <is>
          <t>Stage III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1" t="n">
        <v>44586</v>
      </c>
      <c r="I7" s="18">
        <f>4+8+12+16+4+8+13+12+4+4+8+8+8+8+25+12+5</f>
        <v/>
      </c>
      <c r="J7" s="18">
        <f>TODAY()-H7</f>
        <v/>
      </c>
      <c r="K7" s="18">
        <f>IF(J7&lt;=21, "No", "Yes" )</f>
        <v/>
      </c>
      <c r="L7" s="18" t="n"/>
      <c r="M7" s="18" t="n"/>
      <c r="N7" s="18" t="n"/>
      <c r="O7" s="18" t="n"/>
      <c r="P7" s="18" t="n"/>
      <c r="Q7" s="18" t="n"/>
      <c r="R7" s="18" t="n"/>
      <c r="S7" s="18" t="n"/>
      <c r="V7" s="18" t="n"/>
      <c r="W7" s="18" t="n"/>
      <c r="X7" s="18" t="n"/>
      <c r="Y7" s="18" t="n"/>
    </row>
    <row r="8" ht="18" customHeight="1" s="27">
      <c r="A8" s="22" t="inlineStr">
        <is>
          <t>Stage 2.5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inlineStr">
        <is>
          <t>N/A</t>
        </is>
      </c>
      <c r="I8" s="18" t="inlineStr">
        <is>
          <t>N/A</t>
        </is>
      </c>
      <c r="J8" s="18" t="inlineStr">
        <is>
          <t>N/A</t>
        </is>
      </c>
      <c r="K8" s="18" t="inlineStr">
        <is>
          <t>N/A</t>
        </is>
      </c>
      <c r="L8" s="18" t="n"/>
      <c r="M8" s="18" t="n"/>
      <c r="N8" s="18" t="n"/>
      <c r="O8" s="18" t="n"/>
      <c r="P8" s="18" t="n"/>
      <c r="Q8" s="18" t="n"/>
      <c r="R8" s="18" t="n"/>
      <c r="S8" s="18" t="n"/>
      <c r="V8" s="18" t="n"/>
      <c r="W8" s="18" t="n"/>
      <c r="X8" s="18" t="n"/>
      <c r="Y8" s="18" t="n"/>
    </row>
    <row r="9" ht="18" customHeight="1" s="27">
      <c r="A9" s="22" t="inlineStr">
        <is>
          <t>Stage 2.5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1" t="n">
        <v>44659</v>
      </c>
      <c r="I9" s="18">
        <f>20+20+24+32+36+16+23</f>
        <v/>
      </c>
      <c r="J9" s="18">
        <f>TODAY()-H9</f>
        <v/>
      </c>
      <c r="K9" s="18">
        <f>IF(J9&lt;=21, "No", "Yes" )</f>
        <v/>
      </c>
      <c r="L9" s="11" t="n"/>
      <c r="M9" s="18" t="n"/>
      <c r="N9" s="18" t="n"/>
      <c r="O9" s="18" t="n"/>
      <c r="P9" s="18" t="n"/>
      <c r="Q9" s="18" t="n"/>
      <c r="R9" s="18" t="n"/>
      <c r="S9" s="18" t="n"/>
      <c r="V9" s="18" t="n"/>
      <c r="W9" s="18" t="n"/>
      <c r="X9" s="18" t="n"/>
      <c r="Y9" s="18" t="n"/>
    </row>
    <row r="10" ht="18" customHeight="1" s="27">
      <c r="A10" s="22" t="inlineStr">
        <is>
          <t>Stage 2.5 Subculture</t>
        </is>
      </c>
      <c r="B10" s="1">
        <f t="array" aca="1" ref="B10" ca="1">LOOKUP(2,1 / (O$3:O$100 &lt;&gt;""), O$3:O$100)</f>
        <v/>
      </c>
    </row>
    <row r="11" ht="18" customHeight="1" s="27">
      <c r="A11" s="2" t="inlineStr">
        <is>
          <t>Stage IV # Explants:</t>
        </is>
      </c>
      <c r="B11" s="3">
        <f>(IFERROR((LOOKUP(2,1/(Q$3:Q$100&lt;&gt;""),Q$3:Q$100)),0))</f>
        <v/>
      </c>
    </row>
    <row r="12" ht="18" customHeight="1" s="27">
      <c r="A12" s="2" t="inlineStr">
        <is>
          <t>Stage IV Date:</t>
        </is>
      </c>
      <c r="B12" s="9">
        <f>LOOKUP(2,1 / (P$3:P$9 &lt;&gt;""), P$3:P$9)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8">
    <outlinePr summaryBelow="1" summaryRight="1"/>
    <pageSetUpPr/>
  </sheetPr>
  <dimension ref="A1:Y13"/>
  <sheetViews>
    <sheetView zoomScale="93" zoomScaleNormal="110" workbookViewId="0">
      <selection activeCell="M9" sqref="M9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77734375" bestFit="1" customWidth="1" style="27" min="12" max="12"/>
    <col width="15.44140625" bestFit="1" customWidth="1" style="27" min="14" max="14"/>
    <col width="10.664062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PEZ</t>
        </is>
      </c>
      <c r="D1" s="4" t="inlineStr">
        <is>
          <t>Stage I</t>
        </is>
      </c>
      <c r="E1" s="18" t="n"/>
      <c r="F1" s="18" t="n"/>
      <c r="G1" s="18" t="n"/>
      <c r="H1" s="5" t="inlineStr">
        <is>
          <t>Stage III</t>
        </is>
      </c>
      <c r="I1" s="18" t="n"/>
      <c r="J1" s="18" t="n"/>
      <c r="K1" s="18" t="n"/>
      <c r="L1" s="21" t="inlineStr">
        <is>
          <t>Stage 2.5</t>
        </is>
      </c>
      <c r="M1" s="18" t="n"/>
      <c r="N1" s="18" t="n"/>
      <c r="O1" s="18" t="n"/>
      <c r="P1" s="6" t="inlineStr">
        <is>
          <t>Stage IV</t>
        </is>
      </c>
      <c r="Q1" s="18" t="n"/>
      <c r="R1" s="18" t="n"/>
      <c r="S1" s="18" t="n"/>
      <c r="V1" s="6" t="inlineStr">
        <is>
          <t>Infection</t>
        </is>
      </c>
      <c r="W1" s="18" t="n"/>
      <c r="X1" s="18" t="n"/>
      <c r="Y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5" t="inlineStr">
        <is>
          <t>Subculture Date</t>
        </is>
      </c>
      <c r="I2" s="5" t="inlineStr">
        <is>
          <t># Explants</t>
        </is>
      </c>
      <c r="J2" s="5" t="inlineStr">
        <is>
          <t># Days in Culture</t>
        </is>
      </c>
      <c r="K2" s="5" t="inlineStr">
        <is>
          <t>Ready</t>
        </is>
      </c>
      <c r="L2" s="21" t="inlineStr">
        <is>
          <t>Subculture Date</t>
        </is>
      </c>
      <c r="M2" s="21" t="inlineStr">
        <is>
          <t># Explants</t>
        </is>
      </c>
      <c r="N2" s="21" t="inlineStr">
        <is>
          <t># Days in Culture</t>
        </is>
      </c>
      <c r="O2" s="21" t="inlineStr">
        <is>
          <t>Ready</t>
        </is>
      </c>
      <c r="P2" s="6" t="inlineStr">
        <is>
          <t>Subculture Date</t>
        </is>
      </c>
      <c r="Q2" s="6" t="inlineStr">
        <is>
          <t># Explants</t>
        </is>
      </c>
      <c r="R2" s="6" t="inlineStr">
        <is>
          <t># Days in Culture</t>
        </is>
      </c>
      <c r="S2" s="6" t="inlineStr">
        <is>
          <t>Ready</t>
        </is>
      </c>
      <c r="U2" s="10" t="inlineStr">
        <is>
          <t>Date</t>
        </is>
      </c>
      <c r="V2" s="6" t="inlineStr">
        <is>
          <t>Stage I</t>
        </is>
      </c>
      <c r="W2" s="6" t="inlineStr">
        <is>
          <t>Stage II</t>
        </is>
      </c>
      <c r="X2" s="6" t="inlineStr">
        <is>
          <t>Stage III</t>
        </is>
      </c>
      <c r="Y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44488</v>
      </c>
      <c r="E3" s="18" t="n">
        <v>79</v>
      </c>
      <c r="F3" s="18">
        <f>TODAY()-D3</f>
        <v/>
      </c>
      <c r="G3" s="18">
        <f>IF(F3&lt;=21, "No", "Yes" )</f>
        <v/>
      </c>
      <c r="H3" s="11" t="n">
        <v>44510</v>
      </c>
      <c r="I3" s="18">
        <f>9+8+9+4+9+4+4+8+5+5</f>
        <v/>
      </c>
      <c r="J3" s="18">
        <f>TODAY()-H3</f>
        <v/>
      </c>
      <c r="K3" s="18">
        <f>IF(J3&lt;=21, "No", "Yes" )</f>
        <v/>
      </c>
      <c r="L3" s="11" t="n">
        <v>44587</v>
      </c>
      <c r="M3" s="18">
        <f>1+2+2+2+2+3+3</f>
        <v/>
      </c>
      <c r="N3" s="18">
        <f>TODAY()-L3</f>
        <v/>
      </c>
      <c r="O3" s="18">
        <f>IF(N3&lt;=21, "No", "Yes" )</f>
        <v/>
      </c>
      <c r="P3" s="18" t="n"/>
      <c r="Q3" s="18" t="n"/>
      <c r="R3" s="18" t="n"/>
      <c r="S3" s="18" t="n"/>
      <c r="U3" s="12" t="n">
        <v>44533</v>
      </c>
      <c r="V3" s="18" t="n">
        <v>16</v>
      </c>
      <c r="W3" s="18" t="n"/>
      <c r="X3" s="18" t="n"/>
      <c r="Y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3" t="inlineStr">
        <is>
          <t>N/A</t>
        </is>
      </c>
      <c r="F4" s="13" t="inlineStr">
        <is>
          <t>N/A</t>
        </is>
      </c>
      <c r="G4" s="13" t="inlineStr">
        <is>
          <t>N/A</t>
        </is>
      </c>
      <c r="H4" s="11" t="n"/>
      <c r="I4" s="18">
        <f>I3-16</f>
        <v/>
      </c>
      <c r="J4" s="18" t="n"/>
      <c r="K4" s="18" t="n"/>
      <c r="L4" s="11" t="n">
        <v>44622</v>
      </c>
      <c r="M4" s="18">
        <f>8+18+14</f>
        <v/>
      </c>
      <c r="N4" s="18" t="n"/>
      <c r="O4" s="18" t="n"/>
      <c r="P4" s="18" t="n"/>
      <c r="Q4" s="18" t="n"/>
      <c r="R4" s="18" t="n"/>
      <c r="S4" s="18" t="n"/>
      <c r="U4" s="12" t="n">
        <v>44550</v>
      </c>
      <c r="V4" s="18" t="n"/>
      <c r="W4" s="18" t="n"/>
      <c r="X4" s="18" t="n">
        <v>9</v>
      </c>
      <c r="Y4" s="18" t="n"/>
    </row>
    <row r="5" ht="18" customHeight="1" s="27">
      <c r="A5" s="8" t="inlineStr">
        <is>
          <t>Stage III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>
        <v>40</v>
      </c>
      <c r="J5" s="18" t="n"/>
      <c r="K5" s="18" t="n"/>
      <c r="L5" s="11" t="n">
        <v>44650</v>
      </c>
      <c r="M5" s="18">
        <f>3+3+3+3+4+4+3+3</f>
        <v/>
      </c>
      <c r="N5" s="18">
        <f>TODAY()-L5</f>
        <v/>
      </c>
      <c r="O5" s="18">
        <f>IF(N5&lt;=21, "No", "Yes" )</f>
        <v/>
      </c>
      <c r="P5" s="18" t="n"/>
      <c r="Q5" s="18" t="n"/>
      <c r="R5" s="18" t="n"/>
      <c r="S5" s="18" t="n"/>
      <c r="U5" s="12" t="n">
        <v>44568</v>
      </c>
      <c r="V5" s="18" t="n"/>
      <c r="W5" s="18" t="n"/>
      <c r="X5" s="18" t="n">
        <v>5</v>
      </c>
      <c r="Y5" s="18" t="n"/>
    </row>
    <row r="6" ht="18" customHeight="1" s="27">
      <c r="A6" s="8" t="inlineStr">
        <is>
          <t>Stage III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1" t="n">
        <v>44550</v>
      </c>
      <c r="I6" s="18">
        <f>6+8+7+9+7</f>
        <v/>
      </c>
      <c r="J6" s="18">
        <f>TODAY()-H6</f>
        <v/>
      </c>
      <c r="K6" s="18">
        <f>IF(J6&lt;=21, "No", "Yes" )</f>
        <v/>
      </c>
      <c r="L6" s="11" t="n">
        <v>44692</v>
      </c>
      <c r="M6" s="18">
        <f>14+8</f>
        <v/>
      </c>
      <c r="N6" s="18">
        <f>TODAY()-L6</f>
        <v/>
      </c>
      <c r="O6" s="18">
        <f>IF(N6&lt;=21, "No", "Yes" )</f>
        <v/>
      </c>
      <c r="P6" s="18" t="n"/>
      <c r="Q6" s="18" t="n"/>
      <c r="R6" s="18" t="n"/>
      <c r="S6" s="18" t="n"/>
      <c r="U6" s="12" t="n">
        <v>44622</v>
      </c>
      <c r="V6" s="18" t="n"/>
      <c r="W6" s="18" t="n"/>
      <c r="X6" s="18" t="n">
        <v>10</v>
      </c>
      <c r="Y6" s="18" t="n"/>
    </row>
    <row r="7" ht="18" customHeight="1" s="27">
      <c r="A7" s="8" t="inlineStr">
        <is>
          <t>Stage III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>
        <f>I6-5</f>
        <v/>
      </c>
      <c r="J7" s="18" t="n"/>
      <c r="K7" s="18" t="n"/>
      <c r="L7" s="11" t="n">
        <v>44813</v>
      </c>
      <c r="M7" s="18" t="n">
        <v>19</v>
      </c>
      <c r="N7" s="18" t="n"/>
      <c r="O7" s="18" t="n"/>
      <c r="P7" s="18" t="n"/>
      <c r="Q7" s="18" t="n"/>
      <c r="R7" s="18" t="n"/>
      <c r="S7" s="18" t="n"/>
      <c r="V7" s="18" t="n"/>
      <c r="W7" s="18" t="n"/>
      <c r="X7" s="18" t="n"/>
      <c r="Y7" s="18" t="n"/>
    </row>
    <row r="8" ht="18" customHeight="1" s="27">
      <c r="A8" s="22" t="inlineStr">
        <is>
          <t>Stage 2.5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1" t="n">
        <v>44587</v>
      </c>
      <c r="I8" s="18">
        <f>4+4+4+8+10+4+4+5</f>
        <v/>
      </c>
      <c r="J8" s="18">
        <f>TODAY()-H8</f>
        <v/>
      </c>
      <c r="K8" s="18">
        <f>IF(J8&lt;=21, "No", "Yes" )</f>
        <v/>
      </c>
      <c r="L8" s="18" t="n"/>
      <c r="M8" s="18" t="n"/>
      <c r="N8" s="18" t="n"/>
      <c r="O8" s="18" t="n"/>
      <c r="P8" s="18" t="n"/>
      <c r="Q8" s="18" t="n"/>
      <c r="R8" s="18" t="n"/>
      <c r="S8" s="18" t="n"/>
      <c r="V8" s="18" t="n"/>
      <c r="W8" s="18" t="n"/>
      <c r="X8" s="18" t="n"/>
      <c r="Y8" s="18" t="n"/>
    </row>
    <row r="9" ht="18" customHeight="1" s="27">
      <c r="A9" s="22" t="inlineStr">
        <is>
          <t>Stage 2.5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>
        <v>33</v>
      </c>
      <c r="J9" s="18" t="n"/>
      <c r="K9" s="18" t="n"/>
      <c r="L9" s="11" t="n"/>
      <c r="M9" s="18" t="n"/>
      <c r="N9" s="18" t="n"/>
      <c r="O9" s="18" t="n"/>
      <c r="P9" s="18" t="n"/>
      <c r="Q9" s="18" t="n"/>
      <c r="R9" s="18" t="n"/>
      <c r="S9" s="18" t="n"/>
      <c r="V9" s="18" t="n"/>
      <c r="W9" s="18" t="n"/>
      <c r="X9" s="18" t="n"/>
      <c r="Y9" s="18" t="n"/>
    </row>
    <row r="10" ht="18" customHeight="1" s="27">
      <c r="A10" s="22" t="inlineStr">
        <is>
          <t>Stage 2.5 Subculture</t>
        </is>
      </c>
      <c r="B10" s="1">
        <f t="array" aca="1" ref="B10" ca="1">LOOKUP(2,1 / (O$3:O$100 &lt;&gt;""), O$3:O$100)</f>
        <v/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</row>
    <row r="11" ht="18" customHeight="1" s="27">
      <c r="A11" s="2" t="inlineStr">
        <is>
          <t>Stage IV # Explants:</t>
        </is>
      </c>
      <c r="B11" s="3">
        <f>(IFERROR((LOOKUP(2,1/(Q$3:Q$100&lt;&gt;""),Q$3:Q$100)),0))</f>
        <v/>
      </c>
      <c r="H11" s="12" t="n">
        <v>44650</v>
      </c>
      <c r="I11">
        <f>8+6+8</f>
        <v/>
      </c>
      <c r="J11" s="18">
        <f>TODAY()-H11</f>
        <v/>
      </c>
      <c r="K11" s="18">
        <f>IF(J11&lt;=21, "No", "Yes" )</f>
        <v/>
      </c>
    </row>
    <row r="12" ht="18" customHeight="1" s="27">
      <c r="A12" s="2" t="inlineStr">
        <is>
          <t>Stage IV Date:</t>
        </is>
      </c>
      <c r="B12" s="9">
        <f>LOOKUP(2,1 / (P$3:P$9 &lt;&gt;""), P$3:P$9)</f>
        <v/>
      </c>
      <c r="H12" s="12" t="n">
        <v>44692</v>
      </c>
      <c r="I12">
        <f>36+56</f>
        <v/>
      </c>
      <c r="J12" s="18">
        <f>TODAY()-H12</f>
        <v/>
      </c>
      <c r="K12" s="18">
        <f>IF(J12&lt;=21, "No", "Yes" )</f>
        <v/>
      </c>
    </row>
    <row r="13">
      <c r="H13" s="12" t="n">
        <v>44813</v>
      </c>
      <c r="I13" t="n">
        <v>26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9">
    <outlinePr summaryBelow="1" summaryRight="1"/>
    <pageSetUpPr/>
  </sheetPr>
  <dimension ref="A1:AC16"/>
  <sheetViews>
    <sheetView zoomScale="85" zoomScaleNormal="85" workbookViewId="0">
      <selection activeCell="E6" sqref="E6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5.5546875" bestFit="1" customWidth="1" style="27" min="12" max="12"/>
    <col width="9.88671875" bestFit="1" customWidth="1" style="27" min="13" max="13"/>
    <col width="15.44140625" bestFit="1" customWidth="1" style="27" min="14" max="14"/>
    <col width="15.5546875" bestFit="1" customWidth="1" style="27" min="16" max="16"/>
    <col width="10.6640625" bestFit="1" customWidth="1" style="27" min="17" max="17"/>
    <col width="10.77734375" bestFit="1" customWidth="1" style="27" min="21" max="21"/>
  </cols>
  <sheetData>
    <row r="1" ht="18" customHeight="1" s="27">
      <c r="A1" s="2" t="inlineStr">
        <is>
          <t>Strain Name:</t>
        </is>
      </c>
      <c r="B1" s="3" t="inlineStr">
        <is>
          <t>Skittlez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44488</v>
      </c>
      <c r="E3" s="18" t="n">
        <v>63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44510</v>
      </c>
      <c r="M3" s="18">
        <f>16+8+8+8+8+9</f>
        <v/>
      </c>
      <c r="N3" s="18">
        <f>TODAY()-L3</f>
        <v/>
      </c>
      <c r="O3" s="18">
        <f>IF(N3&lt;=21, "No", "Yes" )</f>
        <v/>
      </c>
      <c r="P3" s="11" t="n">
        <v>44588</v>
      </c>
      <c r="Q3" s="18">
        <f>2+2+2+2+4+3+5+6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44550</v>
      </c>
      <c r="Z3" s="18" t="n"/>
      <c r="AA3" s="18" t="n"/>
      <c r="AB3" s="18" t="n">
        <v>4</v>
      </c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>
        <v>44585</v>
      </c>
      <c r="E4" s="14" t="n">
        <v>40</v>
      </c>
      <c r="F4" s="18">
        <f>TODAY()-D4</f>
        <v/>
      </c>
      <c r="G4" s="18">
        <f>IF(F4&lt;=21, "No", "Yes" )</f>
        <v/>
      </c>
      <c r="H4" s="13" t="n"/>
      <c r="I4" s="14" t="n"/>
      <c r="J4" s="14" t="n"/>
      <c r="K4" s="14" t="n"/>
      <c r="L4" s="11" t="n"/>
      <c r="M4" s="18" t="n">
        <v>53</v>
      </c>
      <c r="N4" s="18" t="n"/>
      <c r="O4" s="18" t="n"/>
      <c r="P4" s="11" t="n">
        <v>44624</v>
      </c>
      <c r="Q4" s="18">
        <f>1+26+18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44568</v>
      </c>
      <c r="Z4" s="18" t="n"/>
      <c r="AA4" s="18" t="n"/>
      <c r="AB4" s="18" t="n">
        <v>7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n"/>
      <c r="I5" s="18" t="n"/>
      <c r="J5" s="18" t="n"/>
      <c r="K5" s="18" t="n"/>
      <c r="L5" s="11" t="n">
        <v>44550</v>
      </c>
      <c r="M5" s="18">
        <f>5+7+5+2+8+5+4+11+7+9+5+7</f>
        <v/>
      </c>
      <c r="N5" s="18">
        <f>TODAY()-L5</f>
        <v/>
      </c>
      <c r="O5" s="18">
        <f>IF(N5&lt;=21, "No", "Yes" )</f>
        <v/>
      </c>
      <c r="P5" s="11" t="n"/>
      <c r="Q5" s="18">
        <f>Q4-17</f>
        <v/>
      </c>
      <c r="R5" s="18" t="n"/>
      <c r="S5" s="18" t="n"/>
      <c r="T5" s="18" t="n"/>
      <c r="U5" s="18" t="n"/>
      <c r="V5" s="18" t="n"/>
      <c r="W5" s="18" t="n"/>
      <c r="Y5" s="12" t="n">
        <v>44588</v>
      </c>
      <c r="Z5" s="18" t="n"/>
      <c r="AA5" s="18" t="n"/>
      <c r="AB5" s="18">
        <f>6+4+5</f>
        <v/>
      </c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>
        <f>M5-7</f>
        <v/>
      </c>
      <c r="N6" s="18" t="n"/>
      <c r="O6" s="18" t="n"/>
      <c r="P6" s="11" t="n">
        <v>44651</v>
      </c>
      <c r="Q6" s="18">
        <f>21+3+3+3+3+3+1</f>
        <v/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>
        <v>44593</v>
      </c>
      <c r="Z6" s="18" t="n"/>
      <c r="AA6" s="18" t="n"/>
      <c r="AB6" s="18" t="n">
        <v>2</v>
      </c>
      <c r="AC6" s="18" t="n"/>
    </row>
    <row r="7" ht="18" customHeight="1" s="27">
      <c r="A7" s="24" t="inlineStr">
        <is>
          <t>Stage II Subculture</t>
        </is>
      </c>
      <c r="B7" s="1">
        <f t="array" ref="B7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>
        <f>M6-15</f>
        <v/>
      </c>
      <c r="N7" s="18" t="n"/>
      <c r="O7" s="18" t="n"/>
      <c r="P7" s="11" t="n">
        <v>44692</v>
      </c>
      <c r="Q7" s="18">
        <f>18+4</f>
        <v/>
      </c>
      <c r="R7" s="18">
        <f>TODAY()-P7</f>
        <v/>
      </c>
      <c r="S7" s="18">
        <f>IF(R7&lt;=21, "No", "Yes" 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44588</v>
      </c>
      <c r="M8" s="18">
        <f>4+8+18+10+5+4+8+17+10+5+8+9+12+8+4+5</f>
        <v/>
      </c>
      <c r="N8" s="18">
        <f>TODAY()-L8</f>
        <v/>
      </c>
      <c r="O8" s="18">
        <f>IF(N8&lt;=21, "No", "Yes" )</f>
        <v/>
      </c>
      <c r="P8" s="11" t="n">
        <v>44732</v>
      </c>
      <c r="Q8" s="18" t="n">
        <v>62</v>
      </c>
      <c r="R8" s="18">
        <f>TODAY()-P8</f>
        <v/>
      </c>
      <c r="S8" s="18">
        <f>IF(R8&lt;=21, "No", "Yes" )</f>
        <v/>
      </c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>
        <v>133</v>
      </c>
      <c r="N9" s="18" t="n"/>
      <c r="O9" s="18" t="n"/>
      <c r="P9" s="11" t="n">
        <v>44827</v>
      </c>
      <c r="Q9" s="18" t="n">
        <v>15</v>
      </c>
      <c r="R9" s="18">
        <f>TODAY()-P9</f>
        <v/>
      </c>
      <c r="S9" s="18">
        <f>IF(R9&lt;=21, "No", "Yes" )</f>
        <v/>
      </c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/>
      <c r="M10">
        <f>M9+4+4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s="12" t="n">
        <v>44624</v>
      </c>
      <c r="M11">
        <f>19+24+12+28+24</f>
        <v/>
      </c>
      <c r="N11" s="18">
        <f>TODAY()-L11</f>
        <v/>
      </c>
      <c r="O11" s="18">
        <f>IF(N11&lt;=21, "No", "Yes" 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  <c r="M12">
        <f>M11-31-10-40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  <c r="L13" s="12" t="n">
        <v>44651</v>
      </c>
      <c r="M13">
        <f>24+15+8+8+8</f>
        <v/>
      </c>
      <c r="N13" s="18">
        <f>TODAY()-L13</f>
        <v/>
      </c>
      <c r="O13" s="18">
        <f>IF(N13&lt;=21, "No", "Yes" )</f>
        <v/>
      </c>
    </row>
    <row r="14" ht="18" customHeight="1" s="27">
      <c r="A14" s="2" t="inlineStr">
        <is>
          <t>Stage IV # Explants:</t>
        </is>
      </c>
      <c r="B14" s="3">
        <f>(IFERROR((LOOKUP(2,1/(Q$3:Q$100&lt;&gt;""),Q$3:Q$100)),0))</f>
        <v/>
      </c>
      <c r="L14" s="12" t="n">
        <v>44692</v>
      </c>
      <c r="M14">
        <f>32+36</f>
        <v/>
      </c>
      <c r="N14" s="18">
        <f>TODAY()-L14</f>
        <v/>
      </c>
      <c r="O14" s="18">
        <f>IF(N14&lt;=21, "No", "Yes" 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  <c r="L15" s="12" t="n">
        <v>44732</v>
      </c>
      <c r="M15">
        <f>136</f>
        <v/>
      </c>
      <c r="N15" s="18">
        <f>TODAY()-L15</f>
        <v/>
      </c>
      <c r="O15" s="18">
        <f>IF(N15&lt;=21, "No", "Yes" )</f>
        <v/>
      </c>
    </row>
    <row r="16">
      <c r="L16" s="12" t="n">
        <v>44827</v>
      </c>
      <c r="M16">
        <f>52+54</f>
        <v/>
      </c>
      <c r="N16">
        <f>TODAY()-L16</f>
        <v/>
      </c>
      <c r="O16">
        <f>IF(N16&lt;=21, "No", "Yes" )</f>
        <v/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AC15"/>
  <sheetViews>
    <sheetView topLeftCell="C1" zoomScale="106" zoomScaleNormal="110" workbookViewId="0">
      <selection activeCell="P9" sqref="P9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5546875" bestFit="1" customWidth="1" style="27" min="12" max="12"/>
    <col width="15.44140625" bestFit="1" customWidth="1" style="27" min="14" max="14"/>
    <col width="9.77734375" bestFit="1" customWidth="1" style="27" min="16" max="16"/>
    <col width="10.6640625" bestFit="1" customWidth="1" style="27" min="17" max="17"/>
    <col width="10.77734375" bestFit="1" customWidth="1" style="27" min="25" max="25"/>
  </cols>
  <sheetData>
    <row r="1" ht="18" customHeight="1" s="27">
      <c r="A1" s="2" t="inlineStr">
        <is>
          <t>Strain Name:</t>
        </is>
      </c>
      <c r="B1" s="3" t="inlineStr">
        <is>
          <t>Super Silver Fusion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44491</v>
      </c>
      <c r="E3" s="18">
        <f>36*3</f>
        <v/>
      </c>
      <c r="F3" s="18">
        <f>TODAY()-D3</f>
        <v/>
      </c>
      <c r="G3" s="18">
        <f>IF(F3&lt;=21, "No", "Yes" )</f>
        <v/>
      </c>
      <c r="H3" s="11" t="n">
        <v>44594</v>
      </c>
      <c r="I3" s="18">
        <f>8+8+5</f>
        <v/>
      </c>
      <c r="J3" s="18">
        <f>TODAY()-H3</f>
        <v/>
      </c>
      <c r="K3" s="18">
        <f>IF(J3&lt;=21, "No", "Yes" )</f>
        <v/>
      </c>
      <c r="L3" s="11" t="n">
        <v>44511</v>
      </c>
      <c r="M3" s="18">
        <f>24+16+10+4+8+8+7+5+3+8+4+8+7</f>
        <v/>
      </c>
      <c r="N3" s="18">
        <f>TODAY()-L3</f>
        <v/>
      </c>
      <c r="O3" s="18">
        <f>IF(N3&lt;=21, "No", "Yes" )</f>
        <v/>
      </c>
      <c r="P3" s="11" t="n">
        <v>44594</v>
      </c>
      <c r="Q3" s="18">
        <f>3+2+1+1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44533</v>
      </c>
      <c r="Z3" s="18" t="n">
        <v>19</v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inlineStr">
        <is>
          <t>N/A</t>
        </is>
      </c>
      <c r="I4" s="14" t="inlineStr">
        <is>
          <t>N/A</t>
        </is>
      </c>
      <c r="J4" s="14" t="inlineStr">
        <is>
          <t>N/A</t>
        </is>
      </c>
      <c r="K4" s="14" t="inlineStr">
        <is>
          <t>N/A</t>
        </is>
      </c>
      <c r="L4" s="11" t="n"/>
      <c r="M4" s="18">
        <f>M3-19</f>
        <v/>
      </c>
      <c r="N4" s="18" t="n"/>
      <c r="O4" s="18" t="n"/>
      <c r="P4" s="11" t="n">
        <v>44627</v>
      </c>
      <c r="Q4" s="18">
        <f>3+12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44551</v>
      </c>
      <c r="Z4" s="18" t="n"/>
      <c r="AA4" s="18" t="n"/>
      <c r="AB4" s="18" t="n">
        <v>6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>
        <f>M4-6</f>
        <v/>
      </c>
      <c r="N5" s="18" t="n"/>
      <c r="O5" s="18" t="n"/>
      <c r="P5" s="11" t="n">
        <v>44670</v>
      </c>
      <c r="Q5" s="18">
        <f>3+3+3+3+5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>
        <v>44627</v>
      </c>
      <c r="Z5" s="18" t="n"/>
      <c r="AA5" s="18" t="n"/>
      <c r="AB5" s="18" t="n">
        <v>3</v>
      </c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1" t="n">
        <v>44551</v>
      </c>
      <c r="M6" s="18">
        <f>7+5+7+6+8+4+8+5+2+4+4+8+4+9+5+5+4+6+5+6+3+3</f>
        <v/>
      </c>
      <c r="N6" s="18">
        <f>TODAY()-L6</f>
        <v/>
      </c>
      <c r="O6" s="18">
        <f>IF(N6&lt;=21, "No", "Yes" )</f>
        <v/>
      </c>
      <c r="P6" s="11" t="n">
        <v>44701</v>
      </c>
      <c r="Q6" s="18" t="n">
        <v>12</v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44594</v>
      </c>
      <c r="M7" s="18">
        <f>9+5+5+8+8+8+8+8+8+10+8+8+8</f>
        <v/>
      </c>
      <c r="N7" s="18" t="n"/>
      <c r="O7" s="18" t="n"/>
      <c r="P7" s="11" t="n">
        <v>44818</v>
      </c>
      <c r="Q7" s="18" t="n">
        <v>6</v>
      </c>
      <c r="R7" s="18">
        <f>TODAY()-P7</f>
        <v/>
      </c>
      <c r="S7" s="18">
        <f>IF(R7&lt;=21, "No", "Yes" 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>
        <f>M7-3</f>
        <v/>
      </c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44627</v>
      </c>
      <c r="M9" s="18">
        <f>20+26+24+35+19</f>
        <v/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44670</v>
      </c>
      <c r="M10">
        <f>8+8+4+8+7</f>
        <v/>
      </c>
      <c r="N10" s="18">
        <f>TODAY()-L10</f>
        <v/>
      </c>
      <c r="O10" s="18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s="12" t="n">
        <v>44701</v>
      </c>
      <c r="M11">
        <f>36+12+22</f>
        <v/>
      </c>
      <c r="N11" s="18">
        <f>TODAY()-L11</f>
        <v/>
      </c>
      <c r="O11" s="18">
        <f>IF(N11&lt;=21, "No", "Yes" 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  <c r="L12" s="12" t="n">
        <v>44818</v>
      </c>
      <c r="M12" t="n">
        <v>20</v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>(IFERROR((LOOKUP(2,1/(Q$3:Q$100&lt;&gt;""),Q$3:Q$100)),0))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AC15"/>
  <sheetViews>
    <sheetView topLeftCell="D1" zoomScale="110" zoomScaleNormal="110" workbookViewId="0">
      <selection activeCell="P10" sqref="P10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6"/>
    <col width="10.6640625" bestFit="1" customWidth="1" style="27" min="17" max="17"/>
    <col width="10.6640625" bestFit="1" customWidth="1" style="27" min="21" max="21"/>
  </cols>
  <sheetData>
    <row r="1" ht="18" customHeight="1" s="27">
      <c r="A1" s="2" t="inlineStr">
        <is>
          <t>Strain Name:</t>
        </is>
      </c>
      <c r="B1" s="3" t="inlineStr">
        <is>
          <t>Monster Profit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44491</v>
      </c>
      <c r="E3" s="18">
        <f>36*3</f>
        <v/>
      </c>
      <c r="F3" s="18">
        <f>TODAY()-D3</f>
        <v/>
      </c>
      <c r="G3" s="18">
        <f>IF(F3&lt;=21, "No", "Yes" )</f>
        <v/>
      </c>
      <c r="H3" s="11" t="n">
        <v>44592</v>
      </c>
      <c r="I3" s="18">
        <f>5+8+2+8+10+5+8+11+15+5+5+5+5+5+5+5+5+5+5+5+5+5+10+17</f>
        <v/>
      </c>
      <c r="J3" s="18">
        <f>TODAY()-H3</f>
        <v/>
      </c>
      <c r="K3" s="18">
        <f>IF(J3&lt;=21, "No", "Yes" )</f>
        <v/>
      </c>
      <c r="L3" s="11" t="n">
        <v>44512</v>
      </c>
      <c r="M3" s="18">
        <f>8*12+18</f>
        <v/>
      </c>
      <c r="N3" s="18">
        <f>TODAY()-L3</f>
        <v/>
      </c>
      <c r="O3" s="18">
        <f>IF(N3&lt;=21, "No", "Yes" )</f>
        <v/>
      </c>
      <c r="P3" s="11" t="n">
        <v>44592</v>
      </c>
      <c r="Q3" s="18">
        <f>2+2+2+1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44551</v>
      </c>
      <c r="Z3" s="18" t="n"/>
      <c r="AA3" s="18" t="n"/>
      <c r="AB3" s="18" t="n">
        <v>4</v>
      </c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inlineStr">
        <is>
          <t>N/A</t>
        </is>
      </c>
      <c r="I4" s="14" t="inlineStr">
        <is>
          <t>N/A</t>
        </is>
      </c>
      <c r="J4" s="14" t="inlineStr">
        <is>
          <t>N/A</t>
        </is>
      </c>
      <c r="K4" s="14" t="inlineStr">
        <is>
          <t>N/A</t>
        </is>
      </c>
      <c r="L4" s="11" t="n"/>
      <c r="M4" s="18" t="n">
        <v>110</v>
      </c>
      <c r="N4" s="18" t="n"/>
      <c r="O4" s="18" t="n"/>
      <c r="P4" s="11" t="n">
        <v>44623</v>
      </c>
      <c r="Q4" s="18">
        <f>3+3+3+2+3+2+3+2+4+2+2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44592</v>
      </c>
      <c r="Z4" s="18" t="n"/>
      <c r="AA4" s="18" t="n"/>
      <c r="AB4" s="18" t="n">
        <v>15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>
        <v>44551</v>
      </c>
      <c r="M5" s="18">
        <f>5+10+5+5+10+8+10+10+5+8+15+17+9+15+15+14+10</f>
        <v/>
      </c>
      <c r="N5" s="18">
        <f>TODAY()-L5</f>
        <v/>
      </c>
      <c r="O5" s="18">
        <f>IF(N5&lt;=21, "No", "Yes" )</f>
        <v/>
      </c>
      <c r="P5" s="11" t="n">
        <v>44666</v>
      </c>
      <c r="Q5" s="18">
        <f>3+3+6+3+3+3+3+3+3+3+3+3+3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>
        <f>M5-15</f>
        <v/>
      </c>
      <c r="N6" s="18" t="n"/>
      <c r="O6" s="18" t="n"/>
      <c r="P6" s="11" t="n">
        <v>44693</v>
      </c>
      <c r="Q6" s="18">
        <f>13+3</f>
        <v/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44592</v>
      </c>
      <c r="M7" s="18">
        <f>6+18+10+2+5+5+4+8+8+8+16+8+8+12+15</f>
        <v/>
      </c>
      <c r="N7" s="18">
        <f>TODAY()-L7</f>
        <v/>
      </c>
      <c r="O7" s="18">
        <f>IF(N7&lt;=21, "No", "Yes" )</f>
        <v/>
      </c>
      <c r="P7" s="11" t="n">
        <v>44733</v>
      </c>
      <c r="Q7" s="18">
        <f>11+8</f>
        <v/>
      </c>
      <c r="R7" s="18">
        <f>TODAY()-P7</f>
        <v/>
      </c>
      <c r="S7" s="18">
        <f>IF(R7&lt;=21, "No", "Yes" 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44623</v>
      </c>
      <c r="M8" s="18">
        <f>19+8+18+5+8+8+8+8+5+8+8+8+4</f>
        <v/>
      </c>
      <c r="N8" s="18" t="n"/>
      <c r="O8" s="18" t="n"/>
      <c r="P8" s="11" t="n">
        <v>44825</v>
      </c>
      <c r="Q8" s="18" t="n">
        <v>11</v>
      </c>
      <c r="R8" s="18">
        <f>TODAY()-P8</f>
        <v/>
      </c>
      <c r="S8" s="18">
        <f>IF(R8&lt;=21, "No", "Yes" )</f>
        <v/>
      </c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44666</v>
      </c>
      <c r="M9" s="18">
        <f>4+3+2+8+8+8+3</f>
        <v/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44693</v>
      </c>
      <c r="M10">
        <f>36+24+10+17</f>
        <v/>
      </c>
      <c r="N10" s="18">
        <f>TODAY()-L10</f>
        <v/>
      </c>
      <c r="O10" s="18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s="12" t="n">
        <v>44733</v>
      </c>
      <c r="M11">
        <f>30+10+17</f>
        <v/>
      </c>
      <c r="N11" s="18">
        <f>TODAY()-L11</f>
        <v/>
      </c>
      <c r="O11" s="18">
        <f>IF(N11&lt;=21, "No", "Yes" 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  <c r="L12" s="12" t="n">
        <v>44825</v>
      </c>
      <c r="M12">
        <f>12+6+14</f>
        <v/>
      </c>
      <c r="N12" s="26">
        <f>TODAY()-L12</f>
        <v/>
      </c>
      <c r="O12" s="26">
        <f>IF(N12&lt;=21, "No", "Yes" 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>(IFERROR((LOOKUP(2,1/(Q$3:Q$100&lt;&gt;""),Q$3:Q$100)),0))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AC15"/>
  <sheetViews>
    <sheetView zoomScale="110" zoomScaleNormal="110" workbookViewId="0">
      <selection activeCell="B2" sqref="B2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8.1093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6"/>
    <col width="10.6640625" bestFit="1" customWidth="1" style="27" min="17" max="17"/>
    <col width="10.6640625" bestFit="1" customWidth="1" style="27" min="21" max="21"/>
  </cols>
  <sheetData>
    <row r="1" ht="18" customHeight="1" s="27">
      <c r="A1" s="2" t="inlineStr">
        <is>
          <t>Strain Name:</t>
        </is>
      </c>
      <c r="B1" s="3" t="inlineStr">
        <is>
          <t>PoG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44491</v>
      </c>
      <c r="E3" s="18" t="n">
        <v>106</v>
      </c>
      <c r="F3" s="18">
        <f>TODAY()-D3</f>
        <v/>
      </c>
      <c r="G3" s="18">
        <f>IF(F3&lt;=21, "No", "Yes" )</f>
        <v/>
      </c>
      <c r="H3" s="11" t="inlineStr">
        <is>
          <t>N/A</t>
        </is>
      </c>
      <c r="I3" s="18" t="inlineStr">
        <is>
          <t>N/A</t>
        </is>
      </c>
      <c r="J3" s="18">
        <f>TODAY()-H3</f>
        <v/>
      </c>
      <c r="K3" s="18">
        <f>IF(J3&lt;=21, "No", "Yes" )</f>
        <v/>
      </c>
      <c r="L3" s="11" t="n">
        <v>44515</v>
      </c>
      <c r="M3" s="18">
        <f>9+8+9+8+10+8+8+8+8+10+3+9+9+9+8+4</f>
        <v/>
      </c>
      <c r="N3" s="18">
        <f>TODAY()-L3</f>
        <v/>
      </c>
      <c r="O3" s="18">
        <f>IF(N3&lt;=21, "No", "Yes" )</f>
        <v/>
      </c>
      <c r="P3" s="11" t="n">
        <v>44628</v>
      </c>
      <c r="Q3" s="18" t="n">
        <v>3</v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44533</v>
      </c>
      <c r="Z3" s="18" t="n"/>
      <c r="AA3" s="18" t="n"/>
      <c r="AB3" s="18" t="n">
        <v>8</v>
      </c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n"/>
      <c r="I4" s="14" t="n"/>
      <c r="J4" s="14" t="n"/>
      <c r="K4" s="14" t="n"/>
      <c r="L4" s="11" t="n"/>
      <c r="M4" s="18">
        <f>M3-8</f>
        <v/>
      </c>
      <c r="N4" s="18" t="n"/>
      <c r="O4" s="18" t="n"/>
      <c r="P4" s="11" t="n">
        <v>44663</v>
      </c>
      <c r="Q4" s="18" t="n">
        <v>1</v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44551</v>
      </c>
      <c r="Z4" s="18" t="n"/>
      <c r="AA4" s="18" t="n"/>
      <c r="AB4" s="18">
        <f>24</f>
        <v/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>
        <f>M4-24</f>
        <v/>
      </c>
      <c r="N5" s="18" t="n"/>
      <c r="O5" s="18" t="n"/>
      <c r="P5" s="11" t="n">
        <v>44813</v>
      </c>
      <c r="Q5" s="18" t="n">
        <v>4</v>
      </c>
      <c r="R5" s="18" t="n"/>
      <c r="S5" s="18" t="n"/>
      <c r="T5" s="18" t="n"/>
      <c r="U5" s="18" t="n"/>
      <c r="V5" s="18" t="n"/>
      <c r="W5" s="18" t="n"/>
      <c r="Y5" s="12" t="n">
        <v>44592</v>
      </c>
      <c r="Z5" s="18" t="n"/>
      <c r="AA5" s="18" t="n"/>
      <c r="AB5" s="18" t="n">
        <v>5</v>
      </c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1" t="n">
        <v>44551</v>
      </c>
      <c r="M6" s="18">
        <f>9+13+14+15+5+15+20+15+10+10+5</f>
        <v/>
      </c>
      <c r="N6" s="18">
        <f>TODAY()-L6</f>
        <v/>
      </c>
      <c r="O6" s="18">
        <f>IF(N6&lt;=21, "No", "Yes" )</f>
        <v/>
      </c>
      <c r="P6" s="11" t="inlineStr">
        <is>
          <t>10/18/2022</t>
        </is>
      </c>
      <c r="Q6" s="18" t="n">
        <v>8</v>
      </c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>
        <f>M6-5</f>
        <v/>
      </c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44599</v>
      </c>
      <c r="M8" s="18" t="n">
        <v>9</v>
      </c>
      <c r="N8" s="18">
        <f>TODAY()-L8</f>
        <v/>
      </c>
      <c r="O8" s="18">
        <f>IF(N8&lt;=21, "No", "Yes" 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44628</v>
      </c>
      <c r="M9" s="18" t="n">
        <v>4</v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44663</v>
      </c>
      <c r="M10" t="n">
        <v>2</v>
      </c>
      <c r="N10" s="18">
        <f>TODAY()-L10</f>
        <v/>
      </c>
      <c r="O10" s="18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s="12" t="n">
        <v>44813</v>
      </c>
      <c r="M11" t="n">
        <v>14</v>
      </c>
      <c r="N11" s="26">
        <f>TODAY()-L11</f>
        <v/>
      </c>
      <c r="O11" s="26">
        <f>IF(N11&lt;=21, "No", "Yes" 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  <c r="L12" t="inlineStr">
        <is>
          <t>10/18/2022</t>
        </is>
      </c>
      <c r="M12" t="n">
        <v>16</v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AC15"/>
  <sheetViews>
    <sheetView topLeftCell="D1" zoomScale="110" zoomScaleNormal="110" workbookViewId="0">
      <selection activeCell="Q8" sqref="Q8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6"/>
    <col width="10.6640625" bestFit="1" customWidth="1" style="27" min="17" max="17"/>
    <col width="10.6640625" bestFit="1" customWidth="1" style="27" min="21" max="21"/>
    <col width="10.6640625" bestFit="1" customWidth="1" style="27" min="25" max="25"/>
  </cols>
  <sheetData>
    <row r="1" ht="18" customHeight="1" s="27">
      <c r="A1" s="2" t="inlineStr">
        <is>
          <t>Strain Name:</t>
        </is>
      </c>
      <c r="B1" s="3" t="inlineStr">
        <is>
          <t>Chem Valley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44494</v>
      </c>
      <c r="E3" s="18" t="n">
        <v>58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44515</v>
      </c>
      <c r="M3" s="18">
        <f>5+10+7+6+7+4+5+6+8+6+6+6+6+2</f>
        <v/>
      </c>
      <c r="N3" s="18">
        <f>TODAY()-L3</f>
        <v/>
      </c>
      <c r="O3" s="18">
        <f>IF(N3&lt;=21, "No", "Yes" )</f>
        <v/>
      </c>
      <c r="P3" s="11" t="n">
        <v>44595</v>
      </c>
      <c r="Q3" s="18" t="n">
        <v>2</v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44551</v>
      </c>
      <c r="Z3" s="18" t="n"/>
      <c r="AA3" s="18" t="n"/>
      <c r="AB3" s="18" t="n">
        <v>6</v>
      </c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n"/>
      <c r="I4" s="14" t="n"/>
      <c r="J4" s="14" t="n"/>
      <c r="K4" s="14" t="n"/>
      <c r="L4" s="11" t="n"/>
      <c r="M4" s="18">
        <f>M3-6</f>
        <v/>
      </c>
      <c r="N4" s="18" t="n"/>
      <c r="O4" s="18" t="n"/>
      <c r="P4" s="11" t="n">
        <v>44627</v>
      </c>
      <c r="Q4" s="18">
        <f>3+3+2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44592</v>
      </c>
      <c r="Z4" s="18" t="n"/>
      <c r="AA4" s="18" t="n"/>
      <c r="AB4" s="18" t="n">
        <v>11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>
        <v>44551</v>
      </c>
      <c r="M5" s="18">
        <f>12+13+12+12+17+10+14+6</f>
        <v/>
      </c>
      <c r="N5" s="18">
        <f>TODAY()-L5</f>
        <v/>
      </c>
      <c r="O5" s="18">
        <f>IF(N5&lt;=21, "No", "Yes" )</f>
        <v/>
      </c>
      <c r="P5" s="11" t="n">
        <v>44690</v>
      </c>
      <c r="Q5" s="18" t="n">
        <v>8</v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>
        <f>M5-11</f>
        <v/>
      </c>
      <c r="N6" s="18" t="n"/>
      <c r="O6" s="18" t="n"/>
      <c r="P6" s="11" t="n">
        <v>44818</v>
      </c>
      <c r="Q6" s="18" t="n">
        <v>5</v>
      </c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44595</v>
      </c>
      <c r="M7" s="18" t="n">
        <v>8</v>
      </c>
      <c r="N7" s="18">
        <f>TODAY()-L7</f>
        <v/>
      </c>
      <c r="O7" s="18">
        <f>IF(N7&lt;=21, "No", "Yes" )</f>
        <v/>
      </c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44627</v>
      </c>
      <c r="M8" s="18" t="n">
        <v>9</v>
      </c>
      <c r="N8" s="18">
        <f>TODAY()-L8</f>
        <v/>
      </c>
      <c r="O8" s="18">
        <f>IF(N8&lt;=21, "No", "Yes" 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44690</v>
      </c>
      <c r="M9" s="18" t="n">
        <v>8</v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44818</v>
      </c>
      <c r="M10" s="26" t="n">
        <v>3</v>
      </c>
      <c r="N10" s="26">
        <f>TODAY()-L10</f>
        <v/>
      </c>
      <c r="O10" s="26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>(IFERROR((LOOKUP(2,1/(Q$3:Q$100&lt;&gt;""),Q$3:Q$100)),0))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 codeName="Sheet14">
    <outlinePr summaryBelow="1" summaryRight="1"/>
    <pageSetUpPr/>
  </sheetPr>
  <dimension ref="A1:AC15"/>
  <sheetViews>
    <sheetView topLeftCell="B1" zoomScale="110" zoomScaleNormal="110" workbookViewId="0">
      <selection activeCell="P8" sqref="P8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6"/>
    <col width="10.6640625" bestFit="1" customWidth="1" style="27" min="17" max="17"/>
    <col width="10.6640625" bestFit="1" customWidth="1" style="27" min="25" max="25"/>
  </cols>
  <sheetData>
    <row r="1" ht="18" customHeight="1" s="27">
      <c r="A1" s="2" t="inlineStr">
        <is>
          <t>Strain Name:</t>
        </is>
      </c>
      <c r="B1" s="3" t="inlineStr">
        <is>
          <t>Banana Afghani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44494</v>
      </c>
      <c r="E3" s="18" t="n">
        <v>120</v>
      </c>
      <c r="F3" s="18">
        <f>TODAY()-D3</f>
        <v/>
      </c>
      <c r="G3" s="18">
        <f>IF(F3&lt;=21, "No", "Yes" )</f>
        <v/>
      </c>
      <c r="H3" s="11" t="n">
        <v>44595</v>
      </c>
      <c r="I3" s="18" t="n">
        <v>2</v>
      </c>
      <c r="J3" s="18">
        <f>TODAY()-H3</f>
        <v/>
      </c>
      <c r="K3" s="18">
        <f>IF(J3&lt;=21, "No", "Yes" )</f>
        <v/>
      </c>
      <c r="L3" s="11" t="n">
        <v>44516</v>
      </c>
      <c r="M3" s="18">
        <f>6+9+8+8+5+8+6+4+5+8+4+8+4+8+5+5+4+6+5</f>
        <v/>
      </c>
      <c r="N3" s="18">
        <f>TODAY()-L3</f>
        <v/>
      </c>
      <c r="O3" s="18">
        <f>IF(N3&lt;=21, "No", "Yes" )</f>
        <v/>
      </c>
      <c r="P3" s="11" t="n">
        <v>44595</v>
      </c>
      <c r="Q3" s="18">
        <f>2+3+10+3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44533</v>
      </c>
      <c r="Z3" s="18" t="n"/>
      <c r="AA3" s="18" t="n"/>
      <c r="AB3" s="18" t="n">
        <v>28</v>
      </c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n"/>
      <c r="I4" s="14" t="n"/>
      <c r="J4" s="14" t="n"/>
      <c r="K4" s="14" t="n"/>
      <c r="L4" s="11" t="n"/>
      <c r="M4" s="18">
        <f>M3-28</f>
        <v/>
      </c>
      <c r="N4" s="18" t="n"/>
      <c r="O4" s="18" t="n"/>
      <c r="P4" s="11" t="n">
        <v>44627</v>
      </c>
      <c r="Q4" s="18">
        <f>3+4+8+2+2+2+3+2+2+2+4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44551</v>
      </c>
      <c r="Z4" s="18" t="n"/>
      <c r="AA4" s="18" t="n"/>
      <c r="AB4" s="18" t="n">
        <v>6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>
        <v>82</v>
      </c>
      <c r="N5" s="18" t="n"/>
      <c r="O5" s="18" t="n"/>
      <c r="P5" s="11" t="n">
        <v>44663</v>
      </c>
      <c r="Q5" s="18">
        <f>32+42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>
        <v>44595</v>
      </c>
      <c r="Z5" s="18" t="n"/>
      <c r="AA5" s="18" t="n"/>
      <c r="AB5" s="18">
        <f>19+10+4</f>
        <v/>
      </c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1" t="n">
        <v>44551</v>
      </c>
      <c r="M6" s="18">
        <f>6+8+4+8+8+10+8+7+6+7+6+7+9+4+14+13</f>
        <v/>
      </c>
      <c r="N6" s="18">
        <f>TODAY()-L6</f>
        <v/>
      </c>
      <c r="O6" s="18">
        <f>IF(N6&lt;=21, "No", "Yes" )</f>
        <v/>
      </c>
      <c r="P6" s="11" t="n">
        <v>44699</v>
      </c>
      <c r="Q6" s="18" t="n">
        <v>28</v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>
        <f>M6-33</f>
        <v/>
      </c>
      <c r="N7" s="18" t="n"/>
      <c r="O7" s="18" t="n"/>
      <c r="P7" s="11" t="n">
        <v>44818</v>
      </c>
      <c r="Q7" s="18">
        <f>16+28</f>
        <v/>
      </c>
      <c r="R7" s="18">
        <f>TODAY()-P7</f>
        <v/>
      </c>
      <c r="S7" s="18">
        <f>IF(R7&lt;=21, "No", "Yes" 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44595</v>
      </c>
      <c r="M8" s="18">
        <f>8+12+8+8+7+16+16+16+12+12</f>
        <v/>
      </c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44627</v>
      </c>
      <c r="M9" s="18">
        <f>3+8+8+4+8+18+8+8+16+8+8+8+5</f>
        <v/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44663</v>
      </c>
      <c r="M10">
        <f>18+32</f>
        <v/>
      </c>
      <c r="N10" s="18">
        <f>TODAY()-L10</f>
        <v/>
      </c>
      <c r="O10" s="18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s="12" t="n">
        <v>44699</v>
      </c>
      <c r="M11" t="n">
        <v>72</v>
      </c>
      <c r="N11" s="18">
        <f>TODAY()-L11</f>
        <v/>
      </c>
      <c r="O11" s="18">
        <f>IF(N11&lt;=21, "No", "Yes" 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  <c r="L12" s="12" t="n">
        <v>44818</v>
      </c>
      <c r="M12" t="n">
        <v>9</v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>(IFERROR((LOOKUP(2,1/(Q$3:Q$100&lt;&gt;""),Q$3:Q$100)),0))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 codeName="Sheet15">
    <outlinePr summaryBelow="1" summaryRight="1"/>
    <pageSetUpPr/>
  </sheetPr>
  <dimension ref="A1:AC15"/>
  <sheetViews>
    <sheetView topLeftCell="E1" zoomScale="110" zoomScaleNormal="110" workbookViewId="0">
      <selection activeCell="Q7" sqref="Q7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7"/>
    <col width="9.5546875" bestFit="1" customWidth="1" style="27" min="25" max="25"/>
  </cols>
  <sheetData>
    <row r="1" ht="18" customHeight="1" s="27">
      <c r="A1" s="2" t="inlineStr">
        <is>
          <t>Strain Name:</t>
        </is>
      </c>
      <c r="B1" s="3" t="inlineStr">
        <is>
          <t>Wedding Scotch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44494</v>
      </c>
      <c r="E3" s="18" t="n">
        <v>80</v>
      </c>
      <c r="F3" s="18">
        <f>TODAY()-D3</f>
        <v/>
      </c>
      <c r="G3" s="18">
        <f>IF(F3&lt;=21, "No", "Yes" )</f>
        <v/>
      </c>
      <c r="H3" s="11" t="n">
        <v>44599</v>
      </c>
      <c r="I3" s="18" t="n">
        <v>9</v>
      </c>
      <c r="J3" s="18">
        <f>TODAY()-H3</f>
        <v/>
      </c>
      <c r="K3" s="18">
        <f>IF(J3&lt;=21, "No", "Yes" )</f>
        <v/>
      </c>
      <c r="L3" s="11" t="n">
        <v>44516</v>
      </c>
      <c r="M3" s="18">
        <f>5+4+4+5+5+8+4+9+5+5+6+8+8+9</f>
        <v/>
      </c>
      <c r="N3" s="18">
        <f>TODAY()-L3</f>
        <v/>
      </c>
      <c r="O3" s="18">
        <f>IF(N3&lt;=21, "No", "Yes" )</f>
        <v/>
      </c>
      <c r="P3" s="11" t="n">
        <v>44599</v>
      </c>
      <c r="Q3" s="18" t="n">
        <v>5</v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44533</v>
      </c>
      <c r="Z3" s="18" t="n">
        <v>8</v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inlineStr">
        <is>
          <t>N/A</t>
        </is>
      </c>
      <c r="I4" s="14" t="inlineStr">
        <is>
          <t>N/A</t>
        </is>
      </c>
      <c r="J4" s="14" t="inlineStr">
        <is>
          <t>N/A</t>
        </is>
      </c>
      <c r="K4" s="14" t="inlineStr">
        <is>
          <t>N/A</t>
        </is>
      </c>
      <c r="L4" s="11" t="n"/>
      <c r="M4" s="18">
        <f>M3-8</f>
        <v/>
      </c>
      <c r="N4" s="18" t="n"/>
      <c r="O4" s="18" t="n"/>
      <c r="P4" s="11" t="n">
        <v>44628</v>
      </c>
      <c r="Q4" s="18" t="n">
        <v>6</v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44599</v>
      </c>
      <c r="Z4" s="18" t="n"/>
      <c r="AA4" s="18" t="n"/>
      <c r="AB4" s="18" t="n">
        <v>45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>
        <v>44557</v>
      </c>
      <c r="M5" s="18">
        <f>6+8+6+10+6+10+6+13</f>
        <v/>
      </c>
      <c r="N5" s="18">
        <f>TODAY()-L5</f>
        <v/>
      </c>
      <c r="O5" s="18">
        <f>IF(N5&lt;=21, "No", "Yes" )</f>
        <v/>
      </c>
      <c r="P5" s="11" t="n">
        <v>44685</v>
      </c>
      <c r="Q5" s="18" t="n">
        <v>10</v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>
        <f>M5-45</f>
        <v/>
      </c>
      <c r="N6" s="18" t="n"/>
      <c r="O6" s="18" t="n"/>
      <c r="P6" s="11" t="n">
        <v>44729</v>
      </c>
      <c r="Q6" s="18" t="n">
        <v>1</v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44599</v>
      </c>
      <c r="M7" s="18" t="n">
        <v>14</v>
      </c>
      <c r="N7" s="18">
        <f>TODAY()-L7</f>
        <v/>
      </c>
      <c r="O7" s="18">
        <f>IF(N7&lt;=21, "No", "Yes" )</f>
        <v/>
      </c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44628</v>
      </c>
      <c r="M8" s="18">
        <f>19</f>
        <v/>
      </c>
      <c r="N8" s="18">
        <f>TODAY()-L8</f>
        <v/>
      </c>
      <c r="O8" s="18">
        <f>IF(N8&lt;=21, "No", "Yes" 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44685</v>
      </c>
      <c r="M9" s="18" t="n">
        <v>13</v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44729</v>
      </c>
      <c r="M10">
        <f>11</f>
        <v/>
      </c>
      <c r="N10" s="26">
        <f>TODAY()-L10</f>
        <v/>
      </c>
      <c r="O10" s="26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A1:AC15"/>
  <sheetViews>
    <sheetView topLeftCell="D1" zoomScale="110" zoomScaleNormal="110" workbookViewId="0">
      <selection activeCell="P8" sqref="P8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6"/>
    <col width="10.664062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Night Terror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44494</v>
      </c>
      <c r="E3" s="18" t="n">
        <v>86</v>
      </c>
      <c r="F3" s="18">
        <f>TODAY()-D3</f>
        <v/>
      </c>
      <c r="G3" s="18">
        <f>IF(F3&lt;=21, "No", "Yes" )</f>
        <v/>
      </c>
      <c r="H3" s="11" t="n">
        <v>44599</v>
      </c>
      <c r="I3" s="18">
        <f>4</f>
        <v/>
      </c>
      <c r="J3" s="18">
        <f>TODAY()-H3</f>
        <v/>
      </c>
      <c r="K3" s="18">
        <f>IF(J3&lt;=21, "No", "Yes" )</f>
        <v/>
      </c>
      <c r="L3" s="11" t="n">
        <v>44516</v>
      </c>
      <c r="M3" s="18">
        <f>4+8+9+8+8+5+4+8+4+8+5+7+5+5+6</f>
        <v/>
      </c>
      <c r="N3" s="18">
        <f>TODAY()-L3</f>
        <v/>
      </c>
      <c r="O3" s="18">
        <f>IF(N3&lt;=21, "No", "Yes" )</f>
        <v/>
      </c>
      <c r="P3" s="11" t="n">
        <v>44599</v>
      </c>
      <c r="Q3" s="18">
        <f>1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44533</v>
      </c>
      <c r="Z3" s="18" t="n">
        <v>5</v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n">
        <v>44643</v>
      </c>
      <c r="I4" s="14">
        <f>20+18</f>
        <v/>
      </c>
      <c r="J4" s="18">
        <f>TODAY()-H4</f>
        <v/>
      </c>
      <c r="K4" s="18">
        <f>IF(J4&lt;=21, "No", "Yes" )</f>
        <v/>
      </c>
      <c r="L4" s="11" t="n"/>
      <c r="M4" s="18" t="n">
        <v>89</v>
      </c>
      <c r="N4" s="18" t="n"/>
      <c r="O4" s="18" t="n"/>
      <c r="P4" s="11" t="n">
        <v>44643</v>
      </c>
      <c r="Q4" s="18" t="n">
        <v>23</v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44557</v>
      </c>
      <c r="Z4" s="18" t="n"/>
      <c r="AA4" s="18" t="n"/>
      <c r="AB4" s="18" t="n">
        <v>6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3" t="inlineStr">
        <is>
          <t>N/A</t>
        </is>
      </c>
      <c r="I5" s="14" t="inlineStr">
        <is>
          <t>N/A</t>
        </is>
      </c>
      <c r="J5" s="14" t="inlineStr">
        <is>
          <t>N/A</t>
        </is>
      </c>
      <c r="K5" s="14" t="inlineStr">
        <is>
          <t>N/A</t>
        </is>
      </c>
      <c r="L5" s="11" t="n"/>
      <c r="M5" s="18" t="n">
        <v>83</v>
      </c>
      <c r="N5" s="18" t="n"/>
      <c r="O5" s="18" t="n"/>
      <c r="P5" s="11" t="n">
        <v>44685</v>
      </c>
      <c r="Q5" s="18" t="n">
        <v>8</v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1" t="n">
        <v>44557</v>
      </c>
      <c r="M6" s="18">
        <f>4+4+6+7+7+5+9+7+3+7+7+4+8+7+8+5+9+6+6</f>
        <v/>
      </c>
      <c r="N6" s="18">
        <f>TODAY()-L6</f>
        <v/>
      </c>
      <c r="O6" s="18">
        <f>IF(N6&lt;=21, "No", "Yes" )</f>
        <v/>
      </c>
      <c r="P6" s="11" t="n">
        <v>44728</v>
      </c>
      <c r="Q6" s="18">
        <f>4+6+3+3+3</f>
        <v/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44599</v>
      </c>
      <c r="M7" s="18">
        <f>8+5+8+8+8+8+8+8+8</f>
        <v/>
      </c>
      <c r="N7" s="18">
        <f>TODAY()-L7</f>
        <v/>
      </c>
      <c r="O7" s="18">
        <f>IF(N7&lt;=21, "No", "Yes" )</f>
        <v/>
      </c>
      <c r="P7" s="11" t="n">
        <v>44823</v>
      </c>
      <c r="Q7" s="18" t="n">
        <v>6</v>
      </c>
      <c r="R7" s="18">
        <f>TODAY()-P7</f>
        <v/>
      </c>
      <c r="S7" s="18">
        <f>IF(R7&lt;=21, "No", "Yes" 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44645</v>
      </c>
      <c r="M8" s="18" t="n">
        <v>4</v>
      </c>
      <c r="N8" s="18">
        <f>TODAY()-L8</f>
        <v/>
      </c>
      <c r="O8" s="18">
        <f>IF(N8&lt;=21, "No", "Yes" 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44685</v>
      </c>
      <c r="M9" s="18" t="n">
        <v>32</v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44728</v>
      </c>
      <c r="M10">
        <f>10+10+10+5+6</f>
        <v/>
      </c>
      <c r="N10" s="26">
        <f>TODAY()-L10</f>
        <v/>
      </c>
      <c r="O10" s="26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s="12" t="n">
        <v>44823</v>
      </c>
      <c r="M11" t="n">
        <v>26</v>
      </c>
      <c r="N11" s="26">
        <f>TODAY()-L11</f>
        <v/>
      </c>
      <c r="O11" s="26">
        <f>IF(N11&lt;=21, "No", "Yes" 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 codeName="Sheet17">
    <outlinePr summaryBelow="1" summaryRight="1"/>
    <pageSetUpPr/>
  </sheetPr>
  <dimension ref="A1:AC15"/>
  <sheetViews>
    <sheetView topLeftCell="G1" zoomScale="110" zoomScaleNormal="110" workbookViewId="0">
      <selection activeCell="P8" sqref="P8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6"/>
    <col width="10.664062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Mendo OG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44495</v>
      </c>
      <c r="E3" s="18" t="n">
        <v>40</v>
      </c>
      <c r="F3" s="18">
        <f>TODAY()-D3</f>
        <v/>
      </c>
      <c r="G3" s="18">
        <f>IF(F3&lt;=21, "No", "Yes" )</f>
        <v/>
      </c>
      <c r="H3" s="11" t="n">
        <v>44599</v>
      </c>
      <c r="I3" s="18" t="n">
        <v>5</v>
      </c>
      <c r="J3" s="18">
        <f>TODAY()-H3</f>
        <v/>
      </c>
      <c r="K3" s="18">
        <f>IF(J3&lt;=21, "No", "Yes" )</f>
        <v/>
      </c>
      <c r="L3" s="11" t="n">
        <v>44516</v>
      </c>
      <c r="M3" s="18">
        <f>8+7+7+5+5+6+7+5+10</f>
        <v/>
      </c>
      <c r="N3" s="18">
        <f>TODAY()-L3</f>
        <v/>
      </c>
      <c r="O3" s="18">
        <f>IF(N3&lt;=21, "No", "Yes" )</f>
        <v/>
      </c>
      <c r="P3" s="11" t="n">
        <v>44599</v>
      </c>
      <c r="Q3" s="18">
        <f>5+6+8+8+3+4+3</f>
        <v/>
      </c>
      <c r="R3" s="18" t="n"/>
      <c r="S3" s="18" t="n"/>
      <c r="T3" s="18" t="n"/>
      <c r="U3" s="18" t="n"/>
      <c r="V3" s="18" t="n"/>
      <c r="W3" s="18" t="n"/>
      <c r="Y3" s="12" t="n">
        <v>44551</v>
      </c>
      <c r="Z3" s="18" t="n"/>
      <c r="AA3" s="18" t="n"/>
      <c r="AB3" s="18" t="n">
        <v>9</v>
      </c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inlineStr">
        <is>
          <t>N/A</t>
        </is>
      </c>
      <c r="I4" s="14" t="inlineStr">
        <is>
          <t>N/A</t>
        </is>
      </c>
      <c r="J4" s="14" t="inlineStr">
        <is>
          <t>N/A</t>
        </is>
      </c>
      <c r="K4" s="14" t="inlineStr">
        <is>
          <t>N/A</t>
        </is>
      </c>
      <c r="L4" s="11" t="n"/>
      <c r="M4" s="18" t="n">
        <v>51</v>
      </c>
      <c r="N4" s="18" t="n"/>
      <c r="O4" s="18" t="n"/>
      <c r="P4" s="11" t="n">
        <v>44628</v>
      </c>
      <c r="Q4" s="18">
        <f>3+3+2+3+8+3+4+6+3+3+3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>
        <v>44551</v>
      </c>
      <c r="M5" s="18">
        <f>15+13+10+10+17+8</f>
        <v/>
      </c>
      <c r="N5" s="18">
        <f>TODAY()-L5</f>
        <v/>
      </c>
      <c r="O5" s="18">
        <f>IF(N5&lt;=21, "No", "Yes" )</f>
        <v/>
      </c>
      <c r="P5" s="11" t="n">
        <v>44663</v>
      </c>
      <c r="Q5" s="18">
        <f>8+4+5+3+3+3+3+3+3+3+3+4+3+2+3+3+3+3+2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1" t="n">
        <v>44599</v>
      </c>
      <c r="M6" s="18">
        <f>8+12+4+8+8+2+8+8+28+21+8+6</f>
        <v/>
      </c>
      <c r="N6" s="18" t="n"/>
      <c r="O6" s="18" t="n"/>
      <c r="P6" s="11" t="n">
        <v>44693</v>
      </c>
      <c r="Q6" s="18">
        <f>6+14</f>
        <v/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44628</v>
      </c>
      <c r="M7" s="18">
        <f>8+8+8+8+9+8+8+5+8+8+8+8+8+8+8</f>
        <v/>
      </c>
      <c r="N7" s="18">
        <f>TODAY()-L7</f>
        <v/>
      </c>
      <c r="O7" s="18">
        <f>IF(N7&lt;=21, "No", "Yes" )</f>
        <v/>
      </c>
      <c r="P7" s="11" t="n">
        <v>44818</v>
      </c>
      <c r="Q7" s="18">
        <f>12+4+9+8</f>
        <v/>
      </c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44663</v>
      </c>
      <c r="M8" s="18">
        <f>10+3+3+8+3+7+8</f>
        <v/>
      </c>
      <c r="N8" s="18">
        <f>TODAY()-L8</f>
        <v/>
      </c>
      <c r="O8" s="18">
        <f>IF(N8&lt;=21, "No", "Yes" 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44693</v>
      </c>
      <c r="M9" s="18">
        <f>44+18+32+36+28</f>
        <v/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44818</v>
      </c>
      <c r="M10">
        <f>16+22+8+12+10</f>
        <v/>
      </c>
      <c r="N10" s="26">
        <f>TODAY()-L10</f>
        <v/>
      </c>
      <c r="O10" s="26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 codeName="Sheet18">
    <outlinePr summaryBelow="1" summaryRight="1"/>
    <pageSetUpPr/>
  </sheetPr>
  <dimension ref="A1:AC15"/>
  <sheetViews>
    <sheetView topLeftCell="K1" zoomScale="110" zoomScaleNormal="110" workbookViewId="0">
      <selection activeCell="Q10" sqref="Q10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7"/>
    <col width="9.5546875" bestFit="1" customWidth="1" style="27" min="25" max="25"/>
  </cols>
  <sheetData>
    <row r="1" ht="18" customHeight="1" s="27">
      <c r="A1" s="2" t="inlineStr">
        <is>
          <t>Strain Name:</t>
        </is>
      </c>
      <c r="B1" s="3" t="inlineStr">
        <is>
          <t>GG #4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44495</v>
      </c>
      <c r="E3" s="18" t="n">
        <v>116</v>
      </c>
      <c r="F3" s="18">
        <f>TODAY()-D3</f>
        <v/>
      </c>
      <c r="G3" s="18">
        <f>IF(F3&lt;=21, "No", "Yes" )</f>
        <v/>
      </c>
      <c r="H3" s="11" t="n">
        <v>44599</v>
      </c>
      <c r="I3" s="18">
        <f>13+10+16+8+15</f>
        <v/>
      </c>
      <c r="J3" s="18">
        <f>TODAY()-H3</f>
        <v/>
      </c>
      <c r="K3" s="18">
        <f>IF(J3&lt;=21, "No", "Yes" )</f>
        <v/>
      </c>
      <c r="L3" s="11" t="n">
        <v>44516</v>
      </c>
      <c r="M3" s="18">
        <f>8+8+9+9+9+8+8+5+8+5+5+11+4+4+4+5+5+4</f>
        <v/>
      </c>
      <c r="N3" s="18">
        <f>TODAY()-L3</f>
        <v/>
      </c>
      <c r="O3" s="18">
        <f>IF(N3&lt;=21, "No", "Yes" )</f>
        <v/>
      </c>
      <c r="P3" s="11" t="n">
        <v>44599</v>
      </c>
      <c r="Q3" s="18">
        <f>4+3+4+3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44533</v>
      </c>
      <c r="Z3" s="18" t="n"/>
      <c r="AA3" s="18" t="n"/>
      <c r="AB3" s="18" t="n">
        <v>24</v>
      </c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n"/>
      <c r="I4" s="14">
        <f>I3-11-13</f>
        <v/>
      </c>
      <c r="J4" s="14" t="n"/>
      <c r="K4" s="14" t="n"/>
      <c r="L4" s="11" t="n"/>
      <c r="M4" s="18">
        <f>M3-24</f>
        <v/>
      </c>
      <c r="N4" s="18" t="n"/>
      <c r="O4" s="18" t="n"/>
      <c r="P4" s="11" t="n"/>
      <c r="Q4" s="18">
        <f>Q3-1</f>
        <v/>
      </c>
      <c r="R4" s="18" t="n"/>
      <c r="S4" s="18" t="n"/>
      <c r="T4" s="18" t="n"/>
      <c r="U4" s="18" t="n"/>
      <c r="V4" s="18" t="n"/>
      <c r="W4" s="18" t="n"/>
      <c r="Y4" s="12" t="n">
        <v>44599</v>
      </c>
      <c r="Z4" s="18" t="n"/>
      <c r="AA4" s="18" t="n"/>
      <c r="AB4" s="18">
        <f>5+21+3</f>
        <v/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>
        <v>44818</v>
      </c>
      <c r="E5" s="18" t="n">
        <v>160</v>
      </c>
      <c r="F5" s="18" t="n"/>
      <c r="G5" s="18" t="n"/>
      <c r="H5" s="11" t="inlineStr">
        <is>
          <t>N/A</t>
        </is>
      </c>
      <c r="I5" s="18" t="inlineStr">
        <is>
          <t>N/A</t>
        </is>
      </c>
      <c r="J5" s="18" t="inlineStr">
        <is>
          <t>N/A</t>
        </is>
      </c>
      <c r="K5" s="18" t="inlineStr">
        <is>
          <t>N/A</t>
        </is>
      </c>
      <c r="L5" s="11" t="n">
        <v>44551</v>
      </c>
      <c r="M5" s="18">
        <f>12+13+7+9+3+10+9+10+10+4+5+10+5</f>
        <v/>
      </c>
      <c r="N5" s="18">
        <f>TODAY()-L5</f>
        <v/>
      </c>
      <c r="O5" s="18">
        <f>IF(N5&lt;=21, "No", "Yes" )</f>
        <v/>
      </c>
      <c r="P5" s="11" t="n">
        <v>44627</v>
      </c>
      <c r="Q5" s="18">
        <f>9+8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>
        <v>44627</v>
      </c>
      <c r="Z5" s="18" t="n"/>
      <c r="AA5" s="18">
        <f>11+13</f>
        <v/>
      </c>
      <c r="AB5" s="18" t="n">
        <v>5</v>
      </c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>
        <f>M5-29</f>
        <v/>
      </c>
      <c r="N6" s="18" t="n"/>
      <c r="O6" s="18" t="n"/>
      <c r="P6" s="11" t="n">
        <v>44690</v>
      </c>
      <c r="Q6" s="18" t="n">
        <v>3</v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44599</v>
      </c>
      <c r="M7" s="18">
        <f>6+6+11+9+9</f>
        <v/>
      </c>
      <c r="N7" s="18">
        <f>TODAY()-L7</f>
        <v/>
      </c>
      <c r="O7" s="18">
        <f>IF(N7&lt;=21, "No", "Yes" )</f>
        <v/>
      </c>
      <c r="P7" s="11" t="n">
        <v>44729</v>
      </c>
      <c r="Q7" s="18" t="n">
        <v>5</v>
      </c>
      <c r="R7" s="18">
        <f>TODAY()-P7</f>
        <v/>
      </c>
      <c r="S7" s="18">
        <f>IF(R7&lt;=21, "No", "Yes" 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>
        <f>M7-5</f>
        <v/>
      </c>
      <c r="N8" s="18" t="n"/>
      <c r="O8" s="18" t="n"/>
      <c r="P8" s="11" t="n">
        <v>44825</v>
      </c>
      <c r="Q8" s="18" t="n">
        <v>5</v>
      </c>
      <c r="R8" s="18">
        <f>TODAY()-P8</f>
        <v/>
      </c>
      <c r="S8" s="18">
        <f>IF(R8&lt;=21, "No", "Yes" )</f>
        <v/>
      </c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44627</v>
      </c>
      <c r="M9" s="18">
        <f>32+20+30</f>
        <v/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44690</v>
      </c>
      <c r="M10" t="n">
        <v>6</v>
      </c>
      <c r="N10" s="18">
        <f>TODAY()-L10</f>
        <v/>
      </c>
      <c r="O10" s="18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s="12" t="n">
        <v>44729</v>
      </c>
      <c r="M11" t="n">
        <v>13</v>
      </c>
      <c r="N11" s="18">
        <f>TODAY()-L11</f>
        <v/>
      </c>
      <c r="O11" s="18">
        <f>IF(N11&lt;=21, "No", "Yes" 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  <c r="L12" s="12" t="n">
        <v>44825</v>
      </c>
      <c r="M12" t="n">
        <v>10</v>
      </c>
      <c r="N12" s="26">
        <f>TODAY()-L12</f>
        <v/>
      </c>
      <c r="O12" s="26">
        <f>IF(N12&lt;=21, "No", "Yes" 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 codeName="Sheet19">
    <outlinePr summaryBelow="1" summaryRight="1"/>
    <pageSetUpPr/>
  </sheetPr>
  <dimension ref="A1:AC15"/>
  <sheetViews>
    <sheetView topLeftCell="J1" zoomScale="115" zoomScaleNormal="115" workbookViewId="0">
      <selection activeCell="R9" sqref="R9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5546875" bestFit="1" customWidth="1" style="27" min="12" max="12"/>
    <col width="15.44140625" bestFit="1" customWidth="1" style="27" min="14" max="14"/>
    <col width="9.88671875" bestFit="1" customWidth="1" style="27" min="16" max="16"/>
    <col width="9.5546875" bestFit="1" customWidth="1" style="27" min="17" max="17"/>
    <col width="9.88671875" bestFit="1" customWidth="1" style="27" min="25" max="25"/>
  </cols>
  <sheetData>
    <row r="1" ht="18" customHeight="1" s="27">
      <c r="A1" s="2" t="inlineStr">
        <is>
          <t>Strain Name:</t>
        </is>
      </c>
      <c r="B1" s="3" t="inlineStr">
        <is>
          <t>Sunday Brunch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44495</v>
      </c>
      <c r="E3" s="18" t="n">
        <v>76</v>
      </c>
      <c r="F3" s="18">
        <f>TODAY()-D3</f>
        <v/>
      </c>
      <c r="G3" s="18">
        <f>IF(F3&lt;=21, "No", "Yes" )</f>
        <v/>
      </c>
      <c r="H3" s="11" t="n">
        <v>44599</v>
      </c>
      <c r="I3" s="18">
        <f>11+14+21</f>
        <v/>
      </c>
      <c r="J3" s="18">
        <f>TODAY()-H3</f>
        <v/>
      </c>
      <c r="K3" s="18">
        <f>IF(J3&lt;=21, "No", "Yes" )</f>
        <v/>
      </c>
      <c r="L3" s="11" t="n">
        <v>44516</v>
      </c>
      <c r="M3" s="18">
        <f>16+8+5+5+6+9+6+11+6+5+5+4+8</f>
        <v/>
      </c>
      <c r="N3" s="18">
        <f>TODAY()-L3</f>
        <v/>
      </c>
      <c r="O3" s="18">
        <f>IF(N3&lt;=21, "No", "Yes" )</f>
        <v/>
      </c>
      <c r="P3" s="11" t="n">
        <v>44599</v>
      </c>
      <c r="Q3" s="18">
        <f>6+4+6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44533</v>
      </c>
      <c r="Z3" s="18" t="n">
        <v>4</v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inlineStr">
        <is>
          <t>N/A</t>
        </is>
      </c>
      <c r="I4" s="14" t="inlineStr">
        <is>
          <t>N/A</t>
        </is>
      </c>
      <c r="J4" s="14" t="inlineStr">
        <is>
          <t>N/A</t>
        </is>
      </c>
      <c r="K4" s="14" t="inlineStr">
        <is>
          <t>N/A</t>
        </is>
      </c>
      <c r="L4" s="11" t="n"/>
      <c r="M4" s="18">
        <f>M3-4</f>
        <v/>
      </c>
      <c r="N4" s="18" t="n"/>
      <c r="O4" s="18" t="n"/>
      <c r="P4" s="11" t="n">
        <v>44644</v>
      </c>
      <c r="Q4" s="18">
        <f>3+3+3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44599</v>
      </c>
      <c r="Z4" s="18" t="n"/>
      <c r="AA4" s="18" t="n"/>
      <c r="AB4" s="18" t="n">
        <v>37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>
        <v>44557</v>
      </c>
      <c r="M5" s="18">
        <f>8+10+6+6+16+6+10+8+5+12+6+15</f>
        <v/>
      </c>
      <c r="N5" s="18">
        <f>TODAY()-L5</f>
        <v/>
      </c>
      <c r="O5" s="18">
        <f>IF(N5&lt;=21, "No", "Yes" )</f>
        <v/>
      </c>
      <c r="P5" s="11" t="n">
        <v>44685</v>
      </c>
      <c r="Q5" s="18" t="n">
        <v>16</v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>
        <f>M5-37-6</f>
        <v/>
      </c>
      <c r="N6" s="18" t="n"/>
      <c r="O6" s="18" t="n"/>
      <c r="P6" s="12" t="n">
        <v>44728</v>
      </c>
      <c r="Q6" s="18" t="n">
        <v>3</v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44599</v>
      </c>
      <c r="M7" s="18">
        <f>4+4+3</f>
        <v/>
      </c>
      <c r="N7" s="18" t="n"/>
      <c r="O7" s="18" t="n"/>
      <c r="P7" s="18" t="inlineStr">
        <is>
          <t>10/2/2022</t>
        </is>
      </c>
      <c r="Q7" s="18" t="n">
        <v>13</v>
      </c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44644</v>
      </c>
      <c r="M8" s="18">
        <f>8+12+8</f>
        <v/>
      </c>
      <c r="N8" s="18">
        <f>TODAY()-L8</f>
        <v/>
      </c>
      <c r="O8" s="18">
        <f>IF(N8&lt;=21, "No", "Yes" 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44685</v>
      </c>
      <c r="M9" s="18" t="n">
        <v>33</v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44728</v>
      </c>
      <c r="M10">
        <f>45</f>
        <v/>
      </c>
      <c r="N10" s="18">
        <f>TODAY()-L10</f>
        <v/>
      </c>
      <c r="O10" s="18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t="inlineStr">
        <is>
          <t>10/2/2022</t>
        </is>
      </c>
      <c r="M11" t="n">
        <v>60</v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 codeName="Sheet20">
    <outlinePr summaryBelow="1" summaryRight="1"/>
    <pageSetUpPr/>
  </sheetPr>
  <dimension ref="A1:AC15"/>
  <sheetViews>
    <sheetView topLeftCell="D1" zoomScale="110" zoomScaleNormal="110" workbookViewId="0">
      <selection activeCell="P8" sqref="P8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6"/>
    <col width="10.664062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Blue Dream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44495</v>
      </c>
      <c r="E3" s="18" t="n">
        <v>80</v>
      </c>
      <c r="F3" s="18">
        <f>TODAY()-D3</f>
        <v/>
      </c>
      <c r="G3" s="18">
        <f>IF(F3&lt;=21, "No", "Yes" )</f>
        <v/>
      </c>
      <c r="H3" s="11" t="n">
        <v>44643</v>
      </c>
      <c r="I3" s="18" t="n">
        <v>13</v>
      </c>
      <c r="J3" s="18">
        <f>TODAY()-H3</f>
        <v/>
      </c>
      <c r="K3" s="18">
        <f>IF(J3&lt;=21, "No", "Yes" )</f>
        <v/>
      </c>
      <c r="L3" s="11" t="n">
        <v>44516</v>
      </c>
      <c r="M3" s="18">
        <f>9+8+8+8+6+10+6+6+6+5+5+5+6+7</f>
        <v/>
      </c>
      <c r="N3" s="18">
        <f>TODAY()-L3</f>
        <v/>
      </c>
      <c r="O3" s="18">
        <f>IF(N3&lt;=21, "No", "Yes" )</f>
        <v/>
      </c>
      <c r="P3" s="11" t="n">
        <v>44599</v>
      </c>
      <c r="Q3" s="18" t="n">
        <v>3</v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44533</v>
      </c>
      <c r="Z3" s="18" t="n">
        <v>6</v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n"/>
      <c r="I4" s="14" t="n"/>
      <c r="J4" s="14" t="n"/>
      <c r="K4" s="14" t="n"/>
      <c r="L4" s="11" t="n"/>
      <c r="M4" s="18">
        <f>M3-6</f>
        <v/>
      </c>
      <c r="N4" s="18" t="n"/>
      <c r="O4" s="18" t="n"/>
      <c r="P4" s="11" t="n">
        <v>44643</v>
      </c>
      <c r="Q4" s="18" t="n">
        <v>14</v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44557</v>
      </c>
      <c r="Z4" s="18" t="n"/>
      <c r="AA4" s="18" t="n"/>
      <c r="AB4" s="18" t="n">
        <v>35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>
        <f>M4-35</f>
        <v/>
      </c>
      <c r="N5" s="18" t="n"/>
      <c r="O5" s="18" t="n"/>
      <c r="P5" s="11" t="n">
        <v>44685</v>
      </c>
      <c r="Q5" s="18" t="n">
        <v>10</v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1" t="n">
        <v>44557</v>
      </c>
      <c r="M6" s="18">
        <f>10+12+8+4+4+6+9+8+8+11</f>
        <v/>
      </c>
      <c r="N6" s="18">
        <f>TODAY()-L6</f>
        <v/>
      </c>
      <c r="O6" s="18">
        <f>IF(N6&lt;=21, "No", "Yes" )</f>
        <v/>
      </c>
      <c r="P6" s="11" t="n">
        <v>44728</v>
      </c>
      <c r="Q6" s="18" t="n">
        <v>4</v>
      </c>
      <c r="R6" s="26">
        <f>TODAY()-P6</f>
        <v/>
      </c>
      <c r="S6" s="26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44599</v>
      </c>
      <c r="M7" s="18">
        <f>8+8+8+8</f>
        <v/>
      </c>
      <c r="N7" s="18">
        <f>TODAY()-L7</f>
        <v/>
      </c>
      <c r="O7" s="18">
        <f>IF(N7&lt;=21, "No", "Yes" )</f>
        <v/>
      </c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44643</v>
      </c>
      <c r="M8" s="18" t="n">
        <v>6</v>
      </c>
      <c r="N8" s="18">
        <f>TODAY()-L8</f>
        <v/>
      </c>
      <c r="O8" s="18">
        <f>IF(N8&lt;=21, "No", "Yes" 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44685</v>
      </c>
      <c r="M9" s="18" t="n">
        <v>15</v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44728</v>
      </c>
      <c r="M10" t="n">
        <v>20</v>
      </c>
      <c r="N10" s="26">
        <f>TODAY()-L10</f>
        <v/>
      </c>
      <c r="O10" s="26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 codeName="Sheet21">
    <outlinePr summaryBelow="1" summaryRight="1"/>
    <pageSetUpPr/>
  </sheetPr>
  <dimension ref="A1:AC21"/>
  <sheetViews>
    <sheetView topLeftCell="G1" zoomScale="110" zoomScaleNormal="110" workbookViewId="0">
      <selection activeCell="Q8" sqref="Q8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10.6640625" bestFit="1" customWidth="1" style="27" min="17" max="17"/>
    <col width="10.6640625" bestFit="1" customWidth="1" style="27" min="21" max="21"/>
  </cols>
  <sheetData>
    <row r="1" ht="18" customHeight="1" s="27">
      <c r="A1" s="2" t="inlineStr">
        <is>
          <t>Strain Name:</t>
        </is>
      </c>
      <c r="B1" s="3" t="inlineStr">
        <is>
          <t>Ultra Sour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44495</v>
      </c>
      <c r="E3" s="18">
        <f>36+40+34</f>
        <v/>
      </c>
      <c r="F3" s="18">
        <f>TODAY()-D3</f>
        <v/>
      </c>
      <c r="G3" s="18">
        <f>IF(F3&lt;=21, "No", "Yes" )</f>
        <v/>
      </c>
      <c r="H3" s="11" t="n">
        <v>44599</v>
      </c>
      <c r="I3" s="18">
        <f>8+8+19+10+5+4</f>
        <v/>
      </c>
      <c r="J3" s="18">
        <f>TODAY()-H3</f>
        <v/>
      </c>
      <c r="K3" s="18">
        <f>IF(J3&lt;=21, "No", "Yes" )</f>
        <v/>
      </c>
      <c r="L3" s="11" t="n">
        <v>44517</v>
      </c>
      <c r="M3" s="18">
        <f>5+10+9+10+10+10+5+8+10+8+10+7+12+8+6</f>
        <v/>
      </c>
      <c r="N3" s="18">
        <f>TODAY()-L3</f>
        <v/>
      </c>
      <c r="O3" s="18">
        <f>IF(N3&lt;=21, "No", "Yes" )</f>
        <v/>
      </c>
      <c r="P3" s="11" t="n">
        <v>44599</v>
      </c>
      <c r="Q3" s="18">
        <f>3+2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44533</v>
      </c>
      <c r="Z3" s="18" t="n"/>
      <c r="AA3" s="18" t="n"/>
      <c r="AB3" s="18" t="n">
        <v>16</v>
      </c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3" t="inlineStr">
        <is>
          <t>N/A</t>
        </is>
      </c>
      <c r="F4" s="13" t="inlineStr">
        <is>
          <t>N/A</t>
        </is>
      </c>
      <c r="G4" s="13" t="inlineStr">
        <is>
          <t>N/A</t>
        </is>
      </c>
      <c r="H4" s="13" t="inlineStr">
        <is>
          <t>N/A</t>
        </is>
      </c>
      <c r="I4" s="14" t="inlineStr">
        <is>
          <t>N/A</t>
        </is>
      </c>
      <c r="J4" s="14" t="inlineStr">
        <is>
          <t>N/A</t>
        </is>
      </c>
      <c r="K4" s="14" t="inlineStr">
        <is>
          <t>N/A</t>
        </is>
      </c>
      <c r="L4" s="11" t="n"/>
      <c r="M4" s="18">
        <f>M3-16</f>
        <v/>
      </c>
      <c r="N4" s="18" t="n"/>
      <c r="O4" s="18" t="n"/>
      <c r="P4" s="11" t="n">
        <v>44628</v>
      </c>
      <c r="Q4" s="18">
        <f>8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44551</v>
      </c>
      <c r="Z4" s="18" t="n"/>
      <c r="AA4" s="18" t="n"/>
      <c r="AB4" s="18" t="n">
        <v>5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>
        <f>M4-5</f>
        <v/>
      </c>
      <c r="N5" s="18" t="n"/>
      <c r="O5" s="18" t="n"/>
      <c r="P5" s="11" t="n">
        <v>44690</v>
      </c>
      <c r="Q5" s="18" t="n">
        <v>24</v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>
        <v>44592</v>
      </c>
      <c r="Z5" s="18" t="n"/>
      <c r="AA5" s="18" t="n"/>
      <c r="AB5" s="18">
        <f>35</f>
        <v/>
      </c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1" t="n">
        <v>44551</v>
      </c>
      <c r="M6" s="18">
        <f>7+10+10+14+9+5+15+9+15+9</f>
        <v/>
      </c>
      <c r="N6" s="18">
        <f>TODAY()-L6</f>
        <v/>
      </c>
      <c r="O6" s="18">
        <f>IF(N6&lt;=21, "No", "Yes" )</f>
        <v/>
      </c>
      <c r="P6" s="11" t="n">
        <v>44813</v>
      </c>
      <c r="Q6" s="18" t="n">
        <v>2</v>
      </c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>
        <f>M6-35</f>
        <v/>
      </c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44599</v>
      </c>
      <c r="M8" s="18">
        <f>9+8</f>
        <v/>
      </c>
      <c r="N8" s="18">
        <f>TODAY()-L8</f>
        <v/>
      </c>
      <c r="O8" s="18">
        <f>IF(N8&lt;=21, "No", "Yes" 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44628</v>
      </c>
      <c r="M9" s="18">
        <f>37+25+6</f>
        <v/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44690</v>
      </c>
      <c r="M10" t="n">
        <v>10</v>
      </c>
      <c r="N10" s="18">
        <f>TODAY()-L10</f>
        <v/>
      </c>
      <c r="O10" s="18">
        <f>IF(N10&lt;=21, "No", "Yes" )</f>
        <v/>
      </c>
    </row>
    <row r="11" ht="14.4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s="12" t="n">
        <v>44813</v>
      </c>
      <c r="M11" t="n">
        <v>10</v>
      </c>
      <c r="N11" s="26">
        <f>TODAY()-L11</f>
        <v/>
      </c>
      <c r="O11" s="26">
        <f>IF(N11&lt;=21, "No", "Yes" 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  <row r="16">
      <c r="B16" s="20" t="n"/>
    </row>
    <row r="17">
      <c r="B17" s="20" t="n"/>
    </row>
    <row r="18">
      <c r="B18" s="20" t="n"/>
    </row>
    <row r="19">
      <c r="B19" s="20" t="n"/>
    </row>
    <row r="20">
      <c r="B20" s="20" t="n"/>
    </row>
    <row r="21">
      <c r="B21" s="20" t="n"/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>
  <sheetPr codeName="Sheet22">
    <outlinePr summaryBelow="1" summaryRight="1"/>
    <pageSetUpPr/>
  </sheetPr>
  <dimension ref="A1:AC15"/>
  <sheetViews>
    <sheetView topLeftCell="D1" zoomScale="110" zoomScaleNormal="110" workbookViewId="0">
      <selection activeCell="P9" sqref="P9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7"/>
  </cols>
  <sheetData>
    <row r="1" ht="18" customHeight="1" s="27">
      <c r="A1" s="2" t="inlineStr">
        <is>
          <t>Strain Name:</t>
        </is>
      </c>
      <c r="B1" s="3" t="inlineStr">
        <is>
          <t>Skunk Band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44504</v>
      </c>
      <c r="E3" s="18" t="n">
        <v>80</v>
      </c>
      <c r="F3" s="18">
        <f>TODAY()-D3</f>
        <v/>
      </c>
      <c r="G3" s="18">
        <f>IF(F3&lt;=21, "No", "Yes" )</f>
        <v/>
      </c>
      <c r="H3" s="11" t="n">
        <v>44600</v>
      </c>
      <c r="I3" s="18">
        <f>5</f>
        <v/>
      </c>
      <c r="J3" s="18">
        <f>TODAY()-H3</f>
        <v/>
      </c>
      <c r="K3" s="18">
        <f>IF(J3&lt;=21, "No", "Yes" )</f>
        <v/>
      </c>
      <c r="L3" s="11" t="n">
        <v>44519</v>
      </c>
      <c r="M3" s="18">
        <f>13+9+8+9+8+12+8+5+12+4</f>
        <v/>
      </c>
      <c r="N3" s="18">
        <f>TODAY()-L3</f>
        <v/>
      </c>
      <c r="O3" s="18">
        <f>IF(N3&lt;=21, "No", "Yes" )</f>
        <v/>
      </c>
      <c r="P3" s="11" t="n">
        <v>44600</v>
      </c>
      <c r="Q3" s="18">
        <f>12+11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44533</v>
      </c>
      <c r="Z3" s="18" t="n">
        <v>31</v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n"/>
      <c r="I4" s="14" t="n"/>
      <c r="J4" s="14" t="n"/>
      <c r="K4" s="14" t="n"/>
      <c r="L4" s="11" t="n"/>
      <c r="M4" s="18">
        <f>M3-31</f>
        <v/>
      </c>
      <c r="N4" s="18" t="n"/>
      <c r="O4" s="18" t="n"/>
      <c r="P4" s="11" t="n">
        <v>44628</v>
      </c>
      <c r="Q4" s="18">
        <f>6+2+2+2+3+3+10+10+12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44568</v>
      </c>
      <c r="Z4" s="18" t="n"/>
      <c r="AA4" s="18" t="n"/>
      <c r="AB4" s="18" t="n">
        <v>13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>
        <v>44557</v>
      </c>
      <c r="M5" s="18">
        <f>9+9+14+12+17+7+15</f>
        <v/>
      </c>
      <c r="N5" s="18">
        <f>TODAY()-L5</f>
        <v/>
      </c>
      <c r="O5" s="18">
        <f>IF(N5&lt;=21, "No", "Yes" )</f>
        <v/>
      </c>
      <c r="P5" s="11" t="n">
        <v>44663</v>
      </c>
      <c r="Q5" s="18">
        <f>3+3+8+3+3+3+5+3+3+3+3+4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>
        <f>M5-13</f>
        <v/>
      </c>
      <c r="N6" s="18" t="n"/>
      <c r="O6" s="18" t="n"/>
      <c r="P6" s="11" t="n">
        <v>44692</v>
      </c>
      <c r="Q6" s="18" t="n">
        <v>14</v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44600</v>
      </c>
      <c r="M7" s="18">
        <f>22+25</f>
        <v/>
      </c>
      <c r="N7" s="18">
        <f>TODAY()-L7</f>
        <v/>
      </c>
      <c r="O7" s="18">
        <f>IF(N7&lt;=21, "No", "Yes" )</f>
        <v/>
      </c>
      <c r="P7" s="11" t="n">
        <v>44732</v>
      </c>
      <c r="Q7" s="18" t="n">
        <v>5</v>
      </c>
      <c r="R7" s="18">
        <f>TODAY()-P7</f>
        <v/>
      </c>
      <c r="S7" s="18">
        <f>IF(R7&lt;=21, "No", "Yes" 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44628</v>
      </c>
      <c r="M8" s="18">
        <f>16+4+4+11+5</f>
        <v/>
      </c>
      <c r="N8" s="18">
        <f>TODAY()-L8</f>
        <v/>
      </c>
      <c r="O8" s="18">
        <f>IF(N8&lt;=21, "No", "Yes" )</f>
        <v/>
      </c>
      <c r="P8" s="11" t="n">
        <v>44826</v>
      </c>
      <c r="Q8" s="18">
        <f>14+14+6</f>
        <v/>
      </c>
      <c r="R8" s="18">
        <f>TODAY()-P8</f>
        <v/>
      </c>
      <c r="S8" s="18">
        <f>IF(R8&lt;=21, "No", "Yes" )</f>
        <v/>
      </c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44663</v>
      </c>
      <c r="M9" s="18">
        <f>3+3+8+4</f>
        <v/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44692</v>
      </c>
      <c r="M10">
        <f>36+10</f>
        <v/>
      </c>
      <c r="N10" s="26">
        <f>TODAY()-L10</f>
        <v/>
      </c>
      <c r="O10" s="26">
        <f>IF(N10&lt;=21, "No", "Yes" 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s="12" t="n">
        <v>44732</v>
      </c>
      <c r="M11">
        <f>122</f>
        <v/>
      </c>
      <c r="N11" s="26">
        <f>TODAY()-L11</f>
        <v/>
      </c>
      <c r="O11" s="26">
        <f>IF(N11&lt;=21, "No", "Yes" 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  <c r="L12" s="12" t="n">
        <v>44826</v>
      </c>
      <c r="M12">
        <f>26+18+10</f>
        <v/>
      </c>
      <c r="N12" s="26">
        <f>TODAY()-L12</f>
        <v/>
      </c>
      <c r="O12" s="26">
        <f>IF(N12&lt;=21, "No", "Yes" 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 codeName="Sheet1">
    <outlinePr summaryBelow="1" summaryRight="1"/>
    <pageSetUpPr/>
  </sheetPr>
  <dimension ref="A1:AC16"/>
  <sheetViews>
    <sheetView topLeftCell="D1" zoomScale="110" zoomScaleNormal="110" workbookViewId="0">
      <selection activeCell="F23" sqref="F23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6"/>
    <col width="10.664062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Blueberry Kush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44504</v>
      </c>
      <c r="E3" s="18" t="n">
        <v>63</v>
      </c>
      <c r="F3" s="18">
        <f>TODAY()-D3</f>
        <v/>
      </c>
      <c r="G3" s="18">
        <f>IF(F3&lt;=21, "No", "Yes" )</f>
        <v/>
      </c>
      <c r="H3" s="11" t="n">
        <v>44644</v>
      </c>
      <c r="I3" s="18" t="n">
        <v>14</v>
      </c>
      <c r="J3" s="18" t="n"/>
      <c r="K3" s="18" t="n"/>
      <c r="L3" s="11" t="n">
        <v>44519</v>
      </c>
      <c r="M3" s="18">
        <f>11+8+8+8+8+10+6+8</f>
        <v/>
      </c>
      <c r="N3" s="18">
        <f>TODAY()-L3</f>
        <v/>
      </c>
      <c r="O3" s="18">
        <f>IF(N3&lt;=21, "No", "Yes" )</f>
        <v/>
      </c>
      <c r="P3" s="11" t="n">
        <v>44600</v>
      </c>
      <c r="Q3" s="18">
        <f>2+1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44557</v>
      </c>
      <c r="Z3" s="18" t="n"/>
      <c r="AA3" s="18" t="n"/>
      <c r="AB3" s="18" t="n">
        <v>8</v>
      </c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inlineStr">
        <is>
          <t>N/A</t>
        </is>
      </c>
      <c r="I4" s="14" t="inlineStr">
        <is>
          <t>N/A</t>
        </is>
      </c>
      <c r="J4" s="14" t="inlineStr">
        <is>
          <t>N/A</t>
        </is>
      </c>
      <c r="K4" s="14" t="inlineStr">
        <is>
          <t>N/A</t>
        </is>
      </c>
      <c r="L4" s="11" t="n"/>
      <c r="M4" s="18">
        <f>M3-8</f>
        <v/>
      </c>
      <c r="N4" s="18" t="n"/>
      <c r="O4" s="18" t="n"/>
      <c r="P4" s="11" t="n">
        <v>44644</v>
      </c>
      <c r="Q4" s="18">
        <f>18+31+16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>
        <v>44557</v>
      </c>
      <c r="M5" s="18">
        <f>10+12+8+8+15+15+17+14</f>
        <v/>
      </c>
      <c r="N5" s="18">
        <f>TODAY()-L5</f>
        <v/>
      </c>
      <c r="O5" s="18">
        <f>IF(N5&lt;=21, "No", "Yes" )</f>
        <v/>
      </c>
      <c r="P5" s="11" t="n">
        <v>44671</v>
      </c>
      <c r="Q5" s="18">
        <f>17+21+13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1" t="n">
        <v>44600</v>
      </c>
      <c r="M6" s="18">
        <f>9+8+8+9+12+8+9+8</f>
        <v/>
      </c>
      <c r="N6" s="18">
        <f>TODAY()-L6</f>
        <v/>
      </c>
      <c r="O6" s="18">
        <f>IF(N6&lt;=21, "No", "Yes" )</f>
        <v/>
      </c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44644</v>
      </c>
      <c r="M7" s="18">
        <f>24+6</f>
        <v/>
      </c>
      <c r="N7" s="18">
        <f>TODAY()-L7</f>
        <v/>
      </c>
      <c r="O7" s="18">
        <f>IF(N7&lt;=21, "No", "Yes" )</f>
        <v/>
      </c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44671</v>
      </c>
      <c r="M8" s="18">
        <f>20+24+19</f>
        <v/>
      </c>
      <c r="N8" s="18">
        <f>TODAY()-L8</f>
        <v/>
      </c>
      <c r="O8" s="18">
        <f>IF(N8&lt;=21, "No", "Yes" 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  <row r="16">
      <c r="B16" s="20" t="n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 codeName="Sheet23">
    <outlinePr summaryBelow="1" summaryRight="1"/>
    <pageSetUpPr/>
  </sheetPr>
  <dimension ref="A1:AC15"/>
  <sheetViews>
    <sheetView topLeftCell="G1" zoomScale="110" zoomScaleNormal="110" workbookViewId="0">
      <selection activeCell="P8" sqref="P8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15.44140625" bestFit="1" customWidth="1" style="27" min="14" max="14"/>
    <col width="9.5546875" bestFit="1" customWidth="1" style="27" min="16" max="16"/>
    <col width="10.664062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Ice Cream Cake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44530</v>
      </c>
      <c r="E3" s="18">
        <f>40+40+36+17</f>
        <v/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44558</v>
      </c>
      <c r="M3" s="18" t="n">
        <v>110</v>
      </c>
      <c r="N3" s="18">
        <f>TODAY()-L3</f>
        <v/>
      </c>
      <c r="O3" s="18">
        <f>IF(N3&lt;=21, "No", "Yes" )</f>
        <v/>
      </c>
      <c r="P3" s="11" t="n">
        <v>44600</v>
      </c>
      <c r="Q3" s="18" t="n">
        <v>4</v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44547</v>
      </c>
      <c r="Z3" s="18">
        <f>50+17</f>
        <v/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>
        <f>43+26</f>
        <v/>
      </c>
      <c r="F4" s="14" t="n"/>
      <c r="G4" s="14" t="n"/>
      <c r="H4" s="13" t="n"/>
      <c r="I4" s="14" t="n"/>
      <c r="J4" s="14" t="n"/>
      <c r="K4" s="14" t="n"/>
      <c r="L4" s="11" t="n"/>
      <c r="M4" s="18">
        <f>M3-5</f>
        <v/>
      </c>
      <c r="N4" s="18" t="n"/>
      <c r="O4" s="18" t="n"/>
      <c r="P4" s="11" t="n">
        <v>44644</v>
      </c>
      <c r="Q4" s="18">
        <f>5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44568</v>
      </c>
      <c r="Z4" s="18" t="n"/>
      <c r="AA4" s="18" t="n"/>
      <c r="AB4" s="18" t="n">
        <v>5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n"/>
      <c r="I5" s="18" t="n"/>
      <c r="J5" s="18" t="n"/>
      <c r="K5" s="18" t="n"/>
      <c r="L5" s="11" t="n">
        <v>44600</v>
      </c>
      <c r="M5" s="18">
        <f>8+8+4+9</f>
        <v/>
      </c>
      <c r="N5" s="18">
        <f>TODAY()-L5</f>
        <v/>
      </c>
      <c r="O5" s="18">
        <f>IF(N5&lt;=21, "No", "Yes" )</f>
        <v/>
      </c>
      <c r="P5" s="11" t="n">
        <v>44686</v>
      </c>
      <c r="Q5" s="18" t="n">
        <v>12</v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1" t="n">
        <v>44644</v>
      </c>
      <c r="M6" s="18">
        <f>4+8+3</f>
        <v/>
      </c>
      <c r="N6" s="18">
        <f>TODAY()-L6</f>
        <v/>
      </c>
      <c r="O6" s="18">
        <f>IF(N6&lt;=21, "No", "Yes" )</f>
        <v/>
      </c>
      <c r="P6" s="11" t="n">
        <v>44722</v>
      </c>
      <c r="Q6" s="18">
        <f>15+6</f>
        <v/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44686</v>
      </c>
      <c r="M7" s="18" t="n">
        <v>25</v>
      </c>
      <c r="N7" s="18">
        <f>TODAY()-L7</f>
        <v/>
      </c>
      <c r="O7" s="18">
        <f>IF(N7&lt;=21, "No", "Yes" )</f>
        <v/>
      </c>
      <c r="P7" s="11" t="n">
        <v>44774</v>
      </c>
      <c r="Q7" s="18" t="n">
        <v>18</v>
      </c>
      <c r="R7" s="18">
        <f>TODAY()-P7</f>
        <v/>
      </c>
      <c r="S7" s="18">
        <f>IF(R7&lt;=21, "No", "Yes" 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44722</v>
      </c>
      <c r="M8" s="18">
        <f>24+11</f>
        <v/>
      </c>
      <c r="N8" s="18">
        <f>TODAY()-L8</f>
        <v/>
      </c>
      <c r="O8" s="18">
        <f>IF(N8&lt;=21, "No", "Yes" 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44774</v>
      </c>
      <c r="M9" s="18" t="n">
        <v>96</v>
      </c>
      <c r="N9" s="18">
        <f>TODAY()-L9</f>
        <v/>
      </c>
      <c r="O9" s="18">
        <f>IF(N9&lt;=21, "No", "Yes" 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 codeName="Sheet24">
    <outlinePr summaryBelow="1" summaryRight="1"/>
    <pageSetUpPr/>
  </sheetPr>
  <dimension ref="A1:AC15"/>
  <sheetViews>
    <sheetView zoomScale="95" zoomScaleNormal="100" workbookViewId="0">
      <selection activeCell="B11" sqref="B11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6640625" bestFit="1" customWidth="1" style="27" min="12" max="12"/>
    <col width="9" bestFit="1" customWidth="1" style="27" min="13" max="13"/>
    <col width="15.5546875" bestFit="1" customWidth="1" style="27" min="14" max="14"/>
    <col width="10" bestFit="1" customWidth="1" style="27" min="16" max="16"/>
    <col width="10.6640625" bestFit="1" customWidth="1" style="27" min="17" max="17"/>
    <col width="9" bestFit="1" customWidth="1" style="27" min="18" max="18"/>
    <col width="11.109375" bestFit="1" customWidth="1" style="27" min="25" max="25"/>
    <col width="9" bestFit="1" customWidth="1" style="27" min="26" max="26"/>
    <col width="9" bestFit="1" customWidth="1" style="27" min="28" max="28"/>
  </cols>
  <sheetData>
    <row r="1" ht="18" customHeight="1" s="27">
      <c r="A1" s="2" t="inlineStr">
        <is>
          <t>Strain Name:</t>
        </is>
      </c>
      <c r="B1" s="3" t="inlineStr">
        <is>
          <t>Platinum Garlic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44530</v>
      </c>
      <c r="E3" s="18">
        <f>40+40+30</f>
        <v/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44558</v>
      </c>
      <c r="M3" s="18" t="n">
        <v>101</v>
      </c>
      <c r="N3" s="18">
        <f>TODAY()-L3</f>
        <v/>
      </c>
      <c r="O3" s="18">
        <f>IF(N3&lt;=21, "No", "Yes" )</f>
        <v/>
      </c>
      <c r="P3" s="11" t="n">
        <v>44600</v>
      </c>
      <c r="Q3" s="18">
        <f>7+5+6+9+3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44547</v>
      </c>
      <c r="Z3" s="18">
        <f>22+12</f>
        <v/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>
        <f>57+18</f>
        <v/>
      </c>
      <c r="F4" s="14" t="n"/>
      <c r="G4" s="14" t="n"/>
      <c r="H4" s="13" t="n"/>
      <c r="I4" s="14" t="n"/>
      <c r="J4" s="14" t="n"/>
      <c r="K4" s="14" t="n"/>
      <c r="L4" s="11" t="n"/>
      <c r="M4" s="18">
        <f>M3-16</f>
        <v/>
      </c>
      <c r="N4" s="18" t="n"/>
      <c r="O4" s="18" t="n"/>
      <c r="P4" s="11" t="n">
        <v>44628</v>
      </c>
      <c r="Q4" s="18">
        <f>12+6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44568</v>
      </c>
      <c r="Z4" s="18" t="n"/>
      <c r="AA4" s="18" t="n"/>
      <c r="AB4" s="18" t="n">
        <v>16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n"/>
      <c r="I5" s="18" t="n"/>
      <c r="J5" s="18" t="n"/>
      <c r="K5" s="18" t="n"/>
      <c r="L5" s="11" t="n">
        <v>44600</v>
      </c>
      <c r="M5" s="18">
        <f>4+16+16+16+16+8+6</f>
        <v/>
      </c>
      <c r="N5" s="18">
        <f>TODAY()-L5</f>
        <v/>
      </c>
      <c r="O5" s="18">
        <f>IF(N5&lt;=21, "No", "Yes" )</f>
        <v/>
      </c>
      <c r="P5" s="11" t="n">
        <v>44663</v>
      </c>
      <c r="Q5" s="18">
        <f>3+3+3+3+3+5+3+4+5+5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1" t="n">
        <v>44818</v>
      </c>
      <c r="E6" s="18" t="n">
        <v>120</v>
      </c>
      <c r="F6" s="18" t="n"/>
      <c r="G6" s="18" t="n"/>
      <c r="H6" s="18" t="n"/>
      <c r="I6" s="18" t="n"/>
      <c r="J6" s="18" t="n"/>
      <c r="K6" s="18" t="n"/>
      <c r="L6" s="11" t="n">
        <v>44628</v>
      </c>
      <c r="M6" s="18">
        <f>20+32+30</f>
        <v/>
      </c>
      <c r="N6" s="18">
        <f>TODAY()-L6</f>
        <v/>
      </c>
      <c r="O6" s="18">
        <f>IF(N6&lt;=21, "No", "Yes" )</f>
        <v/>
      </c>
      <c r="P6" s="11" t="n">
        <v>44693</v>
      </c>
      <c r="Q6" s="18" t="n">
        <v>22</v>
      </c>
      <c r="R6" s="18">
        <f>TODAY()-P6</f>
        <v/>
      </c>
      <c r="S6" s="18">
        <f>IF(R6&lt;=21, "No", "Yes" 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(K$3:K$100 &lt;&gt;""), K$3:K$100)</f>
        <v/>
      </c>
      <c r="D7" s="18" t="inlineStr">
        <is>
          <t>10/6/2022</t>
        </is>
      </c>
      <c r="E7" s="18" t="n">
        <v>0</v>
      </c>
      <c r="F7" s="18" t="n"/>
      <c r="G7" s="18" t="n"/>
      <c r="H7" s="18" t="n"/>
      <c r="I7" s="18" t="n"/>
      <c r="J7" s="18" t="n"/>
      <c r="K7" s="18" t="n"/>
      <c r="L7" s="11" t="n">
        <v>44663</v>
      </c>
      <c r="M7" s="18">
        <f>9+7+4</f>
        <v/>
      </c>
      <c r="N7" s="18">
        <f>TODAY()-L7</f>
        <v/>
      </c>
      <c r="O7" s="18">
        <f>IF(N7&lt;=21, "No", "Yes" )</f>
        <v/>
      </c>
      <c r="P7" s="11" t="n">
        <v>44728</v>
      </c>
      <c r="Q7" s="18">
        <f>3+4+3+3+3+3+3+8</f>
        <v/>
      </c>
      <c r="R7" s="18">
        <f>TODAY()-P7</f>
        <v/>
      </c>
      <c r="S7" s="18">
        <f>IF(R7&lt;=21, "No", "Yes" 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44693</v>
      </c>
      <c r="M8" s="18">
        <f>40+48</f>
        <v/>
      </c>
      <c r="N8" s="18">
        <f>TODAY()-L8</f>
        <v/>
      </c>
      <c r="O8" s="18">
        <f>IF(N8&lt;=21, "No", "Yes" )</f>
        <v/>
      </c>
      <c r="P8" s="11" t="n">
        <v>44774</v>
      </c>
      <c r="Q8" s="18" t="n">
        <v>9</v>
      </c>
      <c r="R8" s="18">
        <f>TODAY()-P8</f>
        <v/>
      </c>
      <c r="S8" s="18">
        <f>IF(R8&lt;=21, "No", "Yes" )</f>
        <v/>
      </c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44728</v>
      </c>
      <c r="M9" s="18">
        <f>10+10+10+10+38</f>
        <v/>
      </c>
      <c r="N9" s="18">
        <f>TODAY()-L9</f>
        <v/>
      </c>
      <c r="O9" s="18">
        <f>IF(N9&lt;=21, "No", "Yes" )</f>
        <v/>
      </c>
      <c r="P9" s="11" t="inlineStr">
        <is>
          <t>10/5/2022</t>
        </is>
      </c>
      <c r="Q9" s="18" t="n">
        <v>8</v>
      </c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44774</v>
      </c>
      <c r="M10">
        <f>100+84</f>
        <v/>
      </c>
      <c r="N10" s="26">
        <f>TODAY()-L10</f>
        <v/>
      </c>
      <c r="O10" s="26">
        <f>IF(N10&lt;=21, "No", "Yes" )</f>
        <v/>
      </c>
      <c r="P10" t="inlineStr">
        <is>
          <t>10/6/2022</t>
        </is>
      </c>
      <c r="Q10" t="n">
        <v>8</v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  <c r="L11" t="inlineStr">
        <is>
          <t>10/5/2022</t>
        </is>
      </c>
      <c r="M11" t="n">
        <v>60</v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  <c r="L12" t="inlineStr">
        <is>
          <t>10/5/2022</t>
        </is>
      </c>
      <c r="M12" t="n">
        <v>134</v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  <c r="L13" t="inlineStr">
        <is>
          <t>10/6/2022</t>
        </is>
      </c>
      <c r="M13" t="n">
        <v>186</v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  <c r="L14" t="inlineStr">
        <is>
          <t>10/06/2022</t>
        </is>
      </c>
      <c r="M14" t="n">
        <v>126</v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 codeName="Sheet25">
    <outlinePr summaryBelow="1" summaryRight="1"/>
    <pageSetUpPr/>
  </sheetPr>
  <dimension ref="A1:AC15"/>
  <sheetViews>
    <sheetView topLeftCell="E1" zoomScaleNormal="100" workbookViewId="0">
      <selection activeCell="L6" sqref="L6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5546875" bestFit="1" customWidth="1" style="27" min="12" max="12"/>
    <col width="15.44140625" bestFit="1" customWidth="1" style="27" min="14" max="14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Mimosa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44530</v>
      </c>
      <c r="E3" s="18">
        <f>40+40</f>
        <v/>
      </c>
      <c r="F3" s="18">
        <f>TODAY()-D3</f>
        <v/>
      </c>
      <c r="G3" s="18">
        <f>IF(F3&lt;=21, "No", "Yes" )</f>
        <v/>
      </c>
      <c r="H3" s="11" t="n">
        <v>44600</v>
      </c>
      <c r="I3" s="18" t="n">
        <v>18</v>
      </c>
      <c r="J3" s="18">
        <f>TODAY()-H3</f>
        <v/>
      </c>
      <c r="K3" s="18">
        <f>IF(J3&lt;=21, "No", "Yes" )</f>
        <v/>
      </c>
      <c r="L3" s="11" t="n">
        <v>44558</v>
      </c>
      <c r="M3" s="18">
        <f>5+8+9+9+7</f>
        <v/>
      </c>
      <c r="N3" s="18">
        <f>TODAY()-L3</f>
        <v/>
      </c>
      <c r="O3" s="18">
        <f>IF(N3&lt;=21, "No", "Yes" )</f>
        <v/>
      </c>
      <c r="P3" s="11" t="inlineStr">
        <is>
          <t>09/21/2022</t>
        </is>
      </c>
      <c r="Q3" s="18" t="n">
        <v>30</v>
      </c>
      <c r="R3" s="18" t="n"/>
      <c r="S3" s="18" t="n"/>
      <c r="T3" s="18" t="n"/>
      <c r="U3" s="18" t="n"/>
      <c r="V3" s="18" t="n"/>
      <c r="W3" s="18" t="n"/>
      <c r="Y3" s="12" t="n">
        <v>44547</v>
      </c>
      <c r="Z3" s="18">
        <f>28+24</f>
        <v/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>
        <f>12+15</f>
        <v/>
      </c>
      <c r="F4" s="14" t="n"/>
      <c r="G4" s="14" t="n"/>
      <c r="H4" s="11" t="inlineStr">
        <is>
          <t>N/A</t>
        </is>
      </c>
      <c r="I4" s="18" t="inlineStr">
        <is>
          <t>N/A</t>
        </is>
      </c>
      <c r="J4" s="18" t="inlineStr">
        <is>
          <t>N/A</t>
        </is>
      </c>
      <c r="K4" s="18" t="inlineStr">
        <is>
          <t>N/A</t>
        </is>
      </c>
      <c r="L4" s="11" t="n"/>
      <c r="M4" s="18">
        <f>M3-13</f>
        <v/>
      </c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>
        <v>44568</v>
      </c>
      <c r="Z4" s="18" t="n"/>
      <c r="AA4" s="18" t="n"/>
      <c r="AB4" s="18">
        <f>13</f>
        <v/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n"/>
      <c r="I5" s="18" t="n"/>
      <c r="J5" s="18" t="n"/>
      <c r="K5" s="18" t="n"/>
      <c r="L5" s="11" t="inlineStr">
        <is>
          <t>N/A</t>
        </is>
      </c>
      <c r="M5" s="18" t="inlineStr">
        <is>
          <t>N/A</t>
        </is>
      </c>
      <c r="N5" s="18" t="inlineStr">
        <is>
          <t>N/A</t>
        </is>
      </c>
      <c r="O5" s="18" t="inlineStr">
        <is>
          <t>N/A</t>
        </is>
      </c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inlineStr">
        <is>
          <t>09/21/2022</t>
        </is>
      </c>
      <c r="M6" s="18" t="n">
        <v>54</v>
      </c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>
  <sheetPr codeName="Sheet26">
    <outlinePr summaryBelow="1" summaryRight="1"/>
    <pageSetUpPr/>
  </sheetPr>
  <dimension ref="A1:AC15"/>
  <sheetViews>
    <sheetView topLeftCell="E1" zoomScaleNormal="100" workbookViewId="0">
      <selection activeCell="Q9" sqref="Q9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  <col width="10.5546875" bestFit="1" customWidth="1" style="27" min="21" max="21"/>
  </cols>
  <sheetData>
    <row r="1" ht="18" customHeight="1" s="27">
      <c r="A1" s="2" t="inlineStr">
        <is>
          <t>Strain Name:</t>
        </is>
      </c>
      <c r="B1" s="3" t="inlineStr">
        <is>
          <t>Titty Sprinkles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44530</v>
      </c>
      <c r="E3" s="18">
        <f>40+40+40</f>
        <v/>
      </c>
      <c r="F3" s="18">
        <f>TODAY()-D3</f>
        <v/>
      </c>
      <c r="G3" s="18">
        <f>IF(F3&lt;=21, "No", "Yes" )</f>
        <v/>
      </c>
      <c r="H3" s="11" t="n">
        <v>44600</v>
      </c>
      <c r="I3" s="18">
        <f>12+20+9+31</f>
        <v/>
      </c>
      <c r="J3" s="18">
        <f>TODAY()-H3</f>
        <v/>
      </c>
      <c r="K3" s="18">
        <f>IF(J3&lt;=21, "No", "Yes" )</f>
        <v/>
      </c>
      <c r="L3" s="11" t="n">
        <v>44600</v>
      </c>
      <c r="M3" s="18">
        <f>12+12+8+18+18+8+16+13+11+39+24+24</f>
        <v/>
      </c>
      <c r="N3" s="18">
        <f>TODAY()-L3</f>
        <v/>
      </c>
      <c r="O3" s="18">
        <f>IF(N3&lt;=21, "No", "Yes" )</f>
        <v/>
      </c>
      <c r="P3" s="11" t="n">
        <v>44600</v>
      </c>
      <c r="Q3" s="18">
        <f>2+2+2+2+3+3+2+3+10+3+6+6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>
        <v>44547</v>
      </c>
      <c r="Z3" s="18" t="n">
        <v>10</v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>
        <v>110</v>
      </c>
      <c r="F4" s="14" t="n"/>
      <c r="G4" s="14" t="n"/>
      <c r="H4" s="13" t="inlineStr">
        <is>
          <t>N/A</t>
        </is>
      </c>
      <c r="I4" s="14" t="inlineStr">
        <is>
          <t>N/A</t>
        </is>
      </c>
      <c r="J4" s="14" t="inlineStr">
        <is>
          <t>N/A</t>
        </is>
      </c>
      <c r="K4" s="14" t="inlineStr">
        <is>
          <t>N/A</t>
        </is>
      </c>
      <c r="L4" s="11" t="n">
        <v>44650</v>
      </c>
      <c r="M4" s="18">
        <f>32+32+32+28+12+8+5+11+8+9+3+11+9</f>
        <v/>
      </c>
      <c r="N4" s="18">
        <f>TODAY()-L4</f>
        <v/>
      </c>
      <c r="O4" s="18">
        <f>IF(N4&lt;=21, "No", "Yes" )</f>
        <v/>
      </c>
      <c r="P4" s="11" t="n">
        <v>44650</v>
      </c>
      <c r="Q4" s="18">
        <f>12+8+3+12+22+9+67+4+5+3+6</f>
        <v/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>
        <v>44593</v>
      </c>
      <c r="Z4" s="18" t="n"/>
      <c r="AA4" s="18" t="n"/>
      <c r="AB4" s="18" t="n">
        <v>33</v>
      </c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n"/>
      <c r="I5" s="18" t="n"/>
      <c r="J5" s="18" t="n"/>
      <c r="K5" s="18" t="n"/>
      <c r="L5" s="11" t="n">
        <v>44684</v>
      </c>
      <c r="M5" s="18">
        <f>15+8+8+8+8+8+8+8+8+8+8+23+8+5+44+23+48+8+8+8+5</f>
        <v/>
      </c>
      <c r="N5" s="18">
        <f>TODAY()-L5</f>
        <v/>
      </c>
      <c r="O5" s="18">
        <f>IF(N5&lt;=21, "No", "Yes" )</f>
        <v/>
      </c>
      <c r="P5" s="11" t="n">
        <v>44684</v>
      </c>
      <c r="Q5" s="18">
        <f>3+3+3+3+3+4+3+3+3+3+3+8+8+3+3+1+3+3+3+12+19+3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>
        <v>197</v>
      </c>
      <c r="N6" s="18" t="n"/>
      <c r="O6" s="18" t="n"/>
      <c r="P6" s="11" t="n"/>
      <c r="Q6" s="18" t="n">
        <v>84</v>
      </c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aca="1" ref="B7" ca="1">LOOKUP(2,1 / (K$3:K$100 &lt;&gt;""), K$3:K$100)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44725</v>
      </c>
      <c r="M7" s="18">
        <f>15+15+20+15+10+15+15+5+7+9+15+15+15+15+15+10+15+15+15+15+15+15+20+15+20+10+20+10+10+5+45</f>
        <v/>
      </c>
      <c r="N7" s="18">
        <f>TODAY()-L7</f>
        <v/>
      </c>
      <c r="O7" s="18">
        <f>IF(N7&lt;=21, "No", "Yes" )</f>
        <v/>
      </c>
      <c r="P7" s="11" t="n">
        <v>44725</v>
      </c>
      <c r="Q7" s="18">
        <f>3+3+3+3+3+3+3+1+3+3+3+3+3+3+3+3+3+3+3+3+3+3+3+3+3+3+6</f>
        <v/>
      </c>
      <c r="R7" s="18">
        <f>TODAY()-P7</f>
        <v/>
      </c>
      <c r="S7" s="18">
        <f>IF(R7&lt;=21, "No", "Yes" 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44768</v>
      </c>
      <c r="M8" s="18">
        <f>52+56+68+44+40+20+24+28+15+15+16+19+28+48+40</f>
        <v/>
      </c>
      <c r="N8" s="18">
        <f>TODAY()-L8</f>
        <v/>
      </c>
      <c r="O8" s="18">
        <f>IF(N8&lt;=21, "No", "Yes" )</f>
        <v/>
      </c>
      <c r="P8" s="11" t="n">
        <v>44768</v>
      </c>
      <c r="Q8" s="18">
        <f>27+31+19+35+4+11+11+5+13+24+30+20</f>
        <v/>
      </c>
      <c r="R8" s="18">
        <f>TODAY()-P8</f>
        <v/>
      </c>
      <c r="S8" s="18">
        <f>IF(R8&lt;=21, "No", "Yes" )</f>
        <v/>
      </c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inlineStr">
        <is>
          <t>10/10/2022</t>
        </is>
      </c>
      <c r="M9" s="18" t="n">
        <v>328</v>
      </c>
      <c r="N9" s="18" t="n"/>
      <c r="O9" s="18" t="n"/>
      <c r="P9" s="11" t="inlineStr">
        <is>
          <t>10/10/2022</t>
        </is>
      </c>
      <c r="Q9" s="18" t="n">
        <v>160</v>
      </c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t="inlineStr">
        <is>
          <t>10/11/2022</t>
        </is>
      </c>
      <c r="M10" t="n">
        <v>648</v>
      </c>
      <c r="P10" t="inlineStr">
        <is>
          <t>10/11/2022</t>
        </is>
      </c>
      <c r="Q10" t="n">
        <v>228</v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>
  <sheetPr codeName="Sheet27">
    <outlinePr summaryBelow="1" summaryRight="1"/>
    <pageSetUpPr/>
  </sheetPr>
  <dimension ref="A1:AC15"/>
  <sheetViews>
    <sheetView zoomScaleNormal="100" workbookViewId="0">
      <selection activeCell="M5" sqref="M5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10.5546875" bestFit="1" customWidth="1" style="27" min="17" max="17"/>
    <col width="9.5546875" bestFit="1" customWidth="1" style="27" min="21" max="21"/>
  </cols>
  <sheetData>
    <row r="1" ht="18" customHeight="1" s="27">
      <c r="A1" s="2" t="inlineStr">
        <is>
          <t>Strain Name:</t>
        </is>
      </c>
      <c r="B1" s="3" t="inlineStr">
        <is>
          <t>GDP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44575</v>
      </c>
      <c r="E3" s="18" t="n">
        <v>100</v>
      </c>
      <c r="F3" s="18">
        <f>TODAY()-D3</f>
        <v/>
      </c>
      <c r="G3" s="18">
        <f>IF(F3&lt;=21, "No", "Yes" )</f>
        <v/>
      </c>
      <c r="H3" s="11" t="n">
        <v>44600</v>
      </c>
      <c r="I3" s="18" t="n">
        <v>80</v>
      </c>
      <c r="J3" s="18">
        <f>TODAY()-H3</f>
        <v/>
      </c>
      <c r="K3" s="18">
        <f>IF(J3&lt;=21, "No", "Yes" )</f>
        <v/>
      </c>
      <c r="L3" s="11" t="n">
        <v>44644</v>
      </c>
      <c r="M3" s="18" t="n">
        <v>8</v>
      </c>
      <c r="N3" s="18">
        <f>TODAY()-L3</f>
        <v/>
      </c>
      <c r="O3" s="18">
        <f>IF(N3&lt;=21, "No", "Yes" )</f>
        <v/>
      </c>
      <c r="P3" s="11" t="n"/>
      <c r="Q3" s="18" t="n"/>
      <c r="R3" s="18" t="n"/>
      <c r="S3" s="18" t="n"/>
      <c r="T3" s="18" t="n"/>
      <c r="U3" s="18" t="n"/>
      <c r="V3" s="18" t="n"/>
      <c r="W3" s="18" t="n"/>
      <c r="Y3" s="12" t="n">
        <v>44606</v>
      </c>
      <c r="Z3" s="18" t="n">
        <v>30</v>
      </c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>
        <f>E3-30</f>
        <v/>
      </c>
      <c r="F4" s="14" t="n"/>
      <c r="G4" s="14" t="n"/>
      <c r="H4" s="11" t="inlineStr">
        <is>
          <t>N/A</t>
        </is>
      </c>
      <c r="I4" s="18" t="inlineStr">
        <is>
          <t>N/A</t>
        </is>
      </c>
      <c r="J4" s="18" t="inlineStr">
        <is>
          <t>N/A</t>
        </is>
      </c>
      <c r="K4" s="18" t="inlineStr">
        <is>
          <t>N/A</t>
        </is>
      </c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>
  <sheetPr codeName="Sheet28">
    <outlinePr summaryBelow="1" summaryRight="1"/>
    <pageSetUpPr/>
  </sheetPr>
  <dimension ref="A1:AC15"/>
  <sheetViews>
    <sheetView topLeftCell="D1" zoomScaleNormal="100" workbookViewId="0">
      <selection activeCell="P8" sqref="P8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Mimosa V2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44575</v>
      </c>
      <c r="E3" s="18" t="n">
        <v>120</v>
      </c>
      <c r="F3" s="18">
        <f>TODAY()-D3</f>
        <v/>
      </c>
      <c r="G3" s="18">
        <f>IF(F3&lt;=21, "No", "Yes" )</f>
        <v/>
      </c>
      <c r="H3" s="11" t="n">
        <v>44603</v>
      </c>
      <c r="I3" s="18">
        <f>28+30+15+25+18</f>
        <v/>
      </c>
      <c r="J3" s="18">
        <f>TODAY()-H3</f>
        <v/>
      </c>
      <c r="K3" s="18">
        <f>IF(J3&lt;=21, "No", "Yes" )</f>
        <v/>
      </c>
      <c r="L3" s="11" t="n">
        <v>44603</v>
      </c>
      <c r="M3" s="18" t="n">
        <v>7</v>
      </c>
      <c r="N3" s="18">
        <f>TODAY()-L3</f>
        <v/>
      </c>
      <c r="O3" s="18" t="n"/>
      <c r="P3" s="11" t="n">
        <v>44643</v>
      </c>
      <c r="Q3" s="18" t="n">
        <v>3</v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1" t="inlineStr">
        <is>
          <t>N/A</t>
        </is>
      </c>
      <c r="E4" s="18" t="inlineStr">
        <is>
          <t>N/A</t>
        </is>
      </c>
      <c r="F4" s="18" t="inlineStr">
        <is>
          <t>N/A</t>
        </is>
      </c>
      <c r="G4" s="18" t="inlineStr">
        <is>
          <t>N/A</t>
        </is>
      </c>
      <c r="H4" s="18" t="inlineStr">
        <is>
          <t>N/A</t>
        </is>
      </c>
      <c r="I4" s="14" t="n">
        <v>0</v>
      </c>
      <c r="J4" s="14" t="inlineStr">
        <is>
          <t>N/A</t>
        </is>
      </c>
      <c r="K4" s="14" t="inlineStr">
        <is>
          <t>N/A</t>
        </is>
      </c>
      <c r="L4" s="11" t="n">
        <v>44643</v>
      </c>
      <c r="M4" s="18" t="n">
        <v>55</v>
      </c>
      <c r="N4" s="18">
        <f>TODAY()-L4</f>
        <v/>
      </c>
      <c r="O4" s="18">
        <f>IF(N4&lt;=21, "No", "Yes" )</f>
        <v/>
      </c>
      <c r="P4" s="11" t="n">
        <v>44686</v>
      </c>
      <c r="Q4" s="18" t="n">
        <v>28</v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>
        <v>44686</v>
      </c>
      <c r="M5" s="18" t="n">
        <v>22</v>
      </c>
      <c r="N5" s="18">
        <f>TODAY()-L5</f>
        <v/>
      </c>
      <c r="O5" s="18">
        <f>IF(N5&lt;=21, "No", "Yes" )</f>
        <v/>
      </c>
      <c r="P5" s="11" t="n">
        <v>44721</v>
      </c>
      <c r="Q5" s="18">
        <f>2+7+1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1" t="n">
        <v>44721</v>
      </c>
      <c r="M6" s="18">
        <f>8+14+13</f>
        <v/>
      </c>
      <c r="N6" s="18">
        <f>TODAY()-L6</f>
        <v/>
      </c>
      <c r="O6" s="18">
        <f>IF(N6&lt;=21, "No", "Yes" )</f>
        <v/>
      </c>
      <c r="P6" s="11" t="n">
        <v>44774</v>
      </c>
      <c r="Q6" s="18" t="n">
        <v>26</v>
      </c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44774</v>
      </c>
      <c r="M7" s="18" t="n">
        <v>48</v>
      </c>
      <c r="N7" s="18">
        <f>TODAY()-L7</f>
        <v/>
      </c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>
  <sheetPr codeName="Sheet29">
    <outlinePr summaryBelow="1" summaryRight="1"/>
    <pageSetUpPr/>
  </sheetPr>
  <dimension ref="A1:AC15"/>
  <sheetViews>
    <sheetView zoomScaleNormal="100" workbookViewId="0">
      <selection activeCell="B2" sqref="B2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9.5546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Kobe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44575</v>
      </c>
      <c r="E3" s="18" t="n">
        <v>118</v>
      </c>
      <c r="F3" s="18">
        <f>TODAY()-D3</f>
        <v/>
      </c>
      <c r="G3" s="18">
        <f>IF(F3&lt;=21, "No", "Yes" )</f>
        <v/>
      </c>
      <c r="H3" s="11" t="n">
        <v>44603</v>
      </c>
      <c r="I3" s="18">
        <f>25+6</f>
        <v/>
      </c>
      <c r="J3" s="18">
        <f>TODAY()-H3</f>
        <v/>
      </c>
      <c r="K3" s="18">
        <f>IF(J3&lt;=21, "No", "Yes" )</f>
        <v/>
      </c>
      <c r="L3" s="11" t="n">
        <v>44603</v>
      </c>
      <c r="M3" s="18" t="n">
        <v>1</v>
      </c>
      <c r="N3" s="18">
        <f>TODAY()-L3</f>
        <v/>
      </c>
      <c r="O3" s="18">
        <f>IF(N3&lt;=21, "No", "Yes" )</f>
        <v/>
      </c>
      <c r="P3" s="11" t="n">
        <v>44644</v>
      </c>
      <c r="Q3" s="18">
        <f>3+3+2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>
        <v>108</v>
      </c>
      <c r="F4" s="14" t="n"/>
      <c r="G4" s="14" t="n"/>
      <c r="H4" s="11" t="inlineStr">
        <is>
          <t>N/A</t>
        </is>
      </c>
      <c r="I4" s="18" t="inlineStr">
        <is>
          <t>N/A</t>
        </is>
      </c>
      <c r="J4" s="18" t="inlineStr">
        <is>
          <t>N/A</t>
        </is>
      </c>
      <c r="K4" s="18" t="inlineStr">
        <is>
          <t>N/A</t>
        </is>
      </c>
      <c r="L4" s="11" t="n">
        <v>44644</v>
      </c>
      <c r="M4" s="18">
        <f>8+8+9+1</f>
        <v/>
      </c>
      <c r="N4" s="18">
        <f>TODAY()-L4</f>
        <v/>
      </c>
      <c r="O4" s="18">
        <f>IF(N4&lt;=21, "No", "Yes" )</f>
        <v/>
      </c>
      <c r="P4" s="11" t="n">
        <v>44686</v>
      </c>
      <c r="Q4" s="18" t="n">
        <v>20</v>
      </c>
      <c r="R4" s="18">
        <f>TODAY()-P4</f>
        <v/>
      </c>
      <c r="S4" s="18">
        <f>IF(R4&lt;=21, "No", "Yes" )</f>
        <v/>
      </c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n"/>
      <c r="I5" s="18" t="n"/>
      <c r="J5" s="18" t="n"/>
      <c r="K5" s="18" t="n"/>
      <c r="L5" s="11" t="n">
        <v>44686</v>
      </c>
      <c r="M5" s="18" t="n">
        <v>28</v>
      </c>
      <c r="N5" s="18">
        <f>TODAY()-L5</f>
        <v/>
      </c>
      <c r="O5" s="18">
        <f>IF(N5&lt;=21, "No", "Yes" )</f>
        <v/>
      </c>
      <c r="P5" s="11" t="n">
        <v>44721</v>
      </c>
      <c r="Q5" s="18">
        <f>6</f>
        <v/>
      </c>
      <c r="R5" s="18">
        <f>TODAY()-P5</f>
        <v/>
      </c>
      <c r="S5" s="18">
        <f>IF(R5&lt;=21, "No", "Yes" )</f>
        <v/>
      </c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1" t="n">
        <v>44818</v>
      </c>
      <c r="E6" s="18" t="n">
        <v>134</v>
      </c>
      <c r="F6" s="18" t="n"/>
      <c r="G6" s="11" t="n"/>
      <c r="H6" s="18" t="n"/>
      <c r="I6" s="18" t="n"/>
      <c r="J6" s="18" t="n"/>
      <c r="K6" s="18" t="n"/>
      <c r="L6" s="11" t="n">
        <v>44721</v>
      </c>
      <c r="M6" s="18">
        <f>24+16</f>
        <v/>
      </c>
      <c r="N6" s="18">
        <f>TODAY()-L6</f>
        <v/>
      </c>
      <c r="O6" s="18">
        <f>IF(N6&lt;=21, "No", "Yes" )</f>
        <v/>
      </c>
      <c r="P6" s="11" t="n">
        <v>44774</v>
      </c>
      <c r="Q6" s="18" t="n">
        <v>19</v>
      </c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1" t="n">
        <v>44774</v>
      </c>
      <c r="M7" s="18" t="n">
        <v>14</v>
      </c>
      <c r="N7" s="18">
        <f>TODAY()-L7</f>
        <v/>
      </c>
      <c r="O7" s="18">
        <f>IF(N7&lt;=21, "No", "Yes" )</f>
        <v/>
      </c>
      <c r="P7" s="18" t="inlineStr">
        <is>
          <t>10/18/2022</t>
        </is>
      </c>
      <c r="Q7" s="18" t="n">
        <v>6</v>
      </c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inlineStr">
        <is>
          <t>10/18/2022</t>
        </is>
      </c>
      <c r="M8" s="18" t="n">
        <v>13</v>
      </c>
      <c r="N8" s="18">
        <f>TODAY()-L8</f>
        <v/>
      </c>
      <c r="O8" s="18">
        <f>IF(N8&lt;=21, "No", "Yes" 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K6" sqref="K6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Sol Fire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44681</v>
      </c>
      <c r="E3" s="18" t="n">
        <v>94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44721</v>
      </c>
      <c r="M3" s="18">
        <f>58+104</f>
        <v/>
      </c>
      <c r="N3" s="18">
        <f>TODAY()-L3</f>
        <v/>
      </c>
      <c r="O3" s="18">
        <f>IF(N3&lt;=21, "No", "Yes" )</f>
        <v/>
      </c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>
        <f>E3+123</f>
        <v/>
      </c>
      <c r="F4" s="14" t="n"/>
      <c r="G4" s="14" t="n"/>
      <c r="H4" s="11" t="n"/>
      <c r="I4" s="18" t="n"/>
      <c r="J4" s="18" t="n"/>
      <c r="K4" s="18" t="n"/>
      <c r="L4" s="11" t="n">
        <v>44823</v>
      </c>
      <c r="M4" s="18" t="n">
        <v>21</v>
      </c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15"/>
  <sheetViews>
    <sheetView topLeftCell="C1" zoomScaleNormal="100" workbookViewId="0">
      <selection activeCell="F7" sqref="F7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Deep Pockets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44681</v>
      </c>
      <c r="E3" s="18" t="n">
        <v>98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44721</v>
      </c>
      <c r="M3" s="18">
        <f>44+13</f>
        <v/>
      </c>
      <c r="N3" s="18">
        <f>TODAY()-L3</f>
        <v/>
      </c>
      <c r="O3" s="18">
        <f>IF(N3&lt;=21, "No", "Yes" )</f>
        <v/>
      </c>
      <c r="P3" s="11" t="n">
        <v>44721</v>
      </c>
      <c r="Q3" s="18">
        <f>3</f>
        <v/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>
        <f>E3+79</f>
        <v/>
      </c>
      <c r="F4" s="14" t="n"/>
      <c r="G4" s="14" t="n"/>
      <c r="H4" s="11" t="n"/>
      <c r="I4" s="18" t="n"/>
      <c r="J4" s="18" t="n"/>
      <c r="K4" s="18" t="n"/>
      <c r="L4" s="11" t="inlineStr">
        <is>
          <t>10/18/2022</t>
        </is>
      </c>
      <c r="M4" s="18" t="n">
        <v>13</v>
      </c>
      <c r="N4" s="18" t="n"/>
      <c r="O4" s="18" t="n"/>
      <c r="P4" s="11" t="inlineStr">
        <is>
          <t>10/18/2022</t>
        </is>
      </c>
      <c r="Q4" s="18" t="n">
        <v>3</v>
      </c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1" t="n">
        <v>44727</v>
      </c>
      <c r="E6" s="18">
        <f>36+35+13+36+26</f>
        <v/>
      </c>
      <c r="F6" s="18">
        <f>TODAY()-D6</f>
        <v/>
      </c>
      <c r="G6" s="18">
        <f>IF(F6&lt;=21, "No", "Yes" )</f>
        <v/>
      </c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C15"/>
  <sheetViews>
    <sheetView topLeftCell="G1" zoomScaleNormal="100" workbookViewId="0">
      <selection activeCell="P6" sqref="P6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Black Cherry Punch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44681</v>
      </c>
      <c r="E3" s="18" t="n">
        <v>120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44721</v>
      </c>
      <c r="M3" s="18">
        <f>100+76</f>
        <v/>
      </c>
      <c r="N3" s="18">
        <f>TODAY()-L3</f>
        <v/>
      </c>
      <c r="O3" s="18">
        <f>IF(N3&lt;=21, "No", "Yes" )</f>
        <v/>
      </c>
      <c r="P3" s="11" t="n">
        <v>44721</v>
      </c>
      <c r="Q3" s="18" t="n">
        <v>3</v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>
        <f>E3+154</f>
        <v/>
      </c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D4" sqref="D4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Space Runtz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44685</v>
      </c>
      <c r="E3" s="18" t="n">
        <v>160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C15"/>
  <sheetViews>
    <sheetView topLeftCell="G1" zoomScaleNormal="100" workbookViewId="0">
      <selection activeCell="N4" sqref="N4:O4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Fruit Punch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44686</v>
      </c>
      <c r="E3" s="18" t="n">
        <v>74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44721</v>
      </c>
      <c r="M3" s="18" t="n">
        <v>42</v>
      </c>
      <c r="N3" s="18">
        <f>TODAY()-L3</f>
        <v/>
      </c>
      <c r="O3" s="18">
        <f>IF(N3&lt;=21, "No", "Yes" )</f>
        <v/>
      </c>
      <c r="P3" s="11" t="n">
        <v>44721</v>
      </c>
      <c r="Q3" s="18" t="n">
        <v>1</v>
      </c>
      <c r="R3" s="18">
        <f>TODAY()-P3</f>
        <v/>
      </c>
      <c r="S3" s="18">
        <f>IF(R3&lt;=21, "No", "Yes" )</f>
        <v/>
      </c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1" t="n"/>
      <c r="I4" s="18" t="n"/>
      <c r="J4" s="18" t="n"/>
      <c r="K4" s="18" t="n"/>
      <c r="L4" s="11" t="n">
        <v>44734</v>
      </c>
      <c r="M4" s="18" t="n">
        <v>26</v>
      </c>
      <c r="N4" s="18">
        <f>TODAY()-L4</f>
        <v/>
      </c>
      <c r="O4" s="18">
        <f>IF(N4&lt;=21, "No", "Yes" )</f>
        <v/>
      </c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D5" sqref="D5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Runtz Muffin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44729</v>
      </c>
      <c r="E3" s="18" t="n">
        <v>144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inlineStr">
        <is>
          <t>10/18/2022</t>
        </is>
      </c>
      <c r="M3" s="18" t="n">
        <v>1</v>
      </c>
      <c r="N3" s="18" t="n"/>
      <c r="O3" s="18" t="n"/>
      <c r="P3" s="11" t="inlineStr">
        <is>
          <t>10/18/2022</t>
        </is>
      </c>
      <c r="Q3" s="18" t="n">
        <v>14</v>
      </c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n">
        <v>0</v>
      </c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5" sqref="E5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Wedding Cake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44729</v>
      </c>
      <c r="E3" s="18" t="n">
        <v>60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7" sqref="E7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Lemon Mints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44729</v>
      </c>
      <c r="E3" s="18" t="n">
        <v>64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7" sqref="E7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Jedi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44727</v>
      </c>
      <c r="E3" s="18" t="n">
        <v>129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4" sqref="E4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Rug Burn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44729</v>
      </c>
      <c r="E3" s="18">
        <f>36+36+36+16</f>
        <v/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5" sqref="E5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GMO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44729</v>
      </c>
      <c r="E3" s="18">
        <f>40+18</f>
        <v/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inlineStr">
        <is>
          <t>10/10/2022</t>
        </is>
      </c>
      <c r="M3" s="18" t="n">
        <v>4</v>
      </c>
      <c r="N3" s="18" t="n"/>
      <c r="O3" s="18" t="n"/>
      <c r="P3" s="11" t="inlineStr">
        <is>
          <t>10/10/2022</t>
        </is>
      </c>
      <c r="Q3" s="18" t="n">
        <v>2</v>
      </c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7" sqref="E7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Dirty Little Secret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44735</v>
      </c>
      <c r="E3" s="18" t="n">
        <v>76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B2" sqref="B2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Divine Slurricane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44735</v>
      </c>
      <c r="E3" s="18" t="n">
        <v>120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4" sqref="E4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Mellow 2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44735</v>
      </c>
      <c r="E3" s="18" t="n">
        <v>109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5" sqref="E5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Slow and Sweet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44735</v>
      </c>
      <c r="E3" s="18" t="n">
        <v>137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D5" sqref="D5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Ice Cream Cake V2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44739</v>
      </c>
      <c r="E3" s="18">
        <f>40+40+40+36+40</f>
        <v/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>
        <v>44818</v>
      </c>
      <c r="E4" s="14" t="n">
        <v>120</v>
      </c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B2" sqref="B2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Farmer Fire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44739</v>
      </c>
      <c r="E3" s="18">
        <f>40+39+40+45</f>
        <v/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7" sqref="E7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Sunny D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44739</v>
      </c>
      <c r="E3" s="18" t="n">
        <v>120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A26" sqref="A26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GG1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44747</v>
      </c>
      <c r="E3" s="18" t="n">
        <v>240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3" sqref="E3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Member Berry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44747</v>
      </c>
      <c r="E3" s="18" t="n">
        <v>43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7" sqref="E7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Mendo Breath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44747</v>
      </c>
      <c r="E3" s="18" t="n">
        <v>22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F5" sqref="F5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Goblin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44747</v>
      </c>
      <c r="E3" s="18">
        <f>40+40+39+20</f>
        <v/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44816</v>
      </c>
      <c r="M3" s="18" t="n">
        <v>38</v>
      </c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D4" sqref="D4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Mars Hotel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44753</v>
      </c>
      <c r="E3" s="18">
        <f>36+36</f>
        <v/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4" sqref="E4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Gas Light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44753</v>
      </c>
      <c r="E3" s="18">
        <f>36+35</f>
        <v/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5" sqref="E5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Chem D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44753</v>
      </c>
      <c r="E3" s="18">
        <f>36+35</f>
        <v/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4" sqref="E4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Dosi 33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44753</v>
      </c>
      <c r="E3" s="18" t="n">
        <v>65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B1" sqref="B1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Blueberry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44753</v>
      </c>
      <c r="E3" s="18" t="n">
        <v>47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5" sqref="E5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Fire and Rain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44753</v>
      </c>
      <c r="E3" s="18" t="n">
        <v>67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15"/>
  <sheetViews>
    <sheetView zoomScale="93" zoomScaleNormal="110" workbookViewId="0">
      <selection activeCell="P1" sqref="P1:P1048576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6.218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14.77734375" bestFit="1" customWidth="1" style="27" min="12" max="12"/>
    <col width="15.44140625" bestFit="1" customWidth="1" style="27" min="14" max="14"/>
    <col width="14.77734375" bestFit="1" customWidth="1" style="27" min="16" max="16"/>
    <col width="10.664062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I95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44515</v>
      </c>
      <c r="E3" s="18">
        <f>7*40</f>
        <v/>
      </c>
      <c r="F3" s="18">
        <f>TODAY()-D3</f>
        <v/>
      </c>
      <c r="G3" s="18">
        <f>IF(F3&gt;21, "Yes", "No")</f>
        <v/>
      </c>
      <c r="H3" s="11" t="n">
        <v>44587</v>
      </c>
      <c r="I3" s="18">
        <f>4+3+5+5+10+5+4+4+3+9+3+3+5+4+6+3+4+4+9+7+3+5+4</f>
        <v/>
      </c>
      <c r="J3" s="18">
        <f>TODAY()-H3</f>
        <v/>
      </c>
      <c r="K3" s="18">
        <f>IF(J3&gt;21, "Yes", "No")</f>
        <v/>
      </c>
      <c r="L3" s="11" t="n">
        <v>44547</v>
      </c>
      <c r="M3" s="18" t="n">
        <v>149</v>
      </c>
      <c r="N3" s="18">
        <f>TODAY()-L3</f>
        <v/>
      </c>
      <c r="O3" s="18">
        <f>IF(N3&gt;21, "Yes", "No")</f>
        <v/>
      </c>
      <c r="P3" s="11" t="n">
        <v>44587</v>
      </c>
      <c r="Q3" s="18">
        <f>2+3+2+4+2+4+3</f>
        <v/>
      </c>
      <c r="R3" s="18">
        <f>TODAY()-P3</f>
        <v/>
      </c>
      <c r="S3" s="18">
        <f>IF(R3&gt;21, "Yes", "No")</f>
        <v/>
      </c>
      <c r="T3" s="18" t="n"/>
      <c r="U3" s="18" t="n"/>
      <c r="V3" s="18" t="n"/>
      <c r="W3" s="18" t="n"/>
      <c r="Y3" s="12" t="n">
        <v>44530</v>
      </c>
      <c r="Z3" s="18">
        <f>10+10+5+10+9+4</f>
        <v/>
      </c>
      <c r="AA3" s="18" t="n"/>
      <c r="AB3" s="18" t="n"/>
      <c r="AC3" s="18" t="n"/>
      <c r="AD3" t="inlineStr">
        <is>
          <t>*20 white bacteria</t>
        </is>
      </c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3" t="inlineStr">
        <is>
          <t>N/A</t>
        </is>
      </c>
      <c r="I4" s="14" t="inlineStr">
        <is>
          <t>N/A</t>
        </is>
      </c>
      <c r="J4" s="14" t="inlineStr">
        <is>
          <t>N/A</t>
        </is>
      </c>
      <c r="K4" s="14" t="inlineStr">
        <is>
          <t>N/A</t>
        </is>
      </c>
      <c r="L4" s="11" t="n"/>
      <c r="M4" s="18">
        <f>M3+11+12+10+12+8+8</f>
        <v/>
      </c>
      <c r="N4" s="18" t="n"/>
      <c r="O4" s="18" t="n"/>
      <c r="P4" s="11" t="n">
        <v>44706</v>
      </c>
      <c r="Q4" s="18" t="n">
        <v>0</v>
      </c>
      <c r="R4" s="18">
        <f>TODAY()-P4</f>
        <v/>
      </c>
      <c r="S4" s="18">
        <f>IF(R4&gt;21, "Yes", "No")</f>
        <v/>
      </c>
      <c r="T4" s="18" t="n"/>
      <c r="U4" s="18" t="n"/>
      <c r="V4" s="18" t="n"/>
      <c r="W4" s="18" t="n"/>
      <c r="Y4" s="12" t="n">
        <v>44547</v>
      </c>
      <c r="Z4" s="18" t="n"/>
      <c r="AA4" s="18" t="n"/>
      <c r="AB4" s="18" t="n">
        <v>33</v>
      </c>
      <c r="AC4" s="18" t="n"/>
      <c r="AD4" t="inlineStr">
        <is>
          <t xml:space="preserve">*11 yellow mold / bacteria </t>
        </is>
      </c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>
        <f>M4-49</f>
        <v/>
      </c>
      <c r="N5" s="18" t="n"/>
      <c r="O5" s="18" t="n"/>
      <c r="P5" s="11" t="n">
        <v>44813</v>
      </c>
      <c r="Q5" s="18" t="n">
        <v>2</v>
      </c>
      <c r="R5" s="18" t="n"/>
      <c r="S5" s="18" t="n"/>
      <c r="T5" s="18" t="n"/>
      <c r="U5" s="18" t="n"/>
      <c r="V5" s="18" t="n"/>
      <c r="W5" s="18" t="n"/>
      <c r="Y5" s="12" t="n">
        <v>44558</v>
      </c>
      <c r="Z5" s="18" t="n"/>
      <c r="AA5" s="18" t="n"/>
      <c r="AB5" s="18" t="n">
        <v>49</v>
      </c>
      <c r="AC5" s="18" t="n"/>
      <c r="AD5" t="inlineStr">
        <is>
          <t>*5 pink mold / bacteria</t>
        </is>
      </c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>
        <f>M5-27</f>
        <v/>
      </c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>
        <v>44568</v>
      </c>
      <c r="Z6" s="18" t="n"/>
      <c r="AA6" s="18" t="n"/>
      <c r="AB6" s="18">
        <f>27</f>
        <v/>
      </c>
      <c r="AC6" s="18" t="n"/>
      <c r="AD6" t="inlineStr">
        <is>
          <t>*3 black fungus</t>
        </is>
      </c>
    </row>
    <row r="7" ht="18" customHeight="1" s="27">
      <c r="A7" s="24" t="inlineStr">
        <is>
          <t>Stage II Subculture</t>
        </is>
      </c>
      <c r="B7" s="1">
        <f t="array" aca="1" ref="B7" ca="1">LOOKUP(2,1 / (K$3:K$1048576 &lt;&gt;""), K$3:K$1048576)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>
        <f>M6-19</f>
        <v/>
      </c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Y7" s="12" t="n">
        <v>44587</v>
      </c>
      <c r="Z7" s="18" t="n"/>
      <c r="AA7" s="18" t="n"/>
      <c r="AB7" s="18">
        <f>5+5+4+3+2</f>
        <v/>
      </c>
      <c r="AC7" s="18" t="n"/>
      <c r="AD7" t="inlineStr">
        <is>
          <t>*10 bleached</t>
        </is>
      </c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44587</v>
      </c>
      <c r="M8" s="18">
        <f>3+3+2</f>
        <v/>
      </c>
      <c r="N8" s="18">
        <f>TODAY()-L8</f>
        <v/>
      </c>
      <c r="O8" s="18">
        <f>IF(N8&gt;21, "Yes", "No")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44706</v>
      </c>
      <c r="M9" s="18">
        <f>10+5</f>
        <v/>
      </c>
      <c r="N9" s="18">
        <f>TODAY()-L9</f>
        <v/>
      </c>
      <c r="O9" s="18">
        <f>IF(N9&gt;21, "Yes", "No")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44813</v>
      </c>
      <c r="M10" t="n">
        <v>5</v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>(IFERROR((LOOKUP(2,1/(Q$3:Q$100&lt;&gt;""),Q$3:Q$100)),0))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C15"/>
  <sheetViews>
    <sheetView topLeftCell="B1" zoomScaleNormal="100" workbookViewId="0">
      <selection activeCell="D26" sqref="D26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Apple Fritter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44753</v>
      </c>
      <c r="E3" s="18" t="n">
        <v>67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44824</v>
      </c>
      <c r="M3" s="18" t="n">
        <v>44</v>
      </c>
      <c r="N3" s="18" t="n"/>
      <c r="O3" s="18" t="n"/>
      <c r="P3" s="11" t="n">
        <v>44824</v>
      </c>
      <c r="Q3" s="18" t="n">
        <v>13</v>
      </c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M3" sqref="M3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Orangeade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44753</v>
      </c>
      <c r="E3" s="18" t="n">
        <v>67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44816</v>
      </c>
      <c r="M3" s="18" t="n">
        <v>24</v>
      </c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L5" sqref="L5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Wedding Pie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44753</v>
      </c>
      <c r="E3" s="18" t="n">
        <v>67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>
        <v>44816</v>
      </c>
      <c r="M3" s="18" t="n">
        <v>20</v>
      </c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inlineStr">
        <is>
          <t>N/A</t>
        </is>
      </c>
      <c r="E4" s="14" t="inlineStr">
        <is>
          <t>N/A</t>
        </is>
      </c>
      <c r="F4" s="14" t="inlineStr">
        <is>
          <t>N/A</t>
        </is>
      </c>
      <c r="G4" s="14" t="inlineStr">
        <is>
          <t>N/A</t>
        </is>
      </c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15"/>
  <sheetViews>
    <sheetView topLeftCell="G1" zoomScale="110" zoomScaleNormal="110" workbookViewId="0">
      <selection activeCell="N12" sqref="N12"/>
    </sheetView>
  </sheetViews>
  <sheetFormatPr baseColWidth="8" defaultRowHeight="14.4"/>
  <cols>
    <col width="21.88671875" bestFit="1" customWidth="1" style="27" min="1" max="1"/>
    <col width="22.109375" bestFit="1" customWidth="1" style="27" min="2" max="2"/>
    <col width="14.5546875" bestFit="1" customWidth="1" style="27" min="4" max="4"/>
    <col width="9.44140625" bestFit="1" customWidth="1" style="27" min="5" max="5"/>
    <col width="15.109375" bestFit="1" customWidth="1" style="27" min="6" max="6"/>
    <col width="6.21875" bestFit="1" customWidth="1" style="27" min="7" max="7"/>
    <col width="14.6640625" bestFit="1" customWidth="1" style="27" min="8" max="8"/>
    <col width="14.6640625" bestFit="1" customWidth="1" style="27" min="12" max="12"/>
    <col width="15.44140625" bestFit="1" customWidth="1" style="27" min="14" max="14"/>
    <col width="9.5546875" bestFit="1" customWidth="1" style="27" min="16" max="16"/>
    <col width="10.6640625" bestFit="1" customWidth="1" style="27" min="17" max="17"/>
    <col width="9.5546875" bestFit="1" customWidth="1" style="27" min="20" max="20"/>
  </cols>
  <sheetData>
    <row r="1" ht="18" customHeight="1" s="27">
      <c r="A1" s="2" t="inlineStr">
        <is>
          <t>Strain Name:</t>
        </is>
      </c>
      <c r="B1" s="3" t="inlineStr">
        <is>
          <t>SFV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44515</v>
      </c>
      <c r="E3" s="18">
        <f>6*40</f>
        <v/>
      </c>
      <c r="F3" s="18">
        <f>TODAY()-D3</f>
        <v/>
      </c>
      <c r="G3" s="18">
        <f>IF(F3&gt;21, "Yes", "No")</f>
        <v/>
      </c>
      <c r="H3" s="11" t="n">
        <v>44586</v>
      </c>
      <c r="I3" s="18">
        <f>10+8+6+4+3+4+3+7+3+3+11+4+4+8+4</f>
        <v/>
      </c>
      <c r="J3" s="18">
        <f>TODAY()-H3</f>
        <v/>
      </c>
      <c r="K3" s="18">
        <f>IF(J3&gt;21, "Yes", "No")</f>
        <v/>
      </c>
      <c r="L3" s="11" t="n">
        <v>44547</v>
      </c>
      <c r="M3" s="18" t="n">
        <v>116</v>
      </c>
      <c r="N3" s="18">
        <f>TODAY()-L3</f>
        <v/>
      </c>
      <c r="O3" s="18">
        <f>IF(N3&gt;21, "Yes", "No")</f>
        <v/>
      </c>
      <c r="P3" s="11" t="n">
        <v>44586</v>
      </c>
      <c r="Q3" s="18">
        <f>3+4+4+2+3+4+3+3+3+6+1</f>
        <v/>
      </c>
      <c r="R3" s="18">
        <f>TODAY()-P3</f>
        <v/>
      </c>
      <c r="S3" s="18">
        <f>IF(R3&gt;21, "Yes", "No")</f>
        <v/>
      </c>
      <c r="T3" s="11" t="n">
        <v>44606</v>
      </c>
      <c r="U3" s="18" t="n">
        <v>60</v>
      </c>
      <c r="V3" s="11">
        <f>TODAY()-T3</f>
        <v/>
      </c>
      <c r="W3" s="18">
        <f>IF(V3&gt;21, "Yes", "No")</f>
        <v/>
      </c>
      <c r="Y3" s="12">
        <f>11/30/2021</f>
        <v/>
      </c>
      <c r="Z3" s="18">
        <f>78</f>
        <v/>
      </c>
      <c r="AA3" s="18" t="n"/>
      <c r="AB3" s="18" t="n"/>
      <c r="AC3" s="18" t="n"/>
      <c r="AD3" t="inlineStr">
        <is>
          <t>*30 white bacteria</t>
        </is>
      </c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>
        <f>E3-78</f>
        <v/>
      </c>
      <c r="F4" s="14" t="n"/>
      <c r="G4" s="14" t="n"/>
      <c r="H4" s="13" t="n">
        <v>44606</v>
      </c>
      <c r="I4" s="14" t="n">
        <v>144</v>
      </c>
      <c r="J4" s="18">
        <f>TODAY()-H4</f>
        <v/>
      </c>
      <c r="K4" s="18">
        <f>IF(J4&gt;21, "Yes", "No")</f>
        <v/>
      </c>
      <c r="L4" s="11" t="n"/>
      <c r="M4" s="18">
        <f>M3-32</f>
        <v/>
      </c>
      <c r="N4" s="18" t="n"/>
      <c r="O4" s="18" t="n"/>
      <c r="P4" s="11" t="n">
        <v>44606</v>
      </c>
      <c r="Q4" s="18" t="n">
        <v>44</v>
      </c>
      <c r="R4" s="18">
        <f>TODAY()-P4</f>
        <v/>
      </c>
      <c r="S4" s="18">
        <f>IF(R4&gt;21, "Yes", "No")</f>
        <v/>
      </c>
      <c r="T4" s="18" t="n"/>
      <c r="U4" s="18" t="n"/>
      <c r="V4" s="18" t="n"/>
      <c r="W4" s="18" t="n"/>
      <c r="Y4" s="12" t="n">
        <v>44547</v>
      </c>
      <c r="Z4" s="18" t="n"/>
      <c r="AA4" s="18" t="n"/>
      <c r="AB4" s="18" t="n">
        <v>26</v>
      </c>
      <c r="AC4" s="18" t="n"/>
      <c r="AD4" t="inlineStr">
        <is>
          <t>*20 black fungus</t>
        </is>
      </c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inlineStr">
        <is>
          <t>N/A</t>
        </is>
      </c>
      <c r="E5" s="18" t="inlineStr">
        <is>
          <t>N/A</t>
        </is>
      </c>
      <c r="F5" s="18" t="inlineStr">
        <is>
          <t>N/A</t>
        </is>
      </c>
      <c r="G5" s="18" t="inlineStr">
        <is>
          <t>N/A</t>
        </is>
      </c>
      <c r="H5" s="11" t="n"/>
      <c r="I5" s="18">
        <f>I4-37</f>
        <v/>
      </c>
      <c r="J5" s="18" t="n"/>
      <c r="K5" s="18" t="n"/>
      <c r="L5" s="11" t="n">
        <v>44586</v>
      </c>
      <c r="M5" s="18">
        <f>8+12+6+2+7+5+4+8+4</f>
        <v/>
      </c>
      <c r="N5" s="18">
        <f>TODAY()-L5</f>
        <v/>
      </c>
      <c r="O5" s="18">
        <f>IF(N5&gt;21, "Yes", "No")</f>
        <v/>
      </c>
      <c r="P5" s="11" t="n">
        <v>44636</v>
      </c>
      <c r="Q5" s="18">
        <f>24</f>
        <v/>
      </c>
      <c r="R5" s="18">
        <f>TODAY()-P5</f>
        <v/>
      </c>
      <c r="S5" s="18">
        <f>IF(R5&gt;21, "Yes", "No")</f>
        <v/>
      </c>
      <c r="T5" s="18" t="n"/>
      <c r="U5" s="18" t="n"/>
      <c r="V5" s="18" t="n"/>
      <c r="W5" s="18" t="n"/>
      <c r="Y5" s="12" t="n">
        <v>44558</v>
      </c>
      <c r="Z5" s="18" t="n"/>
      <c r="AA5" s="18" t="n"/>
      <c r="AB5" s="18" t="n">
        <v>32</v>
      </c>
      <c r="AC5" s="18" t="n"/>
      <c r="AD5" t="inlineStr">
        <is>
          <t>*10 pink mold / bacteria</t>
        </is>
      </c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1" t="n">
        <v>44636</v>
      </c>
      <c r="I6" s="18" t="n">
        <v>110</v>
      </c>
      <c r="J6" s="18">
        <f>TODAY()-H6</f>
        <v/>
      </c>
      <c r="K6" s="18">
        <f>IF(J6&gt;21, "Yes", "No")</f>
        <v/>
      </c>
      <c r="L6" s="11" t="n">
        <v>44606</v>
      </c>
      <c r="M6" s="18" t="n">
        <v>17</v>
      </c>
      <c r="N6" s="18">
        <f>TODAY()-L6</f>
        <v/>
      </c>
      <c r="O6" s="18">
        <f>IF(N6&gt;21, "Yes", "No")</f>
        <v/>
      </c>
      <c r="P6" s="11" t="n">
        <v>44683</v>
      </c>
      <c r="Q6" s="18">
        <f>1+24</f>
        <v/>
      </c>
      <c r="R6" s="18">
        <f>TODAY()-P6</f>
        <v/>
      </c>
      <c r="S6" s="18">
        <f>IF(R6&gt;21, "Yes", "No")</f>
        <v/>
      </c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  <c r="AD6" t="inlineStr">
        <is>
          <t>*8 yellow mold / bacteria</t>
        </is>
      </c>
    </row>
    <row r="7" ht="18" customHeight="1" s="27">
      <c r="A7" s="24" t="inlineStr">
        <is>
          <t>Stage II Subculture</t>
        </is>
      </c>
      <c r="B7" s="1">
        <f t="array" aca="1" ref="B7" ca="1">LOOKUP(2,1 / (K$3:K$1048576 &lt;&gt;""), K$3:K$1048576)</f>
        <v/>
      </c>
      <c r="D7" s="18" t="n"/>
      <c r="E7" s="18" t="n"/>
      <c r="F7" s="18" t="n"/>
      <c r="G7" s="18" t="n"/>
      <c r="H7" s="11" t="inlineStr">
        <is>
          <t>N/A</t>
        </is>
      </c>
      <c r="I7" s="18" t="inlineStr">
        <is>
          <t>N/A</t>
        </is>
      </c>
      <c r="J7" s="18" t="inlineStr">
        <is>
          <t>N/A</t>
        </is>
      </c>
      <c r="K7" s="18" t="inlineStr">
        <is>
          <t>N/A</t>
        </is>
      </c>
      <c r="L7" s="11" t="n">
        <v>44636</v>
      </c>
      <c r="M7" s="18" t="n">
        <v>72</v>
      </c>
      <c r="N7" s="18">
        <f>TODAY()-L7</f>
        <v/>
      </c>
      <c r="O7" s="18">
        <f>IF(N7&gt;21, "Yes", "No")</f>
        <v/>
      </c>
      <c r="P7" s="11" t="n">
        <v>44720</v>
      </c>
      <c r="Q7" s="18">
        <f>16+4+6</f>
        <v/>
      </c>
      <c r="R7" s="18">
        <f>TODAY()-P7</f>
        <v/>
      </c>
      <c r="S7" s="18">
        <f>IF(R7&gt;21, "Yes", "No")</f>
        <v/>
      </c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1" t="n">
        <v>44683</v>
      </c>
      <c r="M8" s="18">
        <f>8+5+8+8+8+8+8+4+18+148</f>
        <v/>
      </c>
      <c r="N8" s="18">
        <f>TODAY()-L8</f>
        <v/>
      </c>
      <c r="O8" s="18">
        <f>IF(N8&gt;21, "Yes", "No")</f>
        <v/>
      </c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1" t="n">
        <v>44720</v>
      </c>
      <c r="M9" s="18">
        <f>32+28+26+10+10</f>
        <v/>
      </c>
      <c r="N9" s="18">
        <f>TODAY()-L9</f>
        <v/>
      </c>
      <c r="O9" s="18">
        <f>IF(N9&gt;21, "Yes", "No")</f>
        <v/>
      </c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  <c r="L10" s="12" t="n">
        <v>44823</v>
      </c>
      <c r="M10">
        <f>24+14+16</f>
        <v/>
      </c>
      <c r="N10" s="26">
        <f>TODAY()-L10</f>
        <v/>
      </c>
      <c r="O10" s="26">
        <f>IF(N10&gt;21, "Yes", "No")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E7" sqref="E7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15.44140625" bestFit="1" customWidth="1" style="27" min="14" max="14"/>
    <col width="9.5546875" bestFit="1" customWidth="1" style="27" min="16" max="16"/>
    <col width="10.5546875" bestFit="1" customWidth="1" style="27" min="17" max="17"/>
  </cols>
  <sheetData>
    <row r="1" ht="18" customHeight="1" s="27">
      <c r="A1" s="2" t="inlineStr">
        <is>
          <t>Strain Name:</t>
        </is>
      </c>
      <c r="B1" s="3" t="inlineStr">
        <is>
          <t>Wedding Pie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>
        <v>44826</v>
      </c>
      <c r="E3" s="18" t="n">
        <v>69</v>
      </c>
      <c r="F3" s="18">
        <f>TODAY()-D3</f>
        <v/>
      </c>
      <c r="G3" s="18">
        <f>IF(F3&lt;=21, "No", "Yes" )</f>
        <v/>
      </c>
      <c r="H3" s="11" t="n"/>
      <c r="I3" s="18" t="n"/>
      <c r="J3" s="18" t="n"/>
      <c r="K3" s="18" t="n"/>
      <c r="L3" s="11" t="n"/>
      <c r="M3" s="18" t="n"/>
      <c r="N3" s="18" t="n"/>
      <c r="O3" s="18" t="n"/>
      <c r="P3" s="11" t="n"/>
      <c r="Q3" s="18" t="n"/>
      <c r="R3" s="18" t="n"/>
      <c r="S3" s="18" t="n"/>
      <c r="T3" s="18" t="n"/>
      <c r="U3" s="18" t="n"/>
      <c r="V3" s="18" t="n"/>
      <c r="W3" s="18" t="n"/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ref="B13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F4" sqref="F4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8.88671875" customWidth="1" style="27" min="3" max="3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8.88671875" customWidth="1" style="27" min="13" max="13"/>
    <col width="15.44140625" bestFit="1" customWidth="1" style="27" min="14" max="14"/>
    <col width="8.88671875" customWidth="1" style="27" min="15" max="15"/>
    <col width="9.5546875" bestFit="1" customWidth="1" style="27" min="16" max="16"/>
    <col width="10.5546875" bestFit="1" customWidth="1" style="27" min="17" max="17"/>
    <col width="8.88671875" customWidth="1" style="27" min="18" max="27"/>
    <col width="8.88671875" customWidth="1" style="27" min="28" max="16384"/>
  </cols>
  <sheetData>
    <row r="1" ht="18" customHeight="1" s="27">
      <c r="A1" s="2" t="inlineStr">
        <is>
          <t>Strain Name:</t>
        </is>
      </c>
      <c r="B1" s="3" t="inlineStr">
        <is>
          <t>Bazooka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>LOOKUP(2,1 / (D$3:D$100 &lt;&gt;""), D$3:D$100)</f>
        <v/>
      </c>
      <c r="D3" s="11" t="inlineStr">
        <is>
          <t>10/11/2022</t>
        </is>
      </c>
      <c r="E3" s="18" t="inlineStr">
        <is>
          <t>93</t>
        </is>
      </c>
      <c r="F3" s="11">
        <f>TODAY()-D3</f>
        <v/>
      </c>
      <c r="G3" s="18">
        <f>IF(F3&lt;=21, "No", "Yes" )</f>
        <v/>
      </c>
      <c r="H3" s="11" t="n"/>
      <c r="I3" s="18" t="n"/>
      <c r="J3" s="18">
        <f>TODAY()-H3</f>
        <v/>
      </c>
      <c r="K3" s="18">
        <f>IF(J3&lt;=21, "No", "Yes" )</f>
        <v/>
      </c>
      <c r="L3" s="11" t="n"/>
      <c r="M3" s="18" t="n"/>
      <c r="N3" s="18">
        <f>TODAY()-L3</f>
        <v/>
      </c>
      <c r="O3" s="18">
        <f>IF(N3&lt;=21, "No", "Yes" )</f>
        <v/>
      </c>
      <c r="P3" s="11" t="n"/>
      <c r="Q3" s="18" t="n"/>
      <c r="R3" s="18">
        <f>TODAY()-P3</f>
        <v/>
      </c>
      <c r="S3" s="18">
        <f>IF(R3&lt;=21, "No", "Yes" )</f>
        <v/>
      </c>
      <c r="T3" s="18" t="n"/>
      <c r="U3" s="18" t="n"/>
      <c r="V3" s="18">
        <f>TODAY()-T3</f>
        <v/>
      </c>
      <c r="W3" s="18">
        <f>IF(V3&lt;=21, "No", "Yes" )</f>
        <v/>
      </c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8.88671875" customWidth="1" style="27" min="3" max="3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8.88671875" customWidth="1" style="27" min="13" max="13"/>
    <col width="15.44140625" bestFit="1" customWidth="1" style="27" min="14" max="14"/>
    <col width="8.88671875" customWidth="1" style="27" min="15" max="15"/>
    <col width="9.5546875" bestFit="1" customWidth="1" style="27" min="16" max="16"/>
    <col width="10.5546875" bestFit="1" customWidth="1" style="27" min="17" max="17"/>
    <col width="8.88671875" customWidth="1" style="27" min="18" max="27"/>
    <col width="8.88671875" customWidth="1" style="27" min="28" max="16384"/>
  </cols>
  <sheetData>
    <row r="1" ht="18" customHeight="1" s="27">
      <c r="A1" s="2" t="inlineStr">
        <is>
          <t>Strain Name:</t>
        </is>
      </c>
      <c r="B1" s="3" t="inlineStr">
        <is>
          <t>Pink Grapes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>LOOKUP(2,1 / (D$3:D$100 &lt;&gt;""), D$3:D$100)</f>
        <v/>
      </c>
      <c r="D3" s="11" t="inlineStr">
        <is>
          <t>10/11/2022</t>
        </is>
      </c>
      <c r="E3" s="18" t="inlineStr">
        <is>
          <t>156</t>
        </is>
      </c>
      <c r="F3" s="18">
        <f>TODAY()-D3</f>
        <v/>
      </c>
      <c r="G3" s="18">
        <f>IF(F3&lt;=21, "No", "Yes" )</f>
        <v/>
      </c>
      <c r="H3" s="11" t="n"/>
      <c r="I3" s="18" t="n"/>
      <c r="J3" s="18">
        <f>TODAY()-H3</f>
        <v/>
      </c>
      <c r="K3" s="18">
        <f>IF(J3&lt;=21, "No", "Yes" )</f>
        <v/>
      </c>
      <c r="L3" s="11" t="n"/>
      <c r="M3" s="18" t="n"/>
      <c r="N3" s="18">
        <f>TODAY()-L3</f>
        <v/>
      </c>
      <c r="O3" s="18">
        <f>IF(N3&lt;=21, "No", "Yes" )</f>
        <v/>
      </c>
      <c r="P3" s="11" t="n"/>
      <c r="Q3" s="18" t="n"/>
      <c r="R3" s="18">
        <f>TODAY()-P3</f>
        <v/>
      </c>
      <c r="S3" s="18">
        <f>IF(R3&lt;=21, "No", "Yes" )</f>
        <v/>
      </c>
      <c r="T3" s="18" t="n"/>
      <c r="U3" s="18" t="n"/>
      <c r="V3" s="18">
        <f>TODAY()-T3</f>
        <v/>
      </c>
      <c r="W3" s="18">
        <f>IF(V3&lt;=21, "No", "Yes" )</f>
        <v/>
      </c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8.88671875" customWidth="1" style="27" min="3" max="3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8.88671875" customWidth="1" style="27" min="13" max="13"/>
    <col width="15.44140625" bestFit="1" customWidth="1" style="27" min="14" max="14"/>
    <col width="8.88671875" customWidth="1" style="27" min="15" max="15"/>
    <col width="9.5546875" bestFit="1" customWidth="1" style="27" min="16" max="16"/>
    <col width="10.5546875" bestFit="1" customWidth="1" style="27" min="17" max="17"/>
    <col width="8.88671875" customWidth="1" style="27" min="18" max="27"/>
    <col width="8.88671875" customWidth="1" style="27" min="28" max="16384"/>
  </cols>
  <sheetData>
    <row r="1" ht="18" customHeight="1" s="27">
      <c r="A1" s="2" t="inlineStr">
        <is>
          <t>Strain Name:</t>
        </is>
      </c>
      <c r="B1" s="3" t="inlineStr">
        <is>
          <t>Grape Pie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>LOOKUP(2,1 / (D$3:D$100 &lt;&gt;""), D$3:D$100)</f>
        <v/>
      </c>
      <c r="D3" s="11" t="inlineStr">
        <is>
          <t>10/11/2022</t>
        </is>
      </c>
      <c r="E3" s="18" t="inlineStr">
        <is>
          <t>88</t>
        </is>
      </c>
      <c r="F3" s="18">
        <f>TODAY()-D3</f>
        <v/>
      </c>
      <c r="G3" s="18">
        <f>IF(F3&lt;=21, "No", "Yes" )</f>
        <v/>
      </c>
      <c r="H3" s="11" t="n"/>
      <c r="I3" s="18" t="n"/>
      <c r="J3" s="18">
        <f>TODAY()-H3</f>
        <v/>
      </c>
      <c r="K3" s="18">
        <f>IF(J3&lt;=21, "No", "Yes" )</f>
        <v/>
      </c>
      <c r="L3" s="11" t="n"/>
      <c r="M3" s="18" t="n"/>
      <c r="N3" s="18">
        <f>TODAY()-L3</f>
        <v/>
      </c>
      <c r="O3" s="18">
        <f>IF(N3&lt;=21, "No", "Yes" )</f>
        <v/>
      </c>
      <c r="P3" s="11" t="n"/>
      <c r="Q3" s="18" t="n"/>
      <c r="R3" s="18">
        <f>TODAY()-P3</f>
        <v/>
      </c>
      <c r="S3" s="18">
        <f>IF(R3&lt;=21, "No", "Yes" )</f>
        <v/>
      </c>
      <c r="T3" s="18" t="n"/>
      <c r="U3" s="18" t="n"/>
      <c r="V3" s="18">
        <f>TODAY()-T3</f>
        <v/>
      </c>
      <c r="W3" s="18">
        <f>IF(V3&lt;=21, "No", "Yes" )</f>
        <v/>
      </c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8.88671875" customWidth="1" style="27" min="3" max="3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8.88671875" customWidth="1" style="27" min="13" max="13"/>
    <col width="15.44140625" bestFit="1" customWidth="1" style="27" min="14" max="14"/>
    <col width="8.88671875" customWidth="1" style="27" min="15" max="15"/>
    <col width="9.5546875" bestFit="1" customWidth="1" style="27" min="16" max="16"/>
    <col width="10.5546875" bestFit="1" customWidth="1" style="27" min="17" max="17"/>
    <col width="8.88671875" customWidth="1" style="27" min="18" max="27"/>
    <col width="8.88671875" customWidth="1" style="27" min="28" max="16384"/>
  </cols>
  <sheetData>
    <row r="1" ht="18" customHeight="1" s="27">
      <c r="A1" s="2" t="inlineStr">
        <is>
          <t>Strain Name:</t>
        </is>
      </c>
      <c r="B1" s="3" t="inlineStr">
        <is>
          <t>Vapor Fuel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>LOOKUP(2,1 / (D$3:D$100 &lt;&gt;""), D$3:D$100)</f>
        <v/>
      </c>
      <c r="D3" s="11" t="inlineStr">
        <is>
          <t>10/11/2022</t>
        </is>
      </c>
      <c r="E3" s="18" t="inlineStr">
        <is>
          <t>80</t>
        </is>
      </c>
      <c r="F3" s="18">
        <f>TODAY()-D3</f>
        <v/>
      </c>
      <c r="G3" s="18">
        <f>IF(F3&lt;=21, "No", "Yes" )</f>
        <v/>
      </c>
      <c r="H3" s="11" t="n"/>
      <c r="I3" s="18" t="n"/>
      <c r="J3" s="18">
        <f>TODAY()-H3</f>
        <v/>
      </c>
      <c r="K3" s="18">
        <f>IF(J3&lt;=21, "No", "Yes" )</f>
        <v/>
      </c>
      <c r="L3" s="11" t="n"/>
      <c r="M3" s="18" t="n"/>
      <c r="N3" s="18">
        <f>TODAY()-L3</f>
        <v/>
      </c>
      <c r="O3" s="18">
        <f>IF(N3&lt;=21, "No", "Yes" )</f>
        <v/>
      </c>
      <c r="P3" s="11" t="n"/>
      <c r="Q3" s="18" t="n"/>
      <c r="R3" s="18">
        <f>TODAY()-P3</f>
        <v/>
      </c>
      <c r="S3" s="18">
        <f>IF(R3&lt;=21, "No", "Yes" )</f>
        <v/>
      </c>
      <c r="T3" s="18" t="n"/>
      <c r="U3" s="18" t="n"/>
      <c r="V3" s="18">
        <f>TODAY()-T3</f>
        <v/>
      </c>
      <c r="W3" s="18">
        <f>IF(V3&lt;=21, "No", "Yes" )</f>
        <v/>
      </c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8.88671875" customWidth="1" style="27" min="3" max="3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8.88671875" customWidth="1" style="27" min="13" max="13"/>
    <col width="15.44140625" bestFit="1" customWidth="1" style="27" min="14" max="14"/>
    <col width="8.88671875" customWidth="1" style="27" min="15" max="15"/>
    <col width="9.5546875" bestFit="1" customWidth="1" style="27" min="16" max="16"/>
    <col width="10.5546875" bestFit="1" customWidth="1" style="27" min="17" max="17"/>
    <col width="8.88671875" customWidth="1" style="27" min="18" max="27"/>
    <col width="8.88671875" customWidth="1" style="27" min="28" max="16384"/>
  </cols>
  <sheetData>
    <row r="1" ht="18" customHeight="1" s="27">
      <c r="A1" s="2" t="inlineStr">
        <is>
          <t>Strain Name:</t>
        </is>
      </c>
      <c r="B1" s="3" t="inlineStr">
        <is>
          <t>Lemon Gelato</t>
        </is>
      </c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>LOOKUP(2,1 / (D$3:D$100 &lt;&gt;""), D$3:D$100)</f>
        <v/>
      </c>
      <c r="D3" s="11" t="inlineStr">
        <is>
          <t>10/20/2022</t>
        </is>
      </c>
      <c r="E3" s="18" t="inlineStr">
        <is>
          <t>80</t>
        </is>
      </c>
      <c r="F3" s="18">
        <f>TODAY()-D3</f>
        <v/>
      </c>
      <c r="G3" s="18">
        <f>IF(F3&lt;=21, "No", "Yes" )</f>
        <v/>
      </c>
      <c r="H3" s="11" t="n"/>
      <c r="I3" s="18" t="n"/>
      <c r="J3" s="18">
        <f>TODAY()-H3</f>
        <v/>
      </c>
      <c r="K3" s="18">
        <f>IF(J3&lt;=21, "No", "Yes" )</f>
        <v/>
      </c>
      <c r="L3" s="11" t="n"/>
      <c r="M3" s="18" t="n"/>
      <c r="N3" s="18">
        <f>TODAY()-L3</f>
        <v/>
      </c>
      <c r="O3" s="18">
        <f>IF(N3&lt;=21, "No", "Yes" )</f>
        <v/>
      </c>
      <c r="P3" s="11" t="n"/>
      <c r="Q3" s="18" t="n"/>
      <c r="R3" s="18">
        <f>TODAY()-P3</f>
        <v/>
      </c>
      <c r="S3" s="18">
        <f>IF(R3&lt;=21, "No", "Yes" )</f>
        <v/>
      </c>
      <c r="T3" s="18" t="n"/>
      <c r="U3" s="18" t="n"/>
      <c r="V3" s="18">
        <f>TODAY()-T3</f>
        <v/>
      </c>
      <c r="W3" s="18">
        <f>IF(V3&lt;=21, "No", "Yes" )</f>
        <v/>
      </c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>LOOKUP(2,1 / (T$3:T$9 &lt;&gt;""), T$3:T$9)</f>
        <v/>
      </c>
    </row>
  </sheetData>
  <pageMargins left="0.7" right="0.7" top="0.75" bottom="0.75" header="0.3" footer="0.3"/>
  <pageSetup orientation="portrait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C15"/>
  <sheetViews>
    <sheetView zoomScaleNormal="100" workbookViewId="0">
      <selection activeCell="A1" sqref="A1"/>
    </sheetView>
  </sheetViews>
  <sheetFormatPr baseColWidth="8" defaultRowHeight="14.4"/>
  <cols>
    <col width="21.88671875" bestFit="1" customWidth="1" style="27" min="1" max="1"/>
    <col width="26.6640625" bestFit="1" customWidth="1" style="27" min="2" max="2"/>
    <col width="8.88671875" customWidth="1" style="27" min="3" max="3"/>
    <col width="14.6640625" bestFit="1" customWidth="1" style="27" min="4" max="4"/>
    <col width="9.5546875" bestFit="1" customWidth="1" style="27" min="5" max="5"/>
    <col width="15.44140625" bestFit="1" customWidth="1" style="27" min="6" max="6"/>
    <col width="8.109375" bestFit="1" customWidth="1" style="27" min="7" max="7"/>
    <col width="14.6640625" bestFit="1" customWidth="1" style="27" min="8" max="8"/>
    <col width="9.5546875" bestFit="1" customWidth="1" style="27" min="9" max="9"/>
    <col width="15.44140625" bestFit="1" customWidth="1" style="27" min="10" max="10"/>
    <col width="6.21875" bestFit="1" customWidth="1" style="27" min="11" max="11"/>
    <col width="9.5546875" bestFit="1" customWidth="1" style="27" min="12" max="12"/>
    <col width="8.88671875" customWidth="1" style="27" min="13" max="13"/>
    <col width="15.44140625" bestFit="1" customWidth="1" style="27" min="14" max="14"/>
    <col width="8.88671875" customWidth="1" style="27" min="15" max="15"/>
    <col width="9.5546875" bestFit="1" customWidth="1" style="27" min="16" max="16"/>
    <col width="10.5546875" bestFit="1" customWidth="1" style="27" min="17" max="17"/>
    <col width="8.88671875" customWidth="1" style="27" min="18" max="27"/>
    <col width="8.88671875" customWidth="1" style="27" min="28" max="16384"/>
  </cols>
  <sheetData>
    <row r="1" ht="18" customHeight="1" s="27">
      <c r="A1" s="2" t="inlineStr">
        <is>
          <t>Strain Name:</t>
        </is>
      </c>
      <c r="B1" s="3" t="n"/>
      <c r="D1" s="4" t="inlineStr">
        <is>
          <t>Stage I</t>
        </is>
      </c>
      <c r="E1" s="18" t="n"/>
      <c r="F1" s="18" t="n"/>
      <c r="G1" s="18" t="n"/>
      <c r="H1" s="23" t="inlineStr">
        <is>
          <t>Stage II</t>
        </is>
      </c>
      <c r="I1" s="18" t="n"/>
      <c r="J1" s="18" t="n"/>
      <c r="K1" s="18" t="n"/>
      <c r="L1" s="5" t="inlineStr">
        <is>
          <t>Stage III</t>
        </is>
      </c>
      <c r="M1" s="18" t="n"/>
      <c r="N1" s="18" t="n"/>
      <c r="O1" s="18" t="n"/>
      <c r="P1" s="21" t="inlineStr">
        <is>
          <t>Stage 2.5</t>
        </is>
      </c>
      <c r="Q1" s="18" t="n"/>
      <c r="R1" s="18" t="n"/>
      <c r="S1" s="18" t="n"/>
      <c r="T1" s="6" t="inlineStr">
        <is>
          <t>Stage IV</t>
        </is>
      </c>
      <c r="U1" s="18" t="n"/>
      <c r="V1" s="18" t="n"/>
      <c r="W1" s="18" t="n"/>
      <c r="Z1" s="6" t="inlineStr">
        <is>
          <t>Infection</t>
        </is>
      </c>
      <c r="AA1" s="18" t="n"/>
      <c r="AB1" s="18" t="n"/>
      <c r="AC1" s="18" t="n"/>
    </row>
    <row r="2" ht="18" customHeight="1" s="27">
      <c r="A2" s="7" t="inlineStr">
        <is>
          <t>Stage I # Explants:</t>
        </is>
      </c>
      <c r="B2" s="3">
        <f t="array" ref="B2">(IFERROR((LOOKUP(2,1/(E$3:E$98&lt;&gt;""),E$3:E$100)),0))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3" t="inlineStr">
        <is>
          <t>Subculture Date</t>
        </is>
      </c>
      <c r="I2" s="23" t="inlineStr">
        <is>
          <t># Explants</t>
        </is>
      </c>
      <c r="J2" s="23" t="inlineStr">
        <is>
          <t># Days in Culture</t>
        </is>
      </c>
      <c r="K2" s="23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1" t="inlineStr">
        <is>
          <t>Subculture Date</t>
        </is>
      </c>
      <c r="Q2" s="21" t="inlineStr">
        <is>
          <t># Explants</t>
        </is>
      </c>
      <c r="R2" s="21" t="inlineStr">
        <is>
          <t># Days in Culture</t>
        </is>
      </c>
      <c r="S2" s="21" t="inlineStr">
        <is>
          <t>Ready</t>
        </is>
      </c>
      <c r="T2" s="6" t="inlineStr">
        <is>
          <t>Subculture Date</t>
        </is>
      </c>
      <c r="U2" s="6" t="inlineStr">
        <is>
          <t># Explants</t>
        </is>
      </c>
      <c r="V2" s="6" t="inlineStr">
        <is>
          <t># Days in Culture</t>
        </is>
      </c>
      <c r="W2" s="6" t="inlineStr">
        <is>
          <t>Ready</t>
        </is>
      </c>
      <c r="Y2" s="10" t="inlineStr">
        <is>
          <t>Date</t>
        </is>
      </c>
      <c r="Z2" s="6" t="inlineStr">
        <is>
          <t>Stage I</t>
        </is>
      </c>
      <c r="AA2" s="6" t="inlineStr">
        <is>
          <t>Stage II</t>
        </is>
      </c>
      <c r="AB2" s="6" t="inlineStr">
        <is>
          <t>Stage III</t>
        </is>
      </c>
      <c r="AC2" s="6" t="inlineStr">
        <is>
          <t>Stage IV</t>
        </is>
      </c>
    </row>
    <row r="3" ht="18" customHeight="1" s="27">
      <c r="A3" s="7" t="inlineStr">
        <is>
          <t>Stage I Date:</t>
        </is>
      </c>
      <c r="B3" s="9">
        <f t="array" ref="B3">LOOKUP(2,1 / (D$3:D$100 &lt;&gt;""), D$3:D$100)</f>
        <v/>
      </c>
      <c r="D3" s="11" t="n"/>
      <c r="E3" s="18" t="n"/>
      <c r="F3" s="18">
        <f>TODAY()-D3</f>
        <v/>
      </c>
      <c r="G3" s="18">
        <f>IF(F3&lt;=21, "No", "Yes" )</f>
        <v/>
      </c>
      <c r="H3" s="11" t="n"/>
      <c r="I3" s="18" t="n"/>
      <c r="J3" s="18">
        <f>TODAY()-H3</f>
        <v/>
      </c>
      <c r="K3" s="18">
        <f>IF(J3&lt;=21, "No", "Yes" )</f>
        <v/>
      </c>
      <c r="L3" s="11" t="n"/>
      <c r="M3" s="18" t="n"/>
      <c r="N3" s="18">
        <f>TODAY()-L3</f>
        <v/>
      </c>
      <c r="O3" s="18">
        <f>IF(N3&lt;=21, "No", "Yes" )</f>
        <v/>
      </c>
      <c r="P3" s="11" t="n"/>
      <c r="Q3" s="18" t="n"/>
      <c r="R3" s="18">
        <f>TODAY()-P3</f>
        <v/>
      </c>
      <c r="S3" s="18">
        <f>IF(R3&lt;=21, "No", "Yes" )</f>
        <v/>
      </c>
      <c r="T3" s="18" t="n"/>
      <c r="U3" s="18" t="n"/>
      <c r="V3" s="18">
        <f>TODAY()-T3</f>
        <v/>
      </c>
      <c r="W3" s="18">
        <f>IF(V3&lt;=21, "No", "Yes" )</f>
        <v/>
      </c>
      <c r="Y3" s="12" t="n"/>
      <c r="Z3" s="18" t="n"/>
      <c r="AA3" s="18" t="n"/>
      <c r="AB3" s="18" t="n"/>
      <c r="AC3" s="18" t="n"/>
    </row>
    <row r="4" ht="18" customHeight="1" s="27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1" t="n"/>
      <c r="I4" s="18" t="n"/>
      <c r="J4" s="18" t="n"/>
      <c r="K4" s="18" t="n"/>
      <c r="L4" s="11" t="n"/>
      <c r="M4" s="18" t="n"/>
      <c r="N4" s="18" t="n"/>
      <c r="O4" s="18" t="n"/>
      <c r="P4" s="11" t="n"/>
      <c r="Q4" s="18" t="n"/>
      <c r="R4" s="18" t="n"/>
      <c r="S4" s="18" t="n"/>
      <c r="T4" s="18" t="n"/>
      <c r="U4" s="18" t="n"/>
      <c r="V4" s="18" t="n"/>
      <c r="W4" s="18" t="n"/>
      <c r="Y4" s="12" t="n"/>
      <c r="Z4" s="18" t="n"/>
      <c r="AA4" s="18" t="n"/>
      <c r="AB4" s="18" t="n"/>
      <c r="AC4" s="18" t="n"/>
    </row>
    <row r="5" ht="18" customHeight="1" s="27">
      <c r="A5" s="24" t="inlineStr">
        <is>
          <t>Stage II # Explants:</t>
        </is>
      </c>
      <c r="B5" s="3">
        <f t="array" ref="B5">(IFERROR((LOOKUP(2,1/(I$3:I$100&lt;&gt;""),I$3:I$100)),0))</f>
        <v/>
      </c>
      <c r="D5" s="11" t="n"/>
      <c r="E5" s="18" t="n"/>
      <c r="F5" s="18" t="n"/>
      <c r="G5" s="18" t="n"/>
      <c r="H5" s="11" t="n"/>
      <c r="I5" s="18" t="n"/>
      <c r="J5" s="18" t="n"/>
      <c r="K5" s="18" t="n"/>
      <c r="L5" s="11" t="n"/>
      <c r="M5" s="18" t="n"/>
      <c r="N5" s="18" t="n"/>
      <c r="O5" s="18" t="n"/>
      <c r="P5" s="11" t="n"/>
      <c r="Q5" s="18" t="n"/>
      <c r="R5" s="18" t="n"/>
      <c r="S5" s="18" t="n"/>
      <c r="T5" s="18" t="n"/>
      <c r="U5" s="18" t="n"/>
      <c r="V5" s="18" t="n"/>
      <c r="W5" s="18" t="n"/>
      <c r="Y5" s="12" t="n"/>
      <c r="Z5" s="18" t="n"/>
      <c r="AA5" s="18" t="n"/>
      <c r="AB5" s="18" t="n"/>
      <c r="AC5" s="18" t="n"/>
    </row>
    <row r="6" ht="18" customHeight="1" s="27">
      <c r="A6" s="24" t="inlineStr">
        <is>
          <t>Stage II Date:</t>
        </is>
      </c>
      <c r="B6" s="9">
        <f t="array" ref="B6">LOOKUP(2,1 / (H$3:H$100 &lt;&gt;""), H$3:H$100)</f>
        <v/>
      </c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1" t="n"/>
      <c r="Q6" s="18" t="n"/>
      <c r="R6" s="18" t="n"/>
      <c r="S6" s="18" t="n"/>
      <c r="T6" s="18" t="n"/>
      <c r="U6" s="18" t="n"/>
      <c r="V6" s="18" t="n"/>
      <c r="W6" s="18" t="n"/>
      <c r="Y6" s="12" t="n"/>
      <c r="Z6" s="18" t="n"/>
      <c r="AA6" s="18" t="n"/>
      <c r="AB6" s="18" t="n"/>
      <c r="AC6" s="18" t="n"/>
    </row>
    <row r="7" ht="18" customHeight="1" s="27">
      <c r="A7" s="24" t="inlineStr">
        <is>
          <t>Stage II Subculture</t>
        </is>
      </c>
      <c r="B7" s="1">
        <f t="array" ref="B7">LOOKUP(2,1 / (K$10:K$100 &lt;&gt;""), K$10:K$100)</f>
        <v/>
      </c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Z7" s="18" t="n"/>
      <c r="AA7" s="18" t="n"/>
      <c r="AB7" s="18" t="n"/>
      <c r="AC7" s="18" t="n"/>
    </row>
    <row r="8" ht="18" customHeight="1" s="27">
      <c r="A8" s="8" t="inlineStr">
        <is>
          <t>Stage III # Explants:</t>
        </is>
      </c>
      <c r="B8" s="3">
        <f t="array" ref="B8">(IFERROR((LOOKUP(2,1/(M$3:M$100&lt;&gt;""),M$3:M$100)),0))</f>
        <v/>
      </c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Z8" s="18" t="n"/>
      <c r="AA8" s="18" t="n"/>
      <c r="AB8" s="18" t="n"/>
      <c r="AC8" s="18" t="n"/>
    </row>
    <row r="9" ht="18" customHeight="1" s="27">
      <c r="A9" s="8" t="inlineStr">
        <is>
          <t>Stage III Date:</t>
        </is>
      </c>
      <c r="B9" s="9">
        <f t="array" ref="B9">LOOKUP(2,1 / (L$3:L$100 &lt;&gt;""), L$3:L$100)</f>
        <v/>
      </c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1" t="n"/>
      <c r="Q9" s="18" t="n"/>
      <c r="R9" s="18" t="n"/>
      <c r="S9" s="18" t="n"/>
      <c r="T9" s="18" t="n"/>
      <c r="U9" s="18" t="n"/>
      <c r="V9" s="18" t="n"/>
      <c r="W9" s="18" t="n"/>
      <c r="Z9" s="18" t="n"/>
      <c r="AA9" s="18" t="n"/>
      <c r="AB9" s="18" t="n"/>
      <c r="AC9" s="18" t="n"/>
    </row>
    <row r="10" ht="18" customHeight="1" s="27">
      <c r="A10" s="8" t="inlineStr">
        <is>
          <t>Stage III Subculture</t>
        </is>
      </c>
      <c r="B10" s="1">
        <f t="array" aca="1" ref="B10" ca="1">LOOKUP(2,1 / (O$3:O$100 &lt;&gt;""), O$3:O$100)</f>
        <v/>
      </c>
    </row>
    <row r="11" ht="18" customHeight="1" s="27">
      <c r="A11" s="22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27">
      <c r="A12" s="22" t="inlineStr">
        <is>
          <t>Stage 2.5 Date:</t>
        </is>
      </c>
      <c r="B12" s="9">
        <f t="array" ref="B12">LOOKUP(2,1 / (P$3:P$100 &lt;&gt;""), P$3:P$100)</f>
        <v/>
      </c>
    </row>
    <row r="13" ht="18" customHeight="1" s="27">
      <c r="A13" s="22" t="inlineStr">
        <is>
          <t>Stage 2.5 Subculture</t>
        </is>
      </c>
      <c r="B13" s="1">
        <f t="array" aca="1" ref="B13" ca="1">LOOKUP(2,1 / (S$3:S$100 &lt;&gt;""), S$3:S$100)</f>
        <v/>
      </c>
    </row>
    <row r="14" ht="18" customHeight="1" s="27">
      <c r="A14" s="2" t="inlineStr">
        <is>
          <t>Stage IV # Explants:</t>
        </is>
      </c>
      <c r="B14" s="3">
        <f t="array" ref="B14">(IFERROR((LOOKUP(2,1/(U$3:U$100&lt;&gt;""),U$3:U$100)),0))</f>
        <v/>
      </c>
    </row>
    <row r="15" ht="18" customHeight="1" s="27">
      <c r="A15" s="2" t="inlineStr">
        <is>
          <t>Stage IV Date:</t>
        </is>
      </c>
      <c r="B15" s="9">
        <f t="array" ref="B15">LOOKUP(2,1 / (T$3:T$9 &lt;&gt;""), T$3:T$9)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Zack</dc:creator>
  <dcterms:created xsi:type="dcterms:W3CDTF">2019-02-24T04:31:45Z</dcterms:created>
  <dcterms:modified xsi:type="dcterms:W3CDTF">2022-10-20T15:04:46Z</dcterms:modified>
  <cp:lastModifiedBy>Zack</cp:lastModifiedBy>
  <cp:lastPrinted>2022-04-29T20:49:36Z</cp:lastPrinted>
</cp:coreProperties>
</file>